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Bhavya\CODE BASE\Python Projects\Fuck_Around\Simulation\"/>
    </mc:Choice>
  </mc:AlternateContent>
  <xr:revisionPtr revIDLastSave="0" documentId="13_ncr:1_{0E040F9F-CECE-4823-9FB8-BB923651DC7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FINAL" sheetId="2" r:id="rId2"/>
    <sheet name="ROOM TIME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3" l="1"/>
  <c r="F121" i="3"/>
  <c r="E121" i="3"/>
  <c r="D121" i="3"/>
  <c r="H120" i="3"/>
  <c r="F120" i="3"/>
  <c r="E120" i="3"/>
  <c r="D120" i="3"/>
  <c r="H119" i="3"/>
  <c r="F119" i="3"/>
  <c r="E119" i="3"/>
  <c r="D119" i="3"/>
  <c r="H118" i="3"/>
  <c r="F118" i="3"/>
  <c r="E118" i="3"/>
  <c r="D118" i="3"/>
  <c r="H117" i="3"/>
  <c r="F117" i="3"/>
  <c r="E117" i="3"/>
  <c r="D117" i="3"/>
  <c r="H116" i="3"/>
  <c r="F116" i="3"/>
  <c r="E116" i="3"/>
  <c r="D116" i="3"/>
  <c r="H115" i="3"/>
  <c r="F115" i="3"/>
  <c r="E115" i="3"/>
  <c r="D115" i="3"/>
  <c r="H114" i="3"/>
  <c r="F114" i="3"/>
  <c r="E114" i="3"/>
  <c r="D114" i="3"/>
  <c r="H113" i="3"/>
  <c r="F113" i="3"/>
  <c r="E113" i="3"/>
  <c r="D113" i="3"/>
  <c r="H112" i="3"/>
  <c r="F112" i="3"/>
  <c r="E112" i="3"/>
  <c r="D112" i="3"/>
  <c r="H111" i="3"/>
  <c r="F111" i="3"/>
  <c r="E111" i="3"/>
  <c r="D111" i="3"/>
  <c r="H110" i="3"/>
  <c r="F110" i="3"/>
  <c r="E110" i="3"/>
  <c r="D110" i="3"/>
  <c r="H109" i="3"/>
  <c r="F109" i="3"/>
  <c r="E109" i="3"/>
  <c r="D109" i="3"/>
  <c r="H108" i="3"/>
  <c r="F108" i="3"/>
  <c r="E108" i="3"/>
  <c r="D108" i="3"/>
  <c r="H107" i="3"/>
  <c r="F107" i="3"/>
  <c r="E107" i="3"/>
  <c r="D107" i="3"/>
  <c r="H106" i="3"/>
  <c r="F106" i="3"/>
  <c r="E106" i="3"/>
  <c r="D106" i="3"/>
  <c r="H105" i="3"/>
  <c r="F105" i="3"/>
  <c r="E105" i="3"/>
  <c r="D105" i="3"/>
  <c r="H104" i="3"/>
  <c r="F104" i="3"/>
  <c r="E104" i="3"/>
  <c r="D104" i="3"/>
  <c r="H103" i="3"/>
  <c r="F103" i="3"/>
  <c r="E103" i="3"/>
  <c r="D103" i="3"/>
  <c r="H102" i="3"/>
  <c r="F102" i="3"/>
  <c r="E102" i="3"/>
  <c r="D102" i="3"/>
  <c r="H101" i="3"/>
  <c r="F101" i="3"/>
  <c r="E101" i="3"/>
  <c r="D101" i="3"/>
  <c r="H100" i="3"/>
  <c r="F100" i="3"/>
  <c r="E100" i="3"/>
  <c r="D100" i="3"/>
  <c r="H99" i="3"/>
  <c r="F99" i="3"/>
  <c r="E99" i="3"/>
  <c r="D99" i="3"/>
  <c r="H98" i="3"/>
  <c r="F98" i="3"/>
  <c r="E98" i="3"/>
  <c r="D98" i="3"/>
  <c r="H97" i="3"/>
  <c r="F97" i="3"/>
  <c r="E97" i="3"/>
  <c r="D97" i="3"/>
  <c r="H96" i="3"/>
  <c r="F96" i="3"/>
  <c r="E96" i="3"/>
  <c r="D96" i="3"/>
  <c r="H95" i="3"/>
  <c r="F95" i="3"/>
  <c r="E95" i="3"/>
  <c r="D95" i="3"/>
  <c r="H94" i="3"/>
  <c r="F94" i="3"/>
  <c r="E94" i="3"/>
  <c r="D94" i="3"/>
  <c r="H93" i="3"/>
  <c r="F93" i="3"/>
  <c r="E93" i="3"/>
  <c r="D93" i="3"/>
  <c r="H92" i="3"/>
  <c r="F92" i="3"/>
  <c r="E92" i="3"/>
  <c r="D92" i="3"/>
  <c r="H91" i="3"/>
  <c r="F91" i="3"/>
  <c r="E91" i="3"/>
  <c r="D91" i="3"/>
  <c r="H90" i="3"/>
  <c r="F90" i="3"/>
  <c r="E90" i="3"/>
  <c r="D90" i="3"/>
  <c r="H89" i="3"/>
  <c r="F89" i="3"/>
  <c r="E89" i="3"/>
  <c r="D89" i="3"/>
  <c r="H88" i="3"/>
  <c r="F88" i="3"/>
  <c r="E88" i="3"/>
  <c r="D88" i="3"/>
  <c r="H87" i="3"/>
  <c r="F87" i="3"/>
  <c r="E87" i="3"/>
  <c r="D87" i="3"/>
  <c r="H86" i="3"/>
  <c r="F86" i="3"/>
  <c r="E86" i="3"/>
  <c r="D86" i="3"/>
  <c r="H85" i="3"/>
  <c r="F85" i="3"/>
  <c r="E85" i="3"/>
  <c r="D85" i="3"/>
  <c r="H84" i="3"/>
  <c r="F84" i="3"/>
  <c r="E84" i="3"/>
  <c r="D84" i="3"/>
  <c r="H83" i="3"/>
  <c r="F83" i="3"/>
  <c r="E83" i="3"/>
  <c r="D83" i="3"/>
  <c r="H82" i="3"/>
  <c r="F82" i="3"/>
  <c r="E82" i="3"/>
  <c r="D82" i="3"/>
  <c r="H81" i="3"/>
  <c r="F81" i="3"/>
  <c r="E81" i="3"/>
  <c r="D81" i="3"/>
  <c r="H80" i="3"/>
  <c r="F80" i="3"/>
  <c r="E80" i="3"/>
  <c r="D80" i="3"/>
  <c r="H79" i="3"/>
  <c r="F79" i="3"/>
  <c r="E79" i="3"/>
  <c r="D79" i="3"/>
  <c r="H78" i="3"/>
  <c r="F78" i="3"/>
  <c r="E78" i="3"/>
  <c r="D78" i="3"/>
  <c r="H77" i="3"/>
  <c r="F77" i="3"/>
  <c r="E77" i="3"/>
  <c r="D77" i="3"/>
  <c r="H76" i="3"/>
  <c r="F76" i="3"/>
  <c r="E76" i="3"/>
  <c r="D76" i="3"/>
  <c r="H75" i="3"/>
  <c r="F75" i="3"/>
  <c r="E75" i="3"/>
  <c r="D75" i="3"/>
  <c r="H74" i="3"/>
  <c r="F74" i="3"/>
  <c r="E74" i="3"/>
  <c r="D74" i="3"/>
  <c r="H73" i="3"/>
  <c r="F73" i="3"/>
  <c r="E73" i="3"/>
  <c r="D73" i="3"/>
  <c r="H72" i="3"/>
  <c r="F72" i="3"/>
  <c r="E72" i="3"/>
  <c r="D72" i="3"/>
  <c r="H71" i="3"/>
  <c r="F71" i="3"/>
  <c r="E71" i="3"/>
  <c r="D71" i="3"/>
  <c r="H70" i="3"/>
  <c r="F70" i="3"/>
  <c r="E70" i="3"/>
  <c r="D70" i="3"/>
  <c r="H69" i="3"/>
  <c r="F69" i="3"/>
  <c r="E69" i="3"/>
  <c r="D69" i="3"/>
  <c r="H68" i="3"/>
  <c r="F68" i="3"/>
  <c r="E68" i="3"/>
  <c r="D68" i="3"/>
  <c r="H67" i="3"/>
  <c r="F67" i="3"/>
  <c r="E67" i="3"/>
  <c r="D67" i="3"/>
  <c r="H66" i="3"/>
  <c r="F66" i="3"/>
  <c r="E66" i="3"/>
  <c r="D66" i="3"/>
  <c r="H65" i="3"/>
  <c r="F65" i="3"/>
  <c r="E65" i="3"/>
  <c r="D65" i="3"/>
  <c r="H64" i="3"/>
  <c r="F64" i="3"/>
  <c r="E64" i="3"/>
  <c r="D64" i="3"/>
  <c r="H63" i="3"/>
  <c r="F63" i="3"/>
  <c r="E63" i="3"/>
  <c r="D63" i="3"/>
  <c r="H62" i="3"/>
  <c r="F62" i="3"/>
  <c r="E62" i="3"/>
  <c r="D62" i="3"/>
  <c r="H61" i="3"/>
  <c r="F61" i="3"/>
  <c r="E61" i="3"/>
  <c r="D61" i="3"/>
  <c r="H60" i="3"/>
  <c r="F60" i="3"/>
  <c r="E60" i="3"/>
  <c r="D60" i="3"/>
  <c r="H59" i="3"/>
  <c r="F59" i="3"/>
  <c r="E59" i="3"/>
  <c r="D59" i="3"/>
  <c r="H58" i="3"/>
  <c r="F58" i="3"/>
  <c r="E58" i="3"/>
  <c r="D58" i="3"/>
  <c r="H57" i="3"/>
  <c r="F57" i="3"/>
  <c r="E57" i="3"/>
  <c r="D57" i="3"/>
  <c r="H56" i="3"/>
  <c r="F56" i="3"/>
  <c r="E56" i="3"/>
  <c r="D56" i="3"/>
  <c r="H55" i="3"/>
  <c r="F55" i="3"/>
  <c r="E55" i="3"/>
  <c r="D55" i="3"/>
  <c r="H54" i="3"/>
  <c r="F54" i="3"/>
  <c r="E54" i="3"/>
  <c r="D54" i="3"/>
  <c r="H53" i="3"/>
  <c r="F53" i="3"/>
  <c r="E53" i="3"/>
  <c r="D53" i="3"/>
  <c r="H52" i="3"/>
  <c r="F52" i="3"/>
  <c r="E52" i="3"/>
  <c r="D52" i="3"/>
  <c r="H51" i="3"/>
  <c r="F51" i="3"/>
  <c r="E51" i="3"/>
  <c r="D51" i="3"/>
  <c r="H50" i="3"/>
  <c r="F50" i="3"/>
  <c r="E50" i="3"/>
  <c r="D50" i="3"/>
  <c r="H49" i="3"/>
  <c r="F49" i="3"/>
  <c r="E49" i="3"/>
  <c r="D49" i="3"/>
  <c r="H48" i="3"/>
  <c r="F48" i="3"/>
  <c r="E48" i="3"/>
  <c r="D48" i="3"/>
  <c r="H47" i="3"/>
  <c r="F47" i="3"/>
  <c r="E47" i="3"/>
  <c r="D47" i="3"/>
  <c r="H46" i="3"/>
  <c r="F46" i="3"/>
  <c r="E46" i="3"/>
  <c r="D46" i="3"/>
  <c r="H45" i="3"/>
  <c r="F45" i="3"/>
  <c r="E45" i="3"/>
  <c r="D45" i="3"/>
  <c r="H44" i="3"/>
  <c r="F44" i="3"/>
  <c r="E44" i="3"/>
  <c r="D44" i="3"/>
  <c r="H43" i="3"/>
  <c r="F43" i="3"/>
  <c r="E43" i="3"/>
  <c r="D43" i="3"/>
  <c r="H42" i="3"/>
  <c r="F42" i="3"/>
  <c r="E42" i="3"/>
  <c r="D42" i="3"/>
  <c r="H41" i="3"/>
  <c r="F41" i="3"/>
  <c r="E41" i="3"/>
  <c r="D41" i="3"/>
  <c r="H40" i="3"/>
  <c r="F40" i="3"/>
  <c r="E40" i="3"/>
  <c r="D40" i="3"/>
  <c r="H39" i="3"/>
  <c r="F39" i="3"/>
  <c r="E39" i="3"/>
  <c r="D39" i="3"/>
  <c r="H38" i="3"/>
  <c r="F38" i="3"/>
  <c r="E38" i="3"/>
  <c r="D38" i="3"/>
  <c r="H37" i="3"/>
  <c r="F37" i="3"/>
  <c r="E37" i="3"/>
  <c r="D37" i="3"/>
  <c r="H36" i="3"/>
  <c r="F36" i="3"/>
  <c r="E36" i="3"/>
  <c r="D36" i="3"/>
  <c r="H35" i="3"/>
  <c r="F35" i="3"/>
  <c r="E35" i="3"/>
  <c r="D35" i="3"/>
  <c r="H34" i="3"/>
  <c r="F34" i="3"/>
  <c r="E34" i="3"/>
  <c r="D34" i="3"/>
  <c r="H33" i="3"/>
  <c r="F33" i="3"/>
  <c r="E33" i="3"/>
  <c r="D33" i="3"/>
  <c r="H32" i="3"/>
  <c r="F32" i="3"/>
  <c r="E32" i="3"/>
  <c r="D32" i="3"/>
  <c r="H31" i="3"/>
  <c r="F31" i="3"/>
  <c r="E31" i="3"/>
  <c r="D31" i="3"/>
  <c r="H30" i="3"/>
  <c r="F30" i="3"/>
  <c r="E30" i="3"/>
  <c r="D30" i="3"/>
  <c r="H29" i="3"/>
  <c r="F29" i="3"/>
  <c r="E29" i="3"/>
  <c r="D29" i="3"/>
  <c r="H28" i="3"/>
  <c r="F28" i="3"/>
  <c r="E28" i="3"/>
  <c r="D28" i="3"/>
  <c r="H27" i="3"/>
  <c r="F27" i="3"/>
  <c r="E27" i="3"/>
  <c r="D27" i="3"/>
  <c r="H26" i="3"/>
  <c r="F26" i="3"/>
  <c r="E26" i="3"/>
  <c r="D26" i="3"/>
  <c r="H25" i="3"/>
  <c r="F25" i="3"/>
  <c r="E25" i="3"/>
  <c r="D25" i="3"/>
  <c r="R24" i="3"/>
  <c r="Q24" i="3"/>
  <c r="P24" i="3"/>
  <c r="H24" i="3"/>
  <c r="F24" i="3"/>
  <c r="E24" i="3"/>
  <c r="D24" i="3"/>
  <c r="R23" i="3"/>
  <c r="Q23" i="3"/>
  <c r="P23" i="3"/>
  <c r="H23" i="3"/>
  <c r="F23" i="3"/>
  <c r="E23" i="3"/>
  <c r="D23" i="3"/>
  <c r="R22" i="3"/>
  <c r="Q22" i="3"/>
  <c r="P22" i="3"/>
  <c r="H22" i="3"/>
  <c r="F22" i="3"/>
  <c r="E22" i="3"/>
  <c r="D22" i="3"/>
  <c r="R21" i="3"/>
  <c r="Q21" i="3"/>
  <c r="P21" i="3"/>
  <c r="H21" i="3"/>
  <c r="F21" i="3"/>
  <c r="E21" i="3"/>
  <c r="D21" i="3"/>
  <c r="R20" i="3"/>
  <c r="Q20" i="3"/>
  <c r="P20" i="3"/>
  <c r="H20" i="3"/>
  <c r="F20" i="3"/>
  <c r="E20" i="3"/>
  <c r="D20" i="3"/>
  <c r="R19" i="3"/>
  <c r="Q19" i="3"/>
  <c r="P19" i="3"/>
  <c r="H19" i="3"/>
  <c r="F19" i="3"/>
  <c r="E19" i="3"/>
  <c r="D19" i="3"/>
  <c r="R18" i="3"/>
  <c r="Q18" i="3"/>
  <c r="P18" i="3"/>
  <c r="H18" i="3"/>
  <c r="F18" i="3"/>
  <c r="E18" i="3"/>
  <c r="D18" i="3"/>
  <c r="R17" i="3"/>
  <c r="Q17" i="3"/>
  <c r="P17" i="3"/>
  <c r="H17" i="3"/>
  <c r="F17" i="3"/>
  <c r="E17" i="3"/>
  <c r="D17" i="3"/>
  <c r="R16" i="3"/>
  <c r="Q16" i="3"/>
  <c r="P16" i="3"/>
  <c r="H16" i="3"/>
  <c r="F16" i="3"/>
  <c r="E16" i="3"/>
  <c r="D16" i="3"/>
  <c r="R15" i="3"/>
  <c r="Q15" i="3"/>
  <c r="P15" i="3"/>
  <c r="H15" i="3"/>
  <c r="F15" i="3"/>
  <c r="E15" i="3"/>
  <c r="D15" i="3"/>
  <c r="R14" i="3"/>
  <c r="Q14" i="3"/>
  <c r="P14" i="3"/>
  <c r="H14" i="3"/>
  <c r="F14" i="3"/>
  <c r="E14" i="3"/>
  <c r="D14" i="3"/>
  <c r="R13" i="3"/>
  <c r="Q13" i="3"/>
  <c r="P13" i="3"/>
  <c r="H13" i="3"/>
  <c r="F13" i="3"/>
  <c r="E13" i="3"/>
  <c r="D13" i="3"/>
  <c r="R12" i="3"/>
  <c r="Q12" i="3"/>
  <c r="P12" i="3"/>
  <c r="H12" i="3"/>
  <c r="F12" i="3"/>
  <c r="E12" i="3"/>
  <c r="D12" i="3"/>
  <c r="R11" i="3"/>
  <c r="Q11" i="3"/>
  <c r="P11" i="3"/>
  <c r="H11" i="3"/>
  <c r="F11" i="3"/>
  <c r="E11" i="3"/>
  <c r="D11" i="3"/>
  <c r="R10" i="3"/>
  <c r="Q10" i="3"/>
  <c r="P10" i="3"/>
  <c r="H10" i="3"/>
  <c r="F10" i="3"/>
  <c r="E10" i="3"/>
  <c r="D10" i="3"/>
  <c r="R9" i="3"/>
  <c r="Q9" i="3"/>
  <c r="P9" i="3"/>
  <c r="H9" i="3"/>
  <c r="F9" i="3"/>
  <c r="E9" i="3"/>
  <c r="D9" i="3"/>
  <c r="R8" i="3"/>
  <c r="Q8" i="3"/>
  <c r="P8" i="3"/>
  <c r="H8" i="3"/>
  <c r="F8" i="3"/>
  <c r="E8" i="3"/>
  <c r="D8" i="3"/>
  <c r="R7" i="3"/>
  <c r="Q7" i="3"/>
  <c r="P7" i="3"/>
  <c r="H7" i="3"/>
  <c r="F7" i="3"/>
  <c r="E7" i="3"/>
  <c r="D7" i="3"/>
  <c r="R6" i="3"/>
  <c r="Q6" i="3"/>
  <c r="P6" i="3"/>
  <c r="H6" i="3"/>
  <c r="F6" i="3"/>
  <c r="E6" i="3"/>
  <c r="D6" i="3"/>
  <c r="R5" i="3"/>
  <c r="Q5" i="3"/>
  <c r="P5" i="3"/>
  <c r="H5" i="3"/>
  <c r="F5" i="3"/>
  <c r="E5" i="3"/>
  <c r="D5" i="3"/>
  <c r="H4" i="3"/>
  <c r="F4" i="3"/>
  <c r="E4" i="3"/>
  <c r="D4" i="3"/>
  <c r="H3" i="3"/>
  <c r="F3" i="3"/>
  <c r="E3" i="3"/>
  <c r="D3" i="3"/>
  <c r="H2" i="3"/>
  <c r="F2" i="3"/>
  <c r="E2" i="3"/>
  <c r="D2" i="3"/>
  <c r="R2161" i="2"/>
  <c r="M2161" i="2"/>
  <c r="E2161" i="2"/>
  <c r="B2161" i="2"/>
  <c r="R2160" i="2"/>
  <c r="M2160" i="2"/>
  <c r="G2160" i="2"/>
  <c r="E2160" i="2"/>
  <c r="B2160" i="2"/>
  <c r="I2160" i="2" s="1"/>
  <c r="R2159" i="2"/>
  <c r="M2159" i="2"/>
  <c r="E2159" i="2"/>
  <c r="B2159" i="2"/>
  <c r="R2158" i="2"/>
  <c r="M2158" i="2"/>
  <c r="G2158" i="2"/>
  <c r="E2158" i="2"/>
  <c r="B2158" i="2"/>
  <c r="I2158" i="2" s="1"/>
  <c r="R2157" i="2"/>
  <c r="M2157" i="2"/>
  <c r="E2157" i="2"/>
  <c r="B2157" i="2"/>
  <c r="R2156" i="2"/>
  <c r="M2156" i="2"/>
  <c r="G2156" i="2"/>
  <c r="E2156" i="2"/>
  <c r="B2156" i="2"/>
  <c r="I2156" i="2" s="1"/>
  <c r="R2155" i="2"/>
  <c r="M2155" i="2"/>
  <c r="E2155" i="2"/>
  <c r="B2155" i="2"/>
  <c r="R2154" i="2"/>
  <c r="M2154" i="2"/>
  <c r="G2154" i="2"/>
  <c r="E2154" i="2"/>
  <c r="B2154" i="2"/>
  <c r="I2154" i="2" s="1"/>
  <c r="R2153" i="2"/>
  <c r="M2153" i="2"/>
  <c r="E2153" i="2"/>
  <c r="B2153" i="2"/>
  <c r="R2152" i="2"/>
  <c r="M2152" i="2"/>
  <c r="G2152" i="2"/>
  <c r="E2152" i="2"/>
  <c r="B2152" i="2"/>
  <c r="I2152" i="2" s="1"/>
  <c r="R2151" i="2"/>
  <c r="M2151" i="2"/>
  <c r="E2151" i="2"/>
  <c r="B2151" i="2"/>
  <c r="R2150" i="2"/>
  <c r="M2150" i="2"/>
  <c r="G2150" i="2"/>
  <c r="E2150" i="2"/>
  <c r="B2150" i="2"/>
  <c r="I2150" i="2" s="1"/>
  <c r="R2149" i="2"/>
  <c r="M2149" i="2"/>
  <c r="E2149" i="2"/>
  <c r="B2149" i="2"/>
  <c r="R2148" i="2"/>
  <c r="M2148" i="2"/>
  <c r="G2148" i="2"/>
  <c r="E2148" i="2"/>
  <c r="B2148" i="2"/>
  <c r="I2148" i="2" s="1"/>
  <c r="R2147" i="2"/>
  <c r="M2147" i="2"/>
  <c r="E2147" i="2"/>
  <c r="B2147" i="2"/>
  <c r="R2146" i="2"/>
  <c r="M2146" i="2"/>
  <c r="G2146" i="2"/>
  <c r="E2146" i="2"/>
  <c r="B2146" i="2"/>
  <c r="I2146" i="2" s="1"/>
  <c r="R2145" i="2"/>
  <c r="M2145" i="2"/>
  <c r="E2145" i="2"/>
  <c r="B2145" i="2"/>
  <c r="R2144" i="2"/>
  <c r="M2144" i="2"/>
  <c r="G2144" i="2"/>
  <c r="E2144" i="2"/>
  <c r="B2144" i="2"/>
  <c r="I2144" i="2" s="1"/>
  <c r="R2143" i="2"/>
  <c r="M2143" i="2"/>
  <c r="E2143" i="2"/>
  <c r="B2143" i="2"/>
  <c r="R2142" i="2"/>
  <c r="M2142" i="2"/>
  <c r="G2142" i="2"/>
  <c r="E2142" i="2"/>
  <c r="B2142" i="2"/>
  <c r="I2142" i="2" s="1"/>
  <c r="R2141" i="2"/>
  <c r="M2141" i="2"/>
  <c r="E2141" i="2"/>
  <c r="B2141" i="2"/>
  <c r="R2140" i="2"/>
  <c r="M2140" i="2"/>
  <c r="G2140" i="2"/>
  <c r="E2140" i="2"/>
  <c r="B2140" i="2"/>
  <c r="I2140" i="2" s="1"/>
  <c r="R2139" i="2"/>
  <c r="M2139" i="2"/>
  <c r="E2139" i="2"/>
  <c r="B2139" i="2"/>
  <c r="R2138" i="2"/>
  <c r="M2138" i="2"/>
  <c r="E2138" i="2"/>
  <c r="B2138" i="2"/>
  <c r="I2138" i="2" s="1"/>
  <c r="R2137" i="2"/>
  <c r="M2137" i="2"/>
  <c r="E2137" i="2"/>
  <c r="B2137" i="2"/>
  <c r="R2136" i="2"/>
  <c r="M2136" i="2"/>
  <c r="E2136" i="2"/>
  <c r="B2136" i="2"/>
  <c r="I2136" i="2" s="1"/>
  <c r="R2135" i="2"/>
  <c r="M2135" i="2"/>
  <c r="E2135" i="2"/>
  <c r="B2135" i="2"/>
  <c r="R2134" i="2"/>
  <c r="M2134" i="2"/>
  <c r="E2134" i="2"/>
  <c r="B2134" i="2"/>
  <c r="I2134" i="2" s="1"/>
  <c r="R2133" i="2"/>
  <c r="M2133" i="2"/>
  <c r="E2133" i="2"/>
  <c r="B2133" i="2"/>
  <c r="R2132" i="2"/>
  <c r="M2132" i="2"/>
  <c r="E2132" i="2"/>
  <c r="B2132" i="2"/>
  <c r="R2131" i="2"/>
  <c r="M2131" i="2"/>
  <c r="E2131" i="2"/>
  <c r="B2131" i="2"/>
  <c r="R2130" i="2"/>
  <c r="M2130" i="2"/>
  <c r="E2130" i="2"/>
  <c r="B2130" i="2"/>
  <c r="R2129" i="2"/>
  <c r="M2129" i="2"/>
  <c r="I2129" i="2"/>
  <c r="G2129" i="2"/>
  <c r="E2129" i="2"/>
  <c r="B2129" i="2"/>
  <c r="R2128" i="2"/>
  <c r="M2128" i="2"/>
  <c r="E2128" i="2"/>
  <c r="B2128" i="2"/>
  <c r="R2127" i="2"/>
  <c r="M2127" i="2"/>
  <c r="E2127" i="2"/>
  <c r="B2127" i="2"/>
  <c r="R2126" i="2"/>
  <c r="M2126" i="2"/>
  <c r="G2126" i="2"/>
  <c r="E2126" i="2"/>
  <c r="B2126" i="2"/>
  <c r="I2126" i="2" s="1"/>
  <c r="R2125" i="2"/>
  <c r="M2125" i="2"/>
  <c r="I2125" i="2"/>
  <c r="G2125" i="2"/>
  <c r="E2125" i="2"/>
  <c r="B2125" i="2"/>
  <c r="R2124" i="2"/>
  <c r="M2124" i="2"/>
  <c r="G2124" i="2"/>
  <c r="E2124" i="2"/>
  <c r="B2124" i="2"/>
  <c r="I2124" i="2" s="1"/>
  <c r="R2123" i="2"/>
  <c r="M2123" i="2"/>
  <c r="I2123" i="2"/>
  <c r="E2123" i="2"/>
  <c r="B2123" i="2"/>
  <c r="R2122" i="2"/>
  <c r="M2122" i="2"/>
  <c r="E2122" i="2"/>
  <c r="B2122" i="2"/>
  <c r="I2122" i="2" s="1"/>
  <c r="R2121" i="2"/>
  <c r="M2121" i="2"/>
  <c r="G2121" i="2"/>
  <c r="E2121" i="2"/>
  <c r="B2121" i="2"/>
  <c r="R2120" i="2"/>
  <c r="M2120" i="2"/>
  <c r="E2120" i="2"/>
  <c r="B2120" i="2"/>
  <c r="R2119" i="2"/>
  <c r="M2119" i="2"/>
  <c r="E2119" i="2"/>
  <c r="B2119" i="2"/>
  <c r="R2118" i="2"/>
  <c r="M2118" i="2"/>
  <c r="G2118" i="2"/>
  <c r="E2118" i="2"/>
  <c r="B2118" i="2"/>
  <c r="I2118" i="2" s="1"/>
  <c r="R2117" i="2"/>
  <c r="M2117" i="2"/>
  <c r="I2117" i="2"/>
  <c r="G2117" i="2"/>
  <c r="E2117" i="2"/>
  <c r="B2117" i="2"/>
  <c r="R2116" i="2"/>
  <c r="M2116" i="2"/>
  <c r="G2116" i="2"/>
  <c r="E2116" i="2"/>
  <c r="B2116" i="2"/>
  <c r="R2115" i="2"/>
  <c r="M2115" i="2"/>
  <c r="G2115" i="2"/>
  <c r="E2115" i="2"/>
  <c r="B2115" i="2"/>
  <c r="R2114" i="2"/>
  <c r="M2114" i="2"/>
  <c r="G2114" i="2"/>
  <c r="E2114" i="2"/>
  <c r="B2114" i="2"/>
  <c r="I2114" i="2" s="1"/>
  <c r="R2113" i="2"/>
  <c r="M2113" i="2"/>
  <c r="I2113" i="2"/>
  <c r="G2113" i="2"/>
  <c r="E2113" i="2"/>
  <c r="B2113" i="2"/>
  <c r="R2112" i="2"/>
  <c r="M2112" i="2"/>
  <c r="E2112" i="2"/>
  <c r="B2112" i="2"/>
  <c r="R2111" i="2"/>
  <c r="M2111" i="2"/>
  <c r="E2111" i="2"/>
  <c r="B2111" i="2"/>
  <c r="R2110" i="2"/>
  <c r="M2110" i="2"/>
  <c r="E2110" i="2"/>
  <c r="B2110" i="2"/>
  <c r="R2109" i="2"/>
  <c r="M2109" i="2"/>
  <c r="G2109" i="2"/>
  <c r="E2109" i="2"/>
  <c r="B2109" i="2"/>
  <c r="R2108" i="2"/>
  <c r="M2108" i="2"/>
  <c r="I2108" i="2"/>
  <c r="E2108" i="2"/>
  <c r="B2108" i="2"/>
  <c r="G2108" i="2" s="1"/>
  <c r="R2107" i="2"/>
  <c r="M2107" i="2"/>
  <c r="E2107" i="2"/>
  <c r="B2107" i="2"/>
  <c r="R2106" i="2"/>
  <c r="M2106" i="2"/>
  <c r="I2106" i="2"/>
  <c r="G2106" i="2"/>
  <c r="E2106" i="2"/>
  <c r="B2106" i="2"/>
  <c r="R2105" i="2"/>
  <c r="M2105" i="2"/>
  <c r="E2105" i="2"/>
  <c r="B2105" i="2"/>
  <c r="R2104" i="2"/>
  <c r="M2104" i="2"/>
  <c r="I2104" i="2"/>
  <c r="G2104" i="2"/>
  <c r="E2104" i="2"/>
  <c r="B2104" i="2"/>
  <c r="R2103" i="2"/>
  <c r="M2103" i="2"/>
  <c r="E2103" i="2"/>
  <c r="B2103" i="2"/>
  <c r="R2102" i="2"/>
  <c r="M2102" i="2"/>
  <c r="I2102" i="2"/>
  <c r="G2102" i="2"/>
  <c r="E2102" i="2"/>
  <c r="B2102" i="2"/>
  <c r="R2101" i="2"/>
  <c r="M2101" i="2"/>
  <c r="E2101" i="2"/>
  <c r="B2101" i="2"/>
  <c r="R2100" i="2"/>
  <c r="M2100" i="2"/>
  <c r="I2100" i="2"/>
  <c r="G2100" i="2"/>
  <c r="E2100" i="2"/>
  <c r="B2100" i="2"/>
  <c r="R2099" i="2"/>
  <c r="M2099" i="2"/>
  <c r="E2099" i="2"/>
  <c r="B2099" i="2"/>
  <c r="R2098" i="2"/>
  <c r="M2098" i="2"/>
  <c r="I2098" i="2"/>
  <c r="G2098" i="2"/>
  <c r="E2098" i="2"/>
  <c r="B2098" i="2"/>
  <c r="R2097" i="2"/>
  <c r="M2097" i="2"/>
  <c r="E2097" i="2"/>
  <c r="B2097" i="2"/>
  <c r="R2096" i="2"/>
  <c r="M2096" i="2"/>
  <c r="I2096" i="2"/>
  <c r="G2096" i="2"/>
  <c r="E2096" i="2"/>
  <c r="B2096" i="2"/>
  <c r="R2095" i="2"/>
  <c r="M2095" i="2"/>
  <c r="E2095" i="2"/>
  <c r="B2095" i="2"/>
  <c r="R2094" i="2"/>
  <c r="M2094" i="2"/>
  <c r="I2094" i="2"/>
  <c r="G2094" i="2"/>
  <c r="E2094" i="2"/>
  <c r="B2094" i="2"/>
  <c r="R2093" i="2"/>
  <c r="M2093" i="2"/>
  <c r="G2093" i="2"/>
  <c r="E2093" i="2"/>
  <c r="B2093" i="2"/>
  <c r="I2093" i="2" s="1"/>
  <c r="R2092" i="2"/>
  <c r="M2092" i="2"/>
  <c r="E2092" i="2"/>
  <c r="B2092" i="2"/>
  <c r="R2091" i="2"/>
  <c r="M2091" i="2"/>
  <c r="E2091" i="2"/>
  <c r="B2091" i="2"/>
  <c r="R2090" i="2"/>
  <c r="M2090" i="2"/>
  <c r="E2090" i="2"/>
  <c r="B2090" i="2"/>
  <c r="R2089" i="2"/>
  <c r="M2089" i="2"/>
  <c r="E2089" i="2"/>
  <c r="B2089" i="2"/>
  <c r="R2088" i="2"/>
  <c r="M2088" i="2"/>
  <c r="E2088" i="2"/>
  <c r="B2088" i="2"/>
  <c r="R2087" i="2"/>
  <c r="M2087" i="2"/>
  <c r="E2087" i="2"/>
  <c r="B2087" i="2"/>
  <c r="R2086" i="2"/>
  <c r="M2086" i="2"/>
  <c r="G2086" i="2"/>
  <c r="E2086" i="2"/>
  <c r="B2086" i="2"/>
  <c r="R2085" i="2"/>
  <c r="M2085" i="2"/>
  <c r="E2085" i="2"/>
  <c r="B2085" i="2"/>
  <c r="R2084" i="2"/>
  <c r="M2084" i="2"/>
  <c r="E2084" i="2"/>
  <c r="B2084" i="2"/>
  <c r="R2083" i="2"/>
  <c r="M2083" i="2"/>
  <c r="G2083" i="2"/>
  <c r="E2083" i="2"/>
  <c r="B2083" i="2"/>
  <c r="I2083" i="2" s="1"/>
  <c r="R2082" i="2"/>
  <c r="M2082" i="2"/>
  <c r="G2082" i="2"/>
  <c r="E2082" i="2"/>
  <c r="B2082" i="2"/>
  <c r="R2081" i="2"/>
  <c r="M2081" i="2"/>
  <c r="E2081" i="2"/>
  <c r="B2081" i="2"/>
  <c r="I2081" i="2" s="1"/>
  <c r="R2080" i="2"/>
  <c r="M2080" i="2"/>
  <c r="G2080" i="2"/>
  <c r="E2080" i="2"/>
  <c r="B2080" i="2"/>
  <c r="R2079" i="2"/>
  <c r="M2079" i="2"/>
  <c r="E2079" i="2"/>
  <c r="B2079" i="2"/>
  <c r="R2078" i="2"/>
  <c r="M2078" i="2"/>
  <c r="E2078" i="2"/>
  <c r="B2078" i="2"/>
  <c r="R2077" i="2"/>
  <c r="M2077" i="2"/>
  <c r="E2077" i="2"/>
  <c r="B2077" i="2"/>
  <c r="R2076" i="2"/>
  <c r="M2076" i="2"/>
  <c r="G2076" i="2"/>
  <c r="E2076" i="2"/>
  <c r="B2076" i="2"/>
  <c r="R2075" i="2"/>
  <c r="M2075" i="2"/>
  <c r="E2075" i="2"/>
  <c r="B2075" i="2"/>
  <c r="I2075" i="2" s="1"/>
  <c r="R2074" i="2"/>
  <c r="M2074" i="2"/>
  <c r="G2074" i="2"/>
  <c r="E2074" i="2"/>
  <c r="B2074" i="2"/>
  <c r="R2073" i="2"/>
  <c r="M2073" i="2"/>
  <c r="E2073" i="2"/>
  <c r="B2073" i="2"/>
  <c r="R2072" i="2"/>
  <c r="M2072" i="2"/>
  <c r="E2072" i="2"/>
  <c r="B2072" i="2"/>
  <c r="R2071" i="2"/>
  <c r="M2071" i="2"/>
  <c r="E2071" i="2"/>
  <c r="B2071" i="2"/>
  <c r="R2070" i="2"/>
  <c r="M2070" i="2"/>
  <c r="G2070" i="2"/>
  <c r="E2070" i="2"/>
  <c r="B2070" i="2"/>
  <c r="R2069" i="2"/>
  <c r="M2069" i="2"/>
  <c r="G2069" i="2"/>
  <c r="E2069" i="2"/>
  <c r="B2069" i="2"/>
  <c r="I2069" i="2" s="1"/>
  <c r="R2068" i="2"/>
  <c r="M2068" i="2"/>
  <c r="E2068" i="2"/>
  <c r="B2068" i="2"/>
  <c r="R2067" i="2"/>
  <c r="M2067" i="2"/>
  <c r="I2067" i="2"/>
  <c r="G2067" i="2"/>
  <c r="E2067" i="2"/>
  <c r="B2067" i="2"/>
  <c r="R2066" i="2"/>
  <c r="M2066" i="2"/>
  <c r="G2066" i="2"/>
  <c r="E2066" i="2"/>
  <c r="B2066" i="2"/>
  <c r="R2065" i="2"/>
  <c r="M2065" i="2"/>
  <c r="E2065" i="2"/>
  <c r="B2065" i="2"/>
  <c r="R2064" i="2"/>
  <c r="M2064" i="2"/>
  <c r="E2064" i="2"/>
  <c r="B2064" i="2"/>
  <c r="R2063" i="2"/>
  <c r="M2063" i="2"/>
  <c r="I2063" i="2"/>
  <c r="G2063" i="2"/>
  <c r="E2063" i="2"/>
  <c r="B2063" i="2"/>
  <c r="R2062" i="2"/>
  <c r="M2062" i="2"/>
  <c r="E2062" i="2"/>
  <c r="B2062" i="2"/>
  <c r="R2061" i="2"/>
  <c r="M2061" i="2"/>
  <c r="I2061" i="2"/>
  <c r="G2061" i="2"/>
  <c r="E2061" i="2"/>
  <c r="B2061" i="2"/>
  <c r="R2060" i="2"/>
  <c r="M2060" i="2"/>
  <c r="G2060" i="2"/>
  <c r="E2060" i="2"/>
  <c r="B2060" i="2"/>
  <c r="R2059" i="2"/>
  <c r="M2059" i="2"/>
  <c r="I2059" i="2"/>
  <c r="G2059" i="2"/>
  <c r="E2059" i="2"/>
  <c r="B2059" i="2"/>
  <c r="R2058" i="2"/>
  <c r="M2058" i="2"/>
  <c r="E2058" i="2"/>
  <c r="B2058" i="2"/>
  <c r="R2057" i="2"/>
  <c r="M2057" i="2"/>
  <c r="I2057" i="2"/>
  <c r="G2057" i="2"/>
  <c r="E2057" i="2"/>
  <c r="B2057" i="2"/>
  <c r="R2056" i="2"/>
  <c r="M2056" i="2"/>
  <c r="E2056" i="2"/>
  <c r="B2056" i="2"/>
  <c r="R2055" i="2"/>
  <c r="M2055" i="2"/>
  <c r="I2055" i="2"/>
  <c r="G2055" i="2"/>
  <c r="E2055" i="2"/>
  <c r="B2055" i="2"/>
  <c r="R2054" i="2"/>
  <c r="M2054" i="2"/>
  <c r="G2054" i="2"/>
  <c r="E2054" i="2"/>
  <c r="B2054" i="2"/>
  <c r="R2053" i="2"/>
  <c r="M2053" i="2"/>
  <c r="I2053" i="2"/>
  <c r="G2053" i="2"/>
  <c r="E2053" i="2"/>
  <c r="B2053" i="2"/>
  <c r="R2052" i="2"/>
  <c r="M2052" i="2"/>
  <c r="E2052" i="2"/>
  <c r="B2052" i="2"/>
  <c r="R2051" i="2"/>
  <c r="M2051" i="2"/>
  <c r="I2051" i="2"/>
  <c r="G2051" i="2"/>
  <c r="E2051" i="2"/>
  <c r="B2051" i="2"/>
  <c r="R2050" i="2"/>
  <c r="M2050" i="2"/>
  <c r="E2050" i="2"/>
  <c r="B2050" i="2"/>
  <c r="R2049" i="2"/>
  <c r="M2049" i="2"/>
  <c r="I2049" i="2"/>
  <c r="G2049" i="2"/>
  <c r="E2049" i="2"/>
  <c r="B2049" i="2"/>
  <c r="R2048" i="2"/>
  <c r="M2048" i="2"/>
  <c r="G2048" i="2"/>
  <c r="E2048" i="2"/>
  <c r="B2048" i="2"/>
  <c r="R2047" i="2"/>
  <c r="M2047" i="2"/>
  <c r="I2047" i="2"/>
  <c r="G2047" i="2"/>
  <c r="E2047" i="2"/>
  <c r="B2047" i="2"/>
  <c r="R2046" i="2"/>
  <c r="M2046" i="2"/>
  <c r="E2046" i="2"/>
  <c r="B2046" i="2"/>
  <c r="R2045" i="2"/>
  <c r="M2045" i="2"/>
  <c r="I2045" i="2"/>
  <c r="G2045" i="2"/>
  <c r="E2045" i="2"/>
  <c r="B2045" i="2"/>
  <c r="R2044" i="2"/>
  <c r="M2044" i="2"/>
  <c r="E2044" i="2"/>
  <c r="B2044" i="2"/>
  <c r="R2043" i="2"/>
  <c r="M2043" i="2"/>
  <c r="I2043" i="2"/>
  <c r="G2043" i="2"/>
  <c r="E2043" i="2"/>
  <c r="B2043" i="2"/>
  <c r="R2042" i="2"/>
  <c r="M2042" i="2"/>
  <c r="E2042" i="2"/>
  <c r="B2042" i="2"/>
  <c r="R2041" i="2"/>
  <c r="M2041" i="2"/>
  <c r="E2041" i="2"/>
  <c r="B2041" i="2"/>
  <c r="R2040" i="2"/>
  <c r="M2040" i="2"/>
  <c r="I2040" i="2"/>
  <c r="G2040" i="2"/>
  <c r="E2040" i="2"/>
  <c r="B2040" i="2"/>
  <c r="R2039" i="2"/>
  <c r="M2039" i="2"/>
  <c r="G2039" i="2"/>
  <c r="E2039" i="2"/>
  <c r="B2039" i="2"/>
  <c r="I2039" i="2" s="1"/>
  <c r="R2038" i="2"/>
  <c r="M2038" i="2"/>
  <c r="I2038" i="2"/>
  <c r="G2038" i="2"/>
  <c r="E2038" i="2"/>
  <c r="B2038" i="2"/>
  <c r="R2037" i="2"/>
  <c r="M2037" i="2"/>
  <c r="G2037" i="2"/>
  <c r="E2037" i="2"/>
  <c r="B2037" i="2"/>
  <c r="I2037" i="2" s="1"/>
  <c r="R2036" i="2"/>
  <c r="M2036" i="2"/>
  <c r="I2036" i="2"/>
  <c r="G2036" i="2"/>
  <c r="E2036" i="2"/>
  <c r="B2036" i="2"/>
  <c r="R2035" i="2"/>
  <c r="M2035" i="2"/>
  <c r="G2035" i="2"/>
  <c r="E2035" i="2"/>
  <c r="B2035" i="2"/>
  <c r="I2035" i="2" s="1"/>
  <c r="R2034" i="2"/>
  <c r="M2034" i="2"/>
  <c r="I2034" i="2"/>
  <c r="G2034" i="2"/>
  <c r="E2034" i="2"/>
  <c r="B2034" i="2"/>
  <c r="R2033" i="2"/>
  <c r="M2033" i="2"/>
  <c r="G2033" i="2"/>
  <c r="E2033" i="2"/>
  <c r="B2033" i="2"/>
  <c r="I2033" i="2" s="1"/>
  <c r="R2032" i="2"/>
  <c r="M2032" i="2"/>
  <c r="I2032" i="2"/>
  <c r="G2032" i="2"/>
  <c r="E2032" i="2"/>
  <c r="B2032" i="2"/>
  <c r="R2031" i="2"/>
  <c r="M2031" i="2"/>
  <c r="G2031" i="2"/>
  <c r="E2031" i="2"/>
  <c r="B2031" i="2"/>
  <c r="I2031" i="2" s="1"/>
  <c r="R2030" i="2"/>
  <c r="M2030" i="2"/>
  <c r="I2030" i="2"/>
  <c r="G2030" i="2"/>
  <c r="E2030" i="2"/>
  <c r="B2030" i="2"/>
  <c r="R2029" i="2"/>
  <c r="M2029" i="2"/>
  <c r="G2029" i="2"/>
  <c r="E2029" i="2"/>
  <c r="B2029" i="2"/>
  <c r="I2029" i="2" s="1"/>
  <c r="R2028" i="2"/>
  <c r="M2028" i="2"/>
  <c r="I2028" i="2"/>
  <c r="G2028" i="2"/>
  <c r="E2028" i="2"/>
  <c r="B2028" i="2"/>
  <c r="R2027" i="2"/>
  <c r="M2027" i="2"/>
  <c r="G2027" i="2"/>
  <c r="E2027" i="2"/>
  <c r="B2027" i="2"/>
  <c r="I2027" i="2" s="1"/>
  <c r="R2026" i="2"/>
  <c r="M2026" i="2"/>
  <c r="I2026" i="2"/>
  <c r="G2026" i="2"/>
  <c r="E2026" i="2"/>
  <c r="B2026" i="2"/>
  <c r="R2025" i="2"/>
  <c r="M2025" i="2"/>
  <c r="G2025" i="2"/>
  <c r="E2025" i="2"/>
  <c r="B2025" i="2"/>
  <c r="I2025" i="2" s="1"/>
  <c r="R2024" i="2"/>
  <c r="M2024" i="2"/>
  <c r="I2024" i="2"/>
  <c r="G2024" i="2"/>
  <c r="E2024" i="2"/>
  <c r="B2024" i="2"/>
  <c r="R2023" i="2"/>
  <c r="M2023" i="2"/>
  <c r="G2023" i="2"/>
  <c r="E2023" i="2"/>
  <c r="B2023" i="2"/>
  <c r="I2023" i="2" s="1"/>
  <c r="R2022" i="2"/>
  <c r="M2022" i="2"/>
  <c r="I2022" i="2"/>
  <c r="G2022" i="2"/>
  <c r="E2022" i="2"/>
  <c r="B2022" i="2"/>
  <c r="R2021" i="2"/>
  <c r="M2021" i="2"/>
  <c r="G2021" i="2"/>
  <c r="E2021" i="2"/>
  <c r="B2021" i="2"/>
  <c r="I2021" i="2" s="1"/>
  <c r="R2020" i="2"/>
  <c r="M2020" i="2"/>
  <c r="I2020" i="2"/>
  <c r="G2020" i="2"/>
  <c r="E2020" i="2"/>
  <c r="B2020" i="2"/>
  <c r="R2019" i="2"/>
  <c r="M2019" i="2"/>
  <c r="G2019" i="2"/>
  <c r="E2019" i="2"/>
  <c r="B2019" i="2"/>
  <c r="I2019" i="2" s="1"/>
  <c r="R2018" i="2"/>
  <c r="M2018" i="2"/>
  <c r="I2018" i="2"/>
  <c r="G2018" i="2"/>
  <c r="E2018" i="2"/>
  <c r="B2018" i="2"/>
  <c r="R2017" i="2"/>
  <c r="M2017" i="2"/>
  <c r="G2017" i="2"/>
  <c r="E2017" i="2"/>
  <c r="B2017" i="2"/>
  <c r="I2017" i="2" s="1"/>
  <c r="R2016" i="2"/>
  <c r="M2016" i="2"/>
  <c r="I2016" i="2"/>
  <c r="G2016" i="2"/>
  <c r="E2016" i="2"/>
  <c r="B2016" i="2"/>
  <c r="R2015" i="2"/>
  <c r="M2015" i="2"/>
  <c r="G2015" i="2"/>
  <c r="E2015" i="2"/>
  <c r="B2015" i="2"/>
  <c r="I2015" i="2" s="1"/>
  <c r="R2014" i="2"/>
  <c r="M2014" i="2"/>
  <c r="I2014" i="2"/>
  <c r="G2014" i="2"/>
  <c r="E2014" i="2"/>
  <c r="B2014" i="2"/>
  <c r="R2013" i="2"/>
  <c r="M2013" i="2"/>
  <c r="G2013" i="2"/>
  <c r="E2013" i="2"/>
  <c r="B2013" i="2"/>
  <c r="I2013" i="2" s="1"/>
  <c r="R2012" i="2"/>
  <c r="M2012" i="2"/>
  <c r="I2012" i="2"/>
  <c r="G2012" i="2"/>
  <c r="E2012" i="2"/>
  <c r="B2012" i="2"/>
  <c r="R2011" i="2"/>
  <c r="M2011" i="2"/>
  <c r="G2011" i="2"/>
  <c r="E2011" i="2"/>
  <c r="B2011" i="2"/>
  <c r="I2011" i="2" s="1"/>
  <c r="R2010" i="2"/>
  <c r="M2010" i="2"/>
  <c r="I2010" i="2"/>
  <c r="G2010" i="2"/>
  <c r="E2010" i="2"/>
  <c r="B2010" i="2"/>
  <c r="R2009" i="2"/>
  <c r="M2009" i="2"/>
  <c r="G2009" i="2"/>
  <c r="E2009" i="2"/>
  <c r="B2009" i="2"/>
  <c r="I2009" i="2" s="1"/>
  <c r="R2008" i="2"/>
  <c r="M2008" i="2"/>
  <c r="I2008" i="2"/>
  <c r="G2008" i="2"/>
  <c r="E2008" i="2"/>
  <c r="B2008" i="2"/>
  <c r="R2007" i="2"/>
  <c r="M2007" i="2"/>
  <c r="G2007" i="2"/>
  <c r="E2007" i="2"/>
  <c r="B2007" i="2"/>
  <c r="I2007" i="2" s="1"/>
  <c r="R2006" i="2"/>
  <c r="M2006" i="2"/>
  <c r="I2006" i="2"/>
  <c r="G2006" i="2"/>
  <c r="E2006" i="2"/>
  <c r="B2006" i="2"/>
  <c r="R2005" i="2"/>
  <c r="M2005" i="2"/>
  <c r="G2005" i="2"/>
  <c r="E2005" i="2"/>
  <c r="B2005" i="2"/>
  <c r="I2005" i="2" s="1"/>
  <c r="R2004" i="2"/>
  <c r="M2004" i="2"/>
  <c r="I2004" i="2"/>
  <c r="G2004" i="2"/>
  <c r="E2004" i="2"/>
  <c r="B2004" i="2"/>
  <c r="R2003" i="2"/>
  <c r="M2003" i="2"/>
  <c r="G2003" i="2"/>
  <c r="E2003" i="2"/>
  <c r="B2003" i="2"/>
  <c r="I2003" i="2" s="1"/>
  <c r="R2002" i="2"/>
  <c r="M2002" i="2"/>
  <c r="I2002" i="2"/>
  <c r="G2002" i="2"/>
  <c r="E2002" i="2"/>
  <c r="B2002" i="2"/>
  <c r="R2001" i="2"/>
  <c r="M2001" i="2"/>
  <c r="G2001" i="2"/>
  <c r="E2001" i="2"/>
  <c r="B2001" i="2"/>
  <c r="I2001" i="2" s="1"/>
  <c r="R2000" i="2"/>
  <c r="M2000" i="2"/>
  <c r="I2000" i="2"/>
  <c r="G2000" i="2"/>
  <c r="E2000" i="2"/>
  <c r="B2000" i="2"/>
  <c r="R1999" i="2"/>
  <c r="M1999" i="2"/>
  <c r="G1999" i="2"/>
  <c r="E1999" i="2"/>
  <c r="B1999" i="2"/>
  <c r="I1999" i="2" s="1"/>
  <c r="R1998" i="2"/>
  <c r="M1998" i="2"/>
  <c r="I1998" i="2"/>
  <c r="G1998" i="2"/>
  <c r="E1998" i="2"/>
  <c r="B1998" i="2"/>
  <c r="R1997" i="2"/>
  <c r="M1997" i="2"/>
  <c r="G1997" i="2"/>
  <c r="E1997" i="2"/>
  <c r="B1997" i="2"/>
  <c r="I1997" i="2" s="1"/>
  <c r="R1996" i="2"/>
  <c r="M1996" i="2"/>
  <c r="I1996" i="2"/>
  <c r="G1996" i="2"/>
  <c r="E1996" i="2"/>
  <c r="B1996" i="2"/>
  <c r="R1995" i="2"/>
  <c r="M1995" i="2"/>
  <c r="G1995" i="2"/>
  <c r="E1995" i="2"/>
  <c r="B1995" i="2"/>
  <c r="I1995" i="2" s="1"/>
  <c r="R1994" i="2"/>
  <c r="M1994" i="2"/>
  <c r="I1994" i="2"/>
  <c r="G1994" i="2"/>
  <c r="E1994" i="2"/>
  <c r="B1994" i="2"/>
  <c r="R1993" i="2"/>
  <c r="M1993" i="2"/>
  <c r="G1993" i="2"/>
  <c r="E1993" i="2"/>
  <c r="B1993" i="2"/>
  <c r="I1993" i="2" s="1"/>
  <c r="R1992" i="2"/>
  <c r="M1992" i="2"/>
  <c r="I1992" i="2"/>
  <c r="G1992" i="2"/>
  <c r="E1992" i="2"/>
  <c r="B1992" i="2"/>
  <c r="R1991" i="2"/>
  <c r="M1991" i="2"/>
  <c r="G1991" i="2"/>
  <c r="E1991" i="2"/>
  <c r="B1991" i="2"/>
  <c r="I1991" i="2" s="1"/>
  <c r="R1990" i="2"/>
  <c r="M1990" i="2"/>
  <c r="I1990" i="2"/>
  <c r="G1990" i="2"/>
  <c r="E1990" i="2"/>
  <c r="B1990" i="2"/>
  <c r="R1989" i="2"/>
  <c r="M1989" i="2"/>
  <c r="G1989" i="2"/>
  <c r="E1989" i="2"/>
  <c r="B1989" i="2"/>
  <c r="I1989" i="2" s="1"/>
  <c r="R1988" i="2"/>
  <c r="M1988" i="2"/>
  <c r="G1988" i="2"/>
  <c r="E1988" i="2"/>
  <c r="B1988" i="2"/>
  <c r="R1987" i="2"/>
  <c r="M1987" i="2"/>
  <c r="G1987" i="2"/>
  <c r="E1987" i="2"/>
  <c r="B1987" i="2"/>
  <c r="I1987" i="2" s="1"/>
  <c r="R1986" i="2"/>
  <c r="M1986" i="2"/>
  <c r="I1986" i="2"/>
  <c r="G1986" i="2"/>
  <c r="E1986" i="2"/>
  <c r="B1986" i="2"/>
  <c r="R1985" i="2"/>
  <c r="M1985" i="2"/>
  <c r="G1985" i="2"/>
  <c r="E1985" i="2"/>
  <c r="B1985" i="2"/>
  <c r="I1985" i="2" s="1"/>
  <c r="R1984" i="2"/>
  <c r="M1984" i="2"/>
  <c r="E1984" i="2"/>
  <c r="B1984" i="2"/>
  <c r="R1983" i="2"/>
  <c r="M1983" i="2"/>
  <c r="G1983" i="2"/>
  <c r="E1983" i="2"/>
  <c r="B1983" i="2"/>
  <c r="I1983" i="2" s="1"/>
  <c r="R1982" i="2"/>
  <c r="M1982" i="2"/>
  <c r="G1982" i="2"/>
  <c r="E1982" i="2"/>
  <c r="B1982" i="2"/>
  <c r="I1982" i="2" s="1"/>
  <c r="R1981" i="2"/>
  <c r="M1981" i="2"/>
  <c r="G1981" i="2"/>
  <c r="E1981" i="2"/>
  <c r="B1981" i="2"/>
  <c r="I1981" i="2" s="1"/>
  <c r="R1980" i="2"/>
  <c r="M1980" i="2"/>
  <c r="E1980" i="2"/>
  <c r="B1980" i="2"/>
  <c r="R1979" i="2"/>
  <c r="M1979" i="2"/>
  <c r="G1979" i="2"/>
  <c r="E1979" i="2"/>
  <c r="B1979" i="2"/>
  <c r="I1979" i="2" s="1"/>
  <c r="R1978" i="2"/>
  <c r="M1978" i="2"/>
  <c r="I1978" i="2"/>
  <c r="G1978" i="2"/>
  <c r="E1978" i="2"/>
  <c r="B1978" i="2"/>
  <c r="R1977" i="2"/>
  <c r="M1977" i="2"/>
  <c r="G1977" i="2"/>
  <c r="E1977" i="2"/>
  <c r="B1977" i="2"/>
  <c r="I1977" i="2" s="1"/>
  <c r="R1976" i="2"/>
  <c r="M1976" i="2"/>
  <c r="I1976" i="2"/>
  <c r="G1976" i="2"/>
  <c r="E1976" i="2"/>
  <c r="B1976" i="2"/>
  <c r="R1975" i="2"/>
  <c r="M1975" i="2"/>
  <c r="G1975" i="2"/>
  <c r="E1975" i="2"/>
  <c r="B1975" i="2"/>
  <c r="I1975" i="2" s="1"/>
  <c r="R1974" i="2"/>
  <c r="M1974" i="2"/>
  <c r="E1974" i="2"/>
  <c r="B1974" i="2"/>
  <c r="R1973" i="2"/>
  <c r="M1973" i="2"/>
  <c r="G1973" i="2"/>
  <c r="E1973" i="2"/>
  <c r="B1973" i="2"/>
  <c r="I1973" i="2" s="1"/>
  <c r="R1972" i="2"/>
  <c r="M1972" i="2"/>
  <c r="I1972" i="2"/>
  <c r="G1972" i="2"/>
  <c r="E1972" i="2"/>
  <c r="B1972" i="2"/>
  <c r="R1971" i="2"/>
  <c r="M1971" i="2"/>
  <c r="G1971" i="2"/>
  <c r="E1971" i="2"/>
  <c r="B1971" i="2"/>
  <c r="I1971" i="2" s="1"/>
  <c r="R1970" i="2"/>
  <c r="M1970" i="2"/>
  <c r="E1970" i="2"/>
  <c r="B1970" i="2"/>
  <c r="R1969" i="2"/>
  <c r="M1969" i="2"/>
  <c r="G1969" i="2"/>
  <c r="E1969" i="2"/>
  <c r="B1969" i="2"/>
  <c r="I1969" i="2" s="1"/>
  <c r="R1968" i="2"/>
  <c r="M1968" i="2"/>
  <c r="E1968" i="2"/>
  <c r="B1968" i="2"/>
  <c r="R1967" i="2"/>
  <c r="M1967" i="2"/>
  <c r="G1967" i="2"/>
  <c r="E1967" i="2"/>
  <c r="B1967" i="2"/>
  <c r="R1966" i="2"/>
  <c r="M1966" i="2"/>
  <c r="I1966" i="2"/>
  <c r="G1966" i="2"/>
  <c r="E1966" i="2"/>
  <c r="B1966" i="2"/>
  <c r="R1965" i="2"/>
  <c r="M1965" i="2"/>
  <c r="E1965" i="2"/>
  <c r="B1965" i="2"/>
  <c r="R1964" i="2"/>
  <c r="M1964" i="2"/>
  <c r="I1964" i="2"/>
  <c r="G1964" i="2"/>
  <c r="E1964" i="2"/>
  <c r="B1964" i="2"/>
  <c r="R1963" i="2"/>
  <c r="M1963" i="2"/>
  <c r="G1963" i="2"/>
  <c r="E1963" i="2"/>
  <c r="B1963" i="2"/>
  <c r="I1963" i="2" s="1"/>
  <c r="R1962" i="2"/>
  <c r="M1962" i="2"/>
  <c r="G1962" i="2"/>
  <c r="E1962" i="2"/>
  <c r="B1962" i="2"/>
  <c r="R1961" i="2"/>
  <c r="M1961" i="2"/>
  <c r="G1961" i="2"/>
  <c r="E1961" i="2"/>
  <c r="B1961" i="2"/>
  <c r="I1961" i="2" s="1"/>
  <c r="R1960" i="2"/>
  <c r="M1960" i="2"/>
  <c r="E1960" i="2"/>
  <c r="B1960" i="2"/>
  <c r="R1959" i="2"/>
  <c r="M1959" i="2"/>
  <c r="G1959" i="2"/>
  <c r="E1959" i="2"/>
  <c r="B1959" i="2"/>
  <c r="I1959" i="2" s="1"/>
  <c r="R1958" i="2"/>
  <c r="M1958" i="2"/>
  <c r="I1958" i="2"/>
  <c r="G1958" i="2"/>
  <c r="E1958" i="2"/>
  <c r="B1958" i="2"/>
  <c r="R1957" i="2"/>
  <c r="M1957" i="2"/>
  <c r="E1957" i="2"/>
  <c r="B1957" i="2"/>
  <c r="R1956" i="2"/>
  <c r="M1956" i="2"/>
  <c r="I1956" i="2"/>
  <c r="G1956" i="2"/>
  <c r="E1956" i="2"/>
  <c r="B1956" i="2"/>
  <c r="R1955" i="2"/>
  <c r="M1955" i="2"/>
  <c r="E1955" i="2"/>
  <c r="B1955" i="2"/>
  <c r="R1954" i="2"/>
  <c r="M1954" i="2"/>
  <c r="I1954" i="2"/>
  <c r="G1954" i="2"/>
  <c r="E1954" i="2"/>
  <c r="B1954" i="2"/>
  <c r="R1953" i="2"/>
  <c r="M1953" i="2"/>
  <c r="E1953" i="2"/>
  <c r="B1953" i="2"/>
  <c r="R1952" i="2"/>
  <c r="M1952" i="2"/>
  <c r="I1952" i="2"/>
  <c r="G1952" i="2"/>
  <c r="E1952" i="2"/>
  <c r="B1952" i="2"/>
  <c r="R1951" i="2"/>
  <c r="M1951" i="2"/>
  <c r="I1951" i="2"/>
  <c r="G1951" i="2"/>
  <c r="E1951" i="2"/>
  <c r="B1951" i="2"/>
  <c r="R1950" i="2"/>
  <c r="M1950" i="2"/>
  <c r="I1950" i="2"/>
  <c r="G1950" i="2"/>
  <c r="E1950" i="2"/>
  <c r="B1950" i="2"/>
  <c r="R1949" i="2"/>
  <c r="M1949" i="2"/>
  <c r="E1949" i="2"/>
  <c r="B1949" i="2"/>
  <c r="R1948" i="2"/>
  <c r="M1948" i="2"/>
  <c r="I1948" i="2"/>
  <c r="G1948" i="2"/>
  <c r="E1948" i="2"/>
  <c r="B1948" i="2"/>
  <c r="R1947" i="2"/>
  <c r="M1947" i="2"/>
  <c r="E1947" i="2"/>
  <c r="B1947" i="2"/>
  <c r="R1946" i="2"/>
  <c r="M1946" i="2"/>
  <c r="I1946" i="2"/>
  <c r="G1946" i="2"/>
  <c r="E1946" i="2"/>
  <c r="B1946" i="2"/>
  <c r="R1945" i="2"/>
  <c r="M1945" i="2"/>
  <c r="E1945" i="2"/>
  <c r="B1945" i="2"/>
  <c r="R1944" i="2"/>
  <c r="M1944" i="2"/>
  <c r="E1944" i="2"/>
  <c r="B1944" i="2"/>
  <c r="R1943" i="2"/>
  <c r="M1943" i="2"/>
  <c r="E1943" i="2"/>
  <c r="B1943" i="2"/>
  <c r="R1942" i="2"/>
  <c r="M1942" i="2"/>
  <c r="I1942" i="2"/>
  <c r="G1942" i="2"/>
  <c r="E1942" i="2"/>
  <c r="B1942" i="2"/>
  <c r="R1941" i="2"/>
  <c r="M1941" i="2"/>
  <c r="E1941" i="2"/>
  <c r="B1941" i="2"/>
  <c r="R1940" i="2"/>
  <c r="M1940" i="2"/>
  <c r="E1940" i="2"/>
  <c r="B1940" i="2"/>
  <c r="R1939" i="2"/>
  <c r="M1939" i="2"/>
  <c r="E1939" i="2"/>
  <c r="B1939" i="2"/>
  <c r="R1938" i="2"/>
  <c r="M1938" i="2"/>
  <c r="E1938" i="2"/>
  <c r="B1938" i="2"/>
  <c r="R1937" i="2"/>
  <c r="M1937" i="2"/>
  <c r="E1937" i="2"/>
  <c r="B1937" i="2"/>
  <c r="R1936" i="2"/>
  <c r="M1936" i="2"/>
  <c r="E1936" i="2"/>
  <c r="B1936" i="2"/>
  <c r="R1935" i="2"/>
  <c r="M1935" i="2"/>
  <c r="E1935" i="2"/>
  <c r="B1935" i="2"/>
  <c r="R1934" i="2"/>
  <c r="M1934" i="2"/>
  <c r="E1934" i="2"/>
  <c r="B1934" i="2"/>
  <c r="R1933" i="2"/>
  <c r="M1933" i="2"/>
  <c r="E1933" i="2"/>
  <c r="B1933" i="2"/>
  <c r="R1932" i="2"/>
  <c r="M1932" i="2"/>
  <c r="E1932" i="2"/>
  <c r="B1932" i="2"/>
  <c r="I1932" i="2" s="1"/>
  <c r="R1931" i="2"/>
  <c r="M1931" i="2"/>
  <c r="E1931" i="2"/>
  <c r="B1931" i="2"/>
  <c r="R1930" i="2"/>
  <c r="M1930" i="2"/>
  <c r="I1930" i="2"/>
  <c r="G1930" i="2"/>
  <c r="E1930" i="2"/>
  <c r="B1930" i="2"/>
  <c r="R1929" i="2"/>
  <c r="M1929" i="2"/>
  <c r="E1929" i="2"/>
  <c r="B1929" i="2"/>
  <c r="R1928" i="2"/>
  <c r="M1928" i="2"/>
  <c r="I1928" i="2"/>
  <c r="G1928" i="2"/>
  <c r="E1928" i="2"/>
  <c r="B1928" i="2"/>
  <c r="R1927" i="2"/>
  <c r="M1927" i="2"/>
  <c r="E1927" i="2"/>
  <c r="B1927" i="2"/>
  <c r="R1926" i="2"/>
  <c r="M1926" i="2"/>
  <c r="I1926" i="2"/>
  <c r="G1926" i="2"/>
  <c r="E1926" i="2"/>
  <c r="B1926" i="2"/>
  <c r="R1925" i="2"/>
  <c r="M1925" i="2"/>
  <c r="E1925" i="2"/>
  <c r="B1925" i="2"/>
  <c r="R1924" i="2"/>
  <c r="M1924" i="2"/>
  <c r="I1924" i="2"/>
  <c r="G1924" i="2"/>
  <c r="E1924" i="2"/>
  <c r="B1924" i="2"/>
  <c r="R1923" i="2"/>
  <c r="M1923" i="2"/>
  <c r="E1923" i="2"/>
  <c r="B1923" i="2"/>
  <c r="R1922" i="2"/>
  <c r="M1922" i="2"/>
  <c r="E1922" i="2"/>
  <c r="B1922" i="2"/>
  <c r="R1921" i="2"/>
  <c r="M1921" i="2"/>
  <c r="E1921" i="2"/>
  <c r="B1921" i="2"/>
  <c r="R1920" i="2"/>
  <c r="M1920" i="2"/>
  <c r="G1920" i="2"/>
  <c r="E1920" i="2"/>
  <c r="B1920" i="2"/>
  <c r="R1919" i="2"/>
  <c r="M1919" i="2"/>
  <c r="E1919" i="2"/>
  <c r="B1919" i="2"/>
  <c r="R1918" i="2"/>
  <c r="M1918" i="2"/>
  <c r="I1918" i="2"/>
  <c r="G1918" i="2"/>
  <c r="E1918" i="2"/>
  <c r="B1918" i="2"/>
  <c r="R1917" i="2"/>
  <c r="M1917" i="2"/>
  <c r="E1917" i="2"/>
  <c r="B1917" i="2"/>
  <c r="R1916" i="2"/>
  <c r="M1916" i="2"/>
  <c r="E1916" i="2"/>
  <c r="B1916" i="2"/>
  <c r="R1915" i="2"/>
  <c r="M1915" i="2"/>
  <c r="E1915" i="2"/>
  <c r="B1915" i="2"/>
  <c r="R1914" i="2"/>
  <c r="M1914" i="2"/>
  <c r="E1914" i="2"/>
  <c r="B1914" i="2"/>
  <c r="R1913" i="2"/>
  <c r="M1913" i="2"/>
  <c r="E1913" i="2"/>
  <c r="B1913" i="2"/>
  <c r="R1912" i="2"/>
  <c r="M1912" i="2"/>
  <c r="E1912" i="2"/>
  <c r="B1912" i="2"/>
  <c r="R1911" i="2"/>
  <c r="M1911" i="2"/>
  <c r="E1911" i="2"/>
  <c r="B1911" i="2"/>
  <c r="R1910" i="2"/>
  <c r="M1910" i="2"/>
  <c r="E1910" i="2"/>
  <c r="B1910" i="2"/>
  <c r="R1909" i="2"/>
  <c r="M1909" i="2"/>
  <c r="E1909" i="2"/>
  <c r="B1909" i="2"/>
  <c r="R1908" i="2"/>
  <c r="M1908" i="2"/>
  <c r="E1908" i="2"/>
  <c r="B1908" i="2"/>
  <c r="I1908" i="2" s="1"/>
  <c r="R1907" i="2"/>
  <c r="M1907" i="2"/>
  <c r="E1907" i="2"/>
  <c r="B1907" i="2"/>
  <c r="R1906" i="2"/>
  <c r="M1906" i="2"/>
  <c r="I1906" i="2"/>
  <c r="G1906" i="2"/>
  <c r="E1906" i="2"/>
  <c r="B1906" i="2"/>
  <c r="R1905" i="2"/>
  <c r="M1905" i="2"/>
  <c r="E1905" i="2"/>
  <c r="B1905" i="2"/>
  <c r="R1904" i="2"/>
  <c r="M1904" i="2"/>
  <c r="I1904" i="2"/>
  <c r="G1904" i="2"/>
  <c r="E1904" i="2"/>
  <c r="B1904" i="2"/>
  <c r="R1903" i="2"/>
  <c r="M1903" i="2"/>
  <c r="E1903" i="2"/>
  <c r="B1903" i="2"/>
  <c r="R1902" i="2"/>
  <c r="M1902" i="2"/>
  <c r="I1902" i="2"/>
  <c r="G1902" i="2"/>
  <c r="E1902" i="2"/>
  <c r="B1902" i="2"/>
  <c r="R1901" i="2"/>
  <c r="M1901" i="2"/>
  <c r="E1901" i="2"/>
  <c r="B1901" i="2"/>
  <c r="R1900" i="2"/>
  <c r="M1900" i="2"/>
  <c r="I1900" i="2"/>
  <c r="E1900" i="2"/>
  <c r="B1900" i="2"/>
  <c r="G1900" i="2" s="1"/>
  <c r="R1899" i="2"/>
  <c r="M1899" i="2"/>
  <c r="E1899" i="2"/>
  <c r="B1899" i="2"/>
  <c r="R1898" i="2"/>
  <c r="M1898" i="2"/>
  <c r="E1898" i="2"/>
  <c r="B1898" i="2"/>
  <c r="R1897" i="2"/>
  <c r="M1897" i="2"/>
  <c r="E1897" i="2"/>
  <c r="B1897" i="2"/>
  <c r="R1896" i="2"/>
  <c r="M1896" i="2"/>
  <c r="E1896" i="2"/>
  <c r="B1896" i="2"/>
  <c r="R1895" i="2"/>
  <c r="M1895" i="2"/>
  <c r="E1895" i="2"/>
  <c r="B1895" i="2"/>
  <c r="R1894" i="2"/>
  <c r="M1894" i="2"/>
  <c r="G1894" i="2"/>
  <c r="E1894" i="2"/>
  <c r="B1894" i="2"/>
  <c r="R1893" i="2"/>
  <c r="M1893" i="2"/>
  <c r="E1893" i="2"/>
  <c r="B1893" i="2"/>
  <c r="R1892" i="2"/>
  <c r="M1892" i="2"/>
  <c r="I1892" i="2"/>
  <c r="G1892" i="2"/>
  <c r="E1892" i="2"/>
  <c r="B1892" i="2"/>
  <c r="R1891" i="2"/>
  <c r="M1891" i="2"/>
  <c r="G1891" i="2"/>
  <c r="E1891" i="2"/>
  <c r="B1891" i="2"/>
  <c r="R1890" i="2"/>
  <c r="M1890" i="2"/>
  <c r="I1890" i="2"/>
  <c r="E1890" i="2"/>
  <c r="B1890" i="2"/>
  <c r="G1890" i="2" s="1"/>
  <c r="R1889" i="2"/>
  <c r="M1889" i="2"/>
  <c r="E1889" i="2"/>
  <c r="B1889" i="2"/>
  <c r="R1888" i="2"/>
  <c r="M1888" i="2"/>
  <c r="I1888" i="2"/>
  <c r="E1888" i="2"/>
  <c r="B1888" i="2"/>
  <c r="R1887" i="2"/>
  <c r="M1887" i="2"/>
  <c r="G1887" i="2"/>
  <c r="E1887" i="2"/>
  <c r="B1887" i="2"/>
  <c r="R1886" i="2"/>
  <c r="M1886" i="2"/>
  <c r="E1886" i="2"/>
  <c r="B1886" i="2"/>
  <c r="R1885" i="2"/>
  <c r="M1885" i="2"/>
  <c r="E1885" i="2"/>
  <c r="B1885" i="2"/>
  <c r="I1885" i="2" s="1"/>
  <c r="R1884" i="2"/>
  <c r="M1884" i="2"/>
  <c r="I1884" i="2"/>
  <c r="G1884" i="2"/>
  <c r="E1884" i="2"/>
  <c r="B1884" i="2"/>
  <c r="R1883" i="2"/>
  <c r="M1883" i="2"/>
  <c r="E1883" i="2"/>
  <c r="B1883" i="2"/>
  <c r="R1882" i="2"/>
  <c r="M1882" i="2"/>
  <c r="I1882" i="2"/>
  <c r="G1882" i="2"/>
  <c r="E1882" i="2"/>
  <c r="B1882" i="2"/>
  <c r="R1881" i="2"/>
  <c r="M1881" i="2"/>
  <c r="E1881" i="2"/>
  <c r="B1881" i="2"/>
  <c r="I1881" i="2" s="1"/>
  <c r="R1880" i="2"/>
  <c r="M1880" i="2"/>
  <c r="I1880" i="2"/>
  <c r="G1880" i="2"/>
  <c r="E1880" i="2"/>
  <c r="B1880" i="2"/>
  <c r="R1879" i="2"/>
  <c r="M1879" i="2"/>
  <c r="G1879" i="2"/>
  <c r="E1879" i="2"/>
  <c r="B1879" i="2"/>
  <c r="I1879" i="2" s="1"/>
  <c r="R1878" i="2"/>
  <c r="M1878" i="2"/>
  <c r="E1878" i="2"/>
  <c r="B1878" i="2"/>
  <c r="R1877" i="2"/>
  <c r="M1877" i="2"/>
  <c r="E1877" i="2"/>
  <c r="B1877" i="2"/>
  <c r="I1877" i="2" s="1"/>
  <c r="R1876" i="2"/>
  <c r="M1876" i="2"/>
  <c r="I1876" i="2"/>
  <c r="G1876" i="2"/>
  <c r="E1876" i="2"/>
  <c r="B1876" i="2"/>
  <c r="R1875" i="2"/>
  <c r="M1875" i="2"/>
  <c r="E1875" i="2"/>
  <c r="B1875" i="2"/>
  <c r="R1874" i="2"/>
  <c r="M1874" i="2"/>
  <c r="I1874" i="2"/>
  <c r="G1874" i="2"/>
  <c r="E1874" i="2"/>
  <c r="B1874" i="2"/>
  <c r="R1873" i="2"/>
  <c r="M1873" i="2"/>
  <c r="E1873" i="2"/>
  <c r="B1873" i="2"/>
  <c r="I1873" i="2" s="1"/>
  <c r="R1872" i="2"/>
  <c r="M1872" i="2"/>
  <c r="E1872" i="2"/>
  <c r="B1872" i="2"/>
  <c r="R1871" i="2"/>
  <c r="M1871" i="2"/>
  <c r="I1871" i="2"/>
  <c r="E1871" i="2"/>
  <c r="B1871" i="2"/>
  <c r="G1871" i="2" s="1"/>
  <c r="R1870" i="2"/>
  <c r="M1870" i="2"/>
  <c r="E1870" i="2"/>
  <c r="B1870" i="2"/>
  <c r="R1869" i="2"/>
  <c r="M1869" i="2"/>
  <c r="I1869" i="2"/>
  <c r="E1869" i="2"/>
  <c r="B1869" i="2"/>
  <c r="G1869" i="2" s="1"/>
  <c r="R1868" i="2"/>
  <c r="M1868" i="2"/>
  <c r="I1868" i="2"/>
  <c r="G1868" i="2"/>
  <c r="E1868" i="2"/>
  <c r="B1868" i="2"/>
  <c r="R1867" i="2"/>
  <c r="M1867" i="2"/>
  <c r="I1867" i="2"/>
  <c r="E1867" i="2"/>
  <c r="B1867" i="2"/>
  <c r="G1867" i="2" s="1"/>
  <c r="R1866" i="2"/>
  <c r="M1866" i="2"/>
  <c r="I1866" i="2"/>
  <c r="E1866" i="2"/>
  <c r="B1866" i="2"/>
  <c r="R1865" i="2"/>
  <c r="M1865" i="2"/>
  <c r="I1865" i="2"/>
  <c r="E1865" i="2"/>
  <c r="B1865" i="2"/>
  <c r="G1865" i="2" s="1"/>
  <c r="R1864" i="2"/>
  <c r="M1864" i="2"/>
  <c r="E1864" i="2"/>
  <c r="B1864" i="2"/>
  <c r="R1863" i="2"/>
  <c r="M1863" i="2"/>
  <c r="I1863" i="2"/>
  <c r="E1863" i="2"/>
  <c r="B1863" i="2"/>
  <c r="G1863" i="2" s="1"/>
  <c r="R1862" i="2"/>
  <c r="M1862" i="2"/>
  <c r="I1862" i="2"/>
  <c r="E1862" i="2"/>
  <c r="B1862" i="2"/>
  <c r="G1862" i="2" s="1"/>
  <c r="R1861" i="2"/>
  <c r="M1861" i="2"/>
  <c r="I1861" i="2"/>
  <c r="E1861" i="2"/>
  <c r="B1861" i="2"/>
  <c r="G1861" i="2" s="1"/>
  <c r="R1860" i="2"/>
  <c r="M1860" i="2"/>
  <c r="I1860" i="2"/>
  <c r="G1860" i="2"/>
  <c r="E1860" i="2"/>
  <c r="B1860" i="2"/>
  <c r="R1859" i="2"/>
  <c r="M1859" i="2"/>
  <c r="I1859" i="2"/>
  <c r="E1859" i="2"/>
  <c r="B1859" i="2"/>
  <c r="G1859" i="2" s="1"/>
  <c r="R1858" i="2"/>
  <c r="M1858" i="2"/>
  <c r="E1858" i="2"/>
  <c r="B1858" i="2"/>
  <c r="R1857" i="2"/>
  <c r="M1857" i="2"/>
  <c r="I1857" i="2"/>
  <c r="E1857" i="2"/>
  <c r="B1857" i="2"/>
  <c r="G1857" i="2" s="1"/>
  <c r="R1856" i="2"/>
  <c r="M1856" i="2"/>
  <c r="I1856" i="2"/>
  <c r="G1856" i="2"/>
  <c r="E1856" i="2"/>
  <c r="B1856" i="2"/>
  <c r="R1855" i="2"/>
  <c r="M1855" i="2"/>
  <c r="I1855" i="2"/>
  <c r="E1855" i="2"/>
  <c r="B1855" i="2"/>
  <c r="G1855" i="2" s="1"/>
  <c r="R1854" i="2"/>
  <c r="M1854" i="2"/>
  <c r="I1854" i="2"/>
  <c r="G1854" i="2"/>
  <c r="E1854" i="2"/>
  <c r="B1854" i="2"/>
  <c r="R1853" i="2"/>
  <c r="M1853" i="2"/>
  <c r="I1853" i="2"/>
  <c r="E1853" i="2"/>
  <c r="B1853" i="2"/>
  <c r="G1853" i="2" s="1"/>
  <c r="R1852" i="2"/>
  <c r="M1852" i="2"/>
  <c r="E1852" i="2"/>
  <c r="B1852" i="2"/>
  <c r="R1851" i="2"/>
  <c r="M1851" i="2"/>
  <c r="I1851" i="2"/>
  <c r="E1851" i="2"/>
  <c r="B1851" i="2"/>
  <c r="G1851" i="2" s="1"/>
  <c r="R1850" i="2"/>
  <c r="M1850" i="2"/>
  <c r="E1850" i="2"/>
  <c r="B1850" i="2"/>
  <c r="R1849" i="2"/>
  <c r="M1849" i="2"/>
  <c r="I1849" i="2"/>
  <c r="E1849" i="2"/>
  <c r="B1849" i="2"/>
  <c r="G1849" i="2" s="1"/>
  <c r="R1848" i="2"/>
  <c r="M1848" i="2"/>
  <c r="E1848" i="2"/>
  <c r="B1848" i="2"/>
  <c r="R1847" i="2"/>
  <c r="M1847" i="2"/>
  <c r="I1847" i="2"/>
  <c r="E1847" i="2"/>
  <c r="B1847" i="2"/>
  <c r="G1847" i="2" s="1"/>
  <c r="R1846" i="2"/>
  <c r="M1846" i="2"/>
  <c r="E1846" i="2"/>
  <c r="B1846" i="2"/>
  <c r="R1845" i="2"/>
  <c r="M1845" i="2"/>
  <c r="E1845" i="2"/>
  <c r="B1845" i="2"/>
  <c r="I1845" i="2" s="1"/>
  <c r="R1844" i="2"/>
  <c r="M1844" i="2"/>
  <c r="G1844" i="2"/>
  <c r="E1844" i="2"/>
  <c r="B1844" i="2"/>
  <c r="R1843" i="2"/>
  <c r="M1843" i="2"/>
  <c r="E1843" i="2"/>
  <c r="B1843" i="2"/>
  <c r="R1842" i="2"/>
  <c r="M1842" i="2"/>
  <c r="G1842" i="2"/>
  <c r="E1842" i="2"/>
  <c r="B1842" i="2"/>
  <c r="R1841" i="2"/>
  <c r="M1841" i="2"/>
  <c r="E1841" i="2"/>
  <c r="B1841" i="2"/>
  <c r="R1840" i="2"/>
  <c r="M1840" i="2"/>
  <c r="E1840" i="2"/>
  <c r="B1840" i="2"/>
  <c r="R1839" i="2"/>
  <c r="M1839" i="2"/>
  <c r="E1839" i="2"/>
  <c r="B1839" i="2"/>
  <c r="R1838" i="2"/>
  <c r="M1838" i="2"/>
  <c r="E1838" i="2"/>
  <c r="B1838" i="2"/>
  <c r="I1838" i="2" s="1"/>
  <c r="R1837" i="2"/>
  <c r="M1837" i="2"/>
  <c r="E1837" i="2"/>
  <c r="B1837" i="2"/>
  <c r="R1836" i="2"/>
  <c r="M1836" i="2"/>
  <c r="E1836" i="2"/>
  <c r="B1836" i="2"/>
  <c r="R1835" i="2"/>
  <c r="M1835" i="2"/>
  <c r="E1835" i="2"/>
  <c r="B1835" i="2"/>
  <c r="R1834" i="2"/>
  <c r="M1834" i="2"/>
  <c r="I1834" i="2"/>
  <c r="G1834" i="2"/>
  <c r="E1834" i="2"/>
  <c r="B1834" i="2"/>
  <c r="R1833" i="2"/>
  <c r="M1833" i="2"/>
  <c r="E1833" i="2"/>
  <c r="B1833" i="2"/>
  <c r="R1832" i="2"/>
  <c r="M1832" i="2"/>
  <c r="E1832" i="2"/>
  <c r="B1832" i="2"/>
  <c r="I1832" i="2" s="1"/>
  <c r="R1831" i="2"/>
  <c r="M1831" i="2"/>
  <c r="E1831" i="2"/>
  <c r="B1831" i="2"/>
  <c r="R1830" i="2"/>
  <c r="M1830" i="2"/>
  <c r="I1830" i="2"/>
  <c r="G1830" i="2"/>
  <c r="E1830" i="2"/>
  <c r="B1830" i="2"/>
  <c r="R1829" i="2"/>
  <c r="M1829" i="2"/>
  <c r="E1829" i="2"/>
  <c r="B1829" i="2"/>
  <c r="R1828" i="2"/>
  <c r="M1828" i="2"/>
  <c r="I1828" i="2"/>
  <c r="G1828" i="2"/>
  <c r="E1828" i="2"/>
  <c r="B1828" i="2"/>
  <c r="R1827" i="2"/>
  <c r="M1827" i="2"/>
  <c r="E1827" i="2"/>
  <c r="B1827" i="2"/>
  <c r="R1826" i="2"/>
  <c r="M1826" i="2"/>
  <c r="E1826" i="2"/>
  <c r="B1826" i="2"/>
  <c r="R1825" i="2"/>
  <c r="M1825" i="2"/>
  <c r="E1825" i="2"/>
  <c r="B1825" i="2"/>
  <c r="R1824" i="2"/>
  <c r="M1824" i="2"/>
  <c r="E1824" i="2"/>
  <c r="B1824" i="2"/>
  <c r="R1823" i="2"/>
  <c r="M1823" i="2"/>
  <c r="E1823" i="2"/>
  <c r="B1823" i="2"/>
  <c r="R1822" i="2"/>
  <c r="M1822" i="2"/>
  <c r="E1822" i="2"/>
  <c r="B1822" i="2"/>
  <c r="R1821" i="2"/>
  <c r="M1821" i="2"/>
  <c r="E1821" i="2"/>
  <c r="B1821" i="2"/>
  <c r="R1820" i="2"/>
  <c r="M1820" i="2"/>
  <c r="I1820" i="2"/>
  <c r="G1820" i="2"/>
  <c r="E1820" i="2"/>
  <c r="B1820" i="2"/>
  <c r="R1819" i="2"/>
  <c r="M1819" i="2"/>
  <c r="E1819" i="2"/>
  <c r="B1819" i="2"/>
  <c r="R1818" i="2"/>
  <c r="M1818" i="2"/>
  <c r="I1818" i="2"/>
  <c r="E1818" i="2"/>
  <c r="B1818" i="2"/>
  <c r="R1817" i="2"/>
  <c r="M1817" i="2"/>
  <c r="E1817" i="2"/>
  <c r="B1817" i="2"/>
  <c r="R1816" i="2"/>
  <c r="M1816" i="2"/>
  <c r="I1816" i="2"/>
  <c r="G1816" i="2"/>
  <c r="E1816" i="2"/>
  <c r="B1816" i="2"/>
  <c r="R1815" i="2"/>
  <c r="M1815" i="2"/>
  <c r="E1815" i="2"/>
  <c r="B1815" i="2"/>
  <c r="R1814" i="2"/>
  <c r="M1814" i="2"/>
  <c r="I1814" i="2"/>
  <c r="G1814" i="2"/>
  <c r="E1814" i="2"/>
  <c r="B1814" i="2"/>
  <c r="R1813" i="2"/>
  <c r="M1813" i="2"/>
  <c r="G1813" i="2"/>
  <c r="E1813" i="2"/>
  <c r="B1813" i="2"/>
  <c r="I1813" i="2" s="1"/>
  <c r="R1812" i="2"/>
  <c r="M1812" i="2"/>
  <c r="I1812" i="2"/>
  <c r="E1812" i="2"/>
  <c r="B1812" i="2"/>
  <c r="R1811" i="2"/>
  <c r="M1811" i="2"/>
  <c r="G1811" i="2"/>
  <c r="E1811" i="2"/>
  <c r="B1811" i="2"/>
  <c r="I1811" i="2" s="1"/>
  <c r="R1810" i="2"/>
  <c r="M1810" i="2"/>
  <c r="I1810" i="2"/>
  <c r="G1810" i="2"/>
  <c r="E1810" i="2"/>
  <c r="B1810" i="2"/>
  <c r="R1809" i="2"/>
  <c r="M1809" i="2"/>
  <c r="G1809" i="2"/>
  <c r="E1809" i="2"/>
  <c r="B1809" i="2"/>
  <c r="I1809" i="2" s="1"/>
  <c r="R1808" i="2"/>
  <c r="M1808" i="2"/>
  <c r="I1808" i="2"/>
  <c r="E1808" i="2"/>
  <c r="B1808" i="2"/>
  <c r="R1807" i="2"/>
  <c r="M1807" i="2"/>
  <c r="G1807" i="2"/>
  <c r="E1807" i="2"/>
  <c r="B1807" i="2"/>
  <c r="I1807" i="2" s="1"/>
  <c r="R1806" i="2"/>
  <c r="M1806" i="2"/>
  <c r="I1806" i="2"/>
  <c r="G1806" i="2"/>
  <c r="E1806" i="2"/>
  <c r="B1806" i="2"/>
  <c r="R1805" i="2"/>
  <c r="M1805" i="2"/>
  <c r="E1805" i="2"/>
  <c r="B1805" i="2"/>
  <c r="R1804" i="2"/>
  <c r="M1804" i="2"/>
  <c r="I1804" i="2"/>
  <c r="G1804" i="2"/>
  <c r="E1804" i="2"/>
  <c r="B1804" i="2"/>
  <c r="R1803" i="2"/>
  <c r="M1803" i="2"/>
  <c r="E1803" i="2"/>
  <c r="B1803" i="2"/>
  <c r="R1802" i="2"/>
  <c r="M1802" i="2"/>
  <c r="I1802" i="2"/>
  <c r="G1802" i="2"/>
  <c r="E1802" i="2"/>
  <c r="B1802" i="2"/>
  <c r="R1801" i="2"/>
  <c r="M1801" i="2"/>
  <c r="E1801" i="2"/>
  <c r="B1801" i="2"/>
  <c r="R1800" i="2"/>
  <c r="M1800" i="2"/>
  <c r="I1800" i="2"/>
  <c r="G1800" i="2"/>
  <c r="E1800" i="2"/>
  <c r="B1800" i="2"/>
  <c r="R1799" i="2"/>
  <c r="M1799" i="2"/>
  <c r="E1799" i="2"/>
  <c r="B1799" i="2"/>
  <c r="R1798" i="2"/>
  <c r="M1798" i="2"/>
  <c r="I1798" i="2"/>
  <c r="G1798" i="2"/>
  <c r="E1798" i="2"/>
  <c r="B1798" i="2"/>
  <c r="R1797" i="2"/>
  <c r="M1797" i="2"/>
  <c r="E1797" i="2"/>
  <c r="B1797" i="2"/>
  <c r="R1796" i="2"/>
  <c r="M1796" i="2"/>
  <c r="I1796" i="2"/>
  <c r="G1796" i="2"/>
  <c r="E1796" i="2"/>
  <c r="B1796" i="2"/>
  <c r="R1795" i="2"/>
  <c r="M1795" i="2"/>
  <c r="E1795" i="2"/>
  <c r="B1795" i="2"/>
  <c r="R1794" i="2"/>
  <c r="M1794" i="2"/>
  <c r="I1794" i="2"/>
  <c r="G1794" i="2"/>
  <c r="E1794" i="2"/>
  <c r="B1794" i="2"/>
  <c r="R1793" i="2"/>
  <c r="M1793" i="2"/>
  <c r="E1793" i="2"/>
  <c r="B1793" i="2"/>
  <c r="R1792" i="2"/>
  <c r="M1792" i="2"/>
  <c r="I1792" i="2"/>
  <c r="G1792" i="2"/>
  <c r="E1792" i="2"/>
  <c r="B1792" i="2"/>
  <c r="R1791" i="2"/>
  <c r="M1791" i="2"/>
  <c r="E1791" i="2"/>
  <c r="B1791" i="2"/>
  <c r="R1790" i="2"/>
  <c r="M1790" i="2"/>
  <c r="I1790" i="2"/>
  <c r="G1790" i="2"/>
  <c r="E1790" i="2"/>
  <c r="B1790" i="2"/>
  <c r="R1789" i="2"/>
  <c r="M1789" i="2"/>
  <c r="E1789" i="2"/>
  <c r="B1789" i="2"/>
  <c r="R1788" i="2"/>
  <c r="M1788" i="2"/>
  <c r="I1788" i="2"/>
  <c r="G1788" i="2"/>
  <c r="E1788" i="2"/>
  <c r="B1788" i="2"/>
  <c r="R1787" i="2"/>
  <c r="M1787" i="2"/>
  <c r="E1787" i="2"/>
  <c r="B1787" i="2"/>
  <c r="R1786" i="2"/>
  <c r="M1786" i="2"/>
  <c r="I1786" i="2"/>
  <c r="G1786" i="2"/>
  <c r="E1786" i="2"/>
  <c r="B1786" i="2"/>
  <c r="R1785" i="2"/>
  <c r="M1785" i="2"/>
  <c r="E1785" i="2"/>
  <c r="B1785" i="2"/>
  <c r="R1784" i="2"/>
  <c r="M1784" i="2"/>
  <c r="I1784" i="2"/>
  <c r="G1784" i="2"/>
  <c r="E1784" i="2"/>
  <c r="B1784" i="2"/>
  <c r="R1783" i="2"/>
  <c r="M1783" i="2"/>
  <c r="E1783" i="2"/>
  <c r="B1783" i="2"/>
  <c r="R1782" i="2"/>
  <c r="M1782" i="2"/>
  <c r="I1782" i="2"/>
  <c r="G1782" i="2"/>
  <c r="E1782" i="2"/>
  <c r="B1782" i="2"/>
  <c r="R1781" i="2"/>
  <c r="M1781" i="2"/>
  <c r="E1781" i="2"/>
  <c r="B1781" i="2"/>
  <c r="R1780" i="2"/>
  <c r="M1780" i="2"/>
  <c r="I1780" i="2"/>
  <c r="G1780" i="2"/>
  <c r="E1780" i="2"/>
  <c r="B1780" i="2"/>
  <c r="R1779" i="2"/>
  <c r="M1779" i="2"/>
  <c r="E1779" i="2"/>
  <c r="B1779" i="2"/>
  <c r="R1778" i="2"/>
  <c r="M1778" i="2"/>
  <c r="I1778" i="2"/>
  <c r="G1778" i="2"/>
  <c r="E1778" i="2"/>
  <c r="B1778" i="2"/>
  <c r="R1777" i="2"/>
  <c r="M1777" i="2"/>
  <c r="E1777" i="2"/>
  <c r="B1777" i="2"/>
  <c r="R1776" i="2"/>
  <c r="M1776" i="2"/>
  <c r="I1776" i="2"/>
  <c r="G1776" i="2"/>
  <c r="E1776" i="2"/>
  <c r="B1776" i="2"/>
  <c r="R1775" i="2"/>
  <c r="M1775" i="2"/>
  <c r="E1775" i="2"/>
  <c r="B1775" i="2"/>
  <c r="R1774" i="2"/>
  <c r="M1774" i="2"/>
  <c r="I1774" i="2"/>
  <c r="G1774" i="2"/>
  <c r="E1774" i="2"/>
  <c r="B1774" i="2"/>
  <c r="R1773" i="2"/>
  <c r="M1773" i="2"/>
  <c r="E1773" i="2"/>
  <c r="B1773" i="2"/>
  <c r="R1772" i="2"/>
  <c r="M1772" i="2"/>
  <c r="I1772" i="2"/>
  <c r="G1772" i="2"/>
  <c r="E1772" i="2"/>
  <c r="B1772" i="2"/>
  <c r="R1771" i="2"/>
  <c r="M1771" i="2"/>
  <c r="E1771" i="2"/>
  <c r="B1771" i="2"/>
  <c r="R1770" i="2"/>
  <c r="M1770" i="2"/>
  <c r="I1770" i="2"/>
  <c r="G1770" i="2"/>
  <c r="E1770" i="2"/>
  <c r="B1770" i="2"/>
  <c r="R1769" i="2"/>
  <c r="M1769" i="2"/>
  <c r="E1769" i="2"/>
  <c r="B1769" i="2"/>
  <c r="R1768" i="2"/>
  <c r="M1768" i="2"/>
  <c r="I1768" i="2"/>
  <c r="G1768" i="2"/>
  <c r="E1768" i="2"/>
  <c r="B1768" i="2"/>
  <c r="R1767" i="2"/>
  <c r="M1767" i="2"/>
  <c r="E1767" i="2"/>
  <c r="B1767" i="2"/>
  <c r="R1766" i="2"/>
  <c r="M1766" i="2"/>
  <c r="E1766" i="2"/>
  <c r="B1766" i="2"/>
  <c r="R1765" i="2"/>
  <c r="M1765" i="2"/>
  <c r="E1765" i="2"/>
  <c r="B1765" i="2"/>
  <c r="R1764" i="2"/>
  <c r="M1764" i="2"/>
  <c r="I1764" i="2"/>
  <c r="G1764" i="2"/>
  <c r="E1764" i="2"/>
  <c r="B1764" i="2"/>
  <c r="R1763" i="2"/>
  <c r="M1763" i="2"/>
  <c r="E1763" i="2"/>
  <c r="B1763" i="2"/>
  <c r="R1762" i="2"/>
  <c r="M1762" i="2"/>
  <c r="E1762" i="2"/>
  <c r="B1762" i="2"/>
  <c r="R1761" i="2"/>
  <c r="M1761" i="2"/>
  <c r="I1761" i="2"/>
  <c r="E1761" i="2"/>
  <c r="B1761" i="2"/>
  <c r="G1761" i="2" s="1"/>
  <c r="R1760" i="2"/>
  <c r="M1760" i="2"/>
  <c r="E1760" i="2"/>
  <c r="B1760" i="2"/>
  <c r="R1759" i="2"/>
  <c r="M1759" i="2"/>
  <c r="E1759" i="2"/>
  <c r="B1759" i="2"/>
  <c r="R1758" i="2"/>
  <c r="M1758" i="2"/>
  <c r="E1758" i="2"/>
  <c r="B1758" i="2"/>
  <c r="R1757" i="2"/>
  <c r="M1757" i="2"/>
  <c r="I1757" i="2"/>
  <c r="G1757" i="2"/>
  <c r="E1757" i="2"/>
  <c r="B1757" i="2"/>
  <c r="R1756" i="2"/>
  <c r="M1756" i="2"/>
  <c r="E1756" i="2"/>
  <c r="B1756" i="2"/>
  <c r="R1755" i="2"/>
  <c r="M1755" i="2"/>
  <c r="I1755" i="2"/>
  <c r="G1755" i="2"/>
  <c r="E1755" i="2"/>
  <c r="B1755" i="2"/>
  <c r="R1754" i="2"/>
  <c r="M1754" i="2"/>
  <c r="E1754" i="2"/>
  <c r="B1754" i="2"/>
  <c r="R1753" i="2"/>
  <c r="M1753" i="2"/>
  <c r="I1753" i="2"/>
  <c r="E1753" i="2"/>
  <c r="B1753" i="2"/>
  <c r="R1752" i="2"/>
  <c r="M1752" i="2"/>
  <c r="E1752" i="2"/>
  <c r="B1752" i="2"/>
  <c r="R1751" i="2"/>
  <c r="M1751" i="2"/>
  <c r="I1751" i="2"/>
  <c r="E1751" i="2"/>
  <c r="B1751" i="2"/>
  <c r="G1751" i="2" s="1"/>
  <c r="R1750" i="2"/>
  <c r="M1750" i="2"/>
  <c r="E1750" i="2"/>
  <c r="B1750" i="2"/>
  <c r="R1749" i="2"/>
  <c r="M1749" i="2"/>
  <c r="I1749" i="2"/>
  <c r="E1749" i="2"/>
  <c r="B1749" i="2"/>
  <c r="G1749" i="2" s="1"/>
  <c r="R1748" i="2"/>
  <c r="M1748" i="2"/>
  <c r="E1748" i="2"/>
  <c r="B1748" i="2"/>
  <c r="R1747" i="2"/>
  <c r="M1747" i="2"/>
  <c r="I1747" i="2"/>
  <c r="E1747" i="2"/>
  <c r="B1747" i="2"/>
  <c r="G1747" i="2" s="1"/>
  <c r="R1746" i="2"/>
  <c r="M1746" i="2"/>
  <c r="E1746" i="2"/>
  <c r="B1746" i="2"/>
  <c r="R1745" i="2"/>
  <c r="M1745" i="2"/>
  <c r="I1745" i="2"/>
  <c r="E1745" i="2"/>
  <c r="B1745" i="2"/>
  <c r="G1745" i="2" s="1"/>
  <c r="R1744" i="2"/>
  <c r="M1744" i="2"/>
  <c r="E1744" i="2"/>
  <c r="B1744" i="2"/>
  <c r="R1743" i="2"/>
  <c r="M1743" i="2"/>
  <c r="I1743" i="2"/>
  <c r="E1743" i="2"/>
  <c r="B1743" i="2"/>
  <c r="G1743" i="2" s="1"/>
  <c r="R1742" i="2"/>
  <c r="M1742" i="2"/>
  <c r="E1742" i="2"/>
  <c r="B1742" i="2"/>
  <c r="R1741" i="2"/>
  <c r="M1741" i="2"/>
  <c r="E1741" i="2"/>
  <c r="B1741" i="2"/>
  <c r="R1740" i="2"/>
  <c r="M1740" i="2"/>
  <c r="E1740" i="2"/>
  <c r="B1740" i="2"/>
  <c r="R1739" i="2"/>
  <c r="M1739" i="2"/>
  <c r="I1739" i="2"/>
  <c r="E1739" i="2"/>
  <c r="B1739" i="2"/>
  <c r="G1739" i="2" s="1"/>
  <c r="R1738" i="2"/>
  <c r="M1738" i="2"/>
  <c r="E1738" i="2"/>
  <c r="B1738" i="2"/>
  <c r="R1737" i="2"/>
  <c r="M1737" i="2"/>
  <c r="E1737" i="2"/>
  <c r="B1737" i="2"/>
  <c r="R1736" i="2"/>
  <c r="M1736" i="2"/>
  <c r="E1736" i="2"/>
  <c r="B1736" i="2"/>
  <c r="R1735" i="2"/>
  <c r="M1735" i="2"/>
  <c r="E1735" i="2"/>
  <c r="B1735" i="2"/>
  <c r="R1734" i="2"/>
  <c r="M1734" i="2"/>
  <c r="E1734" i="2"/>
  <c r="B1734" i="2"/>
  <c r="R1733" i="2"/>
  <c r="M1733" i="2"/>
  <c r="G1733" i="2"/>
  <c r="E1733" i="2"/>
  <c r="B1733" i="2"/>
  <c r="I1733" i="2" s="1"/>
  <c r="R1732" i="2"/>
  <c r="M1732" i="2"/>
  <c r="E1732" i="2"/>
  <c r="B1732" i="2"/>
  <c r="I1732" i="2" s="1"/>
  <c r="R1731" i="2"/>
  <c r="M1731" i="2"/>
  <c r="E1731" i="2"/>
  <c r="B1731" i="2"/>
  <c r="R1730" i="2"/>
  <c r="M1730" i="2"/>
  <c r="E1730" i="2"/>
  <c r="B1730" i="2"/>
  <c r="I1730" i="2" s="1"/>
  <c r="R1729" i="2"/>
  <c r="M1729" i="2"/>
  <c r="I1729" i="2"/>
  <c r="E1729" i="2"/>
  <c r="B1729" i="2"/>
  <c r="R1728" i="2"/>
  <c r="M1728" i="2"/>
  <c r="I1728" i="2"/>
  <c r="G1728" i="2"/>
  <c r="E1728" i="2"/>
  <c r="B1728" i="2"/>
  <c r="R1727" i="2"/>
  <c r="M1727" i="2"/>
  <c r="I1727" i="2"/>
  <c r="E1727" i="2"/>
  <c r="B1727" i="2"/>
  <c r="R1726" i="2"/>
  <c r="M1726" i="2"/>
  <c r="I1726" i="2"/>
  <c r="G1726" i="2"/>
  <c r="E1726" i="2"/>
  <c r="B1726" i="2"/>
  <c r="R1725" i="2"/>
  <c r="M1725" i="2"/>
  <c r="E1725" i="2"/>
  <c r="B1725" i="2"/>
  <c r="R1724" i="2"/>
  <c r="M1724" i="2"/>
  <c r="I1724" i="2"/>
  <c r="G1724" i="2"/>
  <c r="E1724" i="2"/>
  <c r="B1724" i="2"/>
  <c r="R1723" i="2"/>
  <c r="M1723" i="2"/>
  <c r="E1723" i="2"/>
  <c r="B1723" i="2"/>
  <c r="R1722" i="2"/>
  <c r="M1722" i="2"/>
  <c r="I1722" i="2"/>
  <c r="G1722" i="2"/>
  <c r="E1722" i="2"/>
  <c r="B1722" i="2"/>
  <c r="R1721" i="2"/>
  <c r="M1721" i="2"/>
  <c r="I1721" i="2"/>
  <c r="E1721" i="2"/>
  <c r="B1721" i="2"/>
  <c r="R1720" i="2"/>
  <c r="M1720" i="2"/>
  <c r="I1720" i="2"/>
  <c r="G1720" i="2"/>
  <c r="E1720" i="2"/>
  <c r="B1720" i="2"/>
  <c r="R1719" i="2"/>
  <c r="M1719" i="2"/>
  <c r="I1719" i="2"/>
  <c r="E1719" i="2"/>
  <c r="B1719" i="2"/>
  <c r="R1718" i="2"/>
  <c r="M1718" i="2"/>
  <c r="I1718" i="2"/>
  <c r="G1718" i="2"/>
  <c r="E1718" i="2"/>
  <c r="B1718" i="2"/>
  <c r="R1717" i="2"/>
  <c r="M1717" i="2"/>
  <c r="E1717" i="2"/>
  <c r="B1717" i="2"/>
  <c r="R1716" i="2"/>
  <c r="M1716" i="2"/>
  <c r="I1716" i="2"/>
  <c r="G1716" i="2"/>
  <c r="E1716" i="2"/>
  <c r="B1716" i="2"/>
  <c r="R1715" i="2"/>
  <c r="M1715" i="2"/>
  <c r="E1715" i="2"/>
  <c r="B1715" i="2"/>
  <c r="R1714" i="2"/>
  <c r="M1714" i="2"/>
  <c r="I1714" i="2"/>
  <c r="G1714" i="2"/>
  <c r="E1714" i="2"/>
  <c r="B1714" i="2"/>
  <c r="R1713" i="2"/>
  <c r="M1713" i="2"/>
  <c r="I1713" i="2"/>
  <c r="E1713" i="2"/>
  <c r="B1713" i="2"/>
  <c r="R1712" i="2"/>
  <c r="M1712" i="2"/>
  <c r="I1712" i="2"/>
  <c r="G1712" i="2"/>
  <c r="E1712" i="2"/>
  <c r="B1712" i="2"/>
  <c r="R1711" i="2"/>
  <c r="M1711" i="2"/>
  <c r="I1711" i="2"/>
  <c r="E1711" i="2"/>
  <c r="B1711" i="2"/>
  <c r="R1710" i="2"/>
  <c r="M1710" i="2"/>
  <c r="I1710" i="2"/>
  <c r="G1710" i="2"/>
  <c r="E1710" i="2"/>
  <c r="B1710" i="2"/>
  <c r="R1709" i="2"/>
  <c r="M1709" i="2"/>
  <c r="E1709" i="2"/>
  <c r="B1709" i="2"/>
  <c r="R1708" i="2"/>
  <c r="M1708" i="2"/>
  <c r="I1708" i="2"/>
  <c r="G1708" i="2"/>
  <c r="E1708" i="2"/>
  <c r="B1708" i="2"/>
  <c r="R1707" i="2"/>
  <c r="M1707" i="2"/>
  <c r="E1707" i="2"/>
  <c r="B1707" i="2"/>
  <c r="R1706" i="2"/>
  <c r="M1706" i="2"/>
  <c r="I1706" i="2"/>
  <c r="G1706" i="2"/>
  <c r="E1706" i="2"/>
  <c r="B1706" i="2"/>
  <c r="R1705" i="2"/>
  <c r="M1705" i="2"/>
  <c r="I1705" i="2"/>
  <c r="E1705" i="2"/>
  <c r="B1705" i="2"/>
  <c r="R1704" i="2"/>
  <c r="M1704" i="2"/>
  <c r="I1704" i="2"/>
  <c r="G1704" i="2"/>
  <c r="E1704" i="2"/>
  <c r="B1704" i="2"/>
  <c r="R1703" i="2"/>
  <c r="M1703" i="2"/>
  <c r="I1703" i="2"/>
  <c r="E1703" i="2"/>
  <c r="B1703" i="2"/>
  <c r="R1702" i="2"/>
  <c r="M1702" i="2"/>
  <c r="I1702" i="2"/>
  <c r="G1702" i="2"/>
  <c r="E1702" i="2"/>
  <c r="B1702" i="2"/>
  <c r="R1701" i="2"/>
  <c r="M1701" i="2"/>
  <c r="E1701" i="2"/>
  <c r="B1701" i="2"/>
  <c r="R1700" i="2"/>
  <c r="M1700" i="2"/>
  <c r="I1700" i="2"/>
  <c r="G1700" i="2"/>
  <c r="E1700" i="2"/>
  <c r="B1700" i="2"/>
  <c r="R1699" i="2"/>
  <c r="M1699" i="2"/>
  <c r="E1699" i="2"/>
  <c r="B1699" i="2"/>
  <c r="R1698" i="2"/>
  <c r="M1698" i="2"/>
  <c r="I1698" i="2"/>
  <c r="G1698" i="2"/>
  <c r="E1698" i="2"/>
  <c r="B1698" i="2"/>
  <c r="R1697" i="2"/>
  <c r="M1697" i="2"/>
  <c r="I1697" i="2"/>
  <c r="E1697" i="2"/>
  <c r="B1697" i="2"/>
  <c r="R1696" i="2"/>
  <c r="M1696" i="2"/>
  <c r="I1696" i="2"/>
  <c r="G1696" i="2"/>
  <c r="E1696" i="2"/>
  <c r="B1696" i="2"/>
  <c r="R1695" i="2"/>
  <c r="M1695" i="2"/>
  <c r="I1695" i="2"/>
  <c r="E1695" i="2"/>
  <c r="B1695" i="2"/>
  <c r="R1694" i="2"/>
  <c r="M1694" i="2"/>
  <c r="I1694" i="2"/>
  <c r="G1694" i="2"/>
  <c r="E1694" i="2"/>
  <c r="B1694" i="2"/>
  <c r="R1693" i="2"/>
  <c r="M1693" i="2"/>
  <c r="E1693" i="2"/>
  <c r="B1693" i="2"/>
  <c r="R1692" i="2"/>
  <c r="M1692" i="2"/>
  <c r="I1692" i="2"/>
  <c r="G1692" i="2"/>
  <c r="E1692" i="2"/>
  <c r="B1692" i="2"/>
  <c r="R1691" i="2"/>
  <c r="M1691" i="2"/>
  <c r="E1691" i="2"/>
  <c r="B1691" i="2"/>
  <c r="R1690" i="2"/>
  <c r="M1690" i="2"/>
  <c r="I1690" i="2"/>
  <c r="G1690" i="2"/>
  <c r="E1690" i="2"/>
  <c r="B1690" i="2"/>
  <c r="R1689" i="2"/>
  <c r="M1689" i="2"/>
  <c r="E1689" i="2"/>
  <c r="B1689" i="2"/>
  <c r="R1688" i="2"/>
  <c r="M1688" i="2"/>
  <c r="I1688" i="2"/>
  <c r="G1688" i="2"/>
  <c r="E1688" i="2"/>
  <c r="B1688" i="2"/>
  <c r="R1687" i="2"/>
  <c r="M1687" i="2"/>
  <c r="E1687" i="2"/>
  <c r="B1687" i="2"/>
  <c r="R1686" i="2"/>
  <c r="M1686" i="2"/>
  <c r="I1686" i="2"/>
  <c r="G1686" i="2"/>
  <c r="E1686" i="2"/>
  <c r="B1686" i="2"/>
  <c r="R1685" i="2"/>
  <c r="M1685" i="2"/>
  <c r="E1685" i="2"/>
  <c r="B1685" i="2"/>
  <c r="R1684" i="2"/>
  <c r="M1684" i="2"/>
  <c r="I1684" i="2"/>
  <c r="G1684" i="2"/>
  <c r="E1684" i="2"/>
  <c r="B1684" i="2"/>
  <c r="R1683" i="2"/>
  <c r="M1683" i="2"/>
  <c r="I1683" i="2"/>
  <c r="E1683" i="2"/>
  <c r="B1683" i="2"/>
  <c r="R1682" i="2"/>
  <c r="M1682" i="2"/>
  <c r="I1682" i="2"/>
  <c r="G1682" i="2"/>
  <c r="E1682" i="2"/>
  <c r="B1682" i="2"/>
  <c r="R1681" i="2"/>
  <c r="M1681" i="2"/>
  <c r="I1681" i="2"/>
  <c r="E1681" i="2"/>
  <c r="B1681" i="2"/>
  <c r="R1680" i="2"/>
  <c r="M1680" i="2"/>
  <c r="I1680" i="2"/>
  <c r="G1680" i="2"/>
  <c r="E1680" i="2"/>
  <c r="B1680" i="2"/>
  <c r="R1679" i="2"/>
  <c r="M1679" i="2"/>
  <c r="E1679" i="2"/>
  <c r="B1679" i="2"/>
  <c r="R1678" i="2"/>
  <c r="M1678" i="2"/>
  <c r="I1678" i="2"/>
  <c r="G1678" i="2"/>
  <c r="E1678" i="2"/>
  <c r="B1678" i="2"/>
  <c r="R1677" i="2"/>
  <c r="M1677" i="2"/>
  <c r="E1677" i="2"/>
  <c r="B1677" i="2"/>
  <c r="R1676" i="2"/>
  <c r="M1676" i="2"/>
  <c r="I1676" i="2"/>
  <c r="G1676" i="2"/>
  <c r="E1676" i="2"/>
  <c r="B1676" i="2"/>
  <c r="R1675" i="2"/>
  <c r="M1675" i="2"/>
  <c r="E1675" i="2"/>
  <c r="B1675" i="2"/>
  <c r="R1674" i="2"/>
  <c r="M1674" i="2"/>
  <c r="I1674" i="2"/>
  <c r="G1674" i="2"/>
  <c r="E1674" i="2"/>
  <c r="B1674" i="2"/>
  <c r="R1673" i="2"/>
  <c r="M1673" i="2"/>
  <c r="I1673" i="2"/>
  <c r="E1673" i="2"/>
  <c r="B1673" i="2"/>
  <c r="R1672" i="2"/>
  <c r="M1672" i="2"/>
  <c r="I1672" i="2"/>
  <c r="G1672" i="2"/>
  <c r="E1672" i="2"/>
  <c r="B1672" i="2"/>
  <c r="R1671" i="2"/>
  <c r="M1671" i="2"/>
  <c r="I1671" i="2"/>
  <c r="E1671" i="2"/>
  <c r="B1671" i="2"/>
  <c r="R1670" i="2"/>
  <c r="M1670" i="2"/>
  <c r="I1670" i="2"/>
  <c r="G1670" i="2"/>
  <c r="E1670" i="2"/>
  <c r="B1670" i="2"/>
  <c r="R1669" i="2"/>
  <c r="M1669" i="2"/>
  <c r="I1669" i="2"/>
  <c r="E1669" i="2"/>
  <c r="B1669" i="2"/>
  <c r="R1668" i="2"/>
  <c r="M1668" i="2"/>
  <c r="I1668" i="2"/>
  <c r="G1668" i="2"/>
  <c r="E1668" i="2"/>
  <c r="B1668" i="2"/>
  <c r="R1667" i="2"/>
  <c r="M1667" i="2"/>
  <c r="I1667" i="2"/>
  <c r="E1667" i="2"/>
  <c r="B1667" i="2"/>
  <c r="R1666" i="2"/>
  <c r="M1666" i="2"/>
  <c r="I1666" i="2"/>
  <c r="G1666" i="2"/>
  <c r="E1666" i="2"/>
  <c r="B1666" i="2"/>
  <c r="R1665" i="2"/>
  <c r="M1665" i="2"/>
  <c r="E1665" i="2"/>
  <c r="B1665" i="2"/>
  <c r="R1664" i="2"/>
  <c r="M1664" i="2"/>
  <c r="I1664" i="2"/>
  <c r="G1664" i="2"/>
  <c r="E1664" i="2"/>
  <c r="B1664" i="2"/>
  <c r="R1663" i="2"/>
  <c r="M1663" i="2"/>
  <c r="E1663" i="2"/>
  <c r="B1663" i="2"/>
  <c r="R1662" i="2"/>
  <c r="M1662" i="2"/>
  <c r="I1662" i="2"/>
  <c r="G1662" i="2"/>
  <c r="E1662" i="2"/>
  <c r="B1662" i="2"/>
  <c r="R1661" i="2"/>
  <c r="M1661" i="2"/>
  <c r="E1661" i="2"/>
  <c r="B1661" i="2"/>
  <c r="R1660" i="2"/>
  <c r="M1660" i="2"/>
  <c r="I1660" i="2"/>
  <c r="G1660" i="2"/>
  <c r="E1660" i="2"/>
  <c r="B1660" i="2"/>
  <c r="R1659" i="2"/>
  <c r="M1659" i="2"/>
  <c r="I1659" i="2"/>
  <c r="E1659" i="2"/>
  <c r="B1659" i="2"/>
  <c r="R1658" i="2"/>
  <c r="M1658" i="2"/>
  <c r="I1658" i="2"/>
  <c r="G1658" i="2"/>
  <c r="E1658" i="2"/>
  <c r="B1658" i="2"/>
  <c r="R1657" i="2"/>
  <c r="M1657" i="2"/>
  <c r="E1657" i="2"/>
  <c r="B1657" i="2"/>
  <c r="R1656" i="2"/>
  <c r="M1656" i="2"/>
  <c r="I1656" i="2"/>
  <c r="G1656" i="2"/>
  <c r="E1656" i="2"/>
  <c r="B1656" i="2"/>
  <c r="R1655" i="2"/>
  <c r="M1655" i="2"/>
  <c r="E1655" i="2"/>
  <c r="B1655" i="2"/>
  <c r="R1654" i="2"/>
  <c r="M1654" i="2"/>
  <c r="I1654" i="2"/>
  <c r="G1654" i="2"/>
  <c r="E1654" i="2"/>
  <c r="B1654" i="2"/>
  <c r="R1653" i="2"/>
  <c r="M1653" i="2"/>
  <c r="I1653" i="2"/>
  <c r="E1653" i="2"/>
  <c r="B1653" i="2"/>
  <c r="R1652" i="2"/>
  <c r="M1652" i="2"/>
  <c r="I1652" i="2"/>
  <c r="G1652" i="2"/>
  <c r="E1652" i="2"/>
  <c r="B1652" i="2"/>
  <c r="R1651" i="2"/>
  <c r="M1651" i="2"/>
  <c r="I1651" i="2"/>
  <c r="E1651" i="2"/>
  <c r="B1651" i="2"/>
  <c r="R1650" i="2"/>
  <c r="M1650" i="2"/>
  <c r="I1650" i="2"/>
  <c r="G1650" i="2"/>
  <c r="E1650" i="2"/>
  <c r="B1650" i="2"/>
  <c r="R1649" i="2"/>
  <c r="M1649" i="2"/>
  <c r="I1649" i="2"/>
  <c r="E1649" i="2"/>
  <c r="B1649" i="2"/>
  <c r="R1648" i="2"/>
  <c r="M1648" i="2"/>
  <c r="I1648" i="2"/>
  <c r="G1648" i="2"/>
  <c r="E1648" i="2"/>
  <c r="B1648" i="2"/>
  <c r="R1647" i="2"/>
  <c r="M1647" i="2"/>
  <c r="I1647" i="2"/>
  <c r="E1647" i="2"/>
  <c r="B1647" i="2"/>
  <c r="R1646" i="2"/>
  <c r="M1646" i="2"/>
  <c r="I1646" i="2"/>
  <c r="G1646" i="2"/>
  <c r="E1646" i="2"/>
  <c r="B1646" i="2"/>
  <c r="R1645" i="2"/>
  <c r="M1645" i="2"/>
  <c r="I1645" i="2"/>
  <c r="E1645" i="2"/>
  <c r="B1645" i="2"/>
  <c r="R1644" i="2"/>
  <c r="M1644" i="2"/>
  <c r="I1644" i="2"/>
  <c r="G1644" i="2"/>
  <c r="E1644" i="2"/>
  <c r="B1644" i="2"/>
  <c r="R1643" i="2"/>
  <c r="M1643" i="2"/>
  <c r="E1643" i="2"/>
  <c r="B1643" i="2"/>
  <c r="R1642" i="2"/>
  <c r="M1642" i="2"/>
  <c r="I1642" i="2"/>
  <c r="G1642" i="2"/>
  <c r="E1642" i="2"/>
  <c r="B1642" i="2"/>
  <c r="R1641" i="2"/>
  <c r="M1641" i="2"/>
  <c r="I1641" i="2"/>
  <c r="E1641" i="2"/>
  <c r="B1641" i="2"/>
  <c r="R1640" i="2"/>
  <c r="M1640" i="2"/>
  <c r="I1640" i="2"/>
  <c r="G1640" i="2"/>
  <c r="E1640" i="2"/>
  <c r="B1640" i="2"/>
  <c r="R1639" i="2"/>
  <c r="M1639" i="2"/>
  <c r="E1639" i="2"/>
  <c r="B1639" i="2"/>
  <c r="R1638" i="2"/>
  <c r="M1638" i="2"/>
  <c r="I1638" i="2"/>
  <c r="G1638" i="2"/>
  <c r="E1638" i="2"/>
  <c r="B1638" i="2"/>
  <c r="R1637" i="2"/>
  <c r="M1637" i="2"/>
  <c r="E1637" i="2"/>
  <c r="B1637" i="2"/>
  <c r="R1636" i="2"/>
  <c r="M1636" i="2"/>
  <c r="I1636" i="2"/>
  <c r="G1636" i="2"/>
  <c r="E1636" i="2"/>
  <c r="B1636" i="2"/>
  <c r="R1635" i="2"/>
  <c r="M1635" i="2"/>
  <c r="I1635" i="2"/>
  <c r="E1635" i="2"/>
  <c r="B1635" i="2"/>
  <c r="R1634" i="2"/>
  <c r="M1634" i="2"/>
  <c r="I1634" i="2"/>
  <c r="G1634" i="2"/>
  <c r="E1634" i="2"/>
  <c r="B1634" i="2"/>
  <c r="R1633" i="2"/>
  <c r="M1633" i="2"/>
  <c r="I1633" i="2"/>
  <c r="E1633" i="2"/>
  <c r="B1633" i="2"/>
  <c r="R1632" i="2"/>
  <c r="M1632" i="2"/>
  <c r="I1632" i="2"/>
  <c r="G1632" i="2"/>
  <c r="E1632" i="2"/>
  <c r="B1632" i="2"/>
  <c r="R1631" i="2"/>
  <c r="M1631" i="2"/>
  <c r="E1631" i="2"/>
  <c r="B1631" i="2"/>
  <c r="R1630" i="2"/>
  <c r="M1630" i="2"/>
  <c r="I1630" i="2"/>
  <c r="G1630" i="2"/>
  <c r="E1630" i="2"/>
  <c r="B1630" i="2"/>
  <c r="R1629" i="2"/>
  <c r="M1629" i="2"/>
  <c r="I1629" i="2"/>
  <c r="E1629" i="2"/>
  <c r="B1629" i="2"/>
  <c r="R1628" i="2"/>
  <c r="M1628" i="2"/>
  <c r="I1628" i="2"/>
  <c r="G1628" i="2"/>
  <c r="E1628" i="2"/>
  <c r="B1628" i="2"/>
  <c r="R1627" i="2"/>
  <c r="M1627" i="2"/>
  <c r="I1627" i="2"/>
  <c r="G1627" i="2"/>
  <c r="E1627" i="2"/>
  <c r="B1627" i="2"/>
  <c r="R1626" i="2"/>
  <c r="M1626" i="2"/>
  <c r="I1626" i="2"/>
  <c r="G1626" i="2"/>
  <c r="E1626" i="2"/>
  <c r="B1626" i="2"/>
  <c r="R1625" i="2"/>
  <c r="M1625" i="2"/>
  <c r="E1625" i="2"/>
  <c r="B1625" i="2"/>
  <c r="R1624" i="2"/>
  <c r="M1624" i="2"/>
  <c r="I1624" i="2"/>
  <c r="G1624" i="2"/>
  <c r="E1624" i="2"/>
  <c r="B1624" i="2"/>
  <c r="R1623" i="2"/>
  <c r="M1623" i="2"/>
  <c r="I1623" i="2"/>
  <c r="G1623" i="2"/>
  <c r="E1623" i="2"/>
  <c r="B1623" i="2"/>
  <c r="R1622" i="2"/>
  <c r="M1622" i="2"/>
  <c r="I1622" i="2"/>
  <c r="G1622" i="2"/>
  <c r="E1622" i="2"/>
  <c r="B1622" i="2"/>
  <c r="R1621" i="2"/>
  <c r="M1621" i="2"/>
  <c r="I1621" i="2"/>
  <c r="E1621" i="2"/>
  <c r="B1621" i="2"/>
  <c r="R1620" i="2"/>
  <c r="M1620" i="2"/>
  <c r="I1620" i="2"/>
  <c r="G1620" i="2"/>
  <c r="E1620" i="2"/>
  <c r="B1620" i="2"/>
  <c r="R1619" i="2"/>
  <c r="M1619" i="2"/>
  <c r="I1619" i="2"/>
  <c r="G1619" i="2"/>
  <c r="E1619" i="2"/>
  <c r="B1619" i="2"/>
  <c r="R1618" i="2"/>
  <c r="M1618" i="2"/>
  <c r="I1618" i="2"/>
  <c r="G1618" i="2"/>
  <c r="E1618" i="2"/>
  <c r="B1618" i="2"/>
  <c r="R1617" i="2"/>
  <c r="M1617" i="2"/>
  <c r="E1617" i="2"/>
  <c r="B1617" i="2"/>
  <c r="R1616" i="2"/>
  <c r="M1616" i="2"/>
  <c r="I1616" i="2"/>
  <c r="G1616" i="2"/>
  <c r="E1616" i="2"/>
  <c r="B1616" i="2"/>
  <c r="R1615" i="2"/>
  <c r="M1615" i="2"/>
  <c r="I1615" i="2"/>
  <c r="G1615" i="2"/>
  <c r="E1615" i="2"/>
  <c r="B1615" i="2"/>
  <c r="R1614" i="2"/>
  <c r="M1614" i="2"/>
  <c r="I1614" i="2"/>
  <c r="G1614" i="2"/>
  <c r="E1614" i="2"/>
  <c r="B1614" i="2"/>
  <c r="R1613" i="2"/>
  <c r="M1613" i="2"/>
  <c r="G1613" i="2"/>
  <c r="E1613" i="2"/>
  <c r="B1613" i="2"/>
  <c r="R1612" i="2"/>
  <c r="M1612" i="2"/>
  <c r="I1612" i="2"/>
  <c r="G1612" i="2"/>
  <c r="E1612" i="2"/>
  <c r="B1612" i="2"/>
  <c r="R1611" i="2"/>
  <c r="M1611" i="2"/>
  <c r="E1611" i="2"/>
  <c r="B1611" i="2"/>
  <c r="R1610" i="2"/>
  <c r="M1610" i="2"/>
  <c r="I1610" i="2"/>
  <c r="G1610" i="2"/>
  <c r="E1610" i="2"/>
  <c r="B1610" i="2"/>
  <c r="R1609" i="2"/>
  <c r="M1609" i="2"/>
  <c r="I1609" i="2"/>
  <c r="E1609" i="2"/>
  <c r="B1609" i="2"/>
  <c r="G1609" i="2" s="1"/>
  <c r="R1608" i="2"/>
  <c r="M1608" i="2"/>
  <c r="I1608" i="2"/>
  <c r="G1608" i="2"/>
  <c r="E1608" i="2"/>
  <c r="B1608" i="2"/>
  <c r="R1607" i="2"/>
  <c r="M1607" i="2"/>
  <c r="E1607" i="2"/>
  <c r="B1607" i="2"/>
  <c r="R1606" i="2"/>
  <c r="M1606" i="2"/>
  <c r="I1606" i="2"/>
  <c r="G1606" i="2"/>
  <c r="E1606" i="2"/>
  <c r="B1606" i="2"/>
  <c r="R1605" i="2"/>
  <c r="M1605" i="2"/>
  <c r="I1605" i="2"/>
  <c r="G1605" i="2"/>
  <c r="E1605" i="2"/>
  <c r="B1605" i="2"/>
  <c r="R1604" i="2"/>
  <c r="M1604" i="2"/>
  <c r="I1604" i="2"/>
  <c r="G1604" i="2"/>
  <c r="E1604" i="2"/>
  <c r="B1604" i="2"/>
  <c r="R1603" i="2"/>
  <c r="M1603" i="2"/>
  <c r="I1603" i="2"/>
  <c r="G1603" i="2"/>
  <c r="E1603" i="2"/>
  <c r="B1603" i="2"/>
  <c r="R1602" i="2"/>
  <c r="M1602" i="2"/>
  <c r="I1602" i="2"/>
  <c r="G1602" i="2"/>
  <c r="E1602" i="2"/>
  <c r="B1602" i="2"/>
  <c r="R1601" i="2"/>
  <c r="M1601" i="2"/>
  <c r="I1601" i="2"/>
  <c r="G1601" i="2"/>
  <c r="E1601" i="2"/>
  <c r="B1601" i="2"/>
  <c r="R1600" i="2"/>
  <c r="M1600" i="2"/>
  <c r="E1600" i="2"/>
  <c r="B1600" i="2"/>
  <c r="R1599" i="2"/>
  <c r="M1599" i="2"/>
  <c r="E1599" i="2"/>
  <c r="B1599" i="2"/>
  <c r="R1598" i="2"/>
  <c r="M1598" i="2"/>
  <c r="E1598" i="2"/>
  <c r="B1598" i="2"/>
  <c r="R1597" i="2"/>
  <c r="M1597" i="2"/>
  <c r="G1597" i="2"/>
  <c r="E1597" i="2"/>
  <c r="B1597" i="2"/>
  <c r="R1596" i="2"/>
  <c r="M1596" i="2"/>
  <c r="E1596" i="2"/>
  <c r="B1596" i="2"/>
  <c r="R1595" i="2"/>
  <c r="M1595" i="2"/>
  <c r="E1595" i="2"/>
  <c r="B1595" i="2"/>
  <c r="R1594" i="2"/>
  <c r="M1594" i="2"/>
  <c r="E1594" i="2"/>
  <c r="B1594" i="2"/>
  <c r="R1593" i="2"/>
  <c r="M1593" i="2"/>
  <c r="E1593" i="2"/>
  <c r="B1593" i="2"/>
  <c r="R1592" i="2"/>
  <c r="M1592" i="2"/>
  <c r="E1592" i="2"/>
  <c r="B1592" i="2"/>
  <c r="R1591" i="2"/>
  <c r="M1591" i="2"/>
  <c r="G1591" i="2"/>
  <c r="E1591" i="2"/>
  <c r="B1591" i="2"/>
  <c r="R1590" i="2"/>
  <c r="M1590" i="2"/>
  <c r="E1590" i="2"/>
  <c r="B1590" i="2"/>
  <c r="R1589" i="2"/>
  <c r="M1589" i="2"/>
  <c r="G1589" i="2"/>
  <c r="E1589" i="2"/>
  <c r="B1589" i="2"/>
  <c r="R1588" i="2"/>
  <c r="M1588" i="2"/>
  <c r="G1588" i="2"/>
  <c r="E1588" i="2"/>
  <c r="B1588" i="2"/>
  <c r="I1588" i="2" s="1"/>
  <c r="R1587" i="2"/>
  <c r="M1587" i="2"/>
  <c r="G1587" i="2"/>
  <c r="E1587" i="2"/>
  <c r="B1587" i="2"/>
  <c r="R1586" i="2"/>
  <c r="M1586" i="2"/>
  <c r="G1586" i="2"/>
  <c r="E1586" i="2"/>
  <c r="B1586" i="2"/>
  <c r="I1586" i="2" s="1"/>
  <c r="R1585" i="2"/>
  <c r="M1585" i="2"/>
  <c r="G1585" i="2"/>
  <c r="E1585" i="2"/>
  <c r="B1585" i="2"/>
  <c r="R1584" i="2"/>
  <c r="M1584" i="2"/>
  <c r="G1584" i="2"/>
  <c r="E1584" i="2"/>
  <c r="B1584" i="2"/>
  <c r="I1584" i="2" s="1"/>
  <c r="R1583" i="2"/>
  <c r="M1583" i="2"/>
  <c r="G1583" i="2"/>
  <c r="E1583" i="2"/>
  <c r="B1583" i="2"/>
  <c r="R1582" i="2"/>
  <c r="M1582" i="2"/>
  <c r="E1582" i="2"/>
  <c r="B1582" i="2"/>
  <c r="I1582" i="2" s="1"/>
  <c r="R1581" i="2"/>
  <c r="M1581" i="2"/>
  <c r="G1581" i="2"/>
  <c r="E1581" i="2"/>
  <c r="B1581" i="2"/>
  <c r="R1580" i="2"/>
  <c r="M1580" i="2"/>
  <c r="E1580" i="2"/>
  <c r="B1580" i="2"/>
  <c r="I1580" i="2" s="1"/>
  <c r="R1579" i="2"/>
  <c r="M1579" i="2"/>
  <c r="E1579" i="2"/>
  <c r="B1579" i="2"/>
  <c r="I1579" i="2" s="1"/>
  <c r="R1578" i="2"/>
  <c r="M1578" i="2"/>
  <c r="E1578" i="2"/>
  <c r="B1578" i="2"/>
  <c r="R1577" i="2"/>
  <c r="M1577" i="2"/>
  <c r="G1577" i="2"/>
  <c r="E1577" i="2"/>
  <c r="B1577" i="2"/>
  <c r="R1576" i="2"/>
  <c r="M1576" i="2"/>
  <c r="G1576" i="2"/>
  <c r="E1576" i="2"/>
  <c r="B1576" i="2"/>
  <c r="I1576" i="2" s="1"/>
  <c r="R1575" i="2"/>
  <c r="M1575" i="2"/>
  <c r="E1575" i="2"/>
  <c r="B1575" i="2"/>
  <c r="I1575" i="2" s="1"/>
  <c r="R1574" i="2"/>
  <c r="M1574" i="2"/>
  <c r="E1574" i="2"/>
  <c r="B1574" i="2"/>
  <c r="R1573" i="2"/>
  <c r="M1573" i="2"/>
  <c r="E1573" i="2"/>
  <c r="B1573" i="2"/>
  <c r="R1572" i="2"/>
  <c r="M1572" i="2"/>
  <c r="G1572" i="2"/>
  <c r="E1572" i="2"/>
  <c r="B1572" i="2"/>
  <c r="I1572" i="2" s="1"/>
  <c r="R1571" i="2"/>
  <c r="M1571" i="2"/>
  <c r="E1571" i="2"/>
  <c r="B1571" i="2"/>
  <c r="I1571" i="2" s="1"/>
  <c r="R1570" i="2"/>
  <c r="M1570" i="2"/>
  <c r="E1570" i="2"/>
  <c r="B1570" i="2"/>
  <c r="R1569" i="2"/>
  <c r="M1569" i="2"/>
  <c r="G1569" i="2"/>
  <c r="E1569" i="2"/>
  <c r="B1569" i="2"/>
  <c r="R1568" i="2"/>
  <c r="M1568" i="2"/>
  <c r="G1568" i="2"/>
  <c r="E1568" i="2"/>
  <c r="B1568" i="2"/>
  <c r="I1568" i="2" s="1"/>
  <c r="R1567" i="2"/>
  <c r="M1567" i="2"/>
  <c r="G1567" i="2"/>
  <c r="E1567" i="2"/>
  <c r="B1567" i="2"/>
  <c r="R1566" i="2"/>
  <c r="M1566" i="2"/>
  <c r="G1566" i="2"/>
  <c r="E1566" i="2"/>
  <c r="B1566" i="2"/>
  <c r="R1565" i="2"/>
  <c r="M1565" i="2"/>
  <c r="I1565" i="2"/>
  <c r="E1565" i="2"/>
  <c r="B1565" i="2"/>
  <c r="G1565" i="2" s="1"/>
  <c r="R1564" i="2"/>
  <c r="M1564" i="2"/>
  <c r="G1564" i="2"/>
  <c r="E1564" i="2"/>
  <c r="B1564" i="2"/>
  <c r="R1563" i="2"/>
  <c r="M1563" i="2"/>
  <c r="I1563" i="2"/>
  <c r="E1563" i="2"/>
  <c r="B1563" i="2"/>
  <c r="G1563" i="2" s="1"/>
  <c r="R1562" i="2"/>
  <c r="M1562" i="2"/>
  <c r="E1562" i="2"/>
  <c r="B1562" i="2"/>
  <c r="R1561" i="2"/>
  <c r="M1561" i="2"/>
  <c r="I1561" i="2"/>
  <c r="E1561" i="2"/>
  <c r="B1561" i="2"/>
  <c r="G1561" i="2" s="1"/>
  <c r="R1560" i="2"/>
  <c r="M1560" i="2"/>
  <c r="G1560" i="2"/>
  <c r="E1560" i="2"/>
  <c r="B1560" i="2"/>
  <c r="R1559" i="2"/>
  <c r="M1559" i="2"/>
  <c r="I1559" i="2"/>
  <c r="E1559" i="2"/>
  <c r="B1559" i="2"/>
  <c r="G1559" i="2" s="1"/>
  <c r="R1558" i="2"/>
  <c r="M1558" i="2"/>
  <c r="E1558" i="2"/>
  <c r="B1558" i="2"/>
  <c r="R1557" i="2"/>
  <c r="M1557" i="2"/>
  <c r="I1557" i="2"/>
  <c r="E1557" i="2"/>
  <c r="B1557" i="2"/>
  <c r="G1557" i="2" s="1"/>
  <c r="R1556" i="2"/>
  <c r="M1556" i="2"/>
  <c r="E1556" i="2"/>
  <c r="B1556" i="2"/>
  <c r="R1555" i="2"/>
  <c r="M1555" i="2"/>
  <c r="I1555" i="2"/>
  <c r="E1555" i="2"/>
  <c r="B1555" i="2"/>
  <c r="G1555" i="2" s="1"/>
  <c r="R1554" i="2"/>
  <c r="M1554" i="2"/>
  <c r="G1554" i="2"/>
  <c r="E1554" i="2"/>
  <c r="B1554" i="2"/>
  <c r="R1553" i="2"/>
  <c r="M1553" i="2"/>
  <c r="I1553" i="2"/>
  <c r="E1553" i="2"/>
  <c r="B1553" i="2"/>
  <c r="G1553" i="2" s="1"/>
  <c r="R1552" i="2"/>
  <c r="M1552" i="2"/>
  <c r="E1552" i="2"/>
  <c r="B1552" i="2"/>
  <c r="R1551" i="2"/>
  <c r="M1551" i="2"/>
  <c r="I1551" i="2"/>
  <c r="E1551" i="2"/>
  <c r="B1551" i="2"/>
  <c r="G1551" i="2" s="1"/>
  <c r="R1550" i="2"/>
  <c r="M1550" i="2"/>
  <c r="G1550" i="2"/>
  <c r="E1550" i="2"/>
  <c r="B1550" i="2"/>
  <c r="R1549" i="2"/>
  <c r="M1549" i="2"/>
  <c r="I1549" i="2"/>
  <c r="E1549" i="2"/>
  <c r="B1549" i="2"/>
  <c r="G1549" i="2" s="1"/>
  <c r="R1548" i="2"/>
  <c r="M1548" i="2"/>
  <c r="G1548" i="2"/>
  <c r="E1548" i="2"/>
  <c r="B1548" i="2"/>
  <c r="R1547" i="2"/>
  <c r="M1547" i="2"/>
  <c r="I1547" i="2"/>
  <c r="E1547" i="2"/>
  <c r="B1547" i="2"/>
  <c r="G1547" i="2" s="1"/>
  <c r="R1546" i="2"/>
  <c r="M1546" i="2"/>
  <c r="G1546" i="2"/>
  <c r="E1546" i="2"/>
  <c r="B1546" i="2"/>
  <c r="R1545" i="2"/>
  <c r="M1545" i="2"/>
  <c r="I1545" i="2"/>
  <c r="E1545" i="2"/>
  <c r="B1545" i="2"/>
  <c r="G1545" i="2" s="1"/>
  <c r="R1544" i="2"/>
  <c r="M1544" i="2"/>
  <c r="E1544" i="2"/>
  <c r="B1544" i="2"/>
  <c r="R1543" i="2"/>
  <c r="M1543" i="2"/>
  <c r="I1543" i="2"/>
  <c r="E1543" i="2"/>
  <c r="B1543" i="2"/>
  <c r="G1543" i="2" s="1"/>
  <c r="R1542" i="2"/>
  <c r="M1542" i="2"/>
  <c r="E1542" i="2"/>
  <c r="B1542" i="2"/>
  <c r="R1541" i="2"/>
  <c r="M1541" i="2"/>
  <c r="I1541" i="2"/>
  <c r="E1541" i="2"/>
  <c r="B1541" i="2"/>
  <c r="G1541" i="2" s="1"/>
  <c r="R1540" i="2"/>
  <c r="M1540" i="2"/>
  <c r="G1540" i="2"/>
  <c r="E1540" i="2"/>
  <c r="B1540" i="2"/>
  <c r="R1539" i="2"/>
  <c r="M1539" i="2"/>
  <c r="I1539" i="2"/>
  <c r="E1539" i="2"/>
  <c r="B1539" i="2"/>
  <c r="G1539" i="2" s="1"/>
  <c r="R1538" i="2"/>
  <c r="M1538" i="2"/>
  <c r="E1538" i="2"/>
  <c r="B1538" i="2"/>
  <c r="R1537" i="2"/>
  <c r="M1537" i="2"/>
  <c r="I1537" i="2"/>
  <c r="G1537" i="2"/>
  <c r="E1537" i="2"/>
  <c r="B1537" i="2"/>
  <c r="R1536" i="2"/>
  <c r="M1536" i="2"/>
  <c r="E1536" i="2"/>
  <c r="B1536" i="2"/>
  <c r="R1535" i="2"/>
  <c r="M1535" i="2"/>
  <c r="I1535" i="2"/>
  <c r="G1535" i="2"/>
  <c r="E1535" i="2"/>
  <c r="B1535" i="2"/>
  <c r="R1534" i="2"/>
  <c r="M1534" i="2"/>
  <c r="E1534" i="2"/>
  <c r="B1534" i="2"/>
  <c r="R1533" i="2"/>
  <c r="M1533" i="2"/>
  <c r="I1533" i="2"/>
  <c r="G1533" i="2"/>
  <c r="E1533" i="2"/>
  <c r="B1533" i="2"/>
  <c r="R1532" i="2"/>
  <c r="M1532" i="2"/>
  <c r="G1532" i="2"/>
  <c r="E1532" i="2"/>
  <c r="B1532" i="2"/>
  <c r="R1531" i="2"/>
  <c r="M1531" i="2"/>
  <c r="I1531" i="2"/>
  <c r="G1531" i="2"/>
  <c r="E1531" i="2"/>
  <c r="B1531" i="2"/>
  <c r="R1530" i="2"/>
  <c r="M1530" i="2"/>
  <c r="E1530" i="2"/>
  <c r="B1530" i="2"/>
  <c r="R1529" i="2"/>
  <c r="M1529" i="2"/>
  <c r="I1529" i="2"/>
  <c r="G1529" i="2"/>
  <c r="E1529" i="2"/>
  <c r="B1529" i="2"/>
  <c r="R1528" i="2"/>
  <c r="M1528" i="2"/>
  <c r="G1528" i="2"/>
  <c r="E1528" i="2"/>
  <c r="B1528" i="2"/>
  <c r="R1527" i="2"/>
  <c r="M1527" i="2"/>
  <c r="I1527" i="2"/>
  <c r="G1527" i="2"/>
  <c r="E1527" i="2"/>
  <c r="B1527" i="2"/>
  <c r="R1526" i="2"/>
  <c r="M1526" i="2"/>
  <c r="E1526" i="2"/>
  <c r="B1526" i="2"/>
  <c r="R1525" i="2"/>
  <c r="M1525" i="2"/>
  <c r="E1525" i="2"/>
  <c r="B1525" i="2"/>
  <c r="R1524" i="2"/>
  <c r="M1524" i="2"/>
  <c r="E1524" i="2"/>
  <c r="B1524" i="2"/>
  <c r="R1523" i="2"/>
  <c r="M1523" i="2"/>
  <c r="E1523" i="2"/>
  <c r="B1523" i="2"/>
  <c r="I1523" i="2" s="1"/>
  <c r="R1522" i="2"/>
  <c r="M1522" i="2"/>
  <c r="E1522" i="2"/>
  <c r="B1522" i="2"/>
  <c r="R1521" i="2"/>
  <c r="M1521" i="2"/>
  <c r="E1521" i="2"/>
  <c r="B1521" i="2"/>
  <c r="R1520" i="2"/>
  <c r="M1520" i="2"/>
  <c r="E1520" i="2"/>
  <c r="B1520" i="2"/>
  <c r="R1519" i="2"/>
  <c r="M1519" i="2"/>
  <c r="E1519" i="2"/>
  <c r="B1519" i="2"/>
  <c r="R1518" i="2"/>
  <c r="M1518" i="2"/>
  <c r="G1518" i="2"/>
  <c r="E1518" i="2"/>
  <c r="B1518" i="2"/>
  <c r="R1517" i="2"/>
  <c r="M1517" i="2"/>
  <c r="E1517" i="2"/>
  <c r="B1517" i="2"/>
  <c r="R1516" i="2"/>
  <c r="M1516" i="2"/>
  <c r="E1516" i="2"/>
  <c r="B1516" i="2"/>
  <c r="R1515" i="2"/>
  <c r="M1515" i="2"/>
  <c r="I1515" i="2"/>
  <c r="G1515" i="2"/>
  <c r="E1515" i="2"/>
  <c r="B1515" i="2"/>
  <c r="R1514" i="2"/>
  <c r="M1514" i="2"/>
  <c r="E1514" i="2"/>
  <c r="B1514" i="2"/>
  <c r="R1513" i="2"/>
  <c r="M1513" i="2"/>
  <c r="G1513" i="2"/>
  <c r="E1513" i="2"/>
  <c r="B1513" i="2"/>
  <c r="I1513" i="2" s="1"/>
  <c r="R1512" i="2"/>
  <c r="M1512" i="2"/>
  <c r="I1512" i="2"/>
  <c r="E1512" i="2"/>
  <c r="B1512" i="2"/>
  <c r="R1511" i="2"/>
  <c r="M1511" i="2"/>
  <c r="G1511" i="2"/>
  <c r="E1511" i="2"/>
  <c r="B1511" i="2"/>
  <c r="I1511" i="2" s="1"/>
  <c r="R1510" i="2"/>
  <c r="M1510" i="2"/>
  <c r="I1510" i="2"/>
  <c r="G1510" i="2"/>
  <c r="E1510" i="2"/>
  <c r="B1510" i="2"/>
  <c r="R1509" i="2"/>
  <c r="M1509" i="2"/>
  <c r="E1509" i="2"/>
  <c r="B1509" i="2"/>
  <c r="I1509" i="2" s="1"/>
  <c r="R1508" i="2"/>
  <c r="M1508" i="2"/>
  <c r="E1508" i="2"/>
  <c r="B1508" i="2"/>
  <c r="R1507" i="2"/>
  <c r="M1507" i="2"/>
  <c r="E1507" i="2"/>
  <c r="B1507" i="2"/>
  <c r="R1506" i="2"/>
  <c r="M1506" i="2"/>
  <c r="I1506" i="2"/>
  <c r="G1506" i="2"/>
  <c r="E1506" i="2"/>
  <c r="B1506" i="2"/>
  <c r="R1505" i="2"/>
  <c r="M1505" i="2"/>
  <c r="G1505" i="2"/>
  <c r="E1505" i="2"/>
  <c r="B1505" i="2"/>
  <c r="I1505" i="2" s="1"/>
  <c r="R1504" i="2"/>
  <c r="M1504" i="2"/>
  <c r="I1504" i="2"/>
  <c r="E1504" i="2"/>
  <c r="B1504" i="2"/>
  <c r="R1503" i="2"/>
  <c r="M1503" i="2"/>
  <c r="E1503" i="2"/>
  <c r="B1503" i="2"/>
  <c r="R1502" i="2"/>
  <c r="M1502" i="2"/>
  <c r="E1502" i="2"/>
  <c r="B1502" i="2"/>
  <c r="R1501" i="2"/>
  <c r="M1501" i="2"/>
  <c r="E1501" i="2"/>
  <c r="B1501" i="2"/>
  <c r="R1500" i="2"/>
  <c r="M1500" i="2"/>
  <c r="I1500" i="2"/>
  <c r="E1500" i="2"/>
  <c r="B1500" i="2"/>
  <c r="R1499" i="2"/>
  <c r="M1499" i="2"/>
  <c r="E1499" i="2"/>
  <c r="B1499" i="2"/>
  <c r="R1498" i="2"/>
  <c r="M1498" i="2"/>
  <c r="I1498" i="2"/>
  <c r="G1498" i="2"/>
  <c r="E1498" i="2"/>
  <c r="B1498" i="2"/>
  <c r="R1497" i="2"/>
  <c r="M1497" i="2"/>
  <c r="E1497" i="2"/>
  <c r="B1497" i="2"/>
  <c r="R1496" i="2"/>
  <c r="M1496" i="2"/>
  <c r="I1496" i="2"/>
  <c r="G1496" i="2"/>
  <c r="E1496" i="2"/>
  <c r="B1496" i="2"/>
  <c r="R1495" i="2"/>
  <c r="M1495" i="2"/>
  <c r="E1495" i="2"/>
  <c r="B1495" i="2"/>
  <c r="R1494" i="2"/>
  <c r="M1494" i="2"/>
  <c r="I1494" i="2"/>
  <c r="G1494" i="2"/>
  <c r="E1494" i="2"/>
  <c r="B1494" i="2"/>
  <c r="R1493" i="2"/>
  <c r="M1493" i="2"/>
  <c r="E1493" i="2"/>
  <c r="B1493" i="2"/>
  <c r="R1492" i="2"/>
  <c r="M1492" i="2"/>
  <c r="I1492" i="2"/>
  <c r="G1492" i="2"/>
  <c r="E1492" i="2"/>
  <c r="B1492" i="2"/>
  <c r="R1491" i="2"/>
  <c r="M1491" i="2"/>
  <c r="E1491" i="2"/>
  <c r="B1491" i="2"/>
  <c r="R1490" i="2"/>
  <c r="M1490" i="2"/>
  <c r="I1490" i="2"/>
  <c r="G1490" i="2"/>
  <c r="E1490" i="2"/>
  <c r="B1490" i="2"/>
  <c r="R1489" i="2"/>
  <c r="M1489" i="2"/>
  <c r="E1489" i="2"/>
  <c r="B1489" i="2"/>
  <c r="R1488" i="2"/>
  <c r="M1488" i="2"/>
  <c r="I1488" i="2"/>
  <c r="G1488" i="2"/>
  <c r="E1488" i="2"/>
  <c r="B1488" i="2"/>
  <c r="R1487" i="2"/>
  <c r="M1487" i="2"/>
  <c r="E1487" i="2"/>
  <c r="B1487" i="2"/>
  <c r="R1486" i="2"/>
  <c r="M1486" i="2"/>
  <c r="I1486" i="2"/>
  <c r="G1486" i="2"/>
  <c r="E1486" i="2"/>
  <c r="B1486" i="2"/>
  <c r="R1485" i="2"/>
  <c r="M1485" i="2"/>
  <c r="E1485" i="2"/>
  <c r="B1485" i="2"/>
  <c r="R1484" i="2"/>
  <c r="M1484" i="2"/>
  <c r="I1484" i="2"/>
  <c r="G1484" i="2"/>
  <c r="E1484" i="2"/>
  <c r="B1484" i="2"/>
  <c r="R1483" i="2"/>
  <c r="M1483" i="2"/>
  <c r="E1483" i="2"/>
  <c r="B1483" i="2"/>
  <c r="R1482" i="2"/>
  <c r="M1482" i="2"/>
  <c r="I1482" i="2"/>
  <c r="G1482" i="2"/>
  <c r="E1482" i="2"/>
  <c r="B1482" i="2"/>
  <c r="R1481" i="2"/>
  <c r="M1481" i="2"/>
  <c r="E1481" i="2"/>
  <c r="B1481" i="2"/>
  <c r="R1480" i="2"/>
  <c r="M1480" i="2"/>
  <c r="I1480" i="2"/>
  <c r="G1480" i="2"/>
  <c r="E1480" i="2"/>
  <c r="B1480" i="2"/>
  <c r="R1479" i="2"/>
  <c r="M1479" i="2"/>
  <c r="E1479" i="2"/>
  <c r="B1479" i="2"/>
  <c r="R1478" i="2"/>
  <c r="M1478" i="2"/>
  <c r="I1478" i="2"/>
  <c r="G1478" i="2"/>
  <c r="E1478" i="2"/>
  <c r="B1478" i="2"/>
  <c r="R1477" i="2"/>
  <c r="M1477" i="2"/>
  <c r="E1477" i="2"/>
  <c r="B1477" i="2"/>
  <c r="R1476" i="2"/>
  <c r="M1476" i="2"/>
  <c r="I1476" i="2"/>
  <c r="G1476" i="2"/>
  <c r="E1476" i="2"/>
  <c r="B1476" i="2"/>
  <c r="R1475" i="2"/>
  <c r="M1475" i="2"/>
  <c r="E1475" i="2"/>
  <c r="B1475" i="2"/>
  <c r="R1474" i="2"/>
  <c r="M1474" i="2"/>
  <c r="I1474" i="2"/>
  <c r="G1474" i="2"/>
  <c r="E1474" i="2"/>
  <c r="B1474" i="2"/>
  <c r="R1473" i="2"/>
  <c r="M1473" i="2"/>
  <c r="E1473" i="2"/>
  <c r="B1473" i="2"/>
  <c r="R1472" i="2"/>
  <c r="M1472" i="2"/>
  <c r="I1472" i="2"/>
  <c r="G1472" i="2"/>
  <c r="E1472" i="2"/>
  <c r="B1472" i="2"/>
  <c r="R1471" i="2"/>
  <c r="M1471" i="2"/>
  <c r="E1471" i="2"/>
  <c r="B1471" i="2"/>
  <c r="R1470" i="2"/>
  <c r="M1470" i="2"/>
  <c r="I1470" i="2"/>
  <c r="G1470" i="2"/>
  <c r="E1470" i="2"/>
  <c r="B1470" i="2"/>
  <c r="R1469" i="2"/>
  <c r="M1469" i="2"/>
  <c r="E1469" i="2"/>
  <c r="B1469" i="2"/>
  <c r="R1468" i="2"/>
  <c r="M1468" i="2"/>
  <c r="I1468" i="2"/>
  <c r="G1468" i="2"/>
  <c r="E1468" i="2"/>
  <c r="B1468" i="2"/>
  <c r="R1467" i="2"/>
  <c r="M1467" i="2"/>
  <c r="E1467" i="2"/>
  <c r="B1467" i="2"/>
  <c r="R1466" i="2"/>
  <c r="M1466" i="2"/>
  <c r="I1466" i="2"/>
  <c r="G1466" i="2"/>
  <c r="E1466" i="2"/>
  <c r="B1466" i="2"/>
  <c r="R1465" i="2"/>
  <c r="M1465" i="2"/>
  <c r="E1465" i="2"/>
  <c r="B1465" i="2"/>
  <c r="R1464" i="2"/>
  <c r="M1464" i="2"/>
  <c r="I1464" i="2"/>
  <c r="G1464" i="2"/>
  <c r="E1464" i="2"/>
  <c r="B1464" i="2"/>
  <c r="R1463" i="2"/>
  <c r="M1463" i="2"/>
  <c r="E1463" i="2"/>
  <c r="B1463" i="2"/>
  <c r="R1462" i="2"/>
  <c r="M1462" i="2"/>
  <c r="I1462" i="2"/>
  <c r="G1462" i="2"/>
  <c r="E1462" i="2"/>
  <c r="B1462" i="2"/>
  <c r="R1461" i="2"/>
  <c r="M1461" i="2"/>
  <c r="E1461" i="2"/>
  <c r="B1461" i="2"/>
  <c r="R1460" i="2"/>
  <c r="M1460" i="2"/>
  <c r="I1460" i="2"/>
  <c r="G1460" i="2"/>
  <c r="E1460" i="2"/>
  <c r="B1460" i="2"/>
  <c r="R1459" i="2"/>
  <c r="M1459" i="2"/>
  <c r="E1459" i="2"/>
  <c r="B1459" i="2"/>
  <c r="R1458" i="2"/>
  <c r="M1458" i="2"/>
  <c r="I1458" i="2"/>
  <c r="G1458" i="2"/>
  <c r="E1458" i="2"/>
  <c r="B1458" i="2"/>
  <c r="R1457" i="2"/>
  <c r="M1457" i="2"/>
  <c r="E1457" i="2"/>
  <c r="B1457" i="2"/>
  <c r="R1456" i="2"/>
  <c r="M1456" i="2"/>
  <c r="I1456" i="2"/>
  <c r="G1456" i="2"/>
  <c r="E1456" i="2"/>
  <c r="B1456" i="2"/>
  <c r="R1455" i="2"/>
  <c r="M1455" i="2"/>
  <c r="E1455" i="2"/>
  <c r="B1455" i="2"/>
  <c r="R1454" i="2"/>
  <c r="M1454" i="2"/>
  <c r="I1454" i="2"/>
  <c r="G1454" i="2"/>
  <c r="E1454" i="2"/>
  <c r="B1454" i="2"/>
  <c r="R1453" i="2"/>
  <c r="M1453" i="2"/>
  <c r="E1453" i="2"/>
  <c r="B1453" i="2"/>
  <c r="R1452" i="2"/>
  <c r="M1452" i="2"/>
  <c r="I1452" i="2"/>
  <c r="G1452" i="2"/>
  <c r="E1452" i="2"/>
  <c r="B1452" i="2"/>
  <c r="R1451" i="2"/>
  <c r="M1451" i="2"/>
  <c r="E1451" i="2"/>
  <c r="B1451" i="2"/>
  <c r="R1450" i="2"/>
  <c r="M1450" i="2"/>
  <c r="I1450" i="2"/>
  <c r="G1450" i="2"/>
  <c r="E1450" i="2"/>
  <c r="B1450" i="2"/>
  <c r="R1449" i="2"/>
  <c r="M1449" i="2"/>
  <c r="E1449" i="2"/>
  <c r="B1449" i="2"/>
  <c r="R1448" i="2"/>
  <c r="M1448" i="2"/>
  <c r="I1448" i="2"/>
  <c r="G1448" i="2"/>
  <c r="E1448" i="2"/>
  <c r="B1448" i="2"/>
  <c r="R1447" i="2"/>
  <c r="M1447" i="2"/>
  <c r="E1447" i="2"/>
  <c r="B1447" i="2"/>
  <c r="R1446" i="2"/>
  <c r="M1446" i="2"/>
  <c r="I1446" i="2"/>
  <c r="G1446" i="2"/>
  <c r="E1446" i="2"/>
  <c r="B1446" i="2"/>
  <c r="R1445" i="2"/>
  <c r="M1445" i="2"/>
  <c r="E1445" i="2"/>
  <c r="B1445" i="2"/>
  <c r="R1444" i="2"/>
  <c r="M1444" i="2"/>
  <c r="I1444" i="2"/>
  <c r="G1444" i="2"/>
  <c r="E1444" i="2"/>
  <c r="B1444" i="2"/>
  <c r="R1443" i="2"/>
  <c r="M1443" i="2"/>
  <c r="E1443" i="2"/>
  <c r="B1443" i="2"/>
  <c r="R1442" i="2"/>
  <c r="M1442" i="2"/>
  <c r="I1442" i="2"/>
  <c r="G1442" i="2"/>
  <c r="E1442" i="2"/>
  <c r="B1442" i="2"/>
  <c r="R1441" i="2"/>
  <c r="M1441" i="2"/>
  <c r="E1441" i="2"/>
  <c r="B1441" i="2"/>
  <c r="R1440" i="2"/>
  <c r="M1440" i="2"/>
  <c r="I1440" i="2"/>
  <c r="G1440" i="2"/>
  <c r="E1440" i="2"/>
  <c r="B1440" i="2"/>
  <c r="R1439" i="2"/>
  <c r="M1439" i="2"/>
  <c r="E1439" i="2"/>
  <c r="B1439" i="2"/>
  <c r="R1438" i="2"/>
  <c r="M1438" i="2"/>
  <c r="I1438" i="2"/>
  <c r="G1438" i="2"/>
  <c r="E1438" i="2"/>
  <c r="B1438" i="2"/>
  <c r="R1437" i="2"/>
  <c r="M1437" i="2"/>
  <c r="E1437" i="2"/>
  <c r="B1437" i="2"/>
  <c r="R1436" i="2"/>
  <c r="M1436" i="2"/>
  <c r="I1436" i="2"/>
  <c r="G1436" i="2"/>
  <c r="E1436" i="2"/>
  <c r="B1436" i="2"/>
  <c r="R1435" i="2"/>
  <c r="M1435" i="2"/>
  <c r="E1435" i="2"/>
  <c r="B1435" i="2"/>
  <c r="R1434" i="2"/>
  <c r="M1434" i="2"/>
  <c r="I1434" i="2"/>
  <c r="G1434" i="2"/>
  <c r="E1434" i="2"/>
  <c r="B1434" i="2"/>
  <c r="R1433" i="2"/>
  <c r="M1433" i="2"/>
  <c r="E1433" i="2"/>
  <c r="B1433" i="2"/>
  <c r="R1432" i="2"/>
  <c r="M1432" i="2"/>
  <c r="I1432" i="2"/>
  <c r="G1432" i="2"/>
  <c r="E1432" i="2"/>
  <c r="B1432" i="2"/>
  <c r="R1431" i="2"/>
  <c r="M1431" i="2"/>
  <c r="E1431" i="2"/>
  <c r="B1431" i="2"/>
  <c r="R1430" i="2"/>
  <c r="M1430" i="2"/>
  <c r="I1430" i="2"/>
  <c r="G1430" i="2"/>
  <c r="E1430" i="2"/>
  <c r="B1430" i="2"/>
  <c r="R1429" i="2"/>
  <c r="M1429" i="2"/>
  <c r="E1429" i="2"/>
  <c r="B1429" i="2"/>
  <c r="R1428" i="2"/>
  <c r="M1428" i="2"/>
  <c r="I1428" i="2"/>
  <c r="G1428" i="2"/>
  <c r="E1428" i="2"/>
  <c r="B1428" i="2"/>
  <c r="R1427" i="2"/>
  <c r="M1427" i="2"/>
  <c r="E1427" i="2"/>
  <c r="B1427" i="2"/>
  <c r="R1426" i="2"/>
  <c r="M1426" i="2"/>
  <c r="I1426" i="2"/>
  <c r="G1426" i="2"/>
  <c r="E1426" i="2"/>
  <c r="B1426" i="2"/>
  <c r="R1425" i="2"/>
  <c r="M1425" i="2"/>
  <c r="G1425" i="2"/>
  <c r="E1425" i="2"/>
  <c r="B1425" i="2"/>
  <c r="R1424" i="2"/>
  <c r="M1424" i="2"/>
  <c r="I1424" i="2"/>
  <c r="G1424" i="2"/>
  <c r="E1424" i="2"/>
  <c r="B1424" i="2"/>
  <c r="R1423" i="2"/>
  <c r="M1423" i="2"/>
  <c r="E1423" i="2"/>
  <c r="B1423" i="2"/>
  <c r="R1422" i="2"/>
  <c r="M1422" i="2"/>
  <c r="I1422" i="2"/>
  <c r="G1422" i="2"/>
  <c r="E1422" i="2"/>
  <c r="B1422" i="2"/>
  <c r="R1421" i="2"/>
  <c r="M1421" i="2"/>
  <c r="E1421" i="2"/>
  <c r="B1421" i="2"/>
  <c r="R1420" i="2"/>
  <c r="M1420" i="2"/>
  <c r="I1420" i="2"/>
  <c r="G1420" i="2"/>
  <c r="E1420" i="2"/>
  <c r="B1420" i="2"/>
  <c r="R1419" i="2"/>
  <c r="M1419" i="2"/>
  <c r="E1419" i="2"/>
  <c r="B1419" i="2"/>
  <c r="R1418" i="2"/>
  <c r="M1418" i="2"/>
  <c r="I1418" i="2"/>
  <c r="G1418" i="2"/>
  <c r="E1418" i="2"/>
  <c r="B1418" i="2"/>
  <c r="R1417" i="2"/>
  <c r="M1417" i="2"/>
  <c r="G1417" i="2"/>
  <c r="E1417" i="2"/>
  <c r="B1417" i="2"/>
  <c r="R1416" i="2"/>
  <c r="M1416" i="2"/>
  <c r="I1416" i="2"/>
  <c r="G1416" i="2"/>
  <c r="E1416" i="2"/>
  <c r="B1416" i="2"/>
  <c r="R1415" i="2"/>
  <c r="M1415" i="2"/>
  <c r="E1415" i="2"/>
  <c r="B1415" i="2"/>
  <c r="R1414" i="2"/>
  <c r="M1414" i="2"/>
  <c r="I1414" i="2"/>
  <c r="G1414" i="2"/>
  <c r="E1414" i="2"/>
  <c r="B1414" i="2"/>
  <c r="R1413" i="2"/>
  <c r="M1413" i="2"/>
  <c r="E1413" i="2"/>
  <c r="B1413" i="2"/>
  <c r="R1412" i="2"/>
  <c r="M1412" i="2"/>
  <c r="I1412" i="2"/>
  <c r="G1412" i="2"/>
  <c r="E1412" i="2"/>
  <c r="B1412" i="2"/>
  <c r="R1411" i="2"/>
  <c r="M1411" i="2"/>
  <c r="G1411" i="2"/>
  <c r="E1411" i="2"/>
  <c r="B1411" i="2"/>
  <c r="R1410" i="2"/>
  <c r="M1410" i="2"/>
  <c r="I1410" i="2"/>
  <c r="G1410" i="2"/>
  <c r="E1410" i="2"/>
  <c r="B1410" i="2"/>
  <c r="R1409" i="2"/>
  <c r="M1409" i="2"/>
  <c r="E1409" i="2"/>
  <c r="B1409" i="2"/>
  <c r="R1408" i="2"/>
  <c r="M1408" i="2"/>
  <c r="I1408" i="2"/>
  <c r="G1408" i="2"/>
  <c r="E1408" i="2"/>
  <c r="B1408" i="2"/>
  <c r="R1407" i="2"/>
  <c r="M1407" i="2"/>
  <c r="E1407" i="2"/>
  <c r="B1407" i="2"/>
  <c r="R1406" i="2"/>
  <c r="M1406" i="2"/>
  <c r="I1406" i="2"/>
  <c r="G1406" i="2"/>
  <c r="E1406" i="2"/>
  <c r="B1406" i="2"/>
  <c r="R1405" i="2"/>
  <c r="M1405" i="2"/>
  <c r="E1405" i="2"/>
  <c r="B1405" i="2"/>
  <c r="R1404" i="2"/>
  <c r="M1404" i="2"/>
  <c r="I1404" i="2"/>
  <c r="G1404" i="2"/>
  <c r="E1404" i="2"/>
  <c r="B1404" i="2"/>
  <c r="R1403" i="2"/>
  <c r="M1403" i="2"/>
  <c r="G1403" i="2"/>
  <c r="E1403" i="2"/>
  <c r="B1403" i="2"/>
  <c r="R1402" i="2"/>
  <c r="M1402" i="2"/>
  <c r="I1402" i="2"/>
  <c r="G1402" i="2"/>
  <c r="E1402" i="2"/>
  <c r="B1402" i="2"/>
  <c r="R1401" i="2"/>
  <c r="M1401" i="2"/>
  <c r="E1401" i="2"/>
  <c r="B1401" i="2"/>
  <c r="R1400" i="2"/>
  <c r="M1400" i="2"/>
  <c r="I1400" i="2"/>
  <c r="G1400" i="2"/>
  <c r="E1400" i="2"/>
  <c r="B1400" i="2"/>
  <c r="R1399" i="2"/>
  <c r="M1399" i="2"/>
  <c r="E1399" i="2"/>
  <c r="B1399" i="2"/>
  <c r="R1398" i="2"/>
  <c r="M1398" i="2"/>
  <c r="I1398" i="2"/>
  <c r="G1398" i="2"/>
  <c r="E1398" i="2"/>
  <c r="B1398" i="2"/>
  <c r="R1397" i="2"/>
  <c r="M1397" i="2"/>
  <c r="G1397" i="2"/>
  <c r="E1397" i="2"/>
  <c r="B1397" i="2"/>
  <c r="R1396" i="2"/>
  <c r="M1396" i="2"/>
  <c r="I1396" i="2"/>
  <c r="G1396" i="2"/>
  <c r="E1396" i="2"/>
  <c r="B1396" i="2"/>
  <c r="R1395" i="2"/>
  <c r="M1395" i="2"/>
  <c r="G1395" i="2"/>
  <c r="E1395" i="2"/>
  <c r="B1395" i="2"/>
  <c r="R1394" i="2"/>
  <c r="M1394" i="2"/>
  <c r="I1394" i="2"/>
  <c r="G1394" i="2"/>
  <c r="E1394" i="2"/>
  <c r="B1394" i="2"/>
  <c r="R1393" i="2"/>
  <c r="M1393" i="2"/>
  <c r="E1393" i="2"/>
  <c r="B1393" i="2"/>
  <c r="R1392" i="2"/>
  <c r="M1392" i="2"/>
  <c r="I1392" i="2"/>
  <c r="G1392" i="2"/>
  <c r="E1392" i="2"/>
  <c r="B1392" i="2"/>
  <c r="R1391" i="2"/>
  <c r="M1391" i="2"/>
  <c r="E1391" i="2"/>
  <c r="B1391" i="2"/>
  <c r="R1390" i="2"/>
  <c r="M1390" i="2"/>
  <c r="I1390" i="2"/>
  <c r="G1390" i="2"/>
  <c r="E1390" i="2"/>
  <c r="B1390" i="2"/>
  <c r="R1389" i="2"/>
  <c r="M1389" i="2"/>
  <c r="G1389" i="2"/>
  <c r="E1389" i="2"/>
  <c r="B1389" i="2"/>
  <c r="R1388" i="2"/>
  <c r="M1388" i="2"/>
  <c r="I1388" i="2"/>
  <c r="G1388" i="2"/>
  <c r="E1388" i="2"/>
  <c r="B1388" i="2"/>
  <c r="R1387" i="2"/>
  <c r="M1387" i="2"/>
  <c r="G1387" i="2"/>
  <c r="E1387" i="2"/>
  <c r="B1387" i="2"/>
  <c r="R1386" i="2"/>
  <c r="M1386" i="2"/>
  <c r="I1386" i="2"/>
  <c r="G1386" i="2"/>
  <c r="E1386" i="2"/>
  <c r="B1386" i="2"/>
  <c r="R1385" i="2"/>
  <c r="M1385" i="2"/>
  <c r="E1385" i="2"/>
  <c r="B1385" i="2"/>
  <c r="R1384" i="2"/>
  <c r="M1384" i="2"/>
  <c r="I1384" i="2"/>
  <c r="G1384" i="2"/>
  <c r="E1384" i="2"/>
  <c r="B1384" i="2"/>
  <c r="R1383" i="2"/>
  <c r="M1383" i="2"/>
  <c r="E1383" i="2"/>
  <c r="B1383" i="2"/>
  <c r="R1382" i="2"/>
  <c r="M1382" i="2"/>
  <c r="I1382" i="2"/>
  <c r="G1382" i="2"/>
  <c r="E1382" i="2"/>
  <c r="B1382" i="2"/>
  <c r="R1381" i="2"/>
  <c r="M1381" i="2"/>
  <c r="E1381" i="2"/>
  <c r="B1381" i="2"/>
  <c r="R1380" i="2"/>
  <c r="M1380" i="2"/>
  <c r="I1380" i="2"/>
  <c r="G1380" i="2"/>
  <c r="E1380" i="2"/>
  <c r="B1380" i="2"/>
  <c r="R1379" i="2"/>
  <c r="M1379" i="2"/>
  <c r="G1379" i="2"/>
  <c r="E1379" i="2"/>
  <c r="B1379" i="2"/>
  <c r="R1378" i="2"/>
  <c r="M1378" i="2"/>
  <c r="I1378" i="2"/>
  <c r="G1378" i="2"/>
  <c r="E1378" i="2"/>
  <c r="B1378" i="2"/>
  <c r="R1377" i="2"/>
  <c r="M1377" i="2"/>
  <c r="E1377" i="2"/>
  <c r="B1377" i="2"/>
  <c r="R1376" i="2"/>
  <c r="M1376" i="2"/>
  <c r="I1376" i="2"/>
  <c r="G1376" i="2"/>
  <c r="E1376" i="2"/>
  <c r="B1376" i="2"/>
  <c r="R1375" i="2"/>
  <c r="M1375" i="2"/>
  <c r="E1375" i="2"/>
  <c r="B1375" i="2"/>
  <c r="R1374" i="2"/>
  <c r="M1374" i="2"/>
  <c r="I1374" i="2"/>
  <c r="G1374" i="2"/>
  <c r="E1374" i="2"/>
  <c r="B1374" i="2"/>
  <c r="R1373" i="2"/>
  <c r="M1373" i="2"/>
  <c r="E1373" i="2"/>
  <c r="B1373" i="2"/>
  <c r="R1372" i="2"/>
  <c r="M1372" i="2"/>
  <c r="I1372" i="2"/>
  <c r="G1372" i="2"/>
  <c r="E1372" i="2"/>
  <c r="B1372" i="2"/>
  <c r="R1371" i="2"/>
  <c r="M1371" i="2"/>
  <c r="G1371" i="2"/>
  <c r="E1371" i="2"/>
  <c r="B1371" i="2"/>
  <c r="R1370" i="2"/>
  <c r="M1370" i="2"/>
  <c r="I1370" i="2"/>
  <c r="G1370" i="2"/>
  <c r="E1370" i="2"/>
  <c r="B1370" i="2"/>
  <c r="R1369" i="2"/>
  <c r="M1369" i="2"/>
  <c r="E1369" i="2"/>
  <c r="B1369" i="2"/>
  <c r="R1368" i="2"/>
  <c r="M1368" i="2"/>
  <c r="I1368" i="2"/>
  <c r="G1368" i="2"/>
  <c r="E1368" i="2"/>
  <c r="B1368" i="2"/>
  <c r="R1367" i="2"/>
  <c r="M1367" i="2"/>
  <c r="E1367" i="2"/>
  <c r="B1367" i="2"/>
  <c r="R1366" i="2"/>
  <c r="M1366" i="2"/>
  <c r="I1366" i="2"/>
  <c r="G1366" i="2"/>
  <c r="E1366" i="2"/>
  <c r="B1366" i="2"/>
  <c r="R1365" i="2"/>
  <c r="M1365" i="2"/>
  <c r="E1365" i="2"/>
  <c r="B1365" i="2"/>
  <c r="R1364" i="2"/>
  <c r="M1364" i="2"/>
  <c r="I1364" i="2"/>
  <c r="G1364" i="2"/>
  <c r="E1364" i="2"/>
  <c r="B1364" i="2"/>
  <c r="R1363" i="2"/>
  <c r="M1363" i="2"/>
  <c r="G1363" i="2"/>
  <c r="E1363" i="2"/>
  <c r="B1363" i="2"/>
  <c r="R1362" i="2"/>
  <c r="M1362" i="2"/>
  <c r="I1362" i="2"/>
  <c r="G1362" i="2"/>
  <c r="E1362" i="2"/>
  <c r="B1362" i="2"/>
  <c r="R1361" i="2"/>
  <c r="M1361" i="2"/>
  <c r="E1361" i="2"/>
  <c r="B1361" i="2"/>
  <c r="R1360" i="2"/>
  <c r="M1360" i="2"/>
  <c r="I1360" i="2"/>
  <c r="G1360" i="2"/>
  <c r="E1360" i="2"/>
  <c r="B1360" i="2"/>
  <c r="R1359" i="2"/>
  <c r="M1359" i="2"/>
  <c r="E1359" i="2"/>
  <c r="B1359" i="2"/>
  <c r="R1358" i="2"/>
  <c r="M1358" i="2"/>
  <c r="I1358" i="2"/>
  <c r="G1358" i="2"/>
  <c r="E1358" i="2"/>
  <c r="B1358" i="2"/>
  <c r="R1357" i="2"/>
  <c r="M1357" i="2"/>
  <c r="E1357" i="2"/>
  <c r="B1357" i="2"/>
  <c r="R1356" i="2"/>
  <c r="M1356" i="2"/>
  <c r="I1356" i="2"/>
  <c r="G1356" i="2"/>
  <c r="E1356" i="2"/>
  <c r="B1356" i="2"/>
  <c r="R1355" i="2"/>
  <c r="M1355" i="2"/>
  <c r="G1355" i="2"/>
  <c r="E1355" i="2"/>
  <c r="B1355" i="2"/>
  <c r="R1354" i="2"/>
  <c r="M1354" i="2"/>
  <c r="I1354" i="2"/>
  <c r="G1354" i="2"/>
  <c r="E1354" i="2"/>
  <c r="B1354" i="2"/>
  <c r="R1353" i="2"/>
  <c r="M1353" i="2"/>
  <c r="E1353" i="2"/>
  <c r="B1353" i="2"/>
  <c r="R1352" i="2"/>
  <c r="M1352" i="2"/>
  <c r="I1352" i="2"/>
  <c r="G1352" i="2"/>
  <c r="E1352" i="2"/>
  <c r="B1352" i="2"/>
  <c r="R1351" i="2"/>
  <c r="M1351" i="2"/>
  <c r="E1351" i="2"/>
  <c r="B1351" i="2"/>
  <c r="R1350" i="2"/>
  <c r="M1350" i="2"/>
  <c r="I1350" i="2"/>
  <c r="G1350" i="2"/>
  <c r="E1350" i="2"/>
  <c r="B1350" i="2"/>
  <c r="R1349" i="2"/>
  <c r="M1349" i="2"/>
  <c r="G1349" i="2"/>
  <c r="E1349" i="2"/>
  <c r="B1349" i="2"/>
  <c r="R1348" i="2"/>
  <c r="M1348" i="2"/>
  <c r="I1348" i="2"/>
  <c r="G1348" i="2"/>
  <c r="E1348" i="2"/>
  <c r="B1348" i="2"/>
  <c r="R1347" i="2"/>
  <c r="M1347" i="2"/>
  <c r="G1347" i="2"/>
  <c r="E1347" i="2"/>
  <c r="B1347" i="2"/>
  <c r="R1346" i="2"/>
  <c r="M1346" i="2"/>
  <c r="I1346" i="2"/>
  <c r="G1346" i="2"/>
  <c r="E1346" i="2"/>
  <c r="B1346" i="2"/>
  <c r="R1345" i="2"/>
  <c r="M1345" i="2"/>
  <c r="E1345" i="2"/>
  <c r="B1345" i="2"/>
  <c r="R1344" i="2"/>
  <c r="M1344" i="2"/>
  <c r="I1344" i="2"/>
  <c r="G1344" i="2"/>
  <c r="E1344" i="2"/>
  <c r="B1344" i="2"/>
  <c r="R1343" i="2"/>
  <c r="M1343" i="2"/>
  <c r="E1343" i="2"/>
  <c r="B1343" i="2"/>
  <c r="R1342" i="2"/>
  <c r="M1342" i="2"/>
  <c r="I1342" i="2"/>
  <c r="G1342" i="2"/>
  <c r="E1342" i="2"/>
  <c r="B1342" i="2"/>
  <c r="R1341" i="2"/>
  <c r="M1341" i="2"/>
  <c r="E1341" i="2"/>
  <c r="B1341" i="2"/>
  <c r="R1340" i="2"/>
  <c r="M1340" i="2"/>
  <c r="I1340" i="2"/>
  <c r="G1340" i="2"/>
  <c r="E1340" i="2"/>
  <c r="B1340" i="2"/>
  <c r="R1339" i="2"/>
  <c r="M1339" i="2"/>
  <c r="G1339" i="2"/>
  <c r="E1339" i="2"/>
  <c r="B1339" i="2"/>
  <c r="R1338" i="2"/>
  <c r="M1338" i="2"/>
  <c r="I1338" i="2"/>
  <c r="G1338" i="2"/>
  <c r="E1338" i="2"/>
  <c r="B1338" i="2"/>
  <c r="R1337" i="2"/>
  <c r="M1337" i="2"/>
  <c r="E1337" i="2"/>
  <c r="B1337" i="2"/>
  <c r="R1336" i="2"/>
  <c r="M1336" i="2"/>
  <c r="I1336" i="2"/>
  <c r="G1336" i="2"/>
  <c r="E1336" i="2"/>
  <c r="B1336" i="2"/>
  <c r="R1335" i="2"/>
  <c r="M1335" i="2"/>
  <c r="E1335" i="2"/>
  <c r="B1335" i="2"/>
  <c r="R1334" i="2"/>
  <c r="M1334" i="2"/>
  <c r="I1334" i="2"/>
  <c r="G1334" i="2"/>
  <c r="E1334" i="2"/>
  <c r="B1334" i="2"/>
  <c r="R1333" i="2"/>
  <c r="M1333" i="2"/>
  <c r="E1333" i="2"/>
  <c r="B1333" i="2"/>
  <c r="R1332" i="2"/>
  <c r="M1332" i="2"/>
  <c r="I1332" i="2"/>
  <c r="G1332" i="2"/>
  <c r="E1332" i="2"/>
  <c r="B1332" i="2"/>
  <c r="R1331" i="2"/>
  <c r="M1331" i="2"/>
  <c r="G1331" i="2"/>
  <c r="E1331" i="2"/>
  <c r="B1331" i="2"/>
  <c r="R1330" i="2"/>
  <c r="M1330" i="2"/>
  <c r="I1330" i="2"/>
  <c r="G1330" i="2"/>
  <c r="E1330" i="2"/>
  <c r="B1330" i="2"/>
  <c r="R1329" i="2"/>
  <c r="M1329" i="2"/>
  <c r="E1329" i="2"/>
  <c r="B1329" i="2"/>
  <c r="R1328" i="2"/>
  <c r="M1328" i="2"/>
  <c r="I1328" i="2"/>
  <c r="G1328" i="2"/>
  <c r="E1328" i="2"/>
  <c r="B1328" i="2"/>
  <c r="R1327" i="2"/>
  <c r="M1327" i="2"/>
  <c r="E1327" i="2"/>
  <c r="B1327" i="2"/>
  <c r="R1326" i="2"/>
  <c r="M1326" i="2"/>
  <c r="I1326" i="2"/>
  <c r="G1326" i="2"/>
  <c r="E1326" i="2"/>
  <c r="B1326" i="2"/>
  <c r="R1325" i="2"/>
  <c r="M1325" i="2"/>
  <c r="G1325" i="2"/>
  <c r="E1325" i="2"/>
  <c r="B1325" i="2"/>
  <c r="R1324" i="2"/>
  <c r="M1324" i="2"/>
  <c r="I1324" i="2"/>
  <c r="G1324" i="2"/>
  <c r="E1324" i="2"/>
  <c r="B1324" i="2"/>
  <c r="R1323" i="2"/>
  <c r="M1323" i="2"/>
  <c r="E1323" i="2"/>
  <c r="B1323" i="2"/>
  <c r="R1322" i="2"/>
  <c r="M1322" i="2"/>
  <c r="I1322" i="2"/>
  <c r="G1322" i="2"/>
  <c r="E1322" i="2"/>
  <c r="B1322" i="2"/>
  <c r="R1321" i="2"/>
  <c r="M1321" i="2"/>
  <c r="G1321" i="2"/>
  <c r="E1321" i="2"/>
  <c r="B1321" i="2"/>
  <c r="R1320" i="2"/>
  <c r="M1320" i="2"/>
  <c r="I1320" i="2"/>
  <c r="G1320" i="2"/>
  <c r="E1320" i="2"/>
  <c r="B1320" i="2"/>
  <c r="R1319" i="2"/>
  <c r="M1319" i="2"/>
  <c r="E1319" i="2"/>
  <c r="B1319" i="2"/>
  <c r="R1318" i="2"/>
  <c r="M1318" i="2"/>
  <c r="I1318" i="2"/>
  <c r="G1318" i="2"/>
  <c r="E1318" i="2"/>
  <c r="B1318" i="2"/>
  <c r="R1317" i="2"/>
  <c r="M1317" i="2"/>
  <c r="G1317" i="2"/>
  <c r="E1317" i="2"/>
  <c r="B1317" i="2"/>
  <c r="R1316" i="2"/>
  <c r="M1316" i="2"/>
  <c r="I1316" i="2"/>
  <c r="E1316" i="2"/>
  <c r="B1316" i="2"/>
  <c r="R1315" i="2"/>
  <c r="M1315" i="2"/>
  <c r="G1315" i="2"/>
  <c r="E1315" i="2"/>
  <c r="B1315" i="2"/>
  <c r="R1314" i="2"/>
  <c r="M1314" i="2"/>
  <c r="G1314" i="2"/>
  <c r="E1314" i="2"/>
  <c r="B1314" i="2"/>
  <c r="I1314" i="2" s="1"/>
  <c r="R1313" i="2"/>
  <c r="M1313" i="2"/>
  <c r="G1313" i="2"/>
  <c r="E1313" i="2"/>
  <c r="B1313" i="2"/>
  <c r="R1312" i="2"/>
  <c r="M1312" i="2"/>
  <c r="E1312" i="2"/>
  <c r="B1312" i="2"/>
  <c r="R1311" i="2"/>
  <c r="M1311" i="2"/>
  <c r="G1311" i="2"/>
  <c r="E1311" i="2"/>
  <c r="B1311" i="2"/>
  <c r="R1310" i="2"/>
  <c r="M1310" i="2"/>
  <c r="I1310" i="2"/>
  <c r="G1310" i="2"/>
  <c r="E1310" i="2"/>
  <c r="B1310" i="2"/>
  <c r="R1309" i="2"/>
  <c r="M1309" i="2"/>
  <c r="E1309" i="2"/>
  <c r="B1309" i="2"/>
  <c r="R1308" i="2"/>
  <c r="M1308" i="2"/>
  <c r="G1308" i="2"/>
  <c r="E1308" i="2"/>
  <c r="B1308" i="2"/>
  <c r="I1308" i="2" s="1"/>
  <c r="R1307" i="2"/>
  <c r="M1307" i="2"/>
  <c r="E1307" i="2"/>
  <c r="B1307" i="2"/>
  <c r="R1306" i="2"/>
  <c r="M1306" i="2"/>
  <c r="E1306" i="2"/>
  <c r="B1306" i="2"/>
  <c r="R1305" i="2"/>
  <c r="M1305" i="2"/>
  <c r="E1305" i="2"/>
  <c r="B1305" i="2"/>
  <c r="R1304" i="2"/>
  <c r="M1304" i="2"/>
  <c r="I1304" i="2"/>
  <c r="E1304" i="2"/>
  <c r="B1304" i="2"/>
  <c r="G1304" i="2" s="1"/>
  <c r="R1303" i="2"/>
  <c r="M1303" i="2"/>
  <c r="G1303" i="2"/>
  <c r="E1303" i="2"/>
  <c r="B1303" i="2"/>
  <c r="R1302" i="2"/>
  <c r="M1302" i="2"/>
  <c r="E1302" i="2"/>
  <c r="B1302" i="2"/>
  <c r="R1301" i="2"/>
  <c r="M1301" i="2"/>
  <c r="E1301" i="2"/>
  <c r="B1301" i="2"/>
  <c r="R1300" i="2"/>
  <c r="M1300" i="2"/>
  <c r="I1300" i="2"/>
  <c r="G1300" i="2"/>
  <c r="E1300" i="2"/>
  <c r="B1300" i="2"/>
  <c r="R1299" i="2"/>
  <c r="M1299" i="2"/>
  <c r="E1299" i="2"/>
  <c r="B1299" i="2"/>
  <c r="R1298" i="2"/>
  <c r="M1298" i="2"/>
  <c r="G1298" i="2"/>
  <c r="E1298" i="2"/>
  <c r="B1298" i="2"/>
  <c r="R1297" i="2"/>
  <c r="M1297" i="2"/>
  <c r="I1297" i="2"/>
  <c r="G1297" i="2"/>
  <c r="E1297" i="2"/>
  <c r="B1297" i="2"/>
  <c r="R1296" i="2"/>
  <c r="M1296" i="2"/>
  <c r="E1296" i="2"/>
  <c r="B1296" i="2"/>
  <c r="R1295" i="2"/>
  <c r="M1295" i="2"/>
  <c r="I1295" i="2"/>
  <c r="G1295" i="2"/>
  <c r="E1295" i="2"/>
  <c r="B1295" i="2"/>
  <c r="R1294" i="2"/>
  <c r="M1294" i="2"/>
  <c r="I1294" i="2"/>
  <c r="G1294" i="2"/>
  <c r="E1294" i="2"/>
  <c r="B1294" i="2"/>
  <c r="R1293" i="2"/>
  <c r="M1293" i="2"/>
  <c r="E1293" i="2"/>
  <c r="B1293" i="2"/>
  <c r="R1292" i="2"/>
  <c r="M1292" i="2"/>
  <c r="I1292" i="2"/>
  <c r="E1292" i="2"/>
  <c r="B1292" i="2"/>
  <c r="R1291" i="2"/>
  <c r="M1291" i="2"/>
  <c r="I1291" i="2"/>
  <c r="G1291" i="2"/>
  <c r="E1291" i="2"/>
  <c r="B1291" i="2"/>
  <c r="R1290" i="2"/>
  <c r="M1290" i="2"/>
  <c r="E1290" i="2"/>
  <c r="B1290" i="2"/>
  <c r="R1289" i="2"/>
  <c r="M1289" i="2"/>
  <c r="E1289" i="2"/>
  <c r="B1289" i="2"/>
  <c r="R1288" i="2"/>
  <c r="M1288" i="2"/>
  <c r="I1288" i="2"/>
  <c r="G1288" i="2"/>
  <c r="E1288" i="2"/>
  <c r="B1288" i="2"/>
  <c r="R1287" i="2"/>
  <c r="M1287" i="2"/>
  <c r="E1287" i="2"/>
  <c r="B1287" i="2"/>
  <c r="R1286" i="2"/>
  <c r="M1286" i="2"/>
  <c r="G1286" i="2"/>
  <c r="E1286" i="2"/>
  <c r="B1286" i="2"/>
  <c r="R1285" i="2"/>
  <c r="M1285" i="2"/>
  <c r="I1285" i="2"/>
  <c r="G1285" i="2"/>
  <c r="E1285" i="2"/>
  <c r="B1285" i="2"/>
  <c r="R1284" i="2"/>
  <c r="M1284" i="2"/>
  <c r="E1284" i="2"/>
  <c r="B1284" i="2"/>
  <c r="R1283" i="2"/>
  <c r="M1283" i="2"/>
  <c r="I1283" i="2"/>
  <c r="G1283" i="2"/>
  <c r="E1283" i="2"/>
  <c r="B1283" i="2"/>
  <c r="R1282" i="2"/>
  <c r="M1282" i="2"/>
  <c r="I1282" i="2"/>
  <c r="G1282" i="2"/>
  <c r="E1282" i="2"/>
  <c r="B1282" i="2"/>
  <c r="R1281" i="2"/>
  <c r="M1281" i="2"/>
  <c r="E1281" i="2"/>
  <c r="B1281" i="2"/>
  <c r="R1280" i="2"/>
  <c r="M1280" i="2"/>
  <c r="I1280" i="2"/>
  <c r="E1280" i="2"/>
  <c r="B1280" i="2"/>
  <c r="R1279" i="2"/>
  <c r="M1279" i="2"/>
  <c r="I1279" i="2"/>
  <c r="G1279" i="2"/>
  <c r="E1279" i="2"/>
  <c r="B1279" i="2"/>
  <c r="R1278" i="2"/>
  <c r="M1278" i="2"/>
  <c r="E1278" i="2"/>
  <c r="B1278" i="2"/>
  <c r="R1277" i="2"/>
  <c r="M1277" i="2"/>
  <c r="E1277" i="2"/>
  <c r="B1277" i="2"/>
  <c r="R1276" i="2"/>
  <c r="M1276" i="2"/>
  <c r="I1276" i="2"/>
  <c r="G1276" i="2"/>
  <c r="E1276" i="2"/>
  <c r="B1276" i="2"/>
  <c r="R1275" i="2"/>
  <c r="M1275" i="2"/>
  <c r="E1275" i="2"/>
  <c r="B1275" i="2"/>
  <c r="R1274" i="2"/>
  <c r="M1274" i="2"/>
  <c r="I1274" i="2"/>
  <c r="G1274" i="2"/>
  <c r="E1274" i="2"/>
  <c r="B1274" i="2"/>
  <c r="R1273" i="2"/>
  <c r="M1273" i="2"/>
  <c r="E1273" i="2"/>
  <c r="B1273" i="2"/>
  <c r="R1272" i="2"/>
  <c r="M1272" i="2"/>
  <c r="I1272" i="2"/>
  <c r="G1272" i="2"/>
  <c r="E1272" i="2"/>
  <c r="B1272" i="2"/>
  <c r="R1271" i="2"/>
  <c r="M1271" i="2"/>
  <c r="E1271" i="2"/>
  <c r="B1271" i="2"/>
  <c r="R1270" i="2"/>
  <c r="M1270" i="2"/>
  <c r="I1270" i="2"/>
  <c r="G1270" i="2"/>
  <c r="E1270" i="2"/>
  <c r="B1270" i="2"/>
  <c r="R1269" i="2"/>
  <c r="M1269" i="2"/>
  <c r="E1269" i="2"/>
  <c r="B1269" i="2"/>
  <c r="R1268" i="2"/>
  <c r="M1268" i="2"/>
  <c r="I1268" i="2"/>
  <c r="G1268" i="2"/>
  <c r="E1268" i="2"/>
  <c r="B1268" i="2"/>
  <c r="R1267" i="2"/>
  <c r="M1267" i="2"/>
  <c r="E1267" i="2"/>
  <c r="B1267" i="2"/>
  <c r="R1266" i="2"/>
  <c r="M1266" i="2"/>
  <c r="I1266" i="2"/>
  <c r="G1266" i="2"/>
  <c r="E1266" i="2"/>
  <c r="B1266" i="2"/>
  <c r="R1265" i="2"/>
  <c r="M1265" i="2"/>
  <c r="E1265" i="2"/>
  <c r="B1265" i="2"/>
  <c r="R1264" i="2"/>
  <c r="M1264" i="2"/>
  <c r="I1264" i="2"/>
  <c r="G1264" i="2"/>
  <c r="E1264" i="2"/>
  <c r="B1264" i="2"/>
  <c r="R1263" i="2"/>
  <c r="M1263" i="2"/>
  <c r="E1263" i="2"/>
  <c r="B1263" i="2"/>
  <c r="R1262" i="2"/>
  <c r="M1262" i="2"/>
  <c r="I1262" i="2"/>
  <c r="G1262" i="2"/>
  <c r="E1262" i="2"/>
  <c r="B1262" i="2"/>
  <c r="R1261" i="2"/>
  <c r="M1261" i="2"/>
  <c r="E1261" i="2"/>
  <c r="B1261" i="2"/>
  <c r="R1260" i="2"/>
  <c r="M1260" i="2"/>
  <c r="I1260" i="2"/>
  <c r="G1260" i="2"/>
  <c r="E1260" i="2"/>
  <c r="B1260" i="2"/>
  <c r="R1259" i="2"/>
  <c r="M1259" i="2"/>
  <c r="E1259" i="2"/>
  <c r="B1259" i="2"/>
  <c r="R1258" i="2"/>
  <c r="M1258" i="2"/>
  <c r="I1258" i="2"/>
  <c r="G1258" i="2"/>
  <c r="E1258" i="2"/>
  <c r="B1258" i="2"/>
  <c r="R1257" i="2"/>
  <c r="M1257" i="2"/>
  <c r="E1257" i="2"/>
  <c r="B1257" i="2"/>
  <c r="R1256" i="2"/>
  <c r="M1256" i="2"/>
  <c r="I1256" i="2"/>
  <c r="G1256" i="2"/>
  <c r="E1256" i="2"/>
  <c r="B1256" i="2"/>
  <c r="R1255" i="2"/>
  <c r="M1255" i="2"/>
  <c r="E1255" i="2"/>
  <c r="B1255" i="2"/>
  <c r="R1254" i="2"/>
  <c r="M1254" i="2"/>
  <c r="I1254" i="2"/>
  <c r="G1254" i="2"/>
  <c r="E1254" i="2"/>
  <c r="B1254" i="2"/>
  <c r="R1253" i="2"/>
  <c r="M1253" i="2"/>
  <c r="E1253" i="2"/>
  <c r="B1253" i="2"/>
  <c r="R1252" i="2"/>
  <c r="M1252" i="2"/>
  <c r="I1252" i="2"/>
  <c r="G1252" i="2"/>
  <c r="E1252" i="2"/>
  <c r="B1252" i="2"/>
  <c r="R1251" i="2"/>
  <c r="M1251" i="2"/>
  <c r="E1251" i="2"/>
  <c r="B1251" i="2"/>
  <c r="R1250" i="2"/>
  <c r="M1250" i="2"/>
  <c r="I1250" i="2"/>
  <c r="G1250" i="2"/>
  <c r="E1250" i="2"/>
  <c r="B1250" i="2"/>
  <c r="R1249" i="2"/>
  <c r="M1249" i="2"/>
  <c r="E1249" i="2"/>
  <c r="B1249" i="2"/>
  <c r="R1248" i="2"/>
  <c r="M1248" i="2"/>
  <c r="I1248" i="2"/>
  <c r="G1248" i="2"/>
  <c r="E1248" i="2"/>
  <c r="B1248" i="2"/>
  <c r="R1247" i="2"/>
  <c r="M1247" i="2"/>
  <c r="E1247" i="2"/>
  <c r="B1247" i="2"/>
  <c r="R1246" i="2"/>
  <c r="M1246" i="2"/>
  <c r="I1246" i="2"/>
  <c r="G1246" i="2"/>
  <c r="E1246" i="2"/>
  <c r="B1246" i="2"/>
  <c r="R1245" i="2"/>
  <c r="M1245" i="2"/>
  <c r="E1245" i="2"/>
  <c r="B1245" i="2"/>
  <c r="R1244" i="2"/>
  <c r="M1244" i="2"/>
  <c r="I1244" i="2"/>
  <c r="G1244" i="2"/>
  <c r="E1244" i="2"/>
  <c r="B1244" i="2"/>
  <c r="R1243" i="2"/>
  <c r="M1243" i="2"/>
  <c r="E1243" i="2"/>
  <c r="B1243" i="2"/>
  <c r="R1242" i="2"/>
  <c r="M1242" i="2"/>
  <c r="I1242" i="2"/>
  <c r="G1242" i="2"/>
  <c r="E1242" i="2"/>
  <c r="B1242" i="2"/>
  <c r="R1241" i="2"/>
  <c r="M1241" i="2"/>
  <c r="E1241" i="2"/>
  <c r="B1241" i="2"/>
  <c r="R1240" i="2"/>
  <c r="M1240" i="2"/>
  <c r="I1240" i="2"/>
  <c r="G1240" i="2"/>
  <c r="E1240" i="2"/>
  <c r="B1240" i="2"/>
  <c r="R1239" i="2"/>
  <c r="M1239" i="2"/>
  <c r="E1239" i="2"/>
  <c r="B1239" i="2"/>
  <c r="R1238" i="2"/>
  <c r="M1238" i="2"/>
  <c r="I1238" i="2"/>
  <c r="G1238" i="2"/>
  <c r="E1238" i="2"/>
  <c r="B1238" i="2"/>
  <c r="R1237" i="2"/>
  <c r="M1237" i="2"/>
  <c r="E1237" i="2"/>
  <c r="B1237" i="2"/>
  <c r="R1236" i="2"/>
  <c r="M1236" i="2"/>
  <c r="I1236" i="2"/>
  <c r="G1236" i="2"/>
  <c r="E1236" i="2"/>
  <c r="B1236" i="2"/>
  <c r="R1235" i="2"/>
  <c r="M1235" i="2"/>
  <c r="E1235" i="2"/>
  <c r="B1235" i="2"/>
  <c r="R1234" i="2"/>
  <c r="M1234" i="2"/>
  <c r="I1234" i="2"/>
  <c r="G1234" i="2"/>
  <c r="E1234" i="2"/>
  <c r="B1234" i="2"/>
  <c r="R1233" i="2"/>
  <c r="M1233" i="2"/>
  <c r="E1233" i="2"/>
  <c r="B1233" i="2"/>
  <c r="R1232" i="2"/>
  <c r="M1232" i="2"/>
  <c r="I1232" i="2"/>
  <c r="G1232" i="2"/>
  <c r="E1232" i="2"/>
  <c r="B1232" i="2"/>
  <c r="R1231" i="2"/>
  <c r="M1231" i="2"/>
  <c r="E1231" i="2"/>
  <c r="B1231" i="2"/>
  <c r="R1230" i="2"/>
  <c r="M1230" i="2"/>
  <c r="I1230" i="2"/>
  <c r="G1230" i="2"/>
  <c r="E1230" i="2"/>
  <c r="B1230" i="2"/>
  <c r="R1229" i="2"/>
  <c r="M1229" i="2"/>
  <c r="E1229" i="2"/>
  <c r="B1229" i="2"/>
  <c r="R1228" i="2"/>
  <c r="M1228" i="2"/>
  <c r="I1228" i="2"/>
  <c r="G1228" i="2"/>
  <c r="E1228" i="2"/>
  <c r="B1228" i="2"/>
  <c r="R1227" i="2"/>
  <c r="M1227" i="2"/>
  <c r="E1227" i="2"/>
  <c r="B1227" i="2"/>
  <c r="R1226" i="2"/>
  <c r="M1226" i="2"/>
  <c r="I1226" i="2"/>
  <c r="G1226" i="2"/>
  <c r="E1226" i="2"/>
  <c r="B1226" i="2"/>
  <c r="R1225" i="2"/>
  <c r="M1225" i="2"/>
  <c r="E1225" i="2"/>
  <c r="B1225" i="2"/>
  <c r="R1224" i="2"/>
  <c r="M1224" i="2"/>
  <c r="I1224" i="2"/>
  <c r="G1224" i="2"/>
  <c r="E1224" i="2"/>
  <c r="B1224" i="2"/>
  <c r="R1223" i="2"/>
  <c r="M1223" i="2"/>
  <c r="E1223" i="2"/>
  <c r="B1223" i="2"/>
  <c r="R1222" i="2"/>
  <c r="M1222" i="2"/>
  <c r="I1222" i="2"/>
  <c r="G1222" i="2"/>
  <c r="E1222" i="2"/>
  <c r="B1222" i="2"/>
  <c r="R1221" i="2"/>
  <c r="M1221" i="2"/>
  <c r="E1221" i="2"/>
  <c r="B1221" i="2"/>
  <c r="R1220" i="2"/>
  <c r="M1220" i="2"/>
  <c r="I1220" i="2"/>
  <c r="G1220" i="2"/>
  <c r="E1220" i="2"/>
  <c r="B1220" i="2"/>
  <c r="R1219" i="2"/>
  <c r="M1219" i="2"/>
  <c r="E1219" i="2"/>
  <c r="B1219" i="2"/>
  <c r="R1218" i="2"/>
  <c r="M1218" i="2"/>
  <c r="I1218" i="2"/>
  <c r="G1218" i="2"/>
  <c r="E1218" i="2"/>
  <c r="B1218" i="2"/>
  <c r="R1217" i="2"/>
  <c r="M1217" i="2"/>
  <c r="E1217" i="2"/>
  <c r="B1217" i="2"/>
  <c r="R1216" i="2"/>
  <c r="M1216" i="2"/>
  <c r="I1216" i="2"/>
  <c r="G1216" i="2"/>
  <c r="E1216" i="2"/>
  <c r="B1216" i="2"/>
  <c r="R1215" i="2"/>
  <c r="M1215" i="2"/>
  <c r="E1215" i="2"/>
  <c r="B1215" i="2"/>
  <c r="R1214" i="2"/>
  <c r="M1214" i="2"/>
  <c r="I1214" i="2"/>
  <c r="G1214" i="2"/>
  <c r="E1214" i="2"/>
  <c r="B1214" i="2"/>
  <c r="R1213" i="2"/>
  <c r="M1213" i="2"/>
  <c r="E1213" i="2"/>
  <c r="B1213" i="2"/>
  <c r="R1212" i="2"/>
  <c r="M1212" i="2"/>
  <c r="I1212" i="2"/>
  <c r="G1212" i="2"/>
  <c r="E1212" i="2"/>
  <c r="B1212" i="2"/>
  <c r="R1211" i="2"/>
  <c r="M1211" i="2"/>
  <c r="E1211" i="2"/>
  <c r="B1211" i="2"/>
  <c r="R1210" i="2"/>
  <c r="M1210" i="2"/>
  <c r="I1210" i="2"/>
  <c r="G1210" i="2"/>
  <c r="E1210" i="2"/>
  <c r="B1210" i="2"/>
  <c r="R1209" i="2"/>
  <c r="M1209" i="2"/>
  <c r="E1209" i="2"/>
  <c r="B1209" i="2"/>
  <c r="R1208" i="2"/>
  <c r="M1208" i="2"/>
  <c r="I1208" i="2"/>
  <c r="G1208" i="2"/>
  <c r="E1208" i="2"/>
  <c r="B1208" i="2"/>
  <c r="R1207" i="2"/>
  <c r="M1207" i="2"/>
  <c r="E1207" i="2"/>
  <c r="B1207" i="2"/>
  <c r="R1206" i="2"/>
  <c r="M1206" i="2"/>
  <c r="I1206" i="2"/>
  <c r="G1206" i="2"/>
  <c r="E1206" i="2"/>
  <c r="B1206" i="2"/>
  <c r="R1205" i="2"/>
  <c r="M1205" i="2"/>
  <c r="E1205" i="2"/>
  <c r="B1205" i="2"/>
  <c r="R1204" i="2"/>
  <c r="M1204" i="2"/>
  <c r="I1204" i="2"/>
  <c r="G1204" i="2"/>
  <c r="E1204" i="2"/>
  <c r="B1204" i="2"/>
  <c r="R1203" i="2"/>
  <c r="M1203" i="2"/>
  <c r="E1203" i="2"/>
  <c r="B1203" i="2"/>
  <c r="R1202" i="2"/>
  <c r="M1202" i="2"/>
  <c r="I1202" i="2"/>
  <c r="G1202" i="2"/>
  <c r="E1202" i="2"/>
  <c r="B1202" i="2"/>
  <c r="R1201" i="2"/>
  <c r="M1201" i="2"/>
  <c r="E1201" i="2"/>
  <c r="B1201" i="2"/>
  <c r="R1200" i="2"/>
  <c r="M1200" i="2"/>
  <c r="I1200" i="2"/>
  <c r="G1200" i="2"/>
  <c r="E1200" i="2"/>
  <c r="B1200" i="2"/>
  <c r="R1199" i="2"/>
  <c r="M1199" i="2"/>
  <c r="E1199" i="2"/>
  <c r="B1199" i="2"/>
  <c r="R1198" i="2"/>
  <c r="M1198" i="2"/>
  <c r="I1198" i="2"/>
  <c r="G1198" i="2"/>
  <c r="E1198" i="2"/>
  <c r="B1198" i="2"/>
  <c r="R1197" i="2"/>
  <c r="M1197" i="2"/>
  <c r="E1197" i="2"/>
  <c r="B1197" i="2"/>
  <c r="R1196" i="2"/>
  <c r="M1196" i="2"/>
  <c r="I1196" i="2"/>
  <c r="G1196" i="2"/>
  <c r="E1196" i="2"/>
  <c r="B1196" i="2"/>
  <c r="R1195" i="2"/>
  <c r="M1195" i="2"/>
  <c r="E1195" i="2"/>
  <c r="B1195" i="2"/>
  <c r="R1194" i="2"/>
  <c r="M1194" i="2"/>
  <c r="I1194" i="2"/>
  <c r="G1194" i="2"/>
  <c r="E1194" i="2"/>
  <c r="B1194" i="2"/>
  <c r="R1193" i="2"/>
  <c r="M1193" i="2"/>
  <c r="E1193" i="2"/>
  <c r="B1193" i="2"/>
  <c r="R1192" i="2"/>
  <c r="M1192" i="2"/>
  <c r="I1192" i="2"/>
  <c r="G1192" i="2"/>
  <c r="E1192" i="2"/>
  <c r="B1192" i="2"/>
  <c r="R1191" i="2"/>
  <c r="M1191" i="2"/>
  <c r="E1191" i="2"/>
  <c r="B1191" i="2"/>
  <c r="R1190" i="2"/>
  <c r="M1190" i="2"/>
  <c r="I1190" i="2"/>
  <c r="G1190" i="2"/>
  <c r="E1190" i="2"/>
  <c r="B1190" i="2"/>
  <c r="R1189" i="2"/>
  <c r="M1189" i="2"/>
  <c r="E1189" i="2"/>
  <c r="B1189" i="2"/>
  <c r="R1188" i="2"/>
  <c r="M1188" i="2"/>
  <c r="I1188" i="2"/>
  <c r="G1188" i="2"/>
  <c r="E1188" i="2"/>
  <c r="B1188" i="2"/>
  <c r="R1187" i="2"/>
  <c r="M1187" i="2"/>
  <c r="E1187" i="2"/>
  <c r="B1187" i="2"/>
  <c r="R1186" i="2"/>
  <c r="M1186" i="2"/>
  <c r="I1186" i="2"/>
  <c r="G1186" i="2"/>
  <c r="E1186" i="2"/>
  <c r="B1186" i="2"/>
  <c r="R1185" i="2"/>
  <c r="M1185" i="2"/>
  <c r="E1185" i="2"/>
  <c r="B1185" i="2"/>
  <c r="R1184" i="2"/>
  <c r="M1184" i="2"/>
  <c r="I1184" i="2"/>
  <c r="G1184" i="2"/>
  <c r="E1184" i="2"/>
  <c r="B1184" i="2"/>
  <c r="R1183" i="2"/>
  <c r="M1183" i="2"/>
  <c r="E1183" i="2"/>
  <c r="B1183" i="2"/>
  <c r="R1182" i="2"/>
  <c r="M1182" i="2"/>
  <c r="I1182" i="2"/>
  <c r="G1182" i="2"/>
  <c r="E1182" i="2"/>
  <c r="B1182" i="2"/>
  <c r="R1181" i="2"/>
  <c r="M1181" i="2"/>
  <c r="E1181" i="2"/>
  <c r="B1181" i="2"/>
  <c r="R1180" i="2"/>
  <c r="M1180" i="2"/>
  <c r="I1180" i="2"/>
  <c r="G1180" i="2"/>
  <c r="E1180" i="2"/>
  <c r="B1180" i="2"/>
  <c r="R1179" i="2"/>
  <c r="M1179" i="2"/>
  <c r="E1179" i="2"/>
  <c r="B1179" i="2"/>
  <c r="R1178" i="2"/>
  <c r="M1178" i="2"/>
  <c r="I1178" i="2"/>
  <c r="G1178" i="2"/>
  <c r="E1178" i="2"/>
  <c r="B1178" i="2"/>
  <c r="R1177" i="2"/>
  <c r="M1177" i="2"/>
  <c r="E1177" i="2"/>
  <c r="B1177" i="2"/>
  <c r="R1176" i="2"/>
  <c r="M1176" i="2"/>
  <c r="I1176" i="2"/>
  <c r="G1176" i="2"/>
  <c r="E1176" i="2"/>
  <c r="B1176" i="2"/>
  <c r="R1175" i="2"/>
  <c r="M1175" i="2"/>
  <c r="E1175" i="2"/>
  <c r="B1175" i="2"/>
  <c r="R1174" i="2"/>
  <c r="M1174" i="2"/>
  <c r="I1174" i="2"/>
  <c r="G1174" i="2"/>
  <c r="E1174" i="2"/>
  <c r="B1174" i="2"/>
  <c r="R1173" i="2"/>
  <c r="M1173" i="2"/>
  <c r="E1173" i="2"/>
  <c r="B1173" i="2"/>
  <c r="R1172" i="2"/>
  <c r="M1172" i="2"/>
  <c r="I1172" i="2"/>
  <c r="G1172" i="2"/>
  <c r="E1172" i="2"/>
  <c r="B1172" i="2"/>
  <c r="R1171" i="2"/>
  <c r="M1171" i="2"/>
  <c r="E1171" i="2"/>
  <c r="B1171" i="2"/>
  <c r="R1170" i="2"/>
  <c r="M1170" i="2"/>
  <c r="I1170" i="2"/>
  <c r="G1170" i="2"/>
  <c r="E1170" i="2"/>
  <c r="B1170" i="2"/>
  <c r="R1169" i="2"/>
  <c r="M1169" i="2"/>
  <c r="E1169" i="2"/>
  <c r="B1169" i="2"/>
  <c r="R1168" i="2"/>
  <c r="M1168" i="2"/>
  <c r="I1168" i="2"/>
  <c r="G1168" i="2"/>
  <c r="E1168" i="2"/>
  <c r="B1168" i="2"/>
  <c r="R1167" i="2"/>
  <c r="M1167" i="2"/>
  <c r="E1167" i="2"/>
  <c r="B1167" i="2"/>
  <c r="R1166" i="2"/>
  <c r="M1166" i="2"/>
  <c r="I1166" i="2"/>
  <c r="G1166" i="2"/>
  <c r="E1166" i="2"/>
  <c r="B1166" i="2"/>
  <c r="R1165" i="2"/>
  <c r="M1165" i="2"/>
  <c r="E1165" i="2"/>
  <c r="B1165" i="2"/>
  <c r="R1164" i="2"/>
  <c r="M1164" i="2"/>
  <c r="I1164" i="2"/>
  <c r="G1164" i="2"/>
  <c r="E1164" i="2"/>
  <c r="B1164" i="2"/>
  <c r="R1163" i="2"/>
  <c r="M1163" i="2"/>
  <c r="E1163" i="2"/>
  <c r="B1163" i="2"/>
  <c r="R1162" i="2"/>
  <c r="M1162" i="2"/>
  <c r="I1162" i="2"/>
  <c r="G1162" i="2"/>
  <c r="E1162" i="2"/>
  <c r="B1162" i="2"/>
  <c r="R1161" i="2"/>
  <c r="M1161" i="2"/>
  <c r="E1161" i="2"/>
  <c r="B1161" i="2"/>
  <c r="R1160" i="2"/>
  <c r="M1160" i="2"/>
  <c r="I1160" i="2"/>
  <c r="G1160" i="2"/>
  <c r="E1160" i="2"/>
  <c r="B1160" i="2"/>
  <c r="R1159" i="2"/>
  <c r="M1159" i="2"/>
  <c r="E1159" i="2"/>
  <c r="B1159" i="2"/>
  <c r="R1158" i="2"/>
  <c r="M1158" i="2"/>
  <c r="I1158" i="2"/>
  <c r="G1158" i="2"/>
  <c r="E1158" i="2"/>
  <c r="B1158" i="2"/>
  <c r="R1157" i="2"/>
  <c r="M1157" i="2"/>
  <c r="E1157" i="2"/>
  <c r="B1157" i="2"/>
  <c r="R1156" i="2"/>
  <c r="M1156" i="2"/>
  <c r="I1156" i="2"/>
  <c r="G1156" i="2"/>
  <c r="E1156" i="2"/>
  <c r="B1156" i="2"/>
  <c r="R1155" i="2"/>
  <c r="M1155" i="2"/>
  <c r="G1155" i="2"/>
  <c r="E1155" i="2"/>
  <c r="B1155" i="2"/>
  <c r="R1154" i="2"/>
  <c r="M1154" i="2"/>
  <c r="I1154" i="2"/>
  <c r="G1154" i="2"/>
  <c r="E1154" i="2"/>
  <c r="B1154" i="2"/>
  <c r="R1153" i="2"/>
  <c r="M1153" i="2"/>
  <c r="E1153" i="2"/>
  <c r="B1153" i="2"/>
  <c r="R1152" i="2"/>
  <c r="M1152" i="2"/>
  <c r="I1152" i="2"/>
  <c r="G1152" i="2"/>
  <c r="E1152" i="2"/>
  <c r="B1152" i="2"/>
  <c r="R1151" i="2"/>
  <c r="M1151" i="2"/>
  <c r="G1151" i="2"/>
  <c r="E1151" i="2"/>
  <c r="B1151" i="2"/>
  <c r="R1150" i="2"/>
  <c r="M1150" i="2"/>
  <c r="I1150" i="2"/>
  <c r="G1150" i="2"/>
  <c r="E1150" i="2"/>
  <c r="B1150" i="2"/>
  <c r="R1149" i="2"/>
  <c r="M1149" i="2"/>
  <c r="E1149" i="2"/>
  <c r="B1149" i="2"/>
  <c r="R1148" i="2"/>
  <c r="M1148" i="2"/>
  <c r="I1148" i="2"/>
  <c r="G1148" i="2"/>
  <c r="E1148" i="2"/>
  <c r="B1148" i="2"/>
  <c r="R1147" i="2"/>
  <c r="M1147" i="2"/>
  <c r="G1147" i="2"/>
  <c r="E1147" i="2"/>
  <c r="B1147" i="2"/>
  <c r="R1146" i="2"/>
  <c r="M1146" i="2"/>
  <c r="I1146" i="2"/>
  <c r="G1146" i="2"/>
  <c r="E1146" i="2"/>
  <c r="B1146" i="2"/>
  <c r="R1145" i="2"/>
  <c r="M1145" i="2"/>
  <c r="E1145" i="2"/>
  <c r="B1145" i="2"/>
  <c r="R1144" i="2"/>
  <c r="M1144" i="2"/>
  <c r="I1144" i="2"/>
  <c r="G1144" i="2"/>
  <c r="E1144" i="2"/>
  <c r="B1144" i="2"/>
  <c r="R1143" i="2"/>
  <c r="M1143" i="2"/>
  <c r="G1143" i="2"/>
  <c r="E1143" i="2"/>
  <c r="B1143" i="2"/>
  <c r="R1142" i="2"/>
  <c r="M1142" i="2"/>
  <c r="I1142" i="2"/>
  <c r="G1142" i="2"/>
  <c r="E1142" i="2"/>
  <c r="B1142" i="2"/>
  <c r="R1141" i="2"/>
  <c r="M1141" i="2"/>
  <c r="E1141" i="2"/>
  <c r="B1141" i="2"/>
  <c r="R1140" i="2"/>
  <c r="M1140" i="2"/>
  <c r="I1140" i="2"/>
  <c r="G1140" i="2"/>
  <c r="E1140" i="2"/>
  <c r="B1140" i="2"/>
  <c r="R1139" i="2"/>
  <c r="M1139" i="2"/>
  <c r="G1139" i="2"/>
  <c r="E1139" i="2"/>
  <c r="B1139" i="2"/>
  <c r="R1138" i="2"/>
  <c r="M1138" i="2"/>
  <c r="I1138" i="2"/>
  <c r="G1138" i="2"/>
  <c r="E1138" i="2"/>
  <c r="B1138" i="2"/>
  <c r="R1137" i="2"/>
  <c r="M1137" i="2"/>
  <c r="E1137" i="2"/>
  <c r="B1137" i="2"/>
  <c r="R1136" i="2"/>
  <c r="M1136" i="2"/>
  <c r="I1136" i="2"/>
  <c r="G1136" i="2"/>
  <c r="E1136" i="2"/>
  <c r="B1136" i="2"/>
  <c r="R1135" i="2"/>
  <c r="M1135" i="2"/>
  <c r="G1135" i="2"/>
  <c r="E1135" i="2"/>
  <c r="B1135" i="2"/>
  <c r="R1134" i="2"/>
  <c r="M1134" i="2"/>
  <c r="I1134" i="2"/>
  <c r="G1134" i="2"/>
  <c r="E1134" i="2"/>
  <c r="B1134" i="2"/>
  <c r="R1133" i="2"/>
  <c r="M1133" i="2"/>
  <c r="E1133" i="2"/>
  <c r="B1133" i="2"/>
  <c r="R1132" i="2"/>
  <c r="M1132" i="2"/>
  <c r="I1132" i="2"/>
  <c r="G1132" i="2"/>
  <c r="E1132" i="2"/>
  <c r="B1132" i="2"/>
  <c r="R1131" i="2"/>
  <c r="M1131" i="2"/>
  <c r="G1131" i="2"/>
  <c r="E1131" i="2"/>
  <c r="B1131" i="2"/>
  <c r="R1130" i="2"/>
  <c r="M1130" i="2"/>
  <c r="I1130" i="2"/>
  <c r="G1130" i="2"/>
  <c r="E1130" i="2"/>
  <c r="B1130" i="2"/>
  <c r="R1129" i="2"/>
  <c r="M1129" i="2"/>
  <c r="I1129" i="2"/>
  <c r="G1129" i="2"/>
  <c r="E1129" i="2"/>
  <c r="B1129" i="2"/>
  <c r="R1128" i="2"/>
  <c r="M1128" i="2"/>
  <c r="I1128" i="2"/>
  <c r="G1128" i="2"/>
  <c r="E1128" i="2"/>
  <c r="B1128" i="2"/>
  <c r="R1127" i="2"/>
  <c r="M1127" i="2"/>
  <c r="G1127" i="2"/>
  <c r="E1127" i="2"/>
  <c r="B1127" i="2"/>
  <c r="R1126" i="2"/>
  <c r="M1126" i="2"/>
  <c r="I1126" i="2"/>
  <c r="G1126" i="2"/>
  <c r="E1126" i="2"/>
  <c r="B1126" i="2"/>
  <c r="R1125" i="2"/>
  <c r="M1125" i="2"/>
  <c r="E1125" i="2"/>
  <c r="B1125" i="2"/>
  <c r="R1124" i="2"/>
  <c r="M1124" i="2"/>
  <c r="I1124" i="2"/>
  <c r="G1124" i="2"/>
  <c r="E1124" i="2"/>
  <c r="B1124" i="2"/>
  <c r="R1123" i="2"/>
  <c r="M1123" i="2"/>
  <c r="G1123" i="2"/>
  <c r="E1123" i="2"/>
  <c r="B1123" i="2"/>
  <c r="R1122" i="2"/>
  <c r="M1122" i="2"/>
  <c r="I1122" i="2"/>
  <c r="G1122" i="2"/>
  <c r="E1122" i="2"/>
  <c r="B1122" i="2"/>
  <c r="R1121" i="2"/>
  <c r="M1121" i="2"/>
  <c r="I1121" i="2"/>
  <c r="G1121" i="2"/>
  <c r="E1121" i="2"/>
  <c r="B1121" i="2"/>
  <c r="R1120" i="2"/>
  <c r="M1120" i="2"/>
  <c r="I1120" i="2"/>
  <c r="G1120" i="2"/>
  <c r="E1120" i="2"/>
  <c r="B1120" i="2"/>
  <c r="R1119" i="2"/>
  <c r="M1119" i="2"/>
  <c r="E1119" i="2"/>
  <c r="B1119" i="2"/>
  <c r="R1118" i="2"/>
  <c r="M1118" i="2"/>
  <c r="I1118" i="2"/>
  <c r="G1118" i="2"/>
  <c r="E1118" i="2"/>
  <c r="B1118" i="2"/>
  <c r="R1117" i="2"/>
  <c r="M1117" i="2"/>
  <c r="E1117" i="2"/>
  <c r="B1117" i="2"/>
  <c r="R1116" i="2"/>
  <c r="M1116" i="2"/>
  <c r="I1116" i="2"/>
  <c r="G1116" i="2"/>
  <c r="E1116" i="2"/>
  <c r="B1116" i="2"/>
  <c r="R1115" i="2"/>
  <c r="M1115" i="2"/>
  <c r="E1115" i="2"/>
  <c r="B1115" i="2"/>
  <c r="R1114" i="2"/>
  <c r="M1114" i="2"/>
  <c r="I1114" i="2"/>
  <c r="G1114" i="2"/>
  <c r="E1114" i="2"/>
  <c r="B1114" i="2"/>
  <c r="R1113" i="2"/>
  <c r="M1113" i="2"/>
  <c r="E1113" i="2"/>
  <c r="B1113" i="2"/>
  <c r="R1112" i="2"/>
  <c r="M1112" i="2"/>
  <c r="I1112" i="2"/>
  <c r="G1112" i="2"/>
  <c r="E1112" i="2"/>
  <c r="B1112" i="2"/>
  <c r="R1111" i="2"/>
  <c r="M1111" i="2"/>
  <c r="E1111" i="2"/>
  <c r="B1111" i="2"/>
  <c r="R1110" i="2"/>
  <c r="M1110" i="2"/>
  <c r="I1110" i="2"/>
  <c r="G1110" i="2"/>
  <c r="E1110" i="2"/>
  <c r="B1110" i="2"/>
  <c r="R1109" i="2"/>
  <c r="M1109" i="2"/>
  <c r="E1109" i="2"/>
  <c r="B1109" i="2"/>
  <c r="R1108" i="2"/>
  <c r="M1108" i="2"/>
  <c r="I1108" i="2"/>
  <c r="G1108" i="2"/>
  <c r="E1108" i="2"/>
  <c r="B1108" i="2"/>
  <c r="R1107" i="2"/>
  <c r="M1107" i="2"/>
  <c r="I1107" i="2"/>
  <c r="G1107" i="2"/>
  <c r="E1107" i="2"/>
  <c r="B1107" i="2"/>
  <c r="R1106" i="2"/>
  <c r="M1106" i="2"/>
  <c r="I1106" i="2"/>
  <c r="G1106" i="2"/>
  <c r="E1106" i="2"/>
  <c r="B1106" i="2"/>
  <c r="R1105" i="2"/>
  <c r="M1105" i="2"/>
  <c r="I1105" i="2"/>
  <c r="E1105" i="2"/>
  <c r="B1105" i="2"/>
  <c r="R1104" i="2"/>
  <c r="M1104" i="2"/>
  <c r="I1104" i="2"/>
  <c r="G1104" i="2"/>
  <c r="E1104" i="2"/>
  <c r="B1104" i="2"/>
  <c r="R1103" i="2"/>
  <c r="M1103" i="2"/>
  <c r="I1103" i="2"/>
  <c r="E1103" i="2"/>
  <c r="B1103" i="2"/>
  <c r="R1102" i="2"/>
  <c r="M1102" i="2"/>
  <c r="I1102" i="2"/>
  <c r="G1102" i="2"/>
  <c r="E1102" i="2"/>
  <c r="B1102" i="2"/>
  <c r="R1101" i="2"/>
  <c r="M1101" i="2"/>
  <c r="E1101" i="2"/>
  <c r="B1101" i="2"/>
  <c r="R1100" i="2"/>
  <c r="M1100" i="2"/>
  <c r="I1100" i="2"/>
  <c r="G1100" i="2"/>
  <c r="E1100" i="2"/>
  <c r="B1100" i="2"/>
  <c r="R1099" i="2"/>
  <c r="M1099" i="2"/>
  <c r="I1099" i="2"/>
  <c r="G1099" i="2"/>
  <c r="E1099" i="2"/>
  <c r="B1099" i="2"/>
  <c r="R1098" i="2"/>
  <c r="M1098" i="2"/>
  <c r="I1098" i="2"/>
  <c r="G1098" i="2"/>
  <c r="E1098" i="2"/>
  <c r="B1098" i="2"/>
  <c r="R1097" i="2"/>
  <c r="M1097" i="2"/>
  <c r="I1097" i="2"/>
  <c r="G1097" i="2"/>
  <c r="E1097" i="2"/>
  <c r="B1097" i="2"/>
  <c r="R1096" i="2"/>
  <c r="M1096" i="2"/>
  <c r="I1096" i="2"/>
  <c r="G1096" i="2"/>
  <c r="E1096" i="2"/>
  <c r="B1096" i="2"/>
  <c r="R1095" i="2"/>
  <c r="M1095" i="2"/>
  <c r="E1095" i="2"/>
  <c r="B1095" i="2"/>
  <c r="R1094" i="2"/>
  <c r="M1094" i="2"/>
  <c r="I1094" i="2"/>
  <c r="G1094" i="2"/>
  <c r="E1094" i="2"/>
  <c r="B1094" i="2"/>
  <c r="R1093" i="2"/>
  <c r="M1093" i="2"/>
  <c r="E1093" i="2"/>
  <c r="B1093" i="2"/>
  <c r="R1092" i="2"/>
  <c r="M1092" i="2"/>
  <c r="E1092" i="2"/>
  <c r="B1092" i="2"/>
  <c r="G1092" i="2" s="1"/>
  <c r="R1091" i="2"/>
  <c r="M1091" i="2"/>
  <c r="I1091" i="2"/>
  <c r="E1091" i="2"/>
  <c r="B1091" i="2"/>
  <c r="R1090" i="2"/>
  <c r="M1090" i="2"/>
  <c r="E1090" i="2"/>
  <c r="B1090" i="2"/>
  <c r="R1089" i="2"/>
  <c r="M1089" i="2"/>
  <c r="E1089" i="2"/>
  <c r="B1089" i="2"/>
  <c r="R1088" i="2"/>
  <c r="M1088" i="2"/>
  <c r="E1088" i="2"/>
  <c r="B1088" i="2"/>
  <c r="R1087" i="2"/>
  <c r="M1087" i="2"/>
  <c r="E1087" i="2"/>
  <c r="B1087" i="2"/>
  <c r="R1086" i="2"/>
  <c r="M1086" i="2"/>
  <c r="E1086" i="2"/>
  <c r="B1086" i="2"/>
  <c r="R1085" i="2"/>
  <c r="M1085" i="2"/>
  <c r="E1085" i="2"/>
  <c r="B1085" i="2"/>
  <c r="G1085" i="2" s="1"/>
  <c r="R1084" i="2"/>
  <c r="M1084" i="2"/>
  <c r="E1084" i="2"/>
  <c r="B1084" i="2"/>
  <c r="R1083" i="2"/>
  <c r="M1083" i="2"/>
  <c r="E1083" i="2"/>
  <c r="B1083" i="2"/>
  <c r="G1083" i="2" s="1"/>
  <c r="R1082" i="2"/>
  <c r="M1082" i="2"/>
  <c r="E1082" i="2"/>
  <c r="B1082" i="2"/>
  <c r="R1081" i="2"/>
  <c r="M1081" i="2"/>
  <c r="E1081" i="2"/>
  <c r="B1081" i="2"/>
  <c r="G1081" i="2" s="1"/>
  <c r="R1080" i="2"/>
  <c r="M1080" i="2"/>
  <c r="E1080" i="2"/>
  <c r="B1080" i="2"/>
  <c r="R1079" i="2"/>
  <c r="M1079" i="2"/>
  <c r="I1079" i="2"/>
  <c r="E1079" i="2"/>
  <c r="B1079" i="2"/>
  <c r="G1079" i="2" s="1"/>
  <c r="R1078" i="2"/>
  <c r="M1078" i="2"/>
  <c r="E1078" i="2"/>
  <c r="B1078" i="2"/>
  <c r="R1077" i="2"/>
  <c r="M1077" i="2"/>
  <c r="I1077" i="2"/>
  <c r="E1077" i="2"/>
  <c r="B1077" i="2"/>
  <c r="G1077" i="2" s="1"/>
  <c r="R1076" i="2"/>
  <c r="M1076" i="2"/>
  <c r="E1076" i="2"/>
  <c r="B1076" i="2"/>
  <c r="R1075" i="2"/>
  <c r="M1075" i="2"/>
  <c r="E1075" i="2"/>
  <c r="B1075" i="2"/>
  <c r="R1074" i="2"/>
  <c r="M1074" i="2"/>
  <c r="I1074" i="2"/>
  <c r="E1074" i="2"/>
  <c r="B1074" i="2"/>
  <c r="G1074" i="2" s="1"/>
  <c r="R1073" i="2"/>
  <c r="M1073" i="2"/>
  <c r="I1073" i="2"/>
  <c r="E1073" i="2"/>
  <c r="B1073" i="2"/>
  <c r="G1073" i="2" s="1"/>
  <c r="R1072" i="2"/>
  <c r="M1072" i="2"/>
  <c r="E1072" i="2"/>
  <c r="B1072" i="2"/>
  <c r="R1071" i="2"/>
  <c r="M1071" i="2"/>
  <c r="E1071" i="2"/>
  <c r="B1071" i="2"/>
  <c r="R1070" i="2"/>
  <c r="M1070" i="2"/>
  <c r="I1070" i="2"/>
  <c r="E1070" i="2"/>
  <c r="B1070" i="2"/>
  <c r="G1070" i="2" s="1"/>
  <c r="R1069" i="2"/>
  <c r="M1069" i="2"/>
  <c r="E1069" i="2"/>
  <c r="B1069" i="2"/>
  <c r="R1068" i="2"/>
  <c r="M1068" i="2"/>
  <c r="I1068" i="2"/>
  <c r="G1068" i="2"/>
  <c r="E1068" i="2"/>
  <c r="B1068" i="2"/>
  <c r="R1067" i="2"/>
  <c r="M1067" i="2"/>
  <c r="E1067" i="2"/>
  <c r="B1067" i="2"/>
  <c r="G1067" i="2" s="1"/>
  <c r="R1066" i="2"/>
  <c r="M1066" i="2"/>
  <c r="I1066" i="2"/>
  <c r="G1066" i="2"/>
  <c r="E1066" i="2"/>
  <c r="B1066" i="2"/>
  <c r="R1065" i="2"/>
  <c r="M1065" i="2"/>
  <c r="E1065" i="2"/>
  <c r="B1065" i="2"/>
  <c r="I1065" i="2" s="1"/>
  <c r="R1064" i="2"/>
  <c r="M1064" i="2"/>
  <c r="G1064" i="2"/>
  <c r="E1064" i="2"/>
  <c r="B1064" i="2"/>
  <c r="R1063" i="2"/>
  <c r="M1063" i="2"/>
  <c r="E1063" i="2"/>
  <c r="B1063" i="2"/>
  <c r="I1063" i="2" s="1"/>
  <c r="R1062" i="2"/>
  <c r="M1062" i="2"/>
  <c r="E1062" i="2"/>
  <c r="B1062" i="2"/>
  <c r="R1061" i="2"/>
  <c r="M1061" i="2"/>
  <c r="G1061" i="2"/>
  <c r="E1061" i="2"/>
  <c r="B1061" i="2"/>
  <c r="I1061" i="2" s="1"/>
  <c r="R1060" i="2"/>
  <c r="M1060" i="2"/>
  <c r="E1060" i="2"/>
  <c r="B1060" i="2"/>
  <c r="R1059" i="2"/>
  <c r="M1059" i="2"/>
  <c r="G1059" i="2"/>
  <c r="E1059" i="2"/>
  <c r="B1059" i="2"/>
  <c r="I1059" i="2" s="1"/>
  <c r="R1058" i="2"/>
  <c r="M1058" i="2"/>
  <c r="E1058" i="2"/>
  <c r="B1058" i="2"/>
  <c r="R1057" i="2"/>
  <c r="M1057" i="2"/>
  <c r="G1057" i="2"/>
  <c r="E1057" i="2"/>
  <c r="B1057" i="2"/>
  <c r="I1057" i="2" s="1"/>
  <c r="R1056" i="2"/>
  <c r="M1056" i="2"/>
  <c r="E1056" i="2"/>
  <c r="B1056" i="2"/>
  <c r="I1056" i="2" s="1"/>
  <c r="R1055" i="2"/>
  <c r="M1055" i="2"/>
  <c r="G1055" i="2"/>
  <c r="E1055" i="2"/>
  <c r="B1055" i="2"/>
  <c r="I1055" i="2" s="1"/>
  <c r="R1054" i="2"/>
  <c r="M1054" i="2"/>
  <c r="I1054" i="2"/>
  <c r="E1054" i="2"/>
  <c r="B1054" i="2"/>
  <c r="G1054" i="2" s="1"/>
  <c r="R1053" i="2"/>
  <c r="M1053" i="2"/>
  <c r="G1053" i="2"/>
  <c r="E1053" i="2"/>
  <c r="B1053" i="2"/>
  <c r="I1053" i="2" s="1"/>
  <c r="R1052" i="2"/>
  <c r="M1052" i="2"/>
  <c r="I1052" i="2"/>
  <c r="G1052" i="2"/>
  <c r="E1052" i="2"/>
  <c r="B1052" i="2"/>
  <c r="R1051" i="2"/>
  <c r="M1051" i="2"/>
  <c r="G1051" i="2"/>
  <c r="E1051" i="2"/>
  <c r="B1051" i="2"/>
  <c r="I1051" i="2" s="1"/>
  <c r="R1050" i="2"/>
  <c r="M1050" i="2"/>
  <c r="I1050" i="2"/>
  <c r="G1050" i="2"/>
  <c r="E1050" i="2"/>
  <c r="B1050" i="2"/>
  <c r="R1049" i="2"/>
  <c r="M1049" i="2"/>
  <c r="G1049" i="2"/>
  <c r="E1049" i="2"/>
  <c r="B1049" i="2"/>
  <c r="I1049" i="2" s="1"/>
  <c r="R1048" i="2"/>
  <c r="M1048" i="2"/>
  <c r="I1048" i="2"/>
  <c r="G1048" i="2"/>
  <c r="E1048" i="2"/>
  <c r="B1048" i="2"/>
  <c r="R1047" i="2"/>
  <c r="M1047" i="2"/>
  <c r="G1047" i="2"/>
  <c r="E1047" i="2"/>
  <c r="B1047" i="2"/>
  <c r="I1047" i="2" s="1"/>
  <c r="R1046" i="2"/>
  <c r="M1046" i="2"/>
  <c r="E1046" i="2"/>
  <c r="B1046" i="2"/>
  <c r="R1045" i="2"/>
  <c r="M1045" i="2"/>
  <c r="G1045" i="2"/>
  <c r="E1045" i="2"/>
  <c r="B1045" i="2"/>
  <c r="I1045" i="2" s="1"/>
  <c r="R1044" i="2"/>
  <c r="M1044" i="2"/>
  <c r="G1044" i="2"/>
  <c r="E1044" i="2"/>
  <c r="B1044" i="2"/>
  <c r="R1043" i="2"/>
  <c r="M1043" i="2"/>
  <c r="G1043" i="2"/>
  <c r="E1043" i="2"/>
  <c r="B1043" i="2"/>
  <c r="I1043" i="2" s="1"/>
  <c r="R1042" i="2"/>
  <c r="M1042" i="2"/>
  <c r="E1042" i="2"/>
  <c r="B1042" i="2"/>
  <c r="R1041" i="2"/>
  <c r="M1041" i="2"/>
  <c r="G1041" i="2"/>
  <c r="E1041" i="2"/>
  <c r="B1041" i="2"/>
  <c r="I1041" i="2" s="1"/>
  <c r="R1040" i="2"/>
  <c r="M1040" i="2"/>
  <c r="E1040" i="2"/>
  <c r="B1040" i="2"/>
  <c r="R1039" i="2"/>
  <c r="M1039" i="2"/>
  <c r="G1039" i="2"/>
  <c r="E1039" i="2"/>
  <c r="B1039" i="2"/>
  <c r="I1039" i="2" s="1"/>
  <c r="R1038" i="2"/>
  <c r="M1038" i="2"/>
  <c r="E1038" i="2"/>
  <c r="B1038" i="2"/>
  <c r="R1037" i="2"/>
  <c r="M1037" i="2"/>
  <c r="G1037" i="2"/>
  <c r="E1037" i="2"/>
  <c r="B1037" i="2"/>
  <c r="I1037" i="2" s="1"/>
  <c r="R1036" i="2"/>
  <c r="M1036" i="2"/>
  <c r="E1036" i="2"/>
  <c r="B1036" i="2"/>
  <c r="R1035" i="2"/>
  <c r="M1035" i="2"/>
  <c r="G1035" i="2"/>
  <c r="E1035" i="2"/>
  <c r="B1035" i="2"/>
  <c r="I1035" i="2" s="1"/>
  <c r="R1034" i="2"/>
  <c r="M1034" i="2"/>
  <c r="E1034" i="2"/>
  <c r="B1034" i="2"/>
  <c r="R1033" i="2"/>
  <c r="M1033" i="2"/>
  <c r="G1033" i="2"/>
  <c r="E1033" i="2"/>
  <c r="B1033" i="2"/>
  <c r="I1033" i="2" s="1"/>
  <c r="R1032" i="2"/>
  <c r="M1032" i="2"/>
  <c r="E1032" i="2"/>
  <c r="B1032" i="2"/>
  <c r="I1032" i="2" s="1"/>
  <c r="R1031" i="2"/>
  <c r="M1031" i="2"/>
  <c r="G1031" i="2"/>
  <c r="E1031" i="2"/>
  <c r="B1031" i="2"/>
  <c r="I1031" i="2" s="1"/>
  <c r="R1030" i="2"/>
  <c r="M1030" i="2"/>
  <c r="I1030" i="2"/>
  <c r="E1030" i="2"/>
  <c r="B1030" i="2"/>
  <c r="G1030" i="2" s="1"/>
  <c r="R1029" i="2"/>
  <c r="M1029" i="2"/>
  <c r="G1029" i="2"/>
  <c r="E1029" i="2"/>
  <c r="B1029" i="2"/>
  <c r="I1029" i="2" s="1"/>
  <c r="R1028" i="2"/>
  <c r="M1028" i="2"/>
  <c r="I1028" i="2"/>
  <c r="E1028" i="2"/>
  <c r="B1028" i="2"/>
  <c r="G1028" i="2" s="1"/>
  <c r="R1027" i="2"/>
  <c r="M1027" i="2"/>
  <c r="G1027" i="2"/>
  <c r="E1027" i="2"/>
  <c r="B1027" i="2"/>
  <c r="I1027" i="2" s="1"/>
  <c r="R1026" i="2"/>
  <c r="M1026" i="2"/>
  <c r="E1026" i="2"/>
  <c r="B1026" i="2"/>
  <c r="R1025" i="2"/>
  <c r="M1025" i="2"/>
  <c r="G1025" i="2"/>
  <c r="E1025" i="2"/>
  <c r="B1025" i="2"/>
  <c r="I1025" i="2" s="1"/>
  <c r="R1024" i="2"/>
  <c r="M1024" i="2"/>
  <c r="E1024" i="2"/>
  <c r="B1024" i="2"/>
  <c r="R1023" i="2"/>
  <c r="M1023" i="2"/>
  <c r="G1023" i="2"/>
  <c r="E1023" i="2"/>
  <c r="B1023" i="2"/>
  <c r="I1023" i="2" s="1"/>
  <c r="R1022" i="2"/>
  <c r="M1022" i="2"/>
  <c r="G1022" i="2"/>
  <c r="E1022" i="2"/>
  <c r="B1022" i="2"/>
  <c r="R1021" i="2"/>
  <c r="M1021" i="2"/>
  <c r="G1021" i="2"/>
  <c r="E1021" i="2"/>
  <c r="B1021" i="2"/>
  <c r="I1021" i="2" s="1"/>
  <c r="R1020" i="2"/>
  <c r="M1020" i="2"/>
  <c r="E1020" i="2"/>
  <c r="B1020" i="2"/>
  <c r="I1020" i="2" s="1"/>
  <c r="R1019" i="2"/>
  <c r="M1019" i="2"/>
  <c r="G1019" i="2"/>
  <c r="E1019" i="2"/>
  <c r="B1019" i="2"/>
  <c r="I1019" i="2" s="1"/>
  <c r="R1018" i="2"/>
  <c r="M1018" i="2"/>
  <c r="I1018" i="2"/>
  <c r="G1018" i="2"/>
  <c r="E1018" i="2"/>
  <c r="B1018" i="2"/>
  <c r="R1017" i="2"/>
  <c r="M1017" i="2"/>
  <c r="G1017" i="2"/>
  <c r="E1017" i="2"/>
  <c r="B1017" i="2"/>
  <c r="I1017" i="2" s="1"/>
  <c r="R1016" i="2"/>
  <c r="M1016" i="2"/>
  <c r="E1016" i="2"/>
  <c r="B1016" i="2"/>
  <c r="R1015" i="2"/>
  <c r="M1015" i="2"/>
  <c r="G1015" i="2"/>
  <c r="E1015" i="2"/>
  <c r="B1015" i="2"/>
  <c r="I1015" i="2" s="1"/>
  <c r="R1014" i="2"/>
  <c r="M1014" i="2"/>
  <c r="E1014" i="2"/>
  <c r="B1014" i="2"/>
  <c r="R1013" i="2"/>
  <c r="M1013" i="2"/>
  <c r="G1013" i="2"/>
  <c r="E1013" i="2"/>
  <c r="B1013" i="2"/>
  <c r="I1013" i="2" s="1"/>
  <c r="R1012" i="2"/>
  <c r="M1012" i="2"/>
  <c r="I1012" i="2"/>
  <c r="G1012" i="2"/>
  <c r="E1012" i="2"/>
  <c r="B1012" i="2"/>
  <c r="R1011" i="2"/>
  <c r="M1011" i="2"/>
  <c r="G1011" i="2"/>
  <c r="E1011" i="2"/>
  <c r="B1011" i="2"/>
  <c r="I1011" i="2" s="1"/>
  <c r="R1010" i="2"/>
  <c r="M1010" i="2"/>
  <c r="E1010" i="2"/>
  <c r="B1010" i="2"/>
  <c r="R1009" i="2"/>
  <c r="M1009" i="2"/>
  <c r="G1009" i="2"/>
  <c r="E1009" i="2"/>
  <c r="B1009" i="2"/>
  <c r="I1009" i="2" s="1"/>
  <c r="R1008" i="2"/>
  <c r="M1008" i="2"/>
  <c r="E1008" i="2"/>
  <c r="B1008" i="2"/>
  <c r="R1007" i="2"/>
  <c r="M1007" i="2"/>
  <c r="G1007" i="2"/>
  <c r="E1007" i="2"/>
  <c r="B1007" i="2"/>
  <c r="I1007" i="2" s="1"/>
  <c r="R1006" i="2"/>
  <c r="M1006" i="2"/>
  <c r="I1006" i="2"/>
  <c r="G1006" i="2"/>
  <c r="E1006" i="2"/>
  <c r="B1006" i="2"/>
  <c r="R1005" i="2"/>
  <c r="M1005" i="2"/>
  <c r="G1005" i="2"/>
  <c r="E1005" i="2"/>
  <c r="B1005" i="2"/>
  <c r="I1005" i="2" s="1"/>
  <c r="R1004" i="2"/>
  <c r="M1004" i="2"/>
  <c r="E1004" i="2"/>
  <c r="B1004" i="2"/>
  <c r="R1003" i="2"/>
  <c r="M1003" i="2"/>
  <c r="G1003" i="2"/>
  <c r="E1003" i="2"/>
  <c r="B1003" i="2"/>
  <c r="I1003" i="2" s="1"/>
  <c r="R1002" i="2"/>
  <c r="M1002" i="2"/>
  <c r="E1002" i="2"/>
  <c r="B1002" i="2"/>
  <c r="R1001" i="2"/>
  <c r="M1001" i="2"/>
  <c r="G1001" i="2"/>
  <c r="E1001" i="2"/>
  <c r="B1001" i="2"/>
  <c r="I1001" i="2" s="1"/>
  <c r="R1000" i="2"/>
  <c r="M1000" i="2"/>
  <c r="E1000" i="2"/>
  <c r="B1000" i="2"/>
  <c r="R999" i="2"/>
  <c r="M999" i="2"/>
  <c r="G999" i="2"/>
  <c r="E999" i="2"/>
  <c r="B999" i="2"/>
  <c r="I999" i="2" s="1"/>
  <c r="R998" i="2"/>
  <c r="M998" i="2"/>
  <c r="I998" i="2"/>
  <c r="G998" i="2"/>
  <c r="E998" i="2"/>
  <c r="B998" i="2"/>
  <c r="R997" i="2"/>
  <c r="M997" i="2"/>
  <c r="G997" i="2"/>
  <c r="E997" i="2"/>
  <c r="B997" i="2"/>
  <c r="I997" i="2" s="1"/>
  <c r="R996" i="2"/>
  <c r="M996" i="2"/>
  <c r="E996" i="2"/>
  <c r="B996" i="2"/>
  <c r="R995" i="2"/>
  <c r="M995" i="2"/>
  <c r="G995" i="2"/>
  <c r="E995" i="2"/>
  <c r="B995" i="2"/>
  <c r="I995" i="2" s="1"/>
  <c r="R994" i="2"/>
  <c r="M994" i="2"/>
  <c r="I994" i="2"/>
  <c r="G994" i="2"/>
  <c r="E994" i="2"/>
  <c r="B994" i="2"/>
  <c r="R993" i="2"/>
  <c r="M993" i="2"/>
  <c r="G993" i="2"/>
  <c r="E993" i="2"/>
  <c r="B993" i="2"/>
  <c r="I993" i="2" s="1"/>
  <c r="R992" i="2"/>
  <c r="M992" i="2"/>
  <c r="E992" i="2"/>
  <c r="B992" i="2"/>
  <c r="R991" i="2"/>
  <c r="M991" i="2"/>
  <c r="G991" i="2"/>
  <c r="E991" i="2"/>
  <c r="B991" i="2"/>
  <c r="I991" i="2" s="1"/>
  <c r="R990" i="2"/>
  <c r="M990" i="2"/>
  <c r="I990" i="2"/>
  <c r="E990" i="2"/>
  <c r="B990" i="2"/>
  <c r="G990" i="2" s="1"/>
  <c r="R989" i="2"/>
  <c r="M989" i="2"/>
  <c r="G989" i="2"/>
  <c r="E989" i="2"/>
  <c r="B989" i="2"/>
  <c r="I989" i="2" s="1"/>
  <c r="R988" i="2"/>
  <c r="M988" i="2"/>
  <c r="E988" i="2"/>
  <c r="B988" i="2"/>
  <c r="R987" i="2"/>
  <c r="M987" i="2"/>
  <c r="G987" i="2"/>
  <c r="E987" i="2"/>
  <c r="B987" i="2"/>
  <c r="I987" i="2" s="1"/>
  <c r="R986" i="2"/>
  <c r="M986" i="2"/>
  <c r="E986" i="2"/>
  <c r="B986" i="2"/>
  <c r="R985" i="2"/>
  <c r="M985" i="2"/>
  <c r="G985" i="2"/>
  <c r="E985" i="2"/>
  <c r="B985" i="2"/>
  <c r="I985" i="2" s="1"/>
  <c r="R984" i="2"/>
  <c r="M984" i="2"/>
  <c r="E984" i="2"/>
  <c r="B984" i="2"/>
  <c r="R983" i="2"/>
  <c r="M983" i="2"/>
  <c r="G983" i="2"/>
  <c r="E983" i="2"/>
  <c r="B983" i="2"/>
  <c r="I983" i="2" s="1"/>
  <c r="R982" i="2"/>
  <c r="M982" i="2"/>
  <c r="I982" i="2"/>
  <c r="G982" i="2"/>
  <c r="E982" i="2"/>
  <c r="B982" i="2"/>
  <c r="R981" i="2"/>
  <c r="M981" i="2"/>
  <c r="G981" i="2"/>
  <c r="E981" i="2"/>
  <c r="B981" i="2"/>
  <c r="I981" i="2" s="1"/>
  <c r="R980" i="2"/>
  <c r="M980" i="2"/>
  <c r="E980" i="2"/>
  <c r="B980" i="2"/>
  <c r="R979" i="2"/>
  <c r="M979" i="2"/>
  <c r="G979" i="2"/>
  <c r="E979" i="2"/>
  <c r="B979" i="2"/>
  <c r="I979" i="2" s="1"/>
  <c r="R978" i="2"/>
  <c r="M978" i="2"/>
  <c r="I978" i="2"/>
  <c r="E978" i="2"/>
  <c r="B978" i="2"/>
  <c r="G978" i="2" s="1"/>
  <c r="R977" i="2"/>
  <c r="M977" i="2"/>
  <c r="G977" i="2"/>
  <c r="E977" i="2"/>
  <c r="B977" i="2"/>
  <c r="I977" i="2" s="1"/>
  <c r="R976" i="2"/>
  <c r="M976" i="2"/>
  <c r="I976" i="2"/>
  <c r="G976" i="2"/>
  <c r="E976" i="2"/>
  <c r="B976" i="2"/>
  <c r="R975" i="2"/>
  <c r="M975" i="2"/>
  <c r="G975" i="2"/>
  <c r="E975" i="2"/>
  <c r="B975" i="2"/>
  <c r="I975" i="2" s="1"/>
  <c r="R974" i="2"/>
  <c r="M974" i="2"/>
  <c r="E974" i="2"/>
  <c r="B974" i="2"/>
  <c r="R973" i="2"/>
  <c r="M973" i="2"/>
  <c r="G973" i="2"/>
  <c r="E973" i="2"/>
  <c r="B973" i="2"/>
  <c r="I973" i="2" s="1"/>
  <c r="R972" i="2"/>
  <c r="M972" i="2"/>
  <c r="I972" i="2"/>
  <c r="E972" i="2"/>
  <c r="B972" i="2"/>
  <c r="G972" i="2" s="1"/>
  <c r="R971" i="2"/>
  <c r="M971" i="2"/>
  <c r="G971" i="2"/>
  <c r="E971" i="2"/>
  <c r="B971" i="2"/>
  <c r="I971" i="2" s="1"/>
  <c r="R970" i="2"/>
  <c r="M970" i="2"/>
  <c r="I970" i="2"/>
  <c r="E970" i="2"/>
  <c r="B970" i="2"/>
  <c r="G970" i="2" s="1"/>
  <c r="R969" i="2"/>
  <c r="M969" i="2"/>
  <c r="G969" i="2"/>
  <c r="E969" i="2"/>
  <c r="B969" i="2"/>
  <c r="I969" i="2" s="1"/>
  <c r="R968" i="2"/>
  <c r="M968" i="2"/>
  <c r="E968" i="2"/>
  <c r="B968" i="2"/>
  <c r="R967" i="2"/>
  <c r="M967" i="2"/>
  <c r="G967" i="2"/>
  <c r="E967" i="2"/>
  <c r="B967" i="2"/>
  <c r="I967" i="2" s="1"/>
  <c r="R966" i="2"/>
  <c r="M966" i="2"/>
  <c r="I966" i="2"/>
  <c r="E966" i="2"/>
  <c r="B966" i="2"/>
  <c r="G966" i="2" s="1"/>
  <c r="R965" i="2"/>
  <c r="M965" i="2"/>
  <c r="G965" i="2"/>
  <c r="E965" i="2"/>
  <c r="B965" i="2"/>
  <c r="I965" i="2" s="1"/>
  <c r="R964" i="2"/>
  <c r="M964" i="2"/>
  <c r="E964" i="2"/>
  <c r="B964" i="2"/>
  <c r="R963" i="2"/>
  <c r="M963" i="2"/>
  <c r="G963" i="2"/>
  <c r="E963" i="2"/>
  <c r="B963" i="2"/>
  <c r="I963" i="2" s="1"/>
  <c r="R962" i="2"/>
  <c r="M962" i="2"/>
  <c r="E962" i="2"/>
  <c r="B962" i="2"/>
  <c r="R961" i="2"/>
  <c r="M961" i="2"/>
  <c r="G961" i="2"/>
  <c r="E961" i="2"/>
  <c r="B961" i="2"/>
  <c r="I961" i="2" s="1"/>
  <c r="R960" i="2"/>
  <c r="M960" i="2"/>
  <c r="I960" i="2"/>
  <c r="E960" i="2"/>
  <c r="B960" i="2"/>
  <c r="G960" i="2" s="1"/>
  <c r="R959" i="2"/>
  <c r="M959" i="2"/>
  <c r="G959" i="2"/>
  <c r="E959" i="2"/>
  <c r="B959" i="2"/>
  <c r="I959" i="2" s="1"/>
  <c r="R958" i="2"/>
  <c r="M958" i="2"/>
  <c r="I958" i="2"/>
  <c r="G958" i="2"/>
  <c r="E958" i="2"/>
  <c r="B958" i="2"/>
  <c r="R957" i="2"/>
  <c r="M957" i="2"/>
  <c r="G957" i="2"/>
  <c r="E957" i="2"/>
  <c r="B957" i="2"/>
  <c r="I957" i="2" s="1"/>
  <c r="R956" i="2"/>
  <c r="M956" i="2"/>
  <c r="E956" i="2"/>
  <c r="B956" i="2"/>
  <c r="R955" i="2"/>
  <c r="M955" i="2"/>
  <c r="G955" i="2"/>
  <c r="E955" i="2"/>
  <c r="B955" i="2"/>
  <c r="I955" i="2" s="1"/>
  <c r="R954" i="2"/>
  <c r="M954" i="2"/>
  <c r="I954" i="2"/>
  <c r="E954" i="2"/>
  <c r="B954" i="2"/>
  <c r="G954" i="2" s="1"/>
  <c r="R953" i="2"/>
  <c r="M953" i="2"/>
  <c r="G953" i="2"/>
  <c r="E953" i="2"/>
  <c r="B953" i="2"/>
  <c r="I953" i="2" s="1"/>
  <c r="R952" i="2"/>
  <c r="M952" i="2"/>
  <c r="I952" i="2"/>
  <c r="E952" i="2"/>
  <c r="B952" i="2"/>
  <c r="G952" i="2" s="1"/>
  <c r="R951" i="2"/>
  <c r="M951" i="2"/>
  <c r="G951" i="2"/>
  <c r="E951" i="2"/>
  <c r="B951" i="2"/>
  <c r="I951" i="2" s="1"/>
  <c r="R950" i="2"/>
  <c r="M950" i="2"/>
  <c r="E950" i="2"/>
  <c r="B950" i="2"/>
  <c r="R949" i="2"/>
  <c r="M949" i="2"/>
  <c r="G949" i="2"/>
  <c r="E949" i="2"/>
  <c r="B949" i="2"/>
  <c r="I949" i="2" s="1"/>
  <c r="R948" i="2"/>
  <c r="M948" i="2"/>
  <c r="I948" i="2"/>
  <c r="E948" i="2"/>
  <c r="B948" i="2"/>
  <c r="G948" i="2" s="1"/>
  <c r="R947" i="2"/>
  <c r="M947" i="2"/>
  <c r="G947" i="2"/>
  <c r="E947" i="2"/>
  <c r="B947" i="2"/>
  <c r="I947" i="2" s="1"/>
  <c r="R946" i="2"/>
  <c r="M946" i="2"/>
  <c r="I946" i="2"/>
  <c r="E946" i="2"/>
  <c r="B946" i="2"/>
  <c r="G946" i="2" s="1"/>
  <c r="R945" i="2"/>
  <c r="M945" i="2"/>
  <c r="G945" i="2"/>
  <c r="E945" i="2"/>
  <c r="B945" i="2"/>
  <c r="I945" i="2" s="1"/>
  <c r="R944" i="2"/>
  <c r="M944" i="2"/>
  <c r="E944" i="2"/>
  <c r="B944" i="2"/>
  <c r="R943" i="2"/>
  <c r="M943" i="2"/>
  <c r="G943" i="2"/>
  <c r="E943" i="2"/>
  <c r="B943" i="2"/>
  <c r="I943" i="2" s="1"/>
  <c r="R942" i="2"/>
  <c r="M942" i="2"/>
  <c r="I942" i="2"/>
  <c r="E942" i="2"/>
  <c r="B942" i="2"/>
  <c r="G942" i="2" s="1"/>
  <c r="R941" i="2"/>
  <c r="M941" i="2"/>
  <c r="G941" i="2"/>
  <c r="E941" i="2"/>
  <c r="B941" i="2"/>
  <c r="I941" i="2" s="1"/>
  <c r="R940" i="2"/>
  <c r="M940" i="2"/>
  <c r="I940" i="2"/>
  <c r="E940" i="2"/>
  <c r="B940" i="2"/>
  <c r="R939" i="2"/>
  <c r="M939" i="2"/>
  <c r="G939" i="2"/>
  <c r="E939" i="2"/>
  <c r="B939" i="2"/>
  <c r="I939" i="2" s="1"/>
  <c r="R938" i="2"/>
  <c r="M938" i="2"/>
  <c r="E938" i="2"/>
  <c r="B938" i="2"/>
  <c r="R937" i="2"/>
  <c r="M937" i="2"/>
  <c r="G937" i="2"/>
  <c r="E937" i="2"/>
  <c r="B937" i="2"/>
  <c r="I937" i="2" s="1"/>
  <c r="R936" i="2"/>
  <c r="M936" i="2"/>
  <c r="I936" i="2"/>
  <c r="E936" i="2"/>
  <c r="B936" i="2"/>
  <c r="G936" i="2" s="1"/>
  <c r="R935" i="2"/>
  <c r="M935" i="2"/>
  <c r="G935" i="2"/>
  <c r="E935" i="2"/>
  <c r="B935" i="2"/>
  <c r="I935" i="2" s="1"/>
  <c r="R934" i="2"/>
  <c r="M934" i="2"/>
  <c r="I934" i="2"/>
  <c r="G934" i="2"/>
  <c r="E934" i="2"/>
  <c r="B934" i="2"/>
  <c r="R933" i="2"/>
  <c r="M933" i="2"/>
  <c r="G933" i="2"/>
  <c r="E933" i="2"/>
  <c r="B933" i="2"/>
  <c r="I933" i="2" s="1"/>
  <c r="R932" i="2"/>
  <c r="M932" i="2"/>
  <c r="E932" i="2"/>
  <c r="B932" i="2"/>
  <c r="R931" i="2"/>
  <c r="M931" i="2"/>
  <c r="G931" i="2"/>
  <c r="E931" i="2"/>
  <c r="B931" i="2"/>
  <c r="I931" i="2" s="1"/>
  <c r="R930" i="2"/>
  <c r="M930" i="2"/>
  <c r="I930" i="2"/>
  <c r="E930" i="2"/>
  <c r="B930" i="2"/>
  <c r="G930" i="2" s="1"/>
  <c r="R929" i="2"/>
  <c r="M929" i="2"/>
  <c r="G929" i="2"/>
  <c r="E929" i="2"/>
  <c r="B929" i="2"/>
  <c r="I929" i="2" s="1"/>
  <c r="R928" i="2"/>
  <c r="M928" i="2"/>
  <c r="I928" i="2"/>
  <c r="E928" i="2"/>
  <c r="B928" i="2"/>
  <c r="G928" i="2" s="1"/>
  <c r="R927" i="2"/>
  <c r="M927" i="2"/>
  <c r="G927" i="2"/>
  <c r="E927" i="2"/>
  <c r="B927" i="2"/>
  <c r="I927" i="2" s="1"/>
  <c r="R926" i="2"/>
  <c r="M926" i="2"/>
  <c r="E926" i="2"/>
  <c r="B926" i="2"/>
  <c r="R925" i="2"/>
  <c r="M925" i="2"/>
  <c r="G925" i="2"/>
  <c r="E925" i="2"/>
  <c r="B925" i="2"/>
  <c r="I925" i="2" s="1"/>
  <c r="R924" i="2"/>
  <c r="M924" i="2"/>
  <c r="I924" i="2"/>
  <c r="E924" i="2"/>
  <c r="B924" i="2"/>
  <c r="G924" i="2" s="1"/>
  <c r="R923" i="2"/>
  <c r="M923" i="2"/>
  <c r="G923" i="2"/>
  <c r="E923" i="2"/>
  <c r="B923" i="2"/>
  <c r="I923" i="2" s="1"/>
  <c r="R922" i="2"/>
  <c r="M922" i="2"/>
  <c r="I922" i="2"/>
  <c r="E922" i="2"/>
  <c r="B922" i="2"/>
  <c r="R921" i="2"/>
  <c r="M921" i="2"/>
  <c r="G921" i="2"/>
  <c r="E921" i="2"/>
  <c r="B921" i="2"/>
  <c r="I921" i="2" s="1"/>
  <c r="R920" i="2"/>
  <c r="M920" i="2"/>
  <c r="E920" i="2"/>
  <c r="B920" i="2"/>
  <c r="R919" i="2"/>
  <c r="M919" i="2"/>
  <c r="G919" i="2"/>
  <c r="E919" i="2"/>
  <c r="B919" i="2"/>
  <c r="I919" i="2" s="1"/>
  <c r="R918" i="2"/>
  <c r="M918" i="2"/>
  <c r="I918" i="2"/>
  <c r="E918" i="2"/>
  <c r="B918" i="2"/>
  <c r="G918" i="2" s="1"/>
  <c r="R917" i="2"/>
  <c r="M917" i="2"/>
  <c r="G917" i="2"/>
  <c r="E917" i="2"/>
  <c r="B917" i="2"/>
  <c r="I917" i="2" s="1"/>
  <c r="R916" i="2"/>
  <c r="M916" i="2"/>
  <c r="E916" i="2"/>
  <c r="B916" i="2"/>
  <c r="R915" i="2"/>
  <c r="M915" i="2"/>
  <c r="E915" i="2"/>
  <c r="B915" i="2"/>
  <c r="I915" i="2" s="1"/>
  <c r="R914" i="2"/>
  <c r="M914" i="2"/>
  <c r="E914" i="2"/>
  <c r="B914" i="2"/>
  <c r="R913" i="2"/>
  <c r="M913" i="2"/>
  <c r="G913" i="2"/>
  <c r="E913" i="2"/>
  <c r="B913" i="2"/>
  <c r="I913" i="2" s="1"/>
  <c r="R912" i="2"/>
  <c r="M912" i="2"/>
  <c r="E912" i="2"/>
  <c r="B912" i="2"/>
  <c r="R911" i="2"/>
  <c r="M911" i="2"/>
  <c r="G911" i="2"/>
  <c r="E911" i="2"/>
  <c r="B911" i="2"/>
  <c r="R910" i="2"/>
  <c r="M910" i="2"/>
  <c r="I910" i="2"/>
  <c r="G910" i="2"/>
  <c r="E910" i="2"/>
  <c r="B910" i="2"/>
  <c r="R909" i="2"/>
  <c r="M909" i="2"/>
  <c r="E909" i="2"/>
  <c r="B909" i="2"/>
  <c r="R908" i="2"/>
  <c r="M908" i="2"/>
  <c r="I908" i="2"/>
  <c r="E908" i="2"/>
  <c r="B908" i="2"/>
  <c r="R907" i="2"/>
  <c r="M907" i="2"/>
  <c r="E907" i="2"/>
  <c r="B907" i="2"/>
  <c r="I907" i="2" s="1"/>
  <c r="R906" i="2"/>
  <c r="M906" i="2"/>
  <c r="E906" i="2"/>
  <c r="B906" i="2"/>
  <c r="R905" i="2"/>
  <c r="M905" i="2"/>
  <c r="G905" i="2"/>
  <c r="E905" i="2"/>
  <c r="B905" i="2"/>
  <c r="I905" i="2" s="1"/>
  <c r="R904" i="2"/>
  <c r="M904" i="2"/>
  <c r="E904" i="2"/>
  <c r="B904" i="2"/>
  <c r="R903" i="2"/>
  <c r="M903" i="2"/>
  <c r="G903" i="2"/>
  <c r="E903" i="2"/>
  <c r="B903" i="2"/>
  <c r="I903" i="2" s="1"/>
  <c r="R902" i="2"/>
  <c r="M902" i="2"/>
  <c r="I902" i="2"/>
  <c r="G902" i="2"/>
  <c r="E902" i="2"/>
  <c r="B902" i="2"/>
  <c r="R901" i="2"/>
  <c r="M901" i="2"/>
  <c r="E901" i="2"/>
  <c r="B901" i="2"/>
  <c r="R900" i="2"/>
  <c r="M900" i="2"/>
  <c r="I900" i="2"/>
  <c r="G900" i="2"/>
  <c r="E900" i="2"/>
  <c r="B900" i="2"/>
  <c r="R899" i="2"/>
  <c r="M899" i="2"/>
  <c r="E899" i="2"/>
  <c r="B899" i="2"/>
  <c r="I899" i="2" s="1"/>
  <c r="R898" i="2"/>
  <c r="M898" i="2"/>
  <c r="G898" i="2"/>
  <c r="E898" i="2"/>
  <c r="B898" i="2"/>
  <c r="R897" i="2"/>
  <c r="M897" i="2"/>
  <c r="G897" i="2"/>
  <c r="E897" i="2"/>
  <c r="B897" i="2"/>
  <c r="I897" i="2" s="1"/>
  <c r="R896" i="2"/>
  <c r="M896" i="2"/>
  <c r="E896" i="2"/>
  <c r="B896" i="2"/>
  <c r="R895" i="2"/>
  <c r="M895" i="2"/>
  <c r="E895" i="2"/>
  <c r="B895" i="2"/>
  <c r="R894" i="2"/>
  <c r="M894" i="2"/>
  <c r="I894" i="2"/>
  <c r="G894" i="2"/>
  <c r="E894" i="2"/>
  <c r="B894" i="2"/>
  <c r="R893" i="2"/>
  <c r="M893" i="2"/>
  <c r="E893" i="2"/>
  <c r="B893" i="2"/>
  <c r="R892" i="2"/>
  <c r="M892" i="2"/>
  <c r="I892" i="2"/>
  <c r="E892" i="2"/>
  <c r="B892" i="2"/>
  <c r="R891" i="2"/>
  <c r="M891" i="2"/>
  <c r="E891" i="2"/>
  <c r="B891" i="2"/>
  <c r="I891" i="2" s="1"/>
  <c r="R890" i="2"/>
  <c r="M890" i="2"/>
  <c r="G890" i="2"/>
  <c r="E890" i="2"/>
  <c r="B890" i="2"/>
  <c r="R889" i="2"/>
  <c r="M889" i="2"/>
  <c r="G889" i="2"/>
  <c r="E889" i="2"/>
  <c r="B889" i="2"/>
  <c r="I889" i="2" s="1"/>
  <c r="R888" i="2"/>
  <c r="M888" i="2"/>
  <c r="E888" i="2"/>
  <c r="B888" i="2"/>
  <c r="R887" i="2"/>
  <c r="M887" i="2"/>
  <c r="I887" i="2"/>
  <c r="G887" i="2"/>
  <c r="E887" i="2"/>
  <c r="B887" i="2"/>
  <c r="R886" i="2"/>
  <c r="M886" i="2"/>
  <c r="E886" i="2"/>
  <c r="B886" i="2"/>
  <c r="R885" i="2"/>
  <c r="M885" i="2"/>
  <c r="I885" i="2"/>
  <c r="G885" i="2"/>
  <c r="E885" i="2"/>
  <c r="B885" i="2"/>
  <c r="R884" i="2"/>
  <c r="M884" i="2"/>
  <c r="E884" i="2"/>
  <c r="B884" i="2"/>
  <c r="R883" i="2"/>
  <c r="M883" i="2"/>
  <c r="I883" i="2"/>
  <c r="G883" i="2"/>
  <c r="E883" i="2"/>
  <c r="B883" i="2"/>
  <c r="R882" i="2"/>
  <c r="M882" i="2"/>
  <c r="E882" i="2"/>
  <c r="B882" i="2"/>
  <c r="R881" i="2"/>
  <c r="M881" i="2"/>
  <c r="I881" i="2"/>
  <c r="G881" i="2"/>
  <c r="E881" i="2"/>
  <c r="B881" i="2"/>
  <c r="R880" i="2"/>
  <c r="M880" i="2"/>
  <c r="E880" i="2"/>
  <c r="B880" i="2"/>
  <c r="R879" i="2"/>
  <c r="M879" i="2"/>
  <c r="I879" i="2"/>
  <c r="G879" i="2"/>
  <c r="E879" i="2"/>
  <c r="B879" i="2"/>
  <c r="R878" i="2"/>
  <c r="M878" i="2"/>
  <c r="E878" i="2"/>
  <c r="B878" i="2"/>
  <c r="R877" i="2"/>
  <c r="M877" i="2"/>
  <c r="I877" i="2"/>
  <c r="G877" i="2"/>
  <c r="E877" i="2"/>
  <c r="B877" i="2"/>
  <c r="R876" i="2"/>
  <c r="M876" i="2"/>
  <c r="E876" i="2"/>
  <c r="B876" i="2"/>
  <c r="R875" i="2"/>
  <c r="M875" i="2"/>
  <c r="I875" i="2"/>
  <c r="G875" i="2"/>
  <c r="E875" i="2"/>
  <c r="B875" i="2"/>
  <c r="R874" i="2"/>
  <c r="M874" i="2"/>
  <c r="E874" i="2"/>
  <c r="B874" i="2"/>
  <c r="R873" i="2"/>
  <c r="M873" i="2"/>
  <c r="I873" i="2"/>
  <c r="G873" i="2"/>
  <c r="E873" i="2"/>
  <c r="B873" i="2"/>
  <c r="R872" i="2"/>
  <c r="M872" i="2"/>
  <c r="E872" i="2"/>
  <c r="B872" i="2"/>
  <c r="R871" i="2"/>
  <c r="M871" i="2"/>
  <c r="I871" i="2"/>
  <c r="G871" i="2"/>
  <c r="E871" i="2"/>
  <c r="B871" i="2"/>
  <c r="R870" i="2"/>
  <c r="M870" i="2"/>
  <c r="E870" i="2"/>
  <c r="B870" i="2"/>
  <c r="R869" i="2"/>
  <c r="M869" i="2"/>
  <c r="I869" i="2"/>
  <c r="G869" i="2"/>
  <c r="E869" i="2"/>
  <c r="B869" i="2"/>
  <c r="R868" i="2"/>
  <c r="M868" i="2"/>
  <c r="I868" i="2"/>
  <c r="G868" i="2"/>
  <c r="E868" i="2"/>
  <c r="B868" i="2"/>
  <c r="R867" i="2"/>
  <c r="M867" i="2"/>
  <c r="I867" i="2"/>
  <c r="G867" i="2"/>
  <c r="E867" i="2"/>
  <c r="B867" i="2"/>
  <c r="R866" i="2"/>
  <c r="M866" i="2"/>
  <c r="I866" i="2"/>
  <c r="G866" i="2"/>
  <c r="E866" i="2"/>
  <c r="B866" i="2"/>
  <c r="R865" i="2"/>
  <c r="M865" i="2"/>
  <c r="I865" i="2"/>
  <c r="G865" i="2"/>
  <c r="E865" i="2"/>
  <c r="B865" i="2"/>
  <c r="R864" i="2"/>
  <c r="M864" i="2"/>
  <c r="G864" i="2"/>
  <c r="E864" i="2"/>
  <c r="B864" i="2"/>
  <c r="R863" i="2"/>
  <c r="M863" i="2"/>
  <c r="I863" i="2"/>
  <c r="G863" i="2"/>
  <c r="E863" i="2"/>
  <c r="B863" i="2"/>
  <c r="R862" i="2"/>
  <c r="M862" i="2"/>
  <c r="I862" i="2"/>
  <c r="E862" i="2"/>
  <c r="B862" i="2"/>
  <c r="R861" i="2"/>
  <c r="M861" i="2"/>
  <c r="I861" i="2"/>
  <c r="G861" i="2"/>
  <c r="E861" i="2"/>
  <c r="B861" i="2"/>
  <c r="R860" i="2"/>
  <c r="M860" i="2"/>
  <c r="E860" i="2"/>
  <c r="B860" i="2"/>
  <c r="R859" i="2"/>
  <c r="M859" i="2"/>
  <c r="I859" i="2"/>
  <c r="G859" i="2"/>
  <c r="E859" i="2"/>
  <c r="B859" i="2"/>
  <c r="R858" i="2"/>
  <c r="M858" i="2"/>
  <c r="E858" i="2"/>
  <c r="B858" i="2"/>
  <c r="R857" i="2"/>
  <c r="M857" i="2"/>
  <c r="I857" i="2"/>
  <c r="G857" i="2"/>
  <c r="E857" i="2"/>
  <c r="B857" i="2"/>
  <c r="R856" i="2"/>
  <c r="M856" i="2"/>
  <c r="I856" i="2"/>
  <c r="G856" i="2"/>
  <c r="E856" i="2"/>
  <c r="B856" i="2"/>
  <c r="R855" i="2"/>
  <c r="M855" i="2"/>
  <c r="I855" i="2"/>
  <c r="G855" i="2"/>
  <c r="E855" i="2"/>
  <c r="B855" i="2"/>
  <c r="R854" i="2"/>
  <c r="M854" i="2"/>
  <c r="E854" i="2"/>
  <c r="B854" i="2"/>
  <c r="R853" i="2"/>
  <c r="M853" i="2"/>
  <c r="I853" i="2"/>
  <c r="G853" i="2"/>
  <c r="E853" i="2"/>
  <c r="B853" i="2"/>
  <c r="R852" i="2"/>
  <c r="M852" i="2"/>
  <c r="I852" i="2"/>
  <c r="G852" i="2"/>
  <c r="E852" i="2"/>
  <c r="B852" i="2"/>
  <c r="R851" i="2"/>
  <c r="M851" i="2"/>
  <c r="I851" i="2"/>
  <c r="G851" i="2"/>
  <c r="E851" i="2"/>
  <c r="B851" i="2"/>
  <c r="R850" i="2"/>
  <c r="M850" i="2"/>
  <c r="E850" i="2"/>
  <c r="B850" i="2"/>
  <c r="R849" i="2"/>
  <c r="M849" i="2"/>
  <c r="I849" i="2"/>
  <c r="G849" i="2"/>
  <c r="E849" i="2"/>
  <c r="B849" i="2"/>
  <c r="R848" i="2"/>
  <c r="M848" i="2"/>
  <c r="G848" i="2"/>
  <c r="E848" i="2"/>
  <c r="B848" i="2"/>
  <c r="R847" i="2"/>
  <c r="M847" i="2"/>
  <c r="I847" i="2"/>
  <c r="G847" i="2"/>
  <c r="E847" i="2"/>
  <c r="B847" i="2"/>
  <c r="R846" i="2"/>
  <c r="M846" i="2"/>
  <c r="E846" i="2"/>
  <c r="B846" i="2"/>
  <c r="R845" i="2"/>
  <c r="M845" i="2"/>
  <c r="I845" i="2"/>
  <c r="G845" i="2"/>
  <c r="E845" i="2"/>
  <c r="B845" i="2"/>
  <c r="R844" i="2"/>
  <c r="M844" i="2"/>
  <c r="I844" i="2"/>
  <c r="G844" i="2"/>
  <c r="E844" i="2"/>
  <c r="B844" i="2"/>
  <c r="R843" i="2"/>
  <c r="M843" i="2"/>
  <c r="I843" i="2"/>
  <c r="G843" i="2"/>
  <c r="E843" i="2"/>
  <c r="B843" i="2"/>
  <c r="R842" i="2"/>
  <c r="M842" i="2"/>
  <c r="I842" i="2"/>
  <c r="G842" i="2"/>
  <c r="E842" i="2"/>
  <c r="B842" i="2"/>
  <c r="R841" i="2"/>
  <c r="M841" i="2"/>
  <c r="I841" i="2"/>
  <c r="G841" i="2"/>
  <c r="E841" i="2"/>
  <c r="B841" i="2"/>
  <c r="R840" i="2"/>
  <c r="M840" i="2"/>
  <c r="G840" i="2"/>
  <c r="E840" i="2"/>
  <c r="B840" i="2"/>
  <c r="R839" i="2"/>
  <c r="M839" i="2"/>
  <c r="I839" i="2"/>
  <c r="G839" i="2"/>
  <c r="E839" i="2"/>
  <c r="B839" i="2"/>
  <c r="R838" i="2"/>
  <c r="M838" i="2"/>
  <c r="I838" i="2"/>
  <c r="E838" i="2"/>
  <c r="B838" i="2"/>
  <c r="R837" i="2"/>
  <c r="M837" i="2"/>
  <c r="I837" i="2"/>
  <c r="G837" i="2"/>
  <c r="E837" i="2"/>
  <c r="B837" i="2"/>
  <c r="R836" i="2"/>
  <c r="M836" i="2"/>
  <c r="E836" i="2"/>
  <c r="B836" i="2"/>
  <c r="R835" i="2"/>
  <c r="M835" i="2"/>
  <c r="I835" i="2"/>
  <c r="G835" i="2"/>
  <c r="E835" i="2"/>
  <c r="B835" i="2"/>
  <c r="R834" i="2"/>
  <c r="M834" i="2"/>
  <c r="E834" i="2"/>
  <c r="B834" i="2"/>
  <c r="R833" i="2"/>
  <c r="M833" i="2"/>
  <c r="I833" i="2"/>
  <c r="G833" i="2"/>
  <c r="E833" i="2"/>
  <c r="B833" i="2"/>
  <c r="R832" i="2"/>
  <c r="M832" i="2"/>
  <c r="I832" i="2"/>
  <c r="G832" i="2"/>
  <c r="E832" i="2"/>
  <c r="B832" i="2"/>
  <c r="R831" i="2"/>
  <c r="M831" i="2"/>
  <c r="I831" i="2"/>
  <c r="G831" i="2"/>
  <c r="E831" i="2"/>
  <c r="B831" i="2"/>
  <c r="R830" i="2"/>
  <c r="M830" i="2"/>
  <c r="E830" i="2"/>
  <c r="B830" i="2"/>
  <c r="R829" i="2"/>
  <c r="M829" i="2"/>
  <c r="I829" i="2"/>
  <c r="G829" i="2"/>
  <c r="E829" i="2"/>
  <c r="B829" i="2"/>
  <c r="R828" i="2"/>
  <c r="M828" i="2"/>
  <c r="I828" i="2"/>
  <c r="E828" i="2"/>
  <c r="B828" i="2"/>
  <c r="R827" i="2"/>
  <c r="M827" i="2"/>
  <c r="I827" i="2"/>
  <c r="G827" i="2"/>
  <c r="E827" i="2"/>
  <c r="B827" i="2"/>
  <c r="R826" i="2"/>
  <c r="M826" i="2"/>
  <c r="I826" i="2"/>
  <c r="G826" i="2"/>
  <c r="E826" i="2"/>
  <c r="B826" i="2"/>
  <c r="R825" i="2"/>
  <c r="M825" i="2"/>
  <c r="I825" i="2"/>
  <c r="G825" i="2"/>
  <c r="E825" i="2"/>
  <c r="B825" i="2"/>
  <c r="R824" i="2"/>
  <c r="M824" i="2"/>
  <c r="I824" i="2"/>
  <c r="E824" i="2"/>
  <c r="B824" i="2"/>
  <c r="R823" i="2"/>
  <c r="M823" i="2"/>
  <c r="I823" i="2"/>
  <c r="G823" i="2"/>
  <c r="E823" i="2"/>
  <c r="B823" i="2"/>
  <c r="R822" i="2"/>
  <c r="M822" i="2"/>
  <c r="I822" i="2"/>
  <c r="G822" i="2"/>
  <c r="E822" i="2"/>
  <c r="B822" i="2"/>
  <c r="R821" i="2"/>
  <c r="M821" i="2"/>
  <c r="I821" i="2"/>
  <c r="G821" i="2"/>
  <c r="E821" i="2"/>
  <c r="B821" i="2"/>
  <c r="R820" i="2"/>
  <c r="M820" i="2"/>
  <c r="I820" i="2"/>
  <c r="E820" i="2"/>
  <c r="B820" i="2"/>
  <c r="R819" i="2"/>
  <c r="M819" i="2"/>
  <c r="I819" i="2"/>
  <c r="G819" i="2"/>
  <c r="E819" i="2"/>
  <c r="B819" i="2"/>
  <c r="R818" i="2"/>
  <c r="M818" i="2"/>
  <c r="I818" i="2"/>
  <c r="G818" i="2"/>
  <c r="E818" i="2"/>
  <c r="B818" i="2"/>
  <c r="R817" i="2"/>
  <c r="M817" i="2"/>
  <c r="I817" i="2"/>
  <c r="G817" i="2"/>
  <c r="E817" i="2"/>
  <c r="B817" i="2"/>
  <c r="R816" i="2"/>
  <c r="M816" i="2"/>
  <c r="E816" i="2"/>
  <c r="B816" i="2"/>
  <c r="R815" i="2"/>
  <c r="M815" i="2"/>
  <c r="I815" i="2"/>
  <c r="G815" i="2"/>
  <c r="E815" i="2"/>
  <c r="B815" i="2"/>
  <c r="R814" i="2"/>
  <c r="M814" i="2"/>
  <c r="I814" i="2"/>
  <c r="G814" i="2"/>
  <c r="E814" i="2"/>
  <c r="B814" i="2"/>
  <c r="R813" i="2"/>
  <c r="M813" i="2"/>
  <c r="I813" i="2"/>
  <c r="G813" i="2"/>
  <c r="E813" i="2"/>
  <c r="B813" i="2"/>
  <c r="R812" i="2"/>
  <c r="M812" i="2"/>
  <c r="I812" i="2"/>
  <c r="E812" i="2"/>
  <c r="B812" i="2"/>
  <c r="R811" i="2"/>
  <c r="M811" i="2"/>
  <c r="I811" i="2"/>
  <c r="G811" i="2"/>
  <c r="E811" i="2"/>
  <c r="B811" i="2"/>
  <c r="R810" i="2"/>
  <c r="M810" i="2"/>
  <c r="I810" i="2"/>
  <c r="G810" i="2"/>
  <c r="E810" i="2"/>
  <c r="B810" i="2"/>
  <c r="R809" i="2"/>
  <c r="M809" i="2"/>
  <c r="I809" i="2"/>
  <c r="G809" i="2"/>
  <c r="E809" i="2"/>
  <c r="B809" i="2"/>
  <c r="R808" i="2"/>
  <c r="M808" i="2"/>
  <c r="I808" i="2"/>
  <c r="E808" i="2"/>
  <c r="B808" i="2"/>
  <c r="R807" i="2"/>
  <c r="M807" i="2"/>
  <c r="I807" i="2"/>
  <c r="G807" i="2"/>
  <c r="E807" i="2"/>
  <c r="B807" i="2"/>
  <c r="R806" i="2"/>
  <c r="M806" i="2"/>
  <c r="I806" i="2"/>
  <c r="G806" i="2"/>
  <c r="E806" i="2"/>
  <c r="B806" i="2"/>
  <c r="R805" i="2"/>
  <c r="M805" i="2"/>
  <c r="I805" i="2"/>
  <c r="G805" i="2"/>
  <c r="E805" i="2"/>
  <c r="B805" i="2"/>
  <c r="R804" i="2"/>
  <c r="M804" i="2"/>
  <c r="I804" i="2"/>
  <c r="E804" i="2"/>
  <c r="B804" i="2"/>
  <c r="R803" i="2"/>
  <c r="M803" i="2"/>
  <c r="I803" i="2"/>
  <c r="G803" i="2"/>
  <c r="E803" i="2"/>
  <c r="B803" i="2"/>
  <c r="R802" i="2"/>
  <c r="M802" i="2"/>
  <c r="I802" i="2"/>
  <c r="G802" i="2"/>
  <c r="E802" i="2"/>
  <c r="B802" i="2"/>
  <c r="R801" i="2"/>
  <c r="M801" i="2"/>
  <c r="I801" i="2"/>
  <c r="G801" i="2"/>
  <c r="E801" i="2"/>
  <c r="B801" i="2"/>
  <c r="R800" i="2"/>
  <c r="M800" i="2"/>
  <c r="I800" i="2"/>
  <c r="E800" i="2"/>
  <c r="B800" i="2"/>
  <c r="R799" i="2"/>
  <c r="M799" i="2"/>
  <c r="I799" i="2"/>
  <c r="G799" i="2"/>
  <c r="E799" i="2"/>
  <c r="B799" i="2"/>
  <c r="R798" i="2"/>
  <c r="M798" i="2"/>
  <c r="I798" i="2"/>
  <c r="E798" i="2"/>
  <c r="B798" i="2"/>
  <c r="R797" i="2"/>
  <c r="M797" i="2"/>
  <c r="I797" i="2"/>
  <c r="G797" i="2"/>
  <c r="E797" i="2"/>
  <c r="B797" i="2"/>
  <c r="R796" i="2"/>
  <c r="M796" i="2"/>
  <c r="I796" i="2"/>
  <c r="E796" i="2"/>
  <c r="B796" i="2"/>
  <c r="R795" i="2"/>
  <c r="M795" i="2"/>
  <c r="I795" i="2"/>
  <c r="G795" i="2"/>
  <c r="E795" i="2"/>
  <c r="B795" i="2"/>
  <c r="R794" i="2"/>
  <c r="M794" i="2"/>
  <c r="I794" i="2"/>
  <c r="G794" i="2"/>
  <c r="E794" i="2"/>
  <c r="B794" i="2"/>
  <c r="R793" i="2"/>
  <c r="M793" i="2"/>
  <c r="I793" i="2"/>
  <c r="G793" i="2"/>
  <c r="E793" i="2"/>
  <c r="B793" i="2"/>
  <c r="R792" i="2"/>
  <c r="M792" i="2"/>
  <c r="E792" i="2"/>
  <c r="B792" i="2"/>
  <c r="R791" i="2"/>
  <c r="M791" i="2"/>
  <c r="I791" i="2"/>
  <c r="G791" i="2"/>
  <c r="E791" i="2"/>
  <c r="B791" i="2"/>
  <c r="R790" i="2"/>
  <c r="M790" i="2"/>
  <c r="I790" i="2"/>
  <c r="E790" i="2"/>
  <c r="B790" i="2"/>
  <c r="R789" i="2"/>
  <c r="M789" i="2"/>
  <c r="I789" i="2"/>
  <c r="G789" i="2"/>
  <c r="E789" i="2"/>
  <c r="B789" i="2"/>
  <c r="R788" i="2"/>
  <c r="M788" i="2"/>
  <c r="I788" i="2"/>
  <c r="E788" i="2"/>
  <c r="B788" i="2"/>
  <c r="R787" i="2"/>
  <c r="M787" i="2"/>
  <c r="I787" i="2"/>
  <c r="G787" i="2"/>
  <c r="E787" i="2"/>
  <c r="B787" i="2"/>
  <c r="R786" i="2"/>
  <c r="M786" i="2"/>
  <c r="I786" i="2"/>
  <c r="G786" i="2"/>
  <c r="E786" i="2"/>
  <c r="B786" i="2"/>
  <c r="R785" i="2"/>
  <c r="M785" i="2"/>
  <c r="I785" i="2"/>
  <c r="G785" i="2"/>
  <c r="E785" i="2"/>
  <c r="B785" i="2"/>
  <c r="R784" i="2"/>
  <c r="M784" i="2"/>
  <c r="E784" i="2"/>
  <c r="B784" i="2"/>
  <c r="R783" i="2"/>
  <c r="M783" i="2"/>
  <c r="I783" i="2"/>
  <c r="G783" i="2"/>
  <c r="E783" i="2"/>
  <c r="B783" i="2"/>
  <c r="R782" i="2"/>
  <c r="M782" i="2"/>
  <c r="I782" i="2"/>
  <c r="G782" i="2"/>
  <c r="E782" i="2"/>
  <c r="B782" i="2"/>
  <c r="R781" i="2"/>
  <c r="M781" i="2"/>
  <c r="I781" i="2"/>
  <c r="G781" i="2"/>
  <c r="E781" i="2"/>
  <c r="B781" i="2"/>
  <c r="R780" i="2"/>
  <c r="M780" i="2"/>
  <c r="I780" i="2"/>
  <c r="E780" i="2"/>
  <c r="B780" i="2"/>
  <c r="R779" i="2"/>
  <c r="M779" i="2"/>
  <c r="I779" i="2"/>
  <c r="G779" i="2"/>
  <c r="E779" i="2"/>
  <c r="B779" i="2"/>
  <c r="R778" i="2"/>
  <c r="M778" i="2"/>
  <c r="I778" i="2"/>
  <c r="G778" i="2"/>
  <c r="E778" i="2"/>
  <c r="B778" i="2"/>
  <c r="R777" i="2"/>
  <c r="M777" i="2"/>
  <c r="I777" i="2"/>
  <c r="G777" i="2"/>
  <c r="E777" i="2"/>
  <c r="B777" i="2"/>
  <c r="R776" i="2"/>
  <c r="M776" i="2"/>
  <c r="E776" i="2"/>
  <c r="B776" i="2"/>
  <c r="R775" i="2"/>
  <c r="M775" i="2"/>
  <c r="I775" i="2"/>
  <c r="G775" i="2"/>
  <c r="E775" i="2"/>
  <c r="B775" i="2"/>
  <c r="R774" i="2"/>
  <c r="M774" i="2"/>
  <c r="I774" i="2"/>
  <c r="G774" i="2"/>
  <c r="E774" i="2"/>
  <c r="B774" i="2"/>
  <c r="R773" i="2"/>
  <c r="M773" i="2"/>
  <c r="I773" i="2"/>
  <c r="G773" i="2"/>
  <c r="E773" i="2"/>
  <c r="B773" i="2"/>
  <c r="R772" i="2"/>
  <c r="M772" i="2"/>
  <c r="I772" i="2"/>
  <c r="E772" i="2"/>
  <c r="B772" i="2"/>
  <c r="R771" i="2"/>
  <c r="M771" i="2"/>
  <c r="I771" i="2"/>
  <c r="G771" i="2"/>
  <c r="E771" i="2"/>
  <c r="B771" i="2"/>
  <c r="R770" i="2"/>
  <c r="M770" i="2"/>
  <c r="I770" i="2"/>
  <c r="G770" i="2"/>
  <c r="E770" i="2"/>
  <c r="B770" i="2"/>
  <c r="R769" i="2"/>
  <c r="M769" i="2"/>
  <c r="I769" i="2"/>
  <c r="G769" i="2"/>
  <c r="E769" i="2"/>
  <c r="B769" i="2"/>
  <c r="R768" i="2"/>
  <c r="M768" i="2"/>
  <c r="E768" i="2"/>
  <c r="B768" i="2"/>
  <c r="R767" i="2"/>
  <c r="M767" i="2"/>
  <c r="I767" i="2"/>
  <c r="G767" i="2"/>
  <c r="E767" i="2"/>
  <c r="B767" i="2"/>
  <c r="R766" i="2"/>
  <c r="M766" i="2"/>
  <c r="I766" i="2"/>
  <c r="G766" i="2"/>
  <c r="E766" i="2"/>
  <c r="B766" i="2"/>
  <c r="R765" i="2"/>
  <c r="M765" i="2"/>
  <c r="I765" i="2"/>
  <c r="G765" i="2"/>
  <c r="E765" i="2"/>
  <c r="B765" i="2"/>
  <c r="R764" i="2"/>
  <c r="M764" i="2"/>
  <c r="I764" i="2"/>
  <c r="E764" i="2"/>
  <c r="B764" i="2"/>
  <c r="R763" i="2"/>
  <c r="M763" i="2"/>
  <c r="I763" i="2"/>
  <c r="G763" i="2"/>
  <c r="E763" i="2"/>
  <c r="B763" i="2"/>
  <c r="R762" i="2"/>
  <c r="M762" i="2"/>
  <c r="I762" i="2"/>
  <c r="G762" i="2"/>
  <c r="E762" i="2"/>
  <c r="B762" i="2"/>
  <c r="R761" i="2"/>
  <c r="M761" i="2"/>
  <c r="I761" i="2"/>
  <c r="G761" i="2"/>
  <c r="E761" i="2"/>
  <c r="B761" i="2"/>
  <c r="R760" i="2"/>
  <c r="M760" i="2"/>
  <c r="I760" i="2"/>
  <c r="E760" i="2"/>
  <c r="B760" i="2"/>
  <c r="R759" i="2"/>
  <c r="M759" i="2"/>
  <c r="I759" i="2"/>
  <c r="G759" i="2"/>
  <c r="E759" i="2"/>
  <c r="B759" i="2"/>
  <c r="R758" i="2"/>
  <c r="M758" i="2"/>
  <c r="I758" i="2"/>
  <c r="G758" i="2"/>
  <c r="E758" i="2"/>
  <c r="B758" i="2"/>
  <c r="R757" i="2"/>
  <c r="M757" i="2"/>
  <c r="I757" i="2"/>
  <c r="G757" i="2"/>
  <c r="E757" i="2"/>
  <c r="B757" i="2"/>
  <c r="R756" i="2"/>
  <c r="M756" i="2"/>
  <c r="I756" i="2"/>
  <c r="E756" i="2"/>
  <c r="B756" i="2"/>
  <c r="R755" i="2"/>
  <c r="M755" i="2"/>
  <c r="I755" i="2"/>
  <c r="G755" i="2"/>
  <c r="E755" i="2"/>
  <c r="B755" i="2"/>
  <c r="R754" i="2"/>
  <c r="M754" i="2"/>
  <c r="I754" i="2"/>
  <c r="G754" i="2"/>
  <c r="E754" i="2"/>
  <c r="B754" i="2"/>
  <c r="R753" i="2"/>
  <c r="M753" i="2"/>
  <c r="I753" i="2"/>
  <c r="G753" i="2"/>
  <c r="E753" i="2"/>
  <c r="B753" i="2"/>
  <c r="R752" i="2"/>
  <c r="M752" i="2"/>
  <c r="E752" i="2"/>
  <c r="B752" i="2"/>
  <c r="R751" i="2"/>
  <c r="M751" i="2"/>
  <c r="I751" i="2"/>
  <c r="G751" i="2"/>
  <c r="E751" i="2"/>
  <c r="B751" i="2"/>
  <c r="R750" i="2"/>
  <c r="M750" i="2"/>
  <c r="I750" i="2"/>
  <c r="G750" i="2"/>
  <c r="E750" i="2"/>
  <c r="B750" i="2"/>
  <c r="R749" i="2"/>
  <c r="M749" i="2"/>
  <c r="I749" i="2"/>
  <c r="G749" i="2"/>
  <c r="E749" i="2"/>
  <c r="B749" i="2"/>
  <c r="R748" i="2"/>
  <c r="M748" i="2"/>
  <c r="I748" i="2"/>
  <c r="E748" i="2"/>
  <c r="B748" i="2"/>
  <c r="R747" i="2"/>
  <c r="M747" i="2"/>
  <c r="I747" i="2"/>
  <c r="G747" i="2"/>
  <c r="E747" i="2"/>
  <c r="B747" i="2"/>
  <c r="R746" i="2"/>
  <c r="M746" i="2"/>
  <c r="I746" i="2"/>
  <c r="G746" i="2"/>
  <c r="E746" i="2"/>
  <c r="B746" i="2"/>
  <c r="R745" i="2"/>
  <c r="M745" i="2"/>
  <c r="I745" i="2"/>
  <c r="G745" i="2"/>
  <c r="E745" i="2"/>
  <c r="B745" i="2"/>
  <c r="R744" i="2"/>
  <c r="M744" i="2"/>
  <c r="G744" i="2"/>
  <c r="E744" i="2"/>
  <c r="B744" i="2"/>
  <c r="R743" i="2"/>
  <c r="M743" i="2"/>
  <c r="E743" i="2"/>
  <c r="B743" i="2"/>
  <c r="I743" i="2" s="1"/>
  <c r="R742" i="2"/>
  <c r="M742" i="2"/>
  <c r="E742" i="2"/>
  <c r="B742" i="2"/>
  <c r="R741" i="2"/>
  <c r="M741" i="2"/>
  <c r="I741" i="2"/>
  <c r="G741" i="2"/>
  <c r="E741" i="2"/>
  <c r="B741" i="2"/>
  <c r="R740" i="2"/>
  <c r="M740" i="2"/>
  <c r="I740" i="2"/>
  <c r="G740" i="2"/>
  <c r="E740" i="2"/>
  <c r="B740" i="2"/>
  <c r="R739" i="2"/>
  <c r="M739" i="2"/>
  <c r="I739" i="2"/>
  <c r="G739" i="2"/>
  <c r="E739" i="2"/>
  <c r="B739" i="2"/>
  <c r="R738" i="2"/>
  <c r="M738" i="2"/>
  <c r="E738" i="2"/>
  <c r="B738" i="2"/>
  <c r="R737" i="2"/>
  <c r="M737" i="2"/>
  <c r="E737" i="2"/>
  <c r="B737" i="2"/>
  <c r="I737" i="2" s="1"/>
  <c r="R736" i="2"/>
  <c r="M736" i="2"/>
  <c r="I736" i="2"/>
  <c r="G736" i="2"/>
  <c r="E736" i="2"/>
  <c r="B736" i="2"/>
  <c r="R735" i="2"/>
  <c r="M735" i="2"/>
  <c r="G735" i="2"/>
  <c r="E735" i="2"/>
  <c r="B735" i="2"/>
  <c r="R734" i="2"/>
  <c r="M734" i="2"/>
  <c r="I734" i="2"/>
  <c r="G734" i="2"/>
  <c r="E734" i="2"/>
  <c r="B734" i="2"/>
  <c r="R733" i="2"/>
  <c r="M733" i="2"/>
  <c r="I733" i="2"/>
  <c r="G733" i="2"/>
  <c r="E733" i="2"/>
  <c r="B733" i="2"/>
  <c r="R732" i="2"/>
  <c r="M732" i="2"/>
  <c r="G732" i="2"/>
  <c r="E732" i="2"/>
  <c r="B732" i="2"/>
  <c r="R731" i="2"/>
  <c r="M731" i="2"/>
  <c r="E731" i="2"/>
  <c r="B731" i="2"/>
  <c r="I731" i="2" s="1"/>
  <c r="R730" i="2"/>
  <c r="M730" i="2"/>
  <c r="E730" i="2"/>
  <c r="B730" i="2"/>
  <c r="R729" i="2"/>
  <c r="M729" i="2"/>
  <c r="I729" i="2"/>
  <c r="G729" i="2"/>
  <c r="E729" i="2"/>
  <c r="B729" i="2"/>
  <c r="R728" i="2"/>
  <c r="M728" i="2"/>
  <c r="I728" i="2"/>
  <c r="G728" i="2"/>
  <c r="E728" i="2"/>
  <c r="B728" i="2"/>
  <c r="R727" i="2"/>
  <c r="M727" i="2"/>
  <c r="I727" i="2"/>
  <c r="G727" i="2"/>
  <c r="E727" i="2"/>
  <c r="B727" i="2"/>
  <c r="R726" i="2"/>
  <c r="M726" i="2"/>
  <c r="E726" i="2"/>
  <c r="B726" i="2"/>
  <c r="R725" i="2"/>
  <c r="M725" i="2"/>
  <c r="E725" i="2"/>
  <c r="B725" i="2"/>
  <c r="R724" i="2"/>
  <c r="M724" i="2"/>
  <c r="I724" i="2"/>
  <c r="G724" i="2"/>
  <c r="E724" i="2"/>
  <c r="B724" i="2"/>
  <c r="R723" i="2"/>
  <c r="M723" i="2"/>
  <c r="G723" i="2"/>
  <c r="E723" i="2"/>
  <c r="B723" i="2"/>
  <c r="I723" i="2" s="1"/>
  <c r="R722" i="2"/>
  <c r="M722" i="2"/>
  <c r="I722" i="2"/>
  <c r="G722" i="2"/>
  <c r="E722" i="2"/>
  <c r="B722" i="2"/>
  <c r="R721" i="2"/>
  <c r="M721" i="2"/>
  <c r="I721" i="2"/>
  <c r="G721" i="2"/>
  <c r="E721" i="2"/>
  <c r="B721" i="2"/>
  <c r="R720" i="2"/>
  <c r="M720" i="2"/>
  <c r="I720" i="2"/>
  <c r="G720" i="2"/>
  <c r="E720" i="2"/>
  <c r="B720" i="2"/>
  <c r="R719" i="2"/>
  <c r="M719" i="2"/>
  <c r="I719" i="2"/>
  <c r="G719" i="2"/>
  <c r="E719" i="2"/>
  <c r="B719" i="2"/>
  <c r="R718" i="2"/>
  <c r="M718" i="2"/>
  <c r="I718" i="2"/>
  <c r="G718" i="2"/>
  <c r="E718" i="2"/>
  <c r="B718" i="2"/>
  <c r="R717" i="2"/>
  <c r="M717" i="2"/>
  <c r="I717" i="2"/>
  <c r="G717" i="2"/>
  <c r="E717" i="2"/>
  <c r="B717" i="2"/>
  <c r="R716" i="2"/>
  <c r="M716" i="2"/>
  <c r="I716" i="2"/>
  <c r="G716" i="2"/>
  <c r="E716" i="2"/>
  <c r="B716" i="2"/>
  <c r="R715" i="2"/>
  <c r="M715" i="2"/>
  <c r="I715" i="2"/>
  <c r="G715" i="2"/>
  <c r="E715" i="2"/>
  <c r="B715" i="2"/>
  <c r="R714" i="2"/>
  <c r="M714" i="2"/>
  <c r="I714" i="2"/>
  <c r="G714" i="2"/>
  <c r="E714" i="2"/>
  <c r="B714" i="2"/>
  <c r="R713" i="2"/>
  <c r="M713" i="2"/>
  <c r="I713" i="2"/>
  <c r="G713" i="2"/>
  <c r="E713" i="2"/>
  <c r="B713" i="2"/>
  <c r="R712" i="2"/>
  <c r="M712" i="2"/>
  <c r="I712" i="2"/>
  <c r="G712" i="2"/>
  <c r="E712" i="2"/>
  <c r="B712" i="2"/>
  <c r="R711" i="2"/>
  <c r="M711" i="2"/>
  <c r="I711" i="2"/>
  <c r="G711" i="2"/>
  <c r="E711" i="2"/>
  <c r="B711" i="2"/>
  <c r="R710" i="2"/>
  <c r="M710" i="2"/>
  <c r="I710" i="2"/>
  <c r="G710" i="2"/>
  <c r="E710" i="2"/>
  <c r="B710" i="2"/>
  <c r="R709" i="2"/>
  <c r="M709" i="2"/>
  <c r="I709" i="2"/>
  <c r="G709" i="2"/>
  <c r="E709" i="2"/>
  <c r="B709" i="2"/>
  <c r="R708" i="2"/>
  <c r="M708" i="2"/>
  <c r="I708" i="2"/>
  <c r="G708" i="2"/>
  <c r="E708" i="2"/>
  <c r="B708" i="2"/>
  <c r="R707" i="2"/>
  <c r="M707" i="2"/>
  <c r="I707" i="2"/>
  <c r="G707" i="2"/>
  <c r="E707" i="2"/>
  <c r="B707" i="2"/>
  <c r="R706" i="2"/>
  <c r="M706" i="2"/>
  <c r="I706" i="2"/>
  <c r="G706" i="2"/>
  <c r="E706" i="2"/>
  <c r="B706" i="2"/>
  <c r="R705" i="2"/>
  <c r="M705" i="2"/>
  <c r="I705" i="2"/>
  <c r="G705" i="2"/>
  <c r="E705" i="2"/>
  <c r="B705" i="2"/>
  <c r="R704" i="2"/>
  <c r="M704" i="2"/>
  <c r="I704" i="2"/>
  <c r="G704" i="2"/>
  <c r="E704" i="2"/>
  <c r="B704" i="2"/>
  <c r="R703" i="2"/>
  <c r="M703" i="2"/>
  <c r="I703" i="2"/>
  <c r="G703" i="2"/>
  <c r="E703" i="2"/>
  <c r="B703" i="2"/>
  <c r="R702" i="2"/>
  <c r="M702" i="2"/>
  <c r="I702" i="2"/>
  <c r="G702" i="2"/>
  <c r="E702" i="2"/>
  <c r="B702" i="2"/>
  <c r="R701" i="2"/>
  <c r="M701" i="2"/>
  <c r="I701" i="2"/>
  <c r="G701" i="2"/>
  <c r="E701" i="2"/>
  <c r="B701" i="2"/>
  <c r="R700" i="2"/>
  <c r="M700" i="2"/>
  <c r="I700" i="2"/>
  <c r="G700" i="2"/>
  <c r="E700" i="2"/>
  <c r="B700" i="2"/>
  <c r="R699" i="2"/>
  <c r="M699" i="2"/>
  <c r="I699" i="2"/>
  <c r="G699" i="2"/>
  <c r="E699" i="2"/>
  <c r="B699" i="2"/>
  <c r="R698" i="2"/>
  <c r="M698" i="2"/>
  <c r="I698" i="2"/>
  <c r="G698" i="2"/>
  <c r="E698" i="2"/>
  <c r="B698" i="2"/>
  <c r="R697" i="2"/>
  <c r="M697" i="2"/>
  <c r="I697" i="2"/>
  <c r="G697" i="2"/>
  <c r="E697" i="2"/>
  <c r="B697" i="2"/>
  <c r="R696" i="2"/>
  <c r="M696" i="2"/>
  <c r="I696" i="2"/>
  <c r="G696" i="2"/>
  <c r="E696" i="2"/>
  <c r="B696" i="2"/>
  <c r="R695" i="2"/>
  <c r="M695" i="2"/>
  <c r="I695" i="2"/>
  <c r="G695" i="2"/>
  <c r="E695" i="2"/>
  <c r="B695" i="2"/>
  <c r="R694" i="2"/>
  <c r="M694" i="2"/>
  <c r="E694" i="2"/>
  <c r="B694" i="2"/>
  <c r="R693" i="2"/>
  <c r="M693" i="2"/>
  <c r="I693" i="2"/>
  <c r="G693" i="2"/>
  <c r="E693" i="2"/>
  <c r="B693" i="2"/>
  <c r="R692" i="2"/>
  <c r="M692" i="2"/>
  <c r="I692" i="2"/>
  <c r="G692" i="2"/>
  <c r="E692" i="2"/>
  <c r="B692" i="2"/>
  <c r="R691" i="2"/>
  <c r="M691" i="2"/>
  <c r="I691" i="2"/>
  <c r="G691" i="2"/>
  <c r="E691" i="2"/>
  <c r="B691" i="2"/>
  <c r="R690" i="2"/>
  <c r="M690" i="2"/>
  <c r="E690" i="2"/>
  <c r="B690" i="2"/>
  <c r="R689" i="2"/>
  <c r="M689" i="2"/>
  <c r="I689" i="2"/>
  <c r="G689" i="2"/>
  <c r="E689" i="2"/>
  <c r="B689" i="2"/>
  <c r="R688" i="2"/>
  <c r="M688" i="2"/>
  <c r="G688" i="2"/>
  <c r="E688" i="2"/>
  <c r="B688" i="2"/>
  <c r="R687" i="2"/>
  <c r="M687" i="2"/>
  <c r="I687" i="2"/>
  <c r="G687" i="2"/>
  <c r="E687" i="2"/>
  <c r="B687" i="2"/>
  <c r="R686" i="2"/>
  <c r="M686" i="2"/>
  <c r="G686" i="2"/>
  <c r="E686" i="2"/>
  <c r="B686" i="2"/>
  <c r="I686" i="2" s="1"/>
  <c r="R685" i="2"/>
  <c r="M685" i="2"/>
  <c r="I685" i="2"/>
  <c r="G685" i="2"/>
  <c r="E685" i="2"/>
  <c r="B685" i="2"/>
  <c r="R684" i="2"/>
  <c r="M684" i="2"/>
  <c r="G684" i="2"/>
  <c r="E684" i="2"/>
  <c r="B684" i="2"/>
  <c r="R683" i="2"/>
  <c r="M683" i="2"/>
  <c r="I683" i="2"/>
  <c r="G683" i="2"/>
  <c r="E683" i="2"/>
  <c r="B683" i="2"/>
  <c r="R682" i="2"/>
  <c r="M682" i="2"/>
  <c r="I682" i="2"/>
  <c r="G682" i="2"/>
  <c r="E682" i="2"/>
  <c r="B682" i="2"/>
  <c r="R681" i="2"/>
  <c r="M681" i="2"/>
  <c r="I681" i="2"/>
  <c r="G681" i="2"/>
  <c r="E681" i="2"/>
  <c r="B681" i="2"/>
  <c r="R680" i="2"/>
  <c r="M680" i="2"/>
  <c r="E680" i="2"/>
  <c r="B680" i="2"/>
  <c r="R679" i="2"/>
  <c r="M679" i="2"/>
  <c r="I679" i="2"/>
  <c r="G679" i="2"/>
  <c r="E679" i="2"/>
  <c r="B679" i="2"/>
  <c r="R678" i="2"/>
  <c r="M678" i="2"/>
  <c r="I678" i="2"/>
  <c r="G678" i="2"/>
  <c r="E678" i="2"/>
  <c r="B678" i="2"/>
  <c r="R677" i="2"/>
  <c r="M677" i="2"/>
  <c r="I677" i="2"/>
  <c r="G677" i="2"/>
  <c r="E677" i="2"/>
  <c r="B677" i="2"/>
  <c r="R676" i="2"/>
  <c r="M676" i="2"/>
  <c r="I676" i="2"/>
  <c r="E676" i="2"/>
  <c r="B676" i="2"/>
  <c r="R675" i="2"/>
  <c r="M675" i="2"/>
  <c r="I675" i="2"/>
  <c r="G675" i="2"/>
  <c r="E675" i="2"/>
  <c r="B675" i="2"/>
  <c r="R674" i="2"/>
  <c r="M674" i="2"/>
  <c r="I674" i="2"/>
  <c r="G674" i="2"/>
  <c r="E674" i="2"/>
  <c r="B674" i="2"/>
  <c r="R673" i="2"/>
  <c r="M673" i="2"/>
  <c r="I673" i="2"/>
  <c r="G673" i="2"/>
  <c r="E673" i="2"/>
  <c r="B673" i="2"/>
  <c r="R672" i="2"/>
  <c r="M672" i="2"/>
  <c r="I672" i="2"/>
  <c r="E672" i="2"/>
  <c r="B672" i="2"/>
  <c r="G672" i="2" s="1"/>
  <c r="R671" i="2"/>
  <c r="M671" i="2"/>
  <c r="I671" i="2"/>
  <c r="G671" i="2"/>
  <c r="E671" i="2"/>
  <c r="B671" i="2"/>
  <c r="R670" i="2"/>
  <c r="M670" i="2"/>
  <c r="E670" i="2"/>
  <c r="B670" i="2"/>
  <c r="R669" i="2"/>
  <c r="M669" i="2"/>
  <c r="I669" i="2"/>
  <c r="G669" i="2"/>
  <c r="E669" i="2"/>
  <c r="B669" i="2"/>
  <c r="R668" i="2"/>
  <c r="M668" i="2"/>
  <c r="I668" i="2"/>
  <c r="G668" i="2"/>
  <c r="E668" i="2"/>
  <c r="B668" i="2"/>
  <c r="R667" i="2"/>
  <c r="M667" i="2"/>
  <c r="I667" i="2"/>
  <c r="G667" i="2"/>
  <c r="E667" i="2"/>
  <c r="B667" i="2"/>
  <c r="R666" i="2"/>
  <c r="M666" i="2"/>
  <c r="E666" i="2"/>
  <c r="B666" i="2"/>
  <c r="R665" i="2"/>
  <c r="M665" i="2"/>
  <c r="I665" i="2"/>
  <c r="G665" i="2"/>
  <c r="E665" i="2"/>
  <c r="B665" i="2"/>
  <c r="R664" i="2"/>
  <c r="M664" i="2"/>
  <c r="I664" i="2"/>
  <c r="G664" i="2"/>
  <c r="E664" i="2"/>
  <c r="B664" i="2"/>
  <c r="R663" i="2"/>
  <c r="M663" i="2"/>
  <c r="I663" i="2"/>
  <c r="G663" i="2"/>
  <c r="E663" i="2"/>
  <c r="B663" i="2"/>
  <c r="R662" i="2"/>
  <c r="M662" i="2"/>
  <c r="G662" i="2"/>
  <c r="E662" i="2"/>
  <c r="B662" i="2"/>
  <c r="I662" i="2" s="1"/>
  <c r="R661" i="2"/>
  <c r="M661" i="2"/>
  <c r="I661" i="2"/>
  <c r="G661" i="2"/>
  <c r="E661" i="2"/>
  <c r="B661" i="2"/>
  <c r="R660" i="2"/>
  <c r="M660" i="2"/>
  <c r="G660" i="2"/>
  <c r="E660" i="2"/>
  <c r="B660" i="2"/>
  <c r="R659" i="2"/>
  <c r="M659" i="2"/>
  <c r="I659" i="2"/>
  <c r="G659" i="2"/>
  <c r="E659" i="2"/>
  <c r="B659" i="2"/>
  <c r="R658" i="2"/>
  <c r="M658" i="2"/>
  <c r="I658" i="2"/>
  <c r="G658" i="2"/>
  <c r="E658" i="2"/>
  <c r="B658" i="2"/>
  <c r="R657" i="2"/>
  <c r="M657" i="2"/>
  <c r="I657" i="2"/>
  <c r="G657" i="2"/>
  <c r="E657" i="2"/>
  <c r="B657" i="2"/>
  <c r="R656" i="2"/>
  <c r="M656" i="2"/>
  <c r="E656" i="2"/>
  <c r="B656" i="2"/>
  <c r="R655" i="2"/>
  <c r="M655" i="2"/>
  <c r="I655" i="2"/>
  <c r="G655" i="2"/>
  <c r="E655" i="2"/>
  <c r="B655" i="2"/>
  <c r="R654" i="2"/>
  <c r="M654" i="2"/>
  <c r="I654" i="2"/>
  <c r="G654" i="2"/>
  <c r="E654" i="2"/>
  <c r="B654" i="2"/>
  <c r="R653" i="2"/>
  <c r="M653" i="2"/>
  <c r="I653" i="2"/>
  <c r="G653" i="2"/>
  <c r="E653" i="2"/>
  <c r="B653" i="2"/>
  <c r="R652" i="2"/>
  <c r="M652" i="2"/>
  <c r="I652" i="2"/>
  <c r="E652" i="2"/>
  <c r="B652" i="2"/>
  <c r="R651" i="2"/>
  <c r="M651" i="2"/>
  <c r="I651" i="2"/>
  <c r="G651" i="2"/>
  <c r="E651" i="2"/>
  <c r="B651" i="2"/>
  <c r="R650" i="2"/>
  <c r="M650" i="2"/>
  <c r="I650" i="2"/>
  <c r="G650" i="2"/>
  <c r="E650" i="2"/>
  <c r="B650" i="2"/>
  <c r="R649" i="2"/>
  <c r="M649" i="2"/>
  <c r="I649" i="2"/>
  <c r="G649" i="2"/>
  <c r="E649" i="2"/>
  <c r="B649" i="2"/>
  <c r="R648" i="2"/>
  <c r="M648" i="2"/>
  <c r="G648" i="2"/>
  <c r="E648" i="2"/>
  <c r="B648" i="2"/>
  <c r="I648" i="2" s="1"/>
  <c r="R647" i="2"/>
  <c r="M647" i="2"/>
  <c r="I647" i="2"/>
  <c r="G647" i="2"/>
  <c r="E647" i="2"/>
  <c r="B647" i="2"/>
  <c r="R646" i="2"/>
  <c r="M646" i="2"/>
  <c r="E646" i="2"/>
  <c r="B646" i="2"/>
  <c r="R645" i="2"/>
  <c r="M645" i="2"/>
  <c r="I645" i="2"/>
  <c r="G645" i="2"/>
  <c r="E645" i="2"/>
  <c r="B645" i="2"/>
  <c r="R644" i="2"/>
  <c r="M644" i="2"/>
  <c r="E644" i="2"/>
  <c r="B644" i="2"/>
  <c r="R643" i="2"/>
  <c r="M643" i="2"/>
  <c r="I643" i="2"/>
  <c r="G643" i="2"/>
  <c r="E643" i="2"/>
  <c r="B643" i="2"/>
  <c r="R642" i="2"/>
  <c r="M642" i="2"/>
  <c r="I642" i="2"/>
  <c r="G642" i="2"/>
  <c r="E642" i="2"/>
  <c r="B642" i="2"/>
  <c r="R641" i="2"/>
  <c r="M641" i="2"/>
  <c r="I641" i="2"/>
  <c r="G641" i="2"/>
  <c r="E641" i="2"/>
  <c r="B641" i="2"/>
  <c r="R640" i="2"/>
  <c r="M640" i="2"/>
  <c r="E640" i="2"/>
  <c r="B640" i="2"/>
  <c r="R639" i="2"/>
  <c r="M639" i="2"/>
  <c r="I639" i="2"/>
  <c r="G639" i="2"/>
  <c r="E639" i="2"/>
  <c r="B639" i="2"/>
  <c r="R638" i="2"/>
  <c r="M638" i="2"/>
  <c r="I638" i="2"/>
  <c r="E638" i="2"/>
  <c r="B638" i="2"/>
  <c r="G638" i="2" s="1"/>
  <c r="R637" i="2"/>
  <c r="M637" i="2"/>
  <c r="I637" i="2"/>
  <c r="G637" i="2"/>
  <c r="E637" i="2"/>
  <c r="B637" i="2"/>
  <c r="R636" i="2"/>
  <c r="M636" i="2"/>
  <c r="I636" i="2"/>
  <c r="G636" i="2"/>
  <c r="E636" i="2"/>
  <c r="B636" i="2"/>
  <c r="R635" i="2"/>
  <c r="M635" i="2"/>
  <c r="I635" i="2"/>
  <c r="G635" i="2"/>
  <c r="E635" i="2"/>
  <c r="B635" i="2"/>
  <c r="R634" i="2"/>
  <c r="M634" i="2"/>
  <c r="I634" i="2"/>
  <c r="E634" i="2"/>
  <c r="B634" i="2"/>
  <c r="R633" i="2"/>
  <c r="M633" i="2"/>
  <c r="I633" i="2"/>
  <c r="G633" i="2"/>
  <c r="E633" i="2"/>
  <c r="B633" i="2"/>
  <c r="R632" i="2"/>
  <c r="M632" i="2"/>
  <c r="I632" i="2"/>
  <c r="G632" i="2"/>
  <c r="E632" i="2"/>
  <c r="B632" i="2"/>
  <c r="R631" i="2"/>
  <c r="M631" i="2"/>
  <c r="I631" i="2"/>
  <c r="G631" i="2"/>
  <c r="E631" i="2"/>
  <c r="B631" i="2"/>
  <c r="R630" i="2"/>
  <c r="M630" i="2"/>
  <c r="E630" i="2"/>
  <c r="B630" i="2"/>
  <c r="R629" i="2"/>
  <c r="M629" i="2"/>
  <c r="I629" i="2"/>
  <c r="G629" i="2"/>
  <c r="E629" i="2"/>
  <c r="B629" i="2"/>
  <c r="R628" i="2"/>
  <c r="M628" i="2"/>
  <c r="I628" i="2"/>
  <c r="G628" i="2"/>
  <c r="E628" i="2"/>
  <c r="B628" i="2"/>
  <c r="R627" i="2"/>
  <c r="M627" i="2"/>
  <c r="I627" i="2"/>
  <c r="G627" i="2"/>
  <c r="E627" i="2"/>
  <c r="B627" i="2"/>
  <c r="R626" i="2"/>
  <c r="M626" i="2"/>
  <c r="E626" i="2"/>
  <c r="B626" i="2"/>
  <c r="R625" i="2"/>
  <c r="M625" i="2"/>
  <c r="I625" i="2"/>
  <c r="G625" i="2"/>
  <c r="E625" i="2"/>
  <c r="B625" i="2"/>
  <c r="R624" i="2"/>
  <c r="M624" i="2"/>
  <c r="G624" i="2"/>
  <c r="E624" i="2"/>
  <c r="B624" i="2"/>
  <c r="I624" i="2" s="1"/>
  <c r="R623" i="2"/>
  <c r="M623" i="2"/>
  <c r="I623" i="2"/>
  <c r="G623" i="2"/>
  <c r="E623" i="2"/>
  <c r="B623" i="2"/>
  <c r="R622" i="2"/>
  <c r="M622" i="2"/>
  <c r="I622" i="2"/>
  <c r="G622" i="2"/>
  <c r="E622" i="2"/>
  <c r="B622" i="2"/>
  <c r="R621" i="2"/>
  <c r="M621" i="2"/>
  <c r="I621" i="2"/>
  <c r="G621" i="2"/>
  <c r="E621" i="2"/>
  <c r="B621" i="2"/>
  <c r="R620" i="2"/>
  <c r="M620" i="2"/>
  <c r="E620" i="2"/>
  <c r="B620" i="2"/>
  <c r="R619" i="2"/>
  <c r="M619" i="2"/>
  <c r="I619" i="2"/>
  <c r="G619" i="2"/>
  <c r="E619" i="2"/>
  <c r="B619" i="2"/>
  <c r="R618" i="2"/>
  <c r="M618" i="2"/>
  <c r="I618" i="2"/>
  <c r="G618" i="2"/>
  <c r="E618" i="2"/>
  <c r="B618" i="2"/>
  <c r="R617" i="2"/>
  <c r="M617" i="2"/>
  <c r="I617" i="2"/>
  <c r="G617" i="2"/>
  <c r="E617" i="2"/>
  <c r="B617" i="2"/>
  <c r="R616" i="2"/>
  <c r="M616" i="2"/>
  <c r="E616" i="2"/>
  <c r="B616" i="2"/>
  <c r="R615" i="2"/>
  <c r="M615" i="2"/>
  <c r="I615" i="2"/>
  <c r="G615" i="2"/>
  <c r="E615" i="2"/>
  <c r="B615" i="2"/>
  <c r="R614" i="2"/>
  <c r="M614" i="2"/>
  <c r="E614" i="2"/>
  <c r="B614" i="2"/>
  <c r="R613" i="2"/>
  <c r="M613" i="2"/>
  <c r="I613" i="2"/>
  <c r="G613" i="2"/>
  <c r="E613" i="2"/>
  <c r="B613" i="2"/>
  <c r="R612" i="2"/>
  <c r="M612" i="2"/>
  <c r="I612" i="2"/>
  <c r="E612" i="2"/>
  <c r="B612" i="2"/>
  <c r="R611" i="2"/>
  <c r="M611" i="2"/>
  <c r="I611" i="2"/>
  <c r="G611" i="2"/>
  <c r="E611" i="2"/>
  <c r="B611" i="2"/>
  <c r="R610" i="2"/>
  <c r="M610" i="2"/>
  <c r="I610" i="2"/>
  <c r="G610" i="2"/>
  <c r="E610" i="2"/>
  <c r="B610" i="2"/>
  <c r="R609" i="2"/>
  <c r="M609" i="2"/>
  <c r="I609" i="2"/>
  <c r="G609" i="2"/>
  <c r="E609" i="2"/>
  <c r="B609" i="2"/>
  <c r="R608" i="2"/>
  <c r="M608" i="2"/>
  <c r="E608" i="2"/>
  <c r="B608" i="2"/>
  <c r="R607" i="2"/>
  <c r="M607" i="2"/>
  <c r="I607" i="2"/>
  <c r="G607" i="2"/>
  <c r="E607" i="2"/>
  <c r="B607" i="2"/>
  <c r="R606" i="2"/>
  <c r="M606" i="2"/>
  <c r="E606" i="2"/>
  <c r="B606" i="2"/>
  <c r="R605" i="2"/>
  <c r="M605" i="2"/>
  <c r="I605" i="2"/>
  <c r="G605" i="2"/>
  <c r="E605" i="2"/>
  <c r="B605" i="2"/>
  <c r="R604" i="2"/>
  <c r="M604" i="2"/>
  <c r="I604" i="2"/>
  <c r="E604" i="2"/>
  <c r="B604" i="2"/>
  <c r="R603" i="2"/>
  <c r="M603" i="2"/>
  <c r="I603" i="2"/>
  <c r="G603" i="2"/>
  <c r="E603" i="2"/>
  <c r="B603" i="2"/>
  <c r="R602" i="2"/>
  <c r="M602" i="2"/>
  <c r="I602" i="2"/>
  <c r="G602" i="2"/>
  <c r="E602" i="2"/>
  <c r="B602" i="2"/>
  <c r="R601" i="2"/>
  <c r="M601" i="2"/>
  <c r="I601" i="2"/>
  <c r="G601" i="2"/>
  <c r="E601" i="2"/>
  <c r="B601" i="2"/>
  <c r="R600" i="2"/>
  <c r="M600" i="2"/>
  <c r="I600" i="2"/>
  <c r="G600" i="2"/>
  <c r="E600" i="2"/>
  <c r="B600" i="2"/>
  <c r="R599" i="2"/>
  <c r="M599" i="2"/>
  <c r="I599" i="2"/>
  <c r="G599" i="2"/>
  <c r="E599" i="2"/>
  <c r="B599" i="2"/>
  <c r="R598" i="2"/>
  <c r="M598" i="2"/>
  <c r="E598" i="2"/>
  <c r="B598" i="2"/>
  <c r="R597" i="2"/>
  <c r="M597" i="2"/>
  <c r="I597" i="2"/>
  <c r="G597" i="2"/>
  <c r="E597" i="2"/>
  <c r="B597" i="2"/>
  <c r="R596" i="2"/>
  <c r="M596" i="2"/>
  <c r="I596" i="2"/>
  <c r="E596" i="2"/>
  <c r="B596" i="2"/>
  <c r="R595" i="2"/>
  <c r="M595" i="2"/>
  <c r="I595" i="2"/>
  <c r="G595" i="2"/>
  <c r="E595" i="2"/>
  <c r="B595" i="2"/>
  <c r="R594" i="2"/>
  <c r="M594" i="2"/>
  <c r="I594" i="2"/>
  <c r="G594" i="2"/>
  <c r="E594" i="2"/>
  <c r="B594" i="2"/>
  <c r="R593" i="2"/>
  <c r="M593" i="2"/>
  <c r="I593" i="2"/>
  <c r="G593" i="2"/>
  <c r="E593" i="2"/>
  <c r="B593" i="2"/>
  <c r="R592" i="2"/>
  <c r="M592" i="2"/>
  <c r="I592" i="2"/>
  <c r="G592" i="2"/>
  <c r="E592" i="2"/>
  <c r="B592" i="2"/>
  <c r="R591" i="2"/>
  <c r="M591" i="2"/>
  <c r="I591" i="2"/>
  <c r="G591" i="2"/>
  <c r="E591" i="2"/>
  <c r="B591" i="2"/>
  <c r="R590" i="2"/>
  <c r="M590" i="2"/>
  <c r="E590" i="2"/>
  <c r="B590" i="2"/>
  <c r="R589" i="2"/>
  <c r="M589" i="2"/>
  <c r="I589" i="2"/>
  <c r="G589" i="2"/>
  <c r="E589" i="2"/>
  <c r="B589" i="2"/>
  <c r="R588" i="2"/>
  <c r="M588" i="2"/>
  <c r="I588" i="2"/>
  <c r="E588" i="2"/>
  <c r="B588" i="2"/>
  <c r="R587" i="2"/>
  <c r="M587" i="2"/>
  <c r="I587" i="2"/>
  <c r="G587" i="2"/>
  <c r="E587" i="2"/>
  <c r="B587" i="2"/>
  <c r="R586" i="2"/>
  <c r="M586" i="2"/>
  <c r="I586" i="2"/>
  <c r="G586" i="2"/>
  <c r="E586" i="2"/>
  <c r="B586" i="2"/>
  <c r="R585" i="2"/>
  <c r="M585" i="2"/>
  <c r="I585" i="2"/>
  <c r="G585" i="2"/>
  <c r="E585" i="2"/>
  <c r="B585" i="2"/>
  <c r="R584" i="2"/>
  <c r="M584" i="2"/>
  <c r="E584" i="2"/>
  <c r="B584" i="2"/>
  <c r="R583" i="2"/>
  <c r="M583" i="2"/>
  <c r="I583" i="2"/>
  <c r="G583" i="2"/>
  <c r="E583" i="2"/>
  <c r="B583" i="2"/>
  <c r="R582" i="2"/>
  <c r="M582" i="2"/>
  <c r="E582" i="2"/>
  <c r="B582" i="2"/>
  <c r="R581" i="2"/>
  <c r="M581" i="2"/>
  <c r="I581" i="2"/>
  <c r="G581" i="2"/>
  <c r="E581" i="2"/>
  <c r="B581" i="2"/>
  <c r="R580" i="2"/>
  <c r="M580" i="2"/>
  <c r="I580" i="2"/>
  <c r="E580" i="2"/>
  <c r="B580" i="2"/>
  <c r="R579" i="2"/>
  <c r="M579" i="2"/>
  <c r="I579" i="2"/>
  <c r="G579" i="2"/>
  <c r="E579" i="2"/>
  <c r="B579" i="2"/>
  <c r="R578" i="2"/>
  <c r="M578" i="2"/>
  <c r="I578" i="2"/>
  <c r="G578" i="2"/>
  <c r="E578" i="2"/>
  <c r="B578" i="2"/>
  <c r="R577" i="2"/>
  <c r="M577" i="2"/>
  <c r="I577" i="2"/>
  <c r="G577" i="2"/>
  <c r="E577" i="2"/>
  <c r="B577" i="2"/>
  <c r="R576" i="2"/>
  <c r="M576" i="2"/>
  <c r="I576" i="2"/>
  <c r="G576" i="2"/>
  <c r="E576" i="2"/>
  <c r="B576" i="2"/>
  <c r="R575" i="2"/>
  <c r="M575" i="2"/>
  <c r="I575" i="2"/>
  <c r="G575" i="2"/>
  <c r="E575" i="2"/>
  <c r="B575" i="2"/>
  <c r="R574" i="2"/>
  <c r="M574" i="2"/>
  <c r="E574" i="2"/>
  <c r="B574" i="2"/>
  <c r="R573" i="2"/>
  <c r="M573" i="2"/>
  <c r="I573" i="2"/>
  <c r="G573" i="2"/>
  <c r="E573" i="2"/>
  <c r="B573" i="2"/>
  <c r="R572" i="2"/>
  <c r="M572" i="2"/>
  <c r="E572" i="2"/>
  <c r="B572" i="2"/>
  <c r="R571" i="2"/>
  <c r="M571" i="2"/>
  <c r="I571" i="2"/>
  <c r="G571" i="2"/>
  <c r="E571" i="2"/>
  <c r="B571" i="2"/>
  <c r="R570" i="2"/>
  <c r="M570" i="2"/>
  <c r="G570" i="2"/>
  <c r="E570" i="2"/>
  <c r="B570" i="2"/>
  <c r="I570" i="2" s="1"/>
  <c r="R569" i="2"/>
  <c r="M569" i="2"/>
  <c r="E569" i="2"/>
  <c r="B569" i="2"/>
  <c r="R568" i="2"/>
  <c r="M568" i="2"/>
  <c r="I568" i="2"/>
  <c r="G568" i="2"/>
  <c r="E568" i="2"/>
  <c r="B568" i="2"/>
  <c r="R567" i="2"/>
  <c r="M567" i="2"/>
  <c r="E567" i="2"/>
  <c r="B567" i="2"/>
  <c r="R566" i="2"/>
  <c r="M566" i="2"/>
  <c r="I566" i="2"/>
  <c r="G566" i="2"/>
  <c r="E566" i="2"/>
  <c r="B566" i="2"/>
  <c r="R565" i="2"/>
  <c r="M565" i="2"/>
  <c r="G565" i="2"/>
  <c r="E565" i="2"/>
  <c r="B565" i="2"/>
  <c r="R564" i="2"/>
  <c r="M564" i="2"/>
  <c r="I564" i="2"/>
  <c r="G564" i="2"/>
  <c r="E564" i="2"/>
  <c r="B564" i="2"/>
  <c r="R563" i="2"/>
  <c r="M563" i="2"/>
  <c r="I563" i="2"/>
  <c r="G563" i="2"/>
  <c r="E563" i="2"/>
  <c r="B563" i="2"/>
  <c r="R562" i="2"/>
  <c r="M562" i="2"/>
  <c r="E562" i="2"/>
  <c r="B562" i="2"/>
  <c r="R561" i="2"/>
  <c r="M561" i="2"/>
  <c r="I561" i="2"/>
  <c r="G561" i="2"/>
  <c r="E561" i="2"/>
  <c r="B561" i="2"/>
  <c r="R560" i="2"/>
  <c r="M560" i="2"/>
  <c r="E560" i="2"/>
  <c r="B560" i="2"/>
  <c r="R559" i="2"/>
  <c r="M559" i="2"/>
  <c r="I559" i="2"/>
  <c r="G559" i="2"/>
  <c r="E559" i="2"/>
  <c r="B559" i="2"/>
  <c r="R558" i="2"/>
  <c r="M558" i="2"/>
  <c r="G558" i="2"/>
  <c r="E558" i="2"/>
  <c r="B558" i="2"/>
  <c r="I558" i="2" s="1"/>
  <c r="R557" i="2"/>
  <c r="M557" i="2"/>
  <c r="E557" i="2"/>
  <c r="B557" i="2"/>
  <c r="R556" i="2"/>
  <c r="M556" i="2"/>
  <c r="I556" i="2"/>
  <c r="G556" i="2"/>
  <c r="E556" i="2"/>
  <c r="B556" i="2"/>
  <c r="R555" i="2"/>
  <c r="M555" i="2"/>
  <c r="E555" i="2"/>
  <c r="B555" i="2"/>
  <c r="R554" i="2"/>
  <c r="M554" i="2"/>
  <c r="I554" i="2"/>
  <c r="G554" i="2"/>
  <c r="E554" i="2"/>
  <c r="B554" i="2"/>
  <c r="R553" i="2"/>
  <c r="M553" i="2"/>
  <c r="G553" i="2"/>
  <c r="E553" i="2"/>
  <c r="B553" i="2"/>
  <c r="R552" i="2"/>
  <c r="M552" i="2"/>
  <c r="E552" i="2"/>
  <c r="B552" i="2"/>
  <c r="R551" i="2"/>
  <c r="M551" i="2"/>
  <c r="I551" i="2"/>
  <c r="G551" i="2"/>
  <c r="E551" i="2"/>
  <c r="B551" i="2"/>
  <c r="R550" i="2"/>
  <c r="M550" i="2"/>
  <c r="E550" i="2"/>
  <c r="B550" i="2"/>
  <c r="R549" i="2"/>
  <c r="M549" i="2"/>
  <c r="I549" i="2"/>
  <c r="G549" i="2"/>
  <c r="E549" i="2"/>
  <c r="B549" i="2"/>
  <c r="R548" i="2"/>
  <c r="M548" i="2"/>
  <c r="E548" i="2"/>
  <c r="B548" i="2"/>
  <c r="R547" i="2"/>
  <c r="M547" i="2"/>
  <c r="E547" i="2"/>
  <c r="B547" i="2"/>
  <c r="R546" i="2"/>
  <c r="M546" i="2"/>
  <c r="G546" i="2"/>
  <c r="E546" i="2"/>
  <c r="B546" i="2"/>
  <c r="I546" i="2" s="1"/>
  <c r="R545" i="2"/>
  <c r="M545" i="2"/>
  <c r="E545" i="2"/>
  <c r="B545" i="2"/>
  <c r="R544" i="2"/>
  <c r="M544" i="2"/>
  <c r="I544" i="2"/>
  <c r="G544" i="2"/>
  <c r="E544" i="2"/>
  <c r="B544" i="2"/>
  <c r="R543" i="2"/>
  <c r="M543" i="2"/>
  <c r="E543" i="2"/>
  <c r="B543" i="2"/>
  <c r="R542" i="2"/>
  <c r="M542" i="2"/>
  <c r="I542" i="2"/>
  <c r="G542" i="2"/>
  <c r="E542" i="2"/>
  <c r="B542" i="2"/>
  <c r="R541" i="2"/>
  <c r="M541" i="2"/>
  <c r="E541" i="2"/>
  <c r="B541" i="2"/>
  <c r="R540" i="2"/>
  <c r="M540" i="2"/>
  <c r="I540" i="2"/>
  <c r="G540" i="2"/>
  <c r="E540" i="2"/>
  <c r="B540" i="2"/>
  <c r="R539" i="2"/>
  <c r="M539" i="2"/>
  <c r="E539" i="2"/>
  <c r="B539" i="2"/>
  <c r="R538" i="2"/>
  <c r="M538" i="2"/>
  <c r="I538" i="2"/>
  <c r="G538" i="2"/>
  <c r="E538" i="2"/>
  <c r="B538" i="2"/>
  <c r="R537" i="2"/>
  <c r="M537" i="2"/>
  <c r="E537" i="2"/>
  <c r="B537" i="2"/>
  <c r="R536" i="2"/>
  <c r="M536" i="2"/>
  <c r="I536" i="2"/>
  <c r="G536" i="2"/>
  <c r="E536" i="2"/>
  <c r="B536" i="2"/>
  <c r="R535" i="2"/>
  <c r="M535" i="2"/>
  <c r="E535" i="2"/>
  <c r="B535" i="2"/>
  <c r="R534" i="2"/>
  <c r="M534" i="2"/>
  <c r="I534" i="2"/>
  <c r="G534" i="2"/>
  <c r="E534" i="2"/>
  <c r="B534" i="2"/>
  <c r="R533" i="2"/>
  <c r="M533" i="2"/>
  <c r="E533" i="2"/>
  <c r="B533" i="2"/>
  <c r="R532" i="2"/>
  <c r="M532" i="2"/>
  <c r="I532" i="2"/>
  <c r="G532" i="2"/>
  <c r="E532" i="2"/>
  <c r="B532" i="2"/>
  <c r="R531" i="2"/>
  <c r="M531" i="2"/>
  <c r="E531" i="2"/>
  <c r="B531" i="2"/>
  <c r="R530" i="2"/>
  <c r="M530" i="2"/>
  <c r="I530" i="2"/>
  <c r="G530" i="2"/>
  <c r="E530" i="2"/>
  <c r="B530" i="2"/>
  <c r="R529" i="2"/>
  <c r="M529" i="2"/>
  <c r="E529" i="2"/>
  <c r="B529" i="2"/>
  <c r="R528" i="2"/>
  <c r="M528" i="2"/>
  <c r="I528" i="2"/>
  <c r="G528" i="2"/>
  <c r="E528" i="2"/>
  <c r="B528" i="2"/>
  <c r="R527" i="2"/>
  <c r="M527" i="2"/>
  <c r="E527" i="2"/>
  <c r="B527" i="2"/>
  <c r="R526" i="2"/>
  <c r="M526" i="2"/>
  <c r="I526" i="2"/>
  <c r="G526" i="2"/>
  <c r="E526" i="2"/>
  <c r="B526" i="2"/>
  <c r="R525" i="2"/>
  <c r="M525" i="2"/>
  <c r="E525" i="2"/>
  <c r="B525" i="2"/>
  <c r="R524" i="2"/>
  <c r="M524" i="2"/>
  <c r="I524" i="2"/>
  <c r="G524" i="2"/>
  <c r="E524" i="2"/>
  <c r="B524" i="2"/>
  <c r="R523" i="2"/>
  <c r="M523" i="2"/>
  <c r="E523" i="2"/>
  <c r="B523" i="2"/>
  <c r="R522" i="2"/>
  <c r="M522" i="2"/>
  <c r="I522" i="2"/>
  <c r="G522" i="2"/>
  <c r="E522" i="2"/>
  <c r="B522" i="2"/>
  <c r="R521" i="2"/>
  <c r="M521" i="2"/>
  <c r="E521" i="2"/>
  <c r="B521" i="2"/>
  <c r="R520" i="2"/>
  <c r="M520" i="2"/>
  <c r="I520" i="2"/>
  <c r="G520" i="2"/>
  <c r="E520" i="2"/>
  <c r="B520" i="2"/>
  <c r="R519" i="2"/>
  <c r="M519" i="2"/>
  <c r="E519" i="2"/>
  <c r="B519" i="2"/>
  <c r="R518" i="2"/>
  <c r="M518" i="2"/>
  <c r="I518" i="2"/>
  <c r="G518" i="2"/>
  <c r="E518" i="2"/>
  <c r="B518" i="2"/>
  <c r="R517" i="2"/>
  <c r="M517" i="2"/>
  <c r="G517" i="2"/>
  <c r="E517" i="2"/>
  <c r="B517" i="2"/>
  <c r="I517" i="2" s="1"/>
  <c r="R516" i="2"/>
  <c r="M516" i="2"/>
  <c r="I516" i="2"/>
  <c r="G516" i="2"/>
  <c r="E516" i="2"/>
  <c r="B516" i="2"/>
  <c r="R515" i="2"/>
  <c r="M515" i="2"/>
  <c r="G515" i="2"/>
  <c r="E515" i="2"/>
  <c r="B515" i="2"/>
  <c r="I515" i="2" s="1"/>
  <c r="R514" i="2"/>
  <c r="M514" i="2"/>
  <c r="I514" i="2"/>
  <c r="G514" i="2"/>
  <c r="E514" i="2"/>
  <c r="B514" i="2"/>
  <c r="R513" i="2"/>
  <c r="M513" i="2"/>
  <c r="G513" i="2"/>
  <c r="E513" i="2"/>
  <c r="B513" i="2"/>
  <c r="I513" i="2" s="1"/>
  <c r="R512" i="2"/>
  <c r="M512" i="2"/>
  <c r="I512" i="2"/>
  <c r="G512" i="2"/>
  <c r="E512" i="2"/>
  <c r="B512" i="2"/>
  <c r="R511" i="2"/>
  <c r="M511" i="2"/>
  <c r="E511" i="2"/>
  <c r="B511" i="2"/>
  <c r="R510" i="2"/>
  <c r="M510" i="2"/>
  <c r="I510" i="2"/>
  <c r="G510" i="2"/>
  <c r="E510" i="2"/>
  <c r="B510" i="2"/>
  <c r="R509" i="2"/>
  <c r="M509" i="2"/>
  <c r="G509" i="2"/>
  <c r="E509" i="2"/>
  <c r="B509" i="2"/>
  <c r="I509" i="2" s="1"/>
  <c r="R508" i="2"/>
  <c r="M508" i="2"/>
  <c r="I508" i="2"/>
  <c r="G508" i="2"/>
  <c r="E508" i="2"/>
  <c r="B508" i="2"/>
  <c r="R507" i="2"/>
  <c r="M507" i="2"/>
  <c r="G507" i="2"/>
  <c r="E507" i="2"/>
  <c r="B507" i="2"/>
  <c r="I507" i="2" s="1"/>
  <c r="R506" i="2"/>
  <c r="M506" i="2"/>
  <c r="I506" i="2"/>
  <c r="G506" i="2"/>
  <c r="E506" i="2"/>
  <c r="B506" i="2"/>
  <c r="R505" i="2"/>
  <c r="M505" i="2"/>
  <c r="E505" i="2"/>
  <c r="B505" i="2"/>
  <c r="R504" i="2"/>
  <c r="M504" i="2"/>
  <c r="I504" i="2"/>
  <c r="G504" i="2"/>
  <c r="E504" i="2"/>
  <c r="B504" i="2"/>
  <c r="R503" i="2"/>
  <c r="M503" i="2"/>
  <c r="G503" i="2"/>
  <c r="E503" i="2"/>
  <c r="B503" i="2"/>
  <c r="I503" i="2" s="1"/>
  <c r="R502" i="2"/>
  <c r="M502" i="2"/>
  <c r="G502" i="2"/>
  <c r="E502" i="2"/>
  <c r="B502" i="2"/>
  <c r="R501" i="2"/>
  <c r="M501" i="2"/>
  <c r="G501" i="2"/>
  <c r="E501" i="2"/>
  <c r="B501" i="2"/>
  <c r="I501" i="2" s="1"/>
  <c r="R500" i="2"/>
  <c r="M500" i="2"/>
  <c r="E500" i="2"/>
  <c r="B500" i="2"/>
  <c r="R499" i="2"/>
  <c r="M499" i="2"/>
  <c r="E499" i="2"/>
  <c r="B499" i="2"/>
  <c r="R498" i="2"/>
  <c r="M498" i="2"/>
  <c r="I498" i="2"/>
  <c r="G498" i="2"/>
  <c r="E498" i="2"/>
  <c r="B498" i="2"/>
  <c r="R497" i="2"/>
  <c r="M497" i="2"/>
  <c r="E497" i="2"/>
  <c r="B497" i="2"/>
  <c r="R496" i="2"/>
  <c r="M496" i="2"/>
  <c r="I496" i="2"/>
  <c r="G496" i="2"/>
  <c r="E496" i="2"/>
  <c r="B496" i="2"/>
  <c r="R495" i="2"/>
  <c r="M495" i="2"/>
  <c r="E495" i="2"/>
  <c r="B495" i="2"/>
  <c r="R494" i="2"/>
  <c r="M494" i="2"/>
  <c r="E494" i="2"/>
  <c r="B494" i="2"/>
  <c r="R493" i="2"/>
  <c r="M493" i="2"/>
  <c r="E493" i="2"/>
  <c r="B493" i="2"/>
  <c r="R492" i="2"/>
  <c r="M492" i="2"/>
  <c r="I492" i="2"/>
  <c r="G492" i="2"/>
  <c r="E492" i="2"/>
  <c r="B492" i="2"/>
  <c r="R491" i="2"/>
  <c r="M491" i="2"/>
  <c r="E491" i="2"/>
  <c r="B491" i="2"/>
  <c r="R490" i="2"/>
  <c r="M490" i="2"/>
  <c r="I490" i="2"/>
  <c r="G490" i="2"/>
  <c r="E490" i="2"/>
  <c r="B490" i="2"/>
  <c r="R489" i="2"/>
  <c r="M489" i="2"/>
  <c r="E489" i="2"/>
  <c r="B489" i="2"/>
  <c r="R488" i="2"/>
  <c r="M488" i="2"/>
  <c r="E488" i="2"/>
  <c r="B488" i="2"/>
  <c r="I488" i="2" s="1"/>
  <c r="R487" i="2"/>
  <c r="M487" i="2"/>
  <c r="E487" i="2"/>
  <c r="B487" i="2"/>
  <c r="R486" i="2"/>
  <c r="M486" i="2"/>
  <c r="I486" i="2"/>
  <c r="G486" i="2"/>
  <c r="E486" i="2"/>
  <c r="B486" i="2"/>
  <c r="R485" i="2"/>
  <c r="M485" i="2"/>
  <c r="E485" i="2"/>
  <c r="B485" i="2"/>
  <c r="R484" i="2"/>
  <c r="M484" i="2"/>
  <c r="G484" i="2"/>
  <c r="E484" i="2"/>
  <c r="B484" i="2"/>
  <c r="R483" i="2"/>
  <c r="M483" i="2"/>
  <c r="E483" i="2"/>
  <c r="B483" i="2"/>
  <c r="R482" i="2"/>
  <c r="M482" i="2"/>
  <c r="E482" i="2"/>
  <c r="B482" i="2"/>
  <c r="R481" i="2"/>
  <c r="M481" i="2"/>
  <c r="E481" i="2"/>
  <c r="B481" i="2"/>
  <c r="R480" i="2"/>
  <c r="M480" i="2"/>
  <c r="I480" i="2"/>
  <c r="G480" i="2"/>
  <c r="E480" i="2"/>
  <c r="B480" i="2"/>
  <c r="R479" i="2"/>
  <c r="M479" i="2"/>
  <c r="E479" i="2"/>
  <c r="B479" i="2"/>
  <c r="R478" i="2"/>
  <c r="M478" i="2"/>
  <c r="I478" i="2"/>
  <c r="G478" i="2"/>
  <c r="E478" i="2"/>
  <c r="B478" i="2"/>
  <c r="R477" i="2"/>
  <c r="M477" i="2"/>
  <c r="E477" i="2"/>
  <c r="B477" i="2"/>
  <c r="R476" i="2"/>
  <c r="M476" i="2"/>
  <c r="E476" i="2"/>
  <c r="B476" i="2"/>
  <c r="I476" i="2" s="1"/>
  <c r="R475" i="2"/>
  <c r="M475" i="2"/>
  <c r="E475" i="2"/>
  <c r="B475" i="2"/>
  <c r="R474" i="2"/>
  <c r="M474" i="2"/>
  <c r="E474" i="2"/>
  <c r="B474" i="2"/>
  <c r="R473" i="2"/>
  <c r="M473" i="2"/>
  <c r="E473" i="2"/>
  <c r="B473" i="2"/>
  <c r="R472" i="2"/>
  <c r="M472" i="2"/>
  <c r="E472" i="2"/>
  <c r="B472" i="2"/>
  <c r="R471" i="2"/>
  <c r="M471" i="2"/>
  <c r="E471" i="2"/>
  <c r="B471" i="2"/>
  <c r="R470" i="2"/>
  <c r="M470" i="2"/>
  <c r="I470" i="2"/>
  <c r="E470" i="2"/>
  <c r="B470" i="2"/>
  <c r="G470" i="2" s="1"/>
  <c r="R469" i="2"/>
  <c r="M469" i="2"/>
  <c r="E469" i="2"/>
  <c r="B469" i="2"/>
  <c r="R468" i="2"/>
  <c r="M468" i="2"/>
  <c r="E468" i="2"/>
  <c r="B468" i="2"/>
  <c r="R467" i="2"/>
  <c r="M467" i="2"/>
  <c r="E467" i="2"/>
  <c r="B467" i="2"/>
  <c r="R466" i="2"/>
  <c r="M466" i="2"/>
  <c r="G466" i="2"/>
  <c r="E466" i="2"/>
  <c r="B466" i="2"/>
  <c r="R465" i="2"/>
  <c r="M465" i="2"/>
  <c r="E465" i="2"/>
  <c r="B465" i="2"/>
  <c r="R464" i="2"/>
  <c r="M464" i="2"/>
  <c r="I464" i="2"/>
  <c r="E464" i="2"/>
  <c r="B464" i="2"/>
  <c r="G464" i="2" s="1"/>
  <c r="R463" i="2"/>
  <c r="M463" i="2"/>
  <c r="E463" i="2"/>
  <c r="B463" i="2"/>
  <c r="R462" i="2"/>
  <c r="M462" i="2"/>
  <c r="E462" i="2"/>
  <c r="B462" i="2"/>
  <c r="R461" i="2"/>
  <c r="M461" i="2"/>
  <c r="E461" i="2"/>
  <c r="B461" i="2"/>
  <c r="R460" i="2"/>
  <c r="M460" i="2"/>
  <c r="E460" i="2"/>
  <c r="B460" i="2"/>
  <c r="G460" i="2" s="1"/>
  <c r="R459" i="2"/>
  <c r="M459" i="2"/>
  <c r="E459" i="2"/>
  <c r="B459" i="2"/>
  <c r="R458" i="2"/>
  <c r="M458" i="2"/>
  <c r="I458" i="2"/>
  <c r="E458" i="2"/>
  <c r="B458" i="2"/>
  <c r="G458" i="2" s="1"/>
  <c r="R457" i="2"/>
  <c r="M457" i="2"/>
  <c r="E457" i="2"/>
  <c r="B457" i="2"/>
  <c r="R456" i="2"/>
  <c r="M456" i="2"/>
  <c r="E456" i="2"/>
  <c r="B456" i="2"/>
  <c r="R455" i="2"/>
  <c r="M455" i="2"/>
  <c r="E455" i="2"/>
  <c r="B455" i="2"/>
  <c r="R454" i="2"/>
  <c r="M454" i="2"/>
  <c r="E454" i="2"/>
  <c r="B454" i="2"/>
  <c r="R453" i="2"/>
  <c r="M453" i="2"/>
  <c r="E453" i="2"/>
  <c r="B453" i="2"/>
  <c r="R452" i="2"/>
  <c r="M452" i="2"/>
  <c r="I452" i="2"/>
  <c r="E452" i="2"/>
  <c r="B452" i="2"/>
  <c r="G452" i="2" s="1"/>
  <c r="R451" i="2"/>
  <c r="M451" i="2"/>
  <c r="E451" i="2"/>
  <c r="B451" i="2"/>
  <c r="R450" i="2"/>
  <c r="M450" i="2"/>
  <c r="E450" i="2"/>
  <c r="B450" i="2"/>
  <c r="R449" i="2"/>
  <c r="M449" i="2"/>
  <c r="E449" i="2"/>
  <c r="B449" i="2"/>
  <c r="R448" i="2"/>
  <c r="M448" i="2"/>
  <c r="E448" i="2"/>
  <c r="B448" i="2"/>
  <c r="R447" i="2"/>
  <c r="M447" i="2"/>
  <c r="G447" i="2"/>
  <c r="E447" i="2"/>
  <c r="B447" i="2"/>
  <c r="R446" i="2"/>
  <c r="M446" i="2"/>
  <c r="E446" i="2"/>
  <c r="B446" i="2"/>
  <c r="R445" i="2"/>
  <c r="M445" i="2"/>
  <c r="E445" i="2"/>
  <c r="B445" i="2"/>
  <c r="R444" i="2"/>
  <c r="M444" i="2"/>
  <c r="I444" i="2"/>
  <c r="G444" i="2"/>
  <c r="E444" i="2"/>
  <c r="B444" i="2"/>
  <c r="R443" i="2"/>
  <c r="M443" i="2"/>
  <c r="G443" i="2"/>
  <c r="E443" i="2"/>
  <c r="B443" i="2"/>
  <c r="R442" i="2"/>
  <c r="M442" i="2"/>
  <c r="E442" i="2"/>
  <c r="B442" i="2"/>
  <c r="R441" i="2"/>
  <c r="M441" i="2"/>
  <c r="E441" i="2"/>
  <c r="B441" i="2"/>
  <c r="R440" i="2"/>
  <c r="M440" i="2"/>
  <c r="I440" i="2"/>
  <c r="G440" i="2"/>
  <c r="E440" i="2"/>
  <c r="B440" i="2"/>
  <c r="R439" i="2"/>
  <c r="M439" i="2"/>
  <c r="G439" i="2"/>
  <c r="E439" i="2"/>
  <c r="B439" i="2"/>
  <c r="R438" i="2"/>
  <c r="M438" i="2"/>
  <c r="I438" i="2"/>
  <c r="E438" i="2"/>
  <c r="B438" i="2"/>
  <c r="R437" i="2"/>
  <c r="M437" i="2"/>
  <c r="E437" i="2"/>
  <c r="B437" i="2"/>
  <c r="R436" i="2"/>
  <c r="M436" i="2"/>
  <c r="G436" i="2"/>
  <c r="E436" i="2"/>
  <c r="B436" i="2"/>
  <c r="I436" i="2" s="1"/>
  <c r="R435" i="2"/>
  <c r="M435" i="2"/>
  <c r="G435" i="2"/>
  <c r="E435" i="2"/>
  <c r="B435" i="2"/>
  <c r="R434" i="2"/>
  <c r="M434" i="2"/>
  <c r="E434" i="2"/>
  <c r="B434" i="2"/>
  <c r="R433" i="2"/>
  <c r="M433" i="2"/>
  <c r="G433" i="2"/>
  <c r="E433" i="2"/>
  <c r="B433" i="2"/>
  <c r="R432" i="2"/>
  <c r="M432" i="2"/>
  <c r="I432" i="2"/>
  <c r="G432" i="2"/>
  <c r="E432" i="2"/>
  <c r="B432" i="2"/>
  <c r="R431" i="2"/>
  <c r="M431" i="2"/>
  <c r="E431" i="2"/>
  <c r="B431" i="2"/>
  <c r="R430" i="2"/>
  <c r="M430" i="2"/>
  <c r="I430" i="2"/>
  <c r="G430" i="2"/>
  <c r="E430" i="2"/>
  <c r="B430" i="2"/>
  <c r="R429" i="2"/>
  <c r="M429" i="2"/>
  <c r="E429" i="2"/>
  <c r="B429" i="2"/>
  <c r="R428" i="2"/>
  <c r="M428" i="2"/>
  <c r="E428" i="2"/>
  <c r="B428" i="2"/>
  <c r="R427" i="2"/>
  <c r="M427" i="2"/>
  <c r="E427" i="2"/>
  <c r="B427" i="2"/>
  <c r="R426" i="2"/>
  <c r="M426" i="2"/>
  <c r="I426" i="2"/>
  <c r="E426" i="2"/>
  <c r="B426" i="2"/>
  <c r="G426" i="2" s="1"/>
  <c r="R425" i="2"/>
  <c r="M425" i="2"/>
  <c r="E425" i="2"/>
  <c r="B425" i="2"/>
  <c r="R424" i="2"/>
  <c r="M424" i="2"/>
  <c r="E424" i="2"/>
  <c r="B424" i="2"/>
  <c r="R423" i="2"/>
  <c r="M423" i="2"/>
  <c r="G423" i="2"/>
  <c r="E423" i="2"/>
  <c r="B423" i="2"/>
  <c r="R422" i="2"/>
  <c r="M422" i="2"/>
  <c r="E422" i="2"/>
  <c r="B422" i="2"/>
  <c r="R421" i="2"/>
  <c r="M421" i="2"/>
  <c r="E421" i="2"/>
  <c r="B421" i="2"/>
  <c r="R420" i="2"/>
  <c r="M420" i="2"/>
  <c r="I420" i="2"/>
  <c r="G420" i="2"/>
  <c r="E420" i="2"/>
  <c r="B420" i="2"/>
  <c r="R419" i="2"/>
  <c r="M419" i="2"/>
  <c r="G419" i="2"/>
  <c r="E419" i="2"/>
  <c r="B419" i="2"/>
  <c r="R418" i="2"/>
  <c r="M418" i="2"/>
  <c r="E418" i="2"/>
  <c r="B418" i="2"/>
  <c r="R417" i="2"/>
  <c r="M417" i="2"/>
  <c r="E417" i="2"/>
  <c r="B417" i="2"/>
  <c r="R416" i="2"/>
  <c r="M416" i="2"/>
  <c r="I416" i="2"/>
  <c r="G416" i="2"/>
  <c r="E416" i="2"/>
  <c r="B416" i="2"/>
  <c r="R415" i="2"/>
  <c r="M415" i="2"/>
  <c r="G415" i="2"/>
  <c r="E415" i="2"/>
  <c r="B415" i="2"/>
  <c r="R414" i="2"/>
  <c r="M414" i="2"/>
  <c r="I414" i="2"/>
  <c r="E414" i="2"/>
  <c r="B414" i="2"/>
  <c r="R413" i="2"/>
  <c r="M413" i="2"/>
  <c r="E413" i="2"/>
  <c r="B413" i="2"/>
  <c r="R412" i="2"/>
  <c r="M412" i="2"/>
  <c r="I412" i="2"/>
  <c r="G412" i="2"/>
  <c r="E412" i="2"/>
  <c r="B412" i="2"/>
  <c r="R411" i="2"/>
  <c r="M411" i="2"/>
  <c r="G411" i="2"/>
  <c r="E411" i="2"/>
  <c r="B411" i="2"/>
  <c r="R410" i="2"/>
  <c r="M410" i="2"/>
  <c r="E410" i="2"/>
  <c r="B410" i="2"/>
  <c r="R409" i="2"/>
  <c r="M409" i="2"/>
  <c r="G409" i="2"/>
  <c r="E409" i="2"/>
  <c r="B409" i="2"/>
  <c r="R408" i="2"/>
  <c r="M408" i="2"/>
  <c r="I408" i="2"/>
  <c r="G408" i="2"/>
  <c r="E408" i="2"/>
  <c r="B408" i="2"/>
  <c r="R407" i="2"/>
  <c r="M407" i="2"/>
  <c r="E407" i="2"/>
  <c r="B407" i="2"/>
  <c r="R406" i="2"/>
  <c r="M406" i="2"/>
  <c r="I406" i="2"/>
  <c r="G406" i="2"/>
  <c r="E406" i="2"/>
  <c r="B406" i="2"/>
  <c r="R405" i="2"/>
  <c r="M405" i="2"/>
  <c r="E405" i="2"/>
  <c r="B405" i="2"/>
  <c r="R404" i="2"/>
  <c r="M404" i="2"/>
  <c r="E404" i="2"/>
  <c r="B404" i="2"/>
  <c r="R403" i="2"/>
  <c r="M403" i="2"/>
  <c r="E403" i="2"/>
  <c r="B403" i="2"/>
  <c r="R402" i="2"/>
  <c r="M402" i="2"/>
  <c r="I402" i="2"/>
  <c r="E402" i="2"/>
  <c r="B402" i="2"/>
  <c r="G402" i="2" s="1"/>
  <c r="R401" i="2"/>
  <c r="M401" i="2"/>
  <c r="E401" i="2"/>
  <c r="B401" i="2"/>
  <c r="R400" i="2"/>
  <c r="M400" i="2"/>
  <c r="E400" i="2"/>
  <c r="B400" i="2"/>
  <c r="R399" i="2"/>
  <c r="M399" i="2"/>
  <c r="G399" i="2"/>
  <c r="E399" i="2"/>
  <c r="B399" i="2"/>
  <c r="R398" i="2"/>
  <c r="M398" i="2"/>
  <c r="E398" i="2"/>
  <c r="B398" i="2"/>
  <c r="R397" i="2"/>
  <c r="M397" i="2"/>
  <c r="E397" i="2"/>
  <c r="B397" i="2"/>
  <c r="G397" i="2" s="1"/>
  <c r="R396" i="2"/>
  <c r="M396" i="2"/>
  <c r="E396" i="2"/>
  <c r="B396" i="2"/>
  <c r="R395" i="2"/>
  <c r="M395" i="2"/>
  <c r="E395" i="2"/>
  <c r="B395" i="2"/>
  <c r="R394" i="2"/>
  <c r="M394" i="2"/>
  <c r="E394" i="2"/>
  <c r="B394" i="2"/>
  <c r="R393" i="2"/>
  <c r="M393" i="2"/>
  <c r="E393" i="2"/>
  <c r="B393" i="2"/>
  <c r="G393" i="2" s="1"/>
  <c r="R392" i="2"/>
  <c r="M392" i="2"/>
  <c r="E392" i="2"/>
  <c r="B392" i="2"/>
  <c r="R391" i="2"/>
  <c r="M391" i="2"/>
  <c r="E391" i="2"/>
  <c r="B391" i="2"/>
  <c r="R390" i="2"/>
  <c r="M390" i="2"/>
  <c r="E390" i="2"/>
  <c r="B390" i="2"/>
  <c r="R389" i="2"/>
  <c r="M389" i="2"/>
  <c r="E389" i="2"/>
  <c r="B389" i="2"/>
  <c r="G389" i="2" s="1"/>
  <c r="R388" i="2"/>
  <c r="M388" i="2"/>
  <c r="E388" i="2"/>
  <c r="B388" i="2"/>
  <c r="R387" i="2"/>
  <c r="M387" i="2"/>
  <c r="E387" i="2"/>
  <c r="B387" i="2"/>
  <c r="R386" i="2"/>
  <c r="M386" i="2"/>
  <c r="E386" i="2"/>
  <c r="B386" i="2"/>
  <c r="R385" i="2"/>
  <c r="M385" i="2"/>
  <c r="E385" i="2"/>
  <c r="B385" i="2"/>
  <c r="G385" i="2" s="1"/>
  <c r="R384" i="2"/>
  <c r="M384" i="2"/>
  <c r="E384" i="2"/>
  <c r="B384" i="2"/>
  <c r="R383" i="2"/>
  <c r="M383" i="2"/>
  <c r="E383" i="2"/>
  <c r="B383" i="2"/>
  <c r="R382" i="2"/>
  <c r="M382" i="2"/>
  <c r="E382" i="2"/>
  <c r="B382" i="2"/>
  <c r="R381" i="2"/>
  <c r="M381" i="2"/>
  <c r="E381" i="2"/>
  <c r="B381" i="2"/>
  <c r="G381" i="2" s="1"/>
  <c r="R380" i="2"/>
  <c r="M380" i="2"/>
  <c r="E380" i="2"/>
  <c r="B380" i="2"/>
  <c r="R379" i="2"/>
  <c r="M379" i="2"/>
  <c r="E379" i="2"/>
  <c r="B379" i="2"/>
  <c r="R378" i="2"/>
  <c r="M378" i="2"/>
  <c r="E378" i="2"/>
  <c r="B378" i="2"/>
  <c r="R377" i="2"/>
  <c r="M377" i="2"/>
  <c r="E377" i="2"/>
  <c r="B377" i="2"/>
  <c r="G377" i="2" s="1"/>
  <c r="R376" i="2"/>
  <c r="M376" i="2"/>
  <c r="E376" i="2"/>
  <c r="B376" i="2"/>
  <c r="R375" i="2"/>
  <c r="M375" i="2"/>
  <c r="E375" i="2"/>
  <c r="B375" i="2"/>
  <c r="R374" i="2"/>
  <c r="M374" i="2"/>
  <c r="E374" i="2"/>
  <c r="B374" i="2"/>
  <c r="R373" i="2"/>
  <c r="M373" i="2"/>
  <c r="E373" i="2"/>
  <c r="B373" i="2"/>
  <c r="G373" i="2" s="1"/>
  <c r="R372" i="2"/>
  <c r="M372" i="2"/>
  <c r="E372" i="2"/>
  <c r="B372" i="2"/>
  <c r="R371" i="2"/>
  <c r="M371" i="2"/>
  <c r="E371" i="2"/>
  <c r="B371" i="2"/>
  <c r="R370" i="2"/>
  <c r="M370" i="2"/>
  <c r="E370" i="2"/>
  <c r="B370" i="2"/>
  <c r="R369" i="2"/>
  <c r="M369" i="2"/>
  <c r="E369" i="2"/>
  <c r="B369" i="2"/>
  <c r="G369" i="2" s="1"/>
  <c r="R368" i="2"/>
  <c r="M368" i="2"/>
  <c r="E368" i="2"/>
  <c r="B368" i="2"/>
  <c r="R367" i="2"/>
  <c r="M367" i="2"/>
  <c r="E367" i="2"/>
  <c r="B367" i="2"/>
  <c r="R366" i="2"/>
  <c r="M366" i="2"/>
  <c r="E366" i="2"/>
  <c r="B366" i="2"/>
  <c r="R365" i="2"/>
  <c r="M365" i="2"/>
  <c r="E365" i="2"/>
  <c r="B365" i="2"/>
  <c r="G365" i="2" s="1"/>
  <c r="R364" i="2"/>
  <c r="M364" i="2"/>
  <c r="E364" i="2"/>
  <c r="B364" i="2"/>
  <c r="R363" i="2"/>
  <c r="M363" i="2"/>
  <c r="E363" i="2"/>
  <c r="B363" i="2"/>
  <c r="R362" i="2"/>
  <c r="M362" i="2"/>
  <c r="E362" i="2"/>
  <c r="B362" i="2"/>
  <c r="R361" i="2"/>
  <c r="M361" i="2"/>
  <c r="E361" i="2"/>
  <c r="B361" i="2"/>
  <c r="G361" i="2" s="1"/>
  <c r="R360" i="2"/>
  <c r="M360" i="2"/>
  <c r="E360" i="2"/>
  <c r="B360" i="2"/>
  <c r="R359" i="2"/>
  <c r="M359" i="2"/>
  <c r="E359" i="2"/>
  <c r="B359" i="2"/>
  <c r="R358" i="2"/>
  <c r="M358" i="2"/>
  <c r="E358" i="2"/>
  <c r="B358" i="2"/>
  <c r="R357" i="2"/>
  <c r="M357" i="2"/>
  <c r="E357" i="2"/>
  <c r="B357" i="2"/>
  <c r="G357" i="2" s="1"/>
  <c r="R356" i="2"/>
  <c r="M356" i="2"/>
  <c r="E356" i="2"/>
  <c r="B356" i="2"/>
  <c r="R355" i="2"/>
  <c r="M355" i="2"/>
  <c r="E355" i="2"/>
  <c r="B355" i="2"/>
  <c r="R354" i="2"/>
  <c r="M354" i="2"/>
  <c r="E354" i="2"/>
  <c r="B354" i="2"/>
  <c r="R353" i="2"/>
  <c r="M353" i="2"/>
  <c r="E353" i="2"/>
  <c r="B353" i="2"/>
  <c r="G353" i="2" s="1"/>
  <c r="R352" i="2"/>
  <c r="M352" i="2"/>
  <c r="E352" i="2"/>
  <c r="B352" i="2"/>
  <c r="R351" i="2"/>
  <c r="M351" i="2"/>
  <c r="E351" i="2"/>
  <c r="B351" i="2"/>
  <c r="R350" i="2"/>
  <c r="M350" i="2"/>
  <c r="E350" i="2"/>
  <c r="B350" i="2"/>
  <c r="R349" i="2"/>
  <c r="M349" i="2"/>
  <c r="E349" i="2"/>
  <c r="B349" i="2"/>
  <c r="G349" i="2" s="1"/>
  <c r="R348" i="2"/>
  <c r="M348" i="2"/>
  <c r="E348" i="2"/>
  <c r="B348" i="2"/>
  <c r="R347" i="2"/>
  <c r="M347" i="2"/>
  <c r="E347" i="2"/>
  <c r="B347" i="2"/>
  <c r="R346" i="2"/>
  <c r="M346" i="2"/>
  <c r="E346" i="2"/>
  <c r="B346" i="2"/>
  <c r="R345" i="2"/>
  <c r="M345" i="2"/>
  <c r="E345" i="2"/>
  <c r="B345" i="2"/>
  <c r="G345" i="2" s="1"/>
  <c r="R344" i="2"/>
  <c r="M344" i="2"/>
  <c r="E344" i="2"/>
  <c r="B344" i="2"/>
  <c r="R343" i="2"/>
  <c r="M343" i="2"/>
  <c r="E343" i="2"/>
  <c r="B343" i="2"/>
  <c r="R342" i="2"/>
  <c r="M342" i="2"/>
  <c r="E342" i="2"/>
  <c r="B342" i="2"/>
  <c r="R341" i="2"/>
  <c r="M341" i="2"/>
  <c r="E341" i="2"/>
  <c r="B341" i="2"/>
  <c r="G341" i="2" s="1"/>
  <c r="R340" i="2"/>
  <c r="M340" i="2"/>
  <c r="E340" i="2"/>
  <c r="B340" i="2"/>
  <c r="R339" i="2"/>
  <c r="M339" i="2"/>
  <c r="E339" i="2"/>
  <c r="B339" i="2"/>
  <c r="R338" i="2"/>
  <c r="M338" i="2"/>
  <c r="E338" i="2"/>
  <c r="B338" i="2"/>
  <c r="R337" i="2"/>
  <c r="M337" i="2"/>
  <c r="E337" i="2"/>
  <c r="B337" i="2"/>
  <c r="G337" i="2" s="1"/>
  <c r="R336" i="2"/>
  <c r="M336" i="2"/>
  <c r="E336" i="2"/>
  <c r="B336" i="2"/>
  <c r="R335" i="2"/>
  <c r="M335" i="2"/>
  <c r="E335" i="2"/>
  <c r="B335" i="2"/>
  <c r="R334" i="2"/>
  <c r="M334" i="2"/>
  <c r="E334" i="2"/>
  <c r="B334" i="2"/>
  <c r="R333" i="2"/>
  <c r="M333" i="2"/>
  <c r="E333" i="2"/>
  <c r="B333" i="2"/>
  <c r="G333" i="2" s="1"/>
  <c r="R332" i="2"/>
  <c r="M332" i="2"/>
  <c r="E332" i="2"/>
  <c r="B332" i="2"/>
  <c r="R331" i="2"/>
  <c r="M331" i="2"/>
  <c r="E331" i="2"/>
  <c r="B331" i="2"/>
  <c r="R330" i="2"/>
  <c r="M330" i="2"/>
  <c r="E330" i="2"/>
  <c r="B330" i="2"/>
  <c r="R329" i="2"/>
  <c r="M329" i="2"/>
  <c r="E329" i="2"/>
  <c r="B329" i="2"/>
  <c r="G329" i="2" s="1"/>
  <c r="R328" i="2"/>
  <c r="M328" i="2"/>
  <c r="E328" i="2"/>
  <c r="B328" i="2"/>
  <c r="R327" i="2"/>
  <c r="M327" i="2"/>
  <c r="E327" i="2"/>
  <c r="B327" i="2"/>
  <c r="R326" i="2"/>
  <c r="M326" i="2"/>
  <c r="E326" i="2"/>
  <c r="B326" i="2"/>
  <c r="R325" i="2"/>
  <c r="M325" i="2"/>
  <c r="G325" i="2"/>
  <c r="E325" i="2"/>
  <c r="B325" i="2"/>
  <c r="R324" i="2"/>
  <c r="M324" i="2"/>
  <c r="E324" i="2"/>
  <c r="B324" i="2"/>
  <c r="R323" i="2"/>
  <c r="M323" i="2"/>
  <c r="G323" i="2"/>
  <c r="E323" i="2"/>
  <c r="B323" i="2"/>
  <c r="R322" i="2"/>
  <c r="M322" i="2"/>
  <c r="E322" i="2"/>
  <c r="B322" i="2"/>
  <c r="R321" i="2"/>
  <c r="M321" i="2"/>
  <c r="E321" i="2"/>
  <c r="B321" i="2"/>
  <c r="R320" i="2"/>
  <c r="M320" i="2"/>
  <c r="E320" i="2"/>
  <c r="B320" i="2"/>
  <c r="R319" i="2"/>
  <c r="M319" i="2"/>
  <c r="G319" i="2"/>
  <c r="E319" i="2"/>
  <c r="B319" i="2"/>
  <c r="R318" i="2"/>
  <c r="M318" i="2"/>
  <c r="E318" i="2"/>
  <c r="B318" i="2"/>
  <c r="R317" i="2"/>
  <c r="M317" i="2"/>
  <c r="G317" i="2"/>
  <c r="E317" i="2"/>
  <c r="B317" i="2"/>
  <c r="R316" i="2"/>
  <c r="M316" i="2"/>
  <c r="E316" i="2"/>
  <c r="B316" i="2"/>
  <c r="R315" i="2"/>
  <c r="M315" i="2"/>
  <c r="E315" i="2"/>
  <c r="B315" i="2"/>
  <c r="R314" i="2"/>
  <c r="M314" i="2"/>
  <c r="E314" i="2"/>
  <c r="B314" i="2"/>
  <c r="R313" i="2"/>
  <c r="M313" i="2"/>
  <c r="G313" i="2"/>
  <c r="E313" i="2"/>
  <c r="B313" i="2"/>
  <c r="R312" i="2"/>
  <c r="M312" i="2"/>
  <c r="E312" i="2"/>
  <c r="B312" i="2"/>
  <c r="R311" i="2"/>
  <c r="M311" i="2"/>
  <c r="G311" i="2"/>
  <c r="E311" i="2"/>
  <c r="B311" i="2"/>
  <c r="R310" i="2"/>
  <c r="M310" i="2"/>
  <c r="E310" i="2"/>
  <c r="B310" i="2"/>
  <c r="R309" i="2"/>
  <c r="M309" i="2"/>
  <c r="E309" i="2"/>
  <c r="B309" i="2"/>
  <c r="R308" i="2"/>
  <c r="M308" i="2"/>
  <c r="E308" i="2"/>
  <c r="B308" i="2"/>
  <c r="R307" i="2"/>
  <c r="M307" i="2"/>
  <c r="G307" i="2"/>
  <c r="E307" i="2"/>
  <c r="B307" i="2"/>
  <c r="R306" i="2"/>
  <c r="M306" i="2"/>
  <c r="E306" i="2"/>
  <c r="B306" i="2"/>
  <c r="R305" i="2"/>
  <c r="M305" i="2"/>
  <c r="G305" i="2"/>
  <c r="E305" i="2"/>
  <c r="B305" i="2"/>
  <c r="R304" i="2"/>
  <c r="M304" i="2"/>
  <c r="E304" i="2"/>
  <c r="B304" i="2"/>
  <c r="R303" i="2"/>
  <c r="M303" i="2"/>
  <c r="E303" i="2"/>
  <c r="B303" i="2"/>
  <c r="R302" i="2"/>
  <c r="M302" i="2"/>
  <c r="E302" i="2"/>
  <c r="B302" i="2"/>
  <c r="R301" i="2"/>
  <c r="M301" i="2"/>
  <c r="G301" i="2"/>
  <c r="E301" i="2"/>
  <c r="B301" i="2"/>
  <c r="R300" i="2"/>
  <c r="M300" i="2"/>
  <c r="E300" i="2"/>
  <c r="B300" i="2"/>
  <c r="R299" i="2"/>
  <c r="M299" i="2"/>
  <c r="G299" i="2"/>
  <c r="E299" i="2"/>
  <c r="B299" i="2"/>
  <c r="R298" i="2"/>
  <c r="M298" i="2"/>
  <c r="E298" i="2"/>
  <c r="B298" i="2"/>
  <c r="R297" i="2"/>
  <c r="M297" i="2"/>
  <c r="E297" i="2"/>
  <c r="B297" i="2"/>
  <c r="R296" i="2"/>
  <c r="M296" i="2"/>
  <c r="E296" i="2"/>
  <c r="B296" i="2"/>
  <c r="R295" i="2"/>
  <c r="M295" i="2"/>
  <c r="G295" i="2"/>
  <c r="E295" i="2"/>
  <c r="B295" i="2"/>
  <c r="R294" i="2"/>
  <c r="M294" i="2"/>
  <c r="E294" i="2"/>
  <c r="B294" i="2"/>
  <c r="R293" i="2"/>
  <c r="M293" i="2"/>
  <c r="G293" i="2"/>
  <c r="E293" i="2"/>
  <c r="B293" i="2"/>
  <c r="R292" i="2"/>
  <c r="M292" i="2"/>
  <c r="E292" i="2"/>
  <c r="B292" i="2"/>
  <c r="R291" i="2"/>
  <c r="M291" i="2"/>
  <c r="E291" i="2"/>
  <c r="B291" i="2"/>
  <c r="R290" i="2"/>
  <c r="M290" i="2"/>
  <c r="E290" i="2"/>
  <c r="B290" i="2"/>
  <c r="R289" i="2"/>
  <c r="M289" i="2"/>
  <c r="E289" i="2"/>
  <c r="B289" i="2"/>
  <c r="R288" i="2"/>
  <c r="M288" i="2"/>
  <c r="E288" i="2"/>
  <c r="B288" i="2"/>
  <c r="R287" i="2"/>
  <c r="M287" i="2"/>
  <c r="I287" i="2"/>
  <c r="E287" i="2"/>
  <c r="B287" i="2"/>
  <c r="R286" i="2"/>
  <c r="M286" i="2"/>
  <c r="E286" i="2"/>
  <c r="B286" i="2"/>
  <c r="R285" i="2"/>
  <c r="M285" i="2"/>
  <c r="E285" i="2"/>
  <c r="B285" i="2"/>
  <c r="R284" i="2"/>
  <c r="M284" i="2"/>
  <c r="E284" i="2"/>
  <c r="B284" i="2"/>
  <c r="R283" i="2"/>
  <c r="M283" i="2"/>
  <c r="I283" i="2"/>
  <c r="G283" i="2"/>
  <c r="E283" i="2"/>
  <c r="B283" i="2"/>
  <c r="R282" i="2"/>
  <c r="M282" i="2"/>
  <c r="G282" i="2"/>
  <c r="E282" i="2"/>
  <c r="B282" i="2"/>
  <c r="R281" i="2"/>
  <c r="M281" i="2"/>
  <c r="I281" i="2"/>
  <c r="G281" i="2"/>
  <c r="E281" i="2"/>
  <c r="B281" i="2"/>
  <c r="R280" i="2"/>
  <c r="M280" i="2"/>
  <c r="E280" i="2"/>
  <c r="B280" i="2"/>
  <c r="R279" i="2"/>
  <c r="M279" i="2"/>
  <c r="E279" i="2"/>
  <c r="B279" i="2"/>
  <c r="R278" i="2"/>
  <c r="M278" i="2"/>
  <c r="E278" i="2"/>
  <c r="B278" i="2"/>
  <c r="R277" i="2"/>
  <c r="M277" i="2"/>
  <c r="I277" i="2"/>
  <c r="G277" i="2"/>
  <c r="E277" i="2"/>
  <c r="B277" i="2"/>
  <c r="R276" i="2"/>
  <c r="M276" i="2"/>
  <c r="G276" i="2"/>
  <c r="E276" i="2"/>
  <c r="B276" i="2"/>
  <c r="R275" i="2"/>
  <c r="M275" i="2"/>
  <c r="E275" i="2"/>
  <c r="B275" i="2"/>
  <c r="R274" i="2"/>
  <c r="M274" i="2"/>
  <c r="E274" i="2"/>
  <c r="B274" i="2"/>
  <c r="R273" i="2"/>
  <c r="M273" i="2"/>
  <c r="E273" i="2"/>
  <c r="B273" i="2"/>
  <c r="R272" i="2"/>
  <c r="M272" i="2"/>
  <c r="G272" i="2"/>
  <c r="E272" i="2"/>
  <c r="B272" i="2"/>
  <c r="R271" i="2"/>
  <c r="M271" i="2"/>
  <c r="I271" i="2"/>
  <c r="G271" i="2"/>
  <c r="E271" i="2"/>
  <c r="B271" i="2"/>
  <c r="R270" i="2"/>
  <c r="M270" i="2"/>
  <c r="G270" i="2"/>
  <c r="E270" i="2"/>
  <c r="B270" i="2"/>
  <c r="R269" i="2"/>
  <c r="M269" i="2"/>
  <c r="I269" i="2"/>
  <c r="E269" i="2"/>
  <c r="B269" i="2"/>
  <c r="R268" i="2"/>
  <c r="M268" i="2"/>
  <c r="E268" i="2"/>
  <c r="B268" i="2"/>
  <c r="R267" i="2"/>
  <c r="M267" i="2"/>
  <c r="E267" i="2"/>
  <c r="B267" i="2"/>
  <c r="R266" i="2"/>
  <c r="M266" i="2"/>
  <c r="G266" i="2"/>
  <c r="E266" i="2"/>
  <c r="B266" i="2"/>
  <c r="R265" i="2"/>
  <c r="M265" i="2"/>
  <c r="I265" i="2"/>
  <c r="G265" i="2"/>
  <c r="E265" i="2"/>
  <c r="B265" i="2"/>
  <c r="R264" i="2"/>
  <c r="M264" i="2"/>
  <c r="G264" i="2"/>
  <c r="E264" i="2"/>
  <c r="B264" i="2"/>
  <c r="R263" i="2"/>
  <c r="M263" i="2"/>
  <c r="I263" i="2"/>
  <c r="E263" i="2"/>
  <c r="B263" i="2"/>
  <c r="R262" i="2"/>
  <c r="M262" i="2"/>
  <c r="E262" i="2"/>
  <c r="B262" i="2"/>
  <c r="R261" i="2"/>
  <c r="M261" i="2"/>
  <c r="I261" i="2"/>
  <c r="E261" i="2"/>
  <c r="B261" i="2"/>
  <c r="R260" i="2"/>
  <c r="M260" i="2"/>
  <c r="G260" i="2"/>
  <c r="E260" i="2"/>
  <c r="B260" i="2"/>
  <c r="R259" i="2"/>
  <c r="M259" i="2"/>
  <c r="I259" i="2"/>
  <c r="G259" i="2"/>
  <c r="E259" i="2"/>
  <c r="B259" i="2"/>
  <c r="R258" i="2"/>
  <c r="M258" i="2"/>
  <c r="G258" i="2"/>
  <c r="E258" i="2"/>
  <c r="B258" i="2"/>
  <c r="R257" i="2"/>
  <c r="M257" i="2"/>
  <c r="E257" i="2"/>
  <c r="B257" i="2"/>
  <c r="R256" i="2"/>
  <c r="M256" i="2"/>
  <c r="E256" i="2"/>
  <c r="B256" i="2"/>
  <c r="R255" i="2"/>
  <c r="M255" i="2"/>
  <c r="E255" i="2"/>
  <c r="B255" i="2"/>
  <c r="R254" i="2"/>
  <c r="M254" i="2"/>
  <c r="G254" i="2"/>
  <c r="E254" i="2"/>
  <c r="B254" i="2"/>
  <c r="R253" i="2"/>
  <c r="M253" i="2"/>
  <c r="G253" i="2"/>
  <c r="E253" i="2"/>
  <c r="B253" i="2"/>
  <c r="R252" i="2"/>
  <c r="M252" i="2"/>
  <c r="E252" i="2"/>
  <c r="B252" i="2"/>
  <c r="R251" i="2"/>
  <c r="M251" i="2"/>
  <c r="I251" i="2"/>
  <c r="E251" i="2"/>
  <c r="B251" i="2"/>
  <c r="R250" i="2"/>
  <c r="M250" i="2"/>
  <c r="G250" i="2"/>
  <c r="E250" i="2"/>
  <c r="B250" i="2"/>
  <c r="R249" i="2"/>
  <c r="M249" i="2"/>
  <c r="E249" i="2"/>
  <c r="B249" i="2"/>
  <c r="I249" i="2" s="1"/>
  <c r="R248" i="2"/>
  <c r="M248" i="2"/>
  <c r="G248" i="2"/>
  <c r="E248" i="2"/>
  <c r="B248" i="2"/>
  <c r="R247" i="2"/>
  <c r="M247" i="2"/>
  <c r="E247" i="2"/>
  <c r="B247" i="2"/>
  <c r="R246" i="2"/>
  <c r="M246" i="2"/>
  <c r="G246" i="2"/>
  <c r="E246" i="2"/>
  <c r="B246" i="2"/>
  <c r="R245" i="2"/>
  <c r="M245" i="2"/>
  <c r="I245" i="2"/>
  <c r="E245" i="2"/>
  <c r="B245" i="2"/>
  <c r="R244" i="2"/>
  <c r="M244" i="2"/>
  <c r="E244" i="2"/>
  <c r="B244" i="2"/>
  <c r="G244" i="2" s="1"/>
  <c r="R243" i="2"/>
  <c r="M243" i="2"/>
  <c r="E243" i="2"/>
  <c r="B243" i="2"/>
  <c r="R242" i="2"/>
  <c r="M242" i="2"/>
  <c r="G242" i="2"/>
  <c r="E242" i="2"/>
  <c r="B242" i="2"/>
  <c r="R241" i="2"/>
  <c r="M241" i="2"/>
  <c r="I241" i="2"/>
  <c r="G241" i="2"/>
  <c r="E241" i="2"/>
  <c r="B241" i="2"/>
  <c r="R240" i="2"/>
  <c r="M240" i="2"/>
  <c r="E240" i="2"/>
  <c r="B240" i="2"/>
  <c r="R239" i="2"/>
  <c r="M239" i="2"/>
  <c r="E239" i="2"/>
  <c r="B239" i="2"/>
  <c r="R238" i="2"/>
  <c r="M238" i="2"/>
  <c r="E238" i="2"/>
  <c r="B238" i="2"/>
  <c r="G238" i="2" s="1"/>
  <c r="R237" i="2"/>
  <c r="M237" i="2"/>
  <c r="G237" i="2"/>
  <c r="E237" i="2"/>
  <c r="B237" i="2"/>
  <c r="R236" i="2"/>
  <c r="M236" i="2"/>
  <c r="G236" i="2"/>
  <c r="E236" i="2"/>
  <c r="B236" i="2"/>
  <c r="R235" i="2"/>
  <c r="M235" i="2"/>
  <c r="E235" i="2"/>
  <c r="B235" i="2"/>
  <c r="G235" i="2" s="1"/>
  <c r="R234" i="2"/>
  <c r="M234" i="2"/>
  <c r="E234" i="2"/>
  <c r="B234" i="2"/>
  <c r="R233" i="2"/>
  <c r="M233" i="2"/>
  <c r="I233" i="2"/>
  <c r="G233" i="2"/>
  <c r="E233" i="2"/>
  <c r="B233" i="2"/>
  <c r="R232" i="2"/>
  <c r="M232" i="2"/>
  <c r="E232" i="2"/>
  <c r="B232" i="2"/>
  <c r="R231" i="2"/>
  <c r="M231" i="2"/>
  <c r="E231" i="2"/>
  <c r="B231" i="2"/>
  <c r="R230" i="2"/>
  <c r="M230" i="2"/>
  <c r="E230" i="2"/>
  <c r="B230" i="2"/>
  <c r="R229" i="2"/>
  <c r="M229" i="2"/>
  <c r="I229" i="2"/>
  <c r="G229" i="2"/>
  <c r="E229" i="2"/>
  <c r="B229" i="2"/>
  <c r="R228" i="2"/>
  <c r="M228" i="2"/>
  <c r="E228" i="2"/>
  <c r="B228" i="2"/>
  <c r="R227" i="2"/>
  <c r="M227" i="2"/>
  <c r="I227" i="2"/>
  <c r="G227" i="2"/>
  <c r="E227" i="2"/>
  <c r="B227" i="2"/>
  <c r="R226" i="2"/>
  <c r="M226" i="2"/>
  <c r="G226" i="2"/>
  <c r="E226" i="2"/>
  <c r="B226" i="2"/>
  <c r="R225" i="2"/>
  <c r="M225" i="2"/>
  <c r="I225" i="2"/>
  <c r="E225" i="2"/>
  <c r="B225" i="2"/>
  <c r="R224" i="2"/>
  <c r="M224" i="2"/>
  <c r="G224" i="2"/>
  <c r="E224" i="2"/>
  <c r="B224" i="2"/>
  <c r="R223" i="2"/>
  <c r="M223" i="2"/>
  <c r="E223" i="2"/>
  <c r="B223" i="2"/>
  <c r="R222" i="2"/>
  <c r="M222" i="2"/>
  <c r="G222" i="2"/>
  <c r="E222" i="2"/>
  <c r="B222" i="2"/>
  <c r="R221" i="2"/>
  <c r="M221" i="2"/>
  <c r="E221" i="2"/>
  <c r="B221" i="2"/>
  <c r="R220" i="2"/>
  <c r="M220" i="2"/>
  <c r="E220" i="2"/>
  <c r="B220" i="2"/>
  <c r="R219" i="2"/>
  <c r="M219" i="2"/>
  <c r="I219" i="2"/>
  <c r="G219" i="2"/>
  <c r="E219" i="2"/>
  <c r="B219" i="2"/>
  <c r="R218" i="2"/>
  <c r="M218" i="2"/>
  <c r="E218" i="2"/>
  <c r="B218" i="2"/>
  <c r="R217" i="2"/>
  <c r="M217" i="2"/>
  <c r="G217" i="2"/>
  <c r="E217" i="2"/>
  <c r="B217" i="2"/>
  <c r="R216" i="2"/>
  <c r="M216" i="2"/>
  <c r="E216" i="2"/>
  <c r="B216" i="2"/>
  <c r="R215" i="2"/>
  <c r="M215" i="2"/>
  <c r="G215" i="2"/>
  <c r="E215" i="2"/>
  <c r="B215" i="2"/>
  <c r="R214" i="2"/>
  <c r="M214" i="2"/>
  <c r="G214" i="2"/>
  <c r="E214" i="2"/>
  <c r="B214" i="2"/>
  <c r="R213" i="2"/>
  <c r="M213" i="2"/>
  <c r="G213" i="2"/>
  <c r="E213" i="2"/>
  <c r="B213" i="2"/>
  <c r="I213" i="2" s="1"/>
  <c r="R212" i="2"/>
  <c r="M212" i="2"/>
  <c r="E212" i="2"/>
  <c r="B212" i="2"/>
  <c r="G212" i="2" s="1"/>
  <c r="R211" i="2"/>
  <c r="M211" i="2"/>
  <c r="E211" i="2"/>
  <c r="B211" i="2"/>
  <c r="G211" i="2" s="1"/>
  <c r="R210" i="2"/>
  <c r="M210" i="2"/>
  <c r="G210" i="2"/>
  <c r="E210" i="2"/>
  <c r="B210" i="2"/>
  <c r="R209" i="2"/>
  <c r="M209" i="2"/>
  <c r="G209" i="2"/>
  <c r="E209" i="2"/>
  <c r="B209" i="2"/>
  <c r="I209" i="2" s="1"/>
  <c r="R208" i="2"/>
  <c r="M208" i="2"/>
  <c r="G208" i="2"/>
  <c r="E208" i="2"/>
  <c r="B208" i="2"/>
  <c r="R207" i="2"/>
  <c r="M207" i="2"/>
  <c r="G207" i="2"/>
  <c r="E207" i="2"/>
  <c r="B207" i="2"/>
  <c r="I207" i="2" s="1"/>
  <c r="R206" i="2"/>
  <c r="M206" i="2"/>
  <c r="E206" i="2"/>
  <c r="B206" i="2"/>
  <c r="G206" i="2" s="1"/>
  <c r="R205" i="2"/>
  <c r="M205" i="2"/>
  <c r="E205" i="2"/>
  <c r="B205" i="2"/>
  <c r="R204" i="2"/>
  <c r="M204" i="2"/>
  <c r="I204" i="2"/>
  <c r="G204" i="2"/>
  <c r="E204" i="2"/>
  <c r="B204" i="2"/>
  <c r="R203" i="2"/>
  <c r="M203" i="2"/>
  <c r="E203" i="2"/>
  <c r="B203" i="2"/>
  <c r="R202" i="2"/>
  <c r="M202" i="2"/>
  <c r="I202" i="2"/>
  <c r="G202" i="2"/>
  <c r="E202" i="2"/>
  <c r="B202" i="2"/>
  <c r="R201" i="2"/>
  <c r="M201" i="2"/>
  <c r="I201" i="2"/>
  <c r="G201" i="2"/>
  <c r="E201" i="2"/>
  <c r="B201" i="2"/>
  <c r="R200" i="2"/>
  <c r="M200" i="2"/>
  <c r="I200" i="2"/>
  <c r="G200" i="2"/>
  <c r="E200" i="2"/>
  <c r="B200" i="2"/>
  <c r="R199" i="2"/>
  <c r="M199" i="2"/>
  <c r="I199" i="2"/>
  <c r="G199" i="2"/>
  <c r="E199" i="2"/>
  <c r="B199" i="2"/>
  <c r="R198" i="2"/>
  <c r="M198" i="2"/>
  <c r="I198" i="2"/>
  <c r="G198" i="2"/>
  <c r="E198" i="2"/>
  <c r="B198" i="2"/>
  <c r="R197" i="2"/>
  <c r="M197" i="2"/>
  <c r="I197" i="2"/>
  <c r="E197" i="2"/>
  <c r="B197" i="2"/>
  <c r="G197" i="2" s="1"/>
  <c r="R196" i="2"/>
  <c r="M196" i="2"/>
  <c r="I196" i="2"/>
  <c r="G196" i="2"/>
  <c r="E196" i="2"/>
  <c r="B196" i="2"/>
  <c r="R195" i="2"/>
  <c r="M195" i="2"/>
  <c r="G195" i="2"/>
  <c r="E195" i="2"/>
  <c r="B195" i="2"/>
  <c r="I195" i="2" s="1"/>
  <c r="R194" i="2"/>
  <c r="M194" i="2"/>
  <c r="I194" i="2"/>
  <c r="G194" i="2"/>
  <c r="E194" i="2"/>
  <c r="B194" i="2"/>
  <c r="R193" i="2"/>
  <c r="M193" i="2"/>
  <c r="I193" i="2"/>
  <c r="G193" i="2"/>
  <c r="E193" i="2"/>
  <c r="B193" i="2"/>
  <c r="R192" i="2"/>
  <c r="M192" i="2"/>
  <c r="I192" i="2"/>
  <c r="G192" i="2"/>
  <c r="E192" i="2"/>
  <c r="B192" i="2"/>
  <c r="R191" i="2"/>
  <c r="M191" i="2"/>
  <c r="E191" i="2"/>
  <c r="B191" i="2"/>
  <c r="R190" i="2"/>
  <c r="M190" i="2"/>
  <c r="I190" i="2"/>
  <c r="G190" i="2"/>
  <c r="E190" i="2"/>
  <c r="B190" i="2"/>
  <c r="R189" i="2"/>
  <c r="M189" i="2"/>
  <c r="E189" i="2"/>
  <c r="B189" i="2"/>
  <c r="R188" i="2"/>
  <c r="M188" i="2"/>
  <c r="I188" i="2"/>
  <c r="G188" i="2"/>
  <c r="E188" i="2"/>
  <c r="B188" i="2"/>
  <c r="R187" i="2"/>
  <c r="M187" i="2"/>
  <c r="E187" i="2"/>
  <c r="B187" i="2"/>
  <c r="R186" i="2"/>
  <c r="M186" i="2"/>
  <c r="I186" i="2"/>
  <c r="G186" i="2"/>
  <c r="E186" i="2"/>
  <c r="B186" i="2"/>
  <c r="R185" i="2"/>
  <c r="M185" i="2"/>
  <c r="I185" i="2"/>
  <c r="G185" i="2"/>
  <c r="E185" i="2"/>
  <c r="B185" i="2"/>
  <c r="R184" i="2"/>
  <c r="M184" i="2"/>
  <c r="I184" i="2"/>
  <c r="G184" i="2"/>
  <c r="E184" i="2"/>
  <c r="B184" i="2"/>
  <c r="R183" i="2"/>
  <c r="M183" i="2"/>
  <c r="G183" i="2"/>
  <c r="E183" i="2"/>
  <c r="B183" i="2"/>
  <c r="I183" i="2" s="1"/>
  <c r="R182" i="2"/>
  <c r="M182" i="2"/>
  <c r="I182" i="2"/>
  <c r="G182" i="2"/>
  <c r="E182" i="2"/>
  <c r="B182" i="2"/>
  <c r="R181" i="2"/>
  <c r="M181" i="2"/>
  <c r="E181" i="2"/>
  <c r="B181" i="2"/>
  <c r="I181" i="2" s="1"/>
  <c r="R180" i="2"/>
  <c r="M180" i="2"/>
  <c r="I180" i="2"/>
  <c r="G180" i="2"/>
  <c r="E180" i="2"/>
  <c r="B180" i="2"/>
  <c r="R179" i="2"/>
  <c r="M179" i="2"/>
  <c r="E179" i="2"/>
  <c r="B179" i="2"/>
  <c r="R178" i="2"/>
  <c r="M178" i="2"/>
  <c r="I178" i="2"/>
  <c r="G178" i="2"/>
  <c r="E178" i="2"/>
  <c r="B178" i="2"/>
  <c r="R177" i="2"/>
  <c r="M177" i="2"/>
  <c r="I177" i="2"/>
  <c r="G177" i="2"/>
  <c r="E177" i="2"/>
  <c r="B177" i="2"/>
  <c r="R176" i="2"/>
  <c r="M176" i="2"/>
  <c r="I176" i="2"/>
  <c r="G176" i="2"/>
  <c r="E176" i="2"/>
  <c r="B176" i="2"/>
  <c r="R175" i="2"/>
  <c r="M175" i="2"/>
  <c r="I175" i="2"/>
  <c r="G175" i="2"/>
  <c r="E175" i="2"/>
  <c r="B175" i="2"/>
  <c r="R174" i="2"/>
  <c r="M174" i="2"/>
  <c r="I174" i="2"/>
  <c r="G174" i="2"/>
  <c r="E174" i="2"/>
  <c r="B174" i="2"/>
  <c r="R173" i="2"/>
  <c r="M173" i="2"/>
  <c r="I173" i="2"/>
  <c r="E173" i="2"/>
  <c r="B173" i="2"/>
  <c r="G173" i="2" s="1"/>
  <c r="R172" i="2"/>
  <c r="M172" i="2"/>
  <c r="I172" i="2"/>
  <c r="G172" i="2"/>
  <c r="E172" i="2"/>
  <c r="B172" i="2"/>
  <c r="R171" i="2"/>
  <c r="M171" i="2"/>
  <c r="G171" i="2"/>
  <c r="E171" i="2"/>
  <c r="B171" i="2"/>
  <c r="I171" i="2" s="1"/>
  <c r="R170" i="2"/>
  <c r="M170" i="2"/>
  <c r="I170" i="2"/>
  <c r="G170" i="2"/>
  <c r="E170" i="2"/>
  <c r="B170" i="2"/>
  <c r="R169" i="2"/>
  <c r="M169" i="2"/>
  <c r="I169" i="2"/>
  <c r="G169" i="2"/>
  <c r="E169" i="2"/>
  <c r="B169" i="2"/>
  <c r="R168" i="2"/>
  <c r="M168" i="2"/>
  <c r="I168" i="2"/>
  <c r="G168" i="2"/>
  <c r="E168" i="2"/>
  <c r="B168" i="2"/>
  <c r="R167" i="2"/>
  <c r="M167" i="2"/>
  <c r="E167" i="2"/>
  <c r="B167" i="2"/>
  <c r="R166" i="2"/>
  <c r="M166" i="2"/>
  <c r="I166" i="2"/>
  <c r="G166" i="2"/>
  <c r="E166" i="2"/>
  <c r="B166" i="2"/>
  <c r="R165" i="2"/>
  <c r="M165" i="2"/>
  <c r="E165" i="2"/>
  <c r="B165" i="2"/>
  <c r="R164" i="2"/>
  <c r="M164" i="2"/>
  <c r="I164" i="2"/>
  <c r="G164" i="2"/>
  <c r="E164" i="2"/>
  <c r="B164" i="2"/>
  <c r="R163" i="2"/>
  <c r="M163" i="2"/>
  <c r="E163" i="2"/>
  <c r="B163" i="2"/>
  <c r="R162" i="2"/>
  <c r="M162" i="2"/>
  <c r="I162" i="2"/>
  <c r="G162" i="2"/>
  <c r="E162" i="2"/>
  <c r="B162" i="2"/>
  <c r="R161" i="2"/>
  <c r="M161" i="2"/>
  <c r="I161" i="2"/>
  <c r="G161" i="2"/>
  <c r="E161" i="2"/>
  <c r="B161" i="2"/>
  <c r="R160" i="2"/>
  <c r="M160" i="2"/>
  <c r="I160" i="2"/>
  <c r="G160" i="2"/>
  <c r="E160" i="2"/>
  <c r="B160" i="2"/>
  <c r="R159" i="2"/>
  <c r="M159" i="2"/>
  <c r="G159" i="2"/>
  <c r="E159" i="2"/>
  <c r="B159" i="2"/>
  <c r="R158" i="2"/>
  <c r="M158" i="2"/>
  <c r="I158" i="2"/>
  <c r="G158" i="2"/>
  <c r="E158" i="2"/>
  <c r="B158" i="2"/>
  <c r="R157" i="2"/>
  <c r="M157" i="2"/>
  <c r="E157" i="2"/>
  <c r="B157" i="2"/>
  <c r="R156" i="2"/>
  <c r="M156" i="2"/>
  <c r="I156" i="2"/>
  <c r="G156" i="2"/>
  <c r="E156" i="2"/>
  <c r="B156" i="2"/>
  <c r="R155" i="2"/>
  <c r="M155" i="2"/>
  <c r="I155" i="2"/>
  <c r="G155" i="2"/>
  <c r="E155" i="2"/>
  <c r="B155" i="2"/>
  <c r="R154" i="2"/>
  <c r="M154" i="2"/>
  <c r="I154" i="2"/>
  <c r="G154" i="2"/>
  <c r="E154" i="2"/>
  <c r="B154" i="2"/>
  <c r="R153" i="2"/>
  <c r="M153" i="2"/>
  <c r="G153" i="2"/>
  <c r="E153" i="2"/>
  <c r="B153" i="2"/>
  <c r="R152" i="2"/>
  <c r="M152" i="2"/>
  <c r="I152" i="2"/>
  <c r="G152" i="2"/>
  <c r="E152" i="2"/>
  <c r="B152" i="2"/>
  <c r="R151" i="2"/>
  <c r="M151" i="2"/>
  <c r="E151" i="2"/>
  <c r="B151" i="2"/>
  <c r="G151" i="2" s="1"/>
  <c r="R150" i="2"/>
  <c r="M150" i="2"/>
  <c r="I150" i="2"/>
  <c r="G150" i="2"/>
  <c r="E150" i="2"/>
  <c r="B150" i="2"/>
  <c r="R149" i="2"/>
  <c r="M149" i="2"/>
  <c r="I149" i="2"/>
  <c r="G149" i="2"/>
  <c r="E149" i="2"/>
  <c r="B149" i="2"/>
  <c r="R148" i="2"/>
  <c r="M148" i="2"/>
  <c r="I148" i="2"/>
  <c r="G148" i="2"/>
  <c r="E148" i="2"/>
  <c r="B148" i="2"/>
  <c r="R147" i="2"/>
  <c r="M147" i="2"/>
  <c r="G147" i="2"/>
  <c r="E147" i="2"/>
  <c r="B147" i="2"/>
  <c r="R146" i="2"/>
  <c r="M146" i="2"/>
  <c r="I146" i="2"/>
  <c r="G146" i="2"/>
  <c r="E146" i="2"/>
  <c r="B146" i="2"/>
  <c r="R145" i="2"/>
  <c r="M145" i="2"/>
  <c r="E145" i="2"/>
  <c r="B145" i="2"/>
  <c r="G145" i="2" s="1"/>
  <c r="R144" i="2"/>
  <c r="M144" i="2"/>
  <c r="I144" i="2"/>
  <c r="G144" i="2"/>
  <c r="E144" i="2"/>
  <c r="B144" i="2"/>
  <c r="R143" i="2"/>
  <c r="M143" i="2"/>
  <c r="I143" i="2"/>
  <c r="G143" i="2"/>
  <c r="E143" i="2"/>
  <c r="B143" i="2"/>
  <c r="R142" i="2"/>
  <c r="M142" i="2"/>
  <c r="I142" i="2"/>
  <c r="G142" i="2"/>
  <c r="E142" i="2"/>
  <c r="B142" i="2"/>
  <c r="R141" i="2"/>
  <c r="M141" i="2"/>
  <c r="G141" i="2"/>
  <c r="E141" i="2"/>
  <c r="B141" i="2"/>
  <c r="R140" i="2"/>
  <c r="M140" i="2"/>
  <c r="I140" i="2"/>
  <c r="G140" i="2"/>
  <c r="E140" i="2"/>
  <c r="B140" i="2"/>
  <c r="R139" i="2"/>
  <c r="M139" i="2"/>
  <c r="E139" i="2"/>
  <c r="B139" i="2"/>
  <c r="G139" i="2" s="1"/>
  <c r="R138" i="2"/>
  <c r="M138" i="2"/>
  <c r="I138" i="2"/>
  <c r="G138" i="2"/>
  <c r="E138" i="2"/>
  <c r="B138" i="2"/>
  <c r="R137" i="2"/>
  <c r="M137" i="2"/>
  <c r="I137" i="2"/>
  <c r="G137" i="2"/>
  <c r="E137" i="2"/>
  <c r="B137" i="2"/>
  <c r="R136" i="2"/>
  <c r="M136" i="2"/>
  <c r="I136" i="2"/>
  <c r="G136" i="2"/>
  <c r="E136" i="2"/>
  <c r="B136" i="2"/>
  <c r="R135" i="2"/>
  <c r="M135" i="2"/>
  <c r="G135" i="2"/>
  <c r="E135" i="2"/>
  <c r="B135" i="2"/>
  <c r="R134" i="2"/>
  <c r="M134" i="2"/>
  <c r="I134" i="2"/>
  <c r="G134" i="2"/>
  <c r="E134" i="2"/>
  <c r="B134" i="2"/>
  <c r="R133" i="2"/>
  <c r="M133" i="2"/>
  <c r="E133" i="2"/>
  <c r="B133" i="2"/>
  <c r="R132" i="2"/>
  <c r="M132" i="2"/>
  <c r="I132" i="2"/>
  <c r="G132" i="2"/>
  <c r="E132" i="2"/>
  <c r="B132" i="2"/>
  <c r="R131" i="2"/>
  <c r="M131" i="2"/>
  <c r="I131" i="2"/>
  <c r="G131" i="2"/>
  <c r="E131" i="2"/>
  <c r="B131" i="2"/>
  <c r="R130" i="2"/>
  <c r="M130" i="2"/>
  <c r="I130" i="2"/>
  <c r="G130" i="2"/>
  <c r="E130" i="2"/>
  <c r="B130" i="2"/>
  <c r="R129" i="2"/>
  <c r="M129" i="2"/>
  <c r="G129" i="2"/>
  <c r="E129" i="2"/>
  <c r="B129" i="2"/>
  <c r="R128" i="2"/>
  <c r="M128" i="2"/>
  <c r="I128" i="2"/>
  <c r="G128" i="2"/>
  <c r="E128" i="2"/>
  <c r="B128" i="2"/>
  <c r="R127" i="2"/>
  <c r="M127" i="2"/>
  <c r="I127" i="2"/>
  <c r="G127" i="2"/>
  <c r="E127" i="2"/>
  <c r="B127" i="2"/>
  <c r="R126" i="2"/>
  <c r="M126" i="2"/>
  <c r="I126" i="2"/>
  <c r="G126" i="2"/>
  <c r="E126" i="2"/>
  <c r="B126" i="2"/>
  <c r="R125" i="2"/>
  <c r="M125" i="2"/>
  <c r="G125" i="2"/>
  <c r="E125" i="2"/>
  <c r="B125" i="2"/>
  <c r="R124" i="2"/>
  <c r="M124" i="2"/>
  <c r="I124" i="2"/>
  <c r="G124" i="2"/>
  <c r="E124" i="2"/>
  <c r="B124" i="2"/>
  <c r="R123" i="2"/>
  <c r="M123" i="2"/>
  <c r="I123" i="2"/>
  <c r="G123" i="2"/>
  <c r="E123" i="2"/>
  <c r="B123" i="2"/>
  <c r="R122" i="2"/>
  <c r="M122" i="2"/>
  <c r="I122" i="2"/>
  <c r="G122" i="2"/>
  <c r="E122" i="2"/>
  <c r="B122" i="2"/>
  <c r="R121" i="2"/>
  <c r="M121" i="2"/>
  <c r="G121" i="2"/>
  <c r="E121" i="2"/>
  <c r="B121" i="2"/>
  <c r="R120" i="2"/>
  <c r="M120" i="2"/>
  <c r="I120" i="2"/>
  <c r="G120" i="2"/>
  <c r="E120" i="2"/>
  <c r="B120" i="2"/>
  <c r="R119" i="2"/>
  <c r="M119" i="2"/>
  <c r="I119" i="2"/>
  <c r="G119" i="2"/>
  <c r="E119" i="2"/>
  <c r="B119" i="2"/>
  <c r="R118" i="2"/>
  <c r="M118" i="2"/>
  <c r="I118" i="2"/>
  <c r="G118" i="2"/>
  <c r="E118" i="2"/>
  <c r="B118" i="2"/>
  <c r="R117" i="2"/>
  <c r="M117" i="2"/>
  <c r="G117" i="2"/>
  <c r="E117" i="2"/>
  <c r="B117" i="2"/>
  <c r="R116" i="2"/>
  <c r="M116" i="2"/>
  <c r="I116" i="2"/>
  <c r="G116" i="2"/>
  <c r="E116" i="2"/>
  <c r="B116" i="2"/>
  <c r="R115" i="2"/>
  <c r="M115" i="2"/>
  <c r="I115" i="2"/>
  <c r="G115" i="2"/>
  <c r="E115" i="2"/>
  <c r="B115" i="2"/>
  <c r="R114" i="2"/>
  <c r="M114" i="2"/>
  <c r="I114" i="2"/>
  <c r="G114" i="2"/>
  <c r="E114" i="2"/>
  <c r="B114" i="2"/>
  <c r="R113" i="2"/>
  <c r="M113" i="2"/>
  <c r="G113" i="2"/>
  <c r="E113" i="2"/>
  <c r="B113" i="2"/>
  <c r="R112" i="2"/>
  <c r="M112" i="2"/>
  <c r="I112" i="2"/>
  <c r="G112" i="2"/>
  <c r="E112" i="2"/>
  <c r="B112" i="2"/>
  <c r="R111" i="2"/>
  <c r="M111" i="2"/>
  <c r="I111" i="2"/>
  <c r="G111" i="2"/>
  <c r="E111" i="2"/>
  <c r="B111" i="2"/>
  <c r="R110" i="2"/>
  <c r="M110" i="2"/>
  <c r="I110" i="2"/>
  <c r="G110" i="2"/>
  <c r="E110" i="2"/>
  <c r="B110" i="2"/>
  <c r="R109" i="2"/>
  <c r="M109" i="2"/>
  <c r="G109" i="2"/>
  <c r="E109" i="2"/>
  <c r="B109" i="2"/>
  <c r="R108" i="2"/>
  <c r="M108" i="2"/>
  <c r="I108" i="2"/>
  <c r="G108" i="2"/>
  <c r="E108" i="2"/>
  <c r="B108" i="2"/>
  <c r="R107" i="2"/>
  <c r="M107" i="2"/>
  <c r="I107" i="2"/>
  <c r="G107" i="2"/>
  <c r="E107" i="2"/>
  <c r="B107" i="2"/>
  <c r="R106" i="2"/>
  <c r="M106" i="2"/>
  <c r="I106" i="2"/>
  <c r="G106" i="2"/>
  <c r="E106" i="2"/>
  <c r="B106" i="2"/>
  <c r="R105" i="2"/>
  <c r="M105" i="2"/>
  <c r="G105" i="2"/>
  <c r="E105" i="2"/>
  <c r="B105" i="2"/>
  <c r="R104" i="2"/>
  <c r="M104" i="2"/>
  <c r="I104" i="2"/>
  <c r="G104" i="2"/>
  <c r="E104" i="2"/>
  <c r="B104" i="2"/>
  <c r="R103" i="2"/>
  <c r="M103" i="2"/>
  <c r="I103" i="2"/>
  <c r="G103" i="2"/>
  <c r="E103" i="2"/>
  <c r="B103" i="2"/>
  <c r="R102" i="2"/>
  <c r="M102" i="2"/>
  <c r="I102" i="2"/>
  <c r="G102" i="2"/>
  <c r="E102" i="2"/>
  <c r="B102" i="2"/>
  <c r="R101" i="2"/>
  <c r="M101" i="2"/>
  <c r="G101" i="2"/>
  <c r="E101" i="2"/>
  <c r="B101" i="2"/>
  <c r="R100" i="2"/>
  <c r="M100" i="2"/>
  <c r="I100" i="2"/>
  <c r="G100" i="2"/>
  <c r="E100" i="2"/>
  <c r="B100" i="2"/>
  <c r="R99" i="2"/>
  <c r="M99" i="2"/>
  <c r="I99" i="2"/>
  <c r="G99" i="2"/>
  <c r="E99" i="2"/>
  <c r="B99" i="2"/>
  <c r="R98" i="2"/>
  <c r="M98" i="2"/>
  <c r="I98" i="2"/>
  <c r="G98" i="2"/>
  <c r="E98" i="2"/>
  <c r="B98" i="2"/>
  <c r="R97" i="2"/>
  <c r="M97" i="2"/>
  <c r="G97" i="2"/>
  <c r="E97" i="2"/>
  <c r="B97" i="2"/>
  <c r="R96" i="2"/>
  <c r="M96" i="2"/>
  <c r="I96" i="2"/>
  <c r="G96" i="2"/>
  <c r="E96" i="2"/>
  <c r="B96" i="2"/>
  <c r="R95" i="2"/>
  <c r="M95" i="2"/>
  <c r="I95" i="2"/>
  <c r="G95" i="2"/>
  <c r="E95" i="2"/>
  <c r="B95" i="2"/>
  <c r="R94" i="2"/>
  <c r="M94" i="2"/>
  <c r="I94" i="2"/>
  <c r="G94" i="2"/>
  <c r="E94" i="2"/>
  <c r="B94" i="2"/>
  <c r="R93" i="2"/>
  <c r="M93" i="2"/>
  <c r="G93" i="2"/>
  <c r="E93" i="2"/>
  <c r="B93" i="2"/>
  <c r="R92" i="2"/>
  <c r="M92" i="2"/>
  <c r="I92" i="2"/>
  <c r="G92" i="2"/>
  <c r="E92" i="2"/>
  <c r="B92" i="2"/>
  <c r="R91" i="2"/>
  <c r="M91" i="2"/>
  <c r="I91" i="2"/>
  <c r="G91" i="2"/>
  <c r="E91" i="2"/>
  <c r="B91" i="2"/>
  <c r="R90" i="2"/>
  <c r="M90" i="2"/>
  <c r="I90" i="2"/>
  <c r="G90" i="2"/>
  <c r="E90" i="2"/>
  <c r="B90" i="2"/>
  <c r="R89" i="2"/>
  <c r="M89" i="2"/>
  <c r="G89" i="2"/>
  <c r="E89" i="2"/>
  <c r="B89" i="2"/>
  <c r="R88" i="2"/>
  <c r="M88" i="2"/>
  <c r="I88" i="2"/>
  <c r="G88" i="2"/>
  <c r="E88" i="2"/>
  <c r="B88" i="2"/>
  <c r="R87" i="2"/>
  <c r="M87" i="2"/>
  <c r="I87" i="2"/>
  <c r="G87" i="2"/>
  <c r="E87" i="2"/>
  <c r="B87" i="2"/>
  <c r="R86" i="2"/>
  <c r="M86" i="2"/>
  <c r="I86" i="2"/>
  <c r="G86" i="2"/>
  <c r="E86" i="2"/>
  <c r="B86" i="2"/>
  <c r="R85" i="2"/>
  <c r="M85" i="2"/>
  <c r="G85" i="2"/>
  <c r="E85" i="2"/>
  <c r="B85" i="2"/>
  <c r="R84" i="2"/>
  <c r="M84" i="2"/>
  <c r="I84" i="2"/>
  <c r="G84" i="2"/>
  <c r="E84" i="2"/>
  <c r="B84" i="2"/>
  <c r="R83" i="2"/>
  <c r="M83" i="2"/>
  <c r="I83" i="2"/>
  <c r="G83" i="2"/>
  <c r="E83" i="2"/>
  <c r="B83" i="2"/>
  <c r="R82" i="2"/>
  <c r="M82" i="2"/>
  <c r="I82" i="2"/>
  <c r="G82" i="2"/>
  <c r="E82" i="2"/>
  <c r="B82" i="2"/>
  <c r="R81" i="2"/>
  <c r="M81" i="2"/>
  <c r="G81" i="2"/>
  <c r="E81" i="2"/>
  <c r="B81" i="2"/>
  <c r="R80" i="2"/>
  <c r="M80" i="2"/>
  <c r="I80" i="2"/>
  <c r="G80" i="2"/>
  <c r="E80" i="2"/>
  <c r="B80" i="2"/>
  <c r="R79" i="2"/>
  <c r="M79" i="2"/>
  <c r="I79" i="2"/>
  <c r="G79" i="2"/>
  <c r="E79" i="2"/>
  <c r="B79" i="2"/>
  <c r="R78" i="2"/>
  <c r="M78" i="2"/>
  <c r="I78" i="2"/>
  <c r="G78" i="2"/>
  <c r="E78" i="2"/>
  <c r="B78" i="2"/>
  <c r="R77" i="2"/>
  <c r="M77" i="2"/>
  <c r="G77" i="2"/>
  <c r="E77" i="2"/>
  <c r="B77" i="2"/>
  <c r="R76" i="2"/>
  <c r="M76" i="2"/>
  <c r="I76" i="2"/>
  <c r="G76" i="2"/>
  <c r="E76" i="2"/>
  <c r="B76" i="2"/>
  <c r="R75" i="2"/>
  <c r="M75" i="2"/>
  <c r="I75" i="2"/>
  <c r="G75" i="2"/>
  <c r="E75" i="2"/>
  <c r="B75" i="2"/>
  <c r="R74" i="2"/>
  <c r="M74" i="2"/>
  <c r="I74" i="2"/>
  <c r="G74" i="2"/>
  <c r="E74" i="2"/>
  <c r="B74" i="2"/>
  <c r="R73" i="2"/>
  <c r="M73" i="2"/>
  <c r="G73" i="2"/>
  <c r="E73" i="2"/>
  <c r="B73" i="2"/>
  <c r="R72" i="2"/>
  <c r="M72" i="2"/>
  <c r="I72" i="2"/>
  <c r="G72" i="2"/>
  <c r="E72" i="2"/>
  <c r="B72" i="2"/>
  <c r="R71" i="2"/>
  <c r="M71" i="2"/>
  <c r="I71" i="2"/>
  <c r="G71" i="2"/>
  <c r="E71" i="2"/>
  <c r="B71" i="2"/>
  <c r="R70" i="2"/>
  <c r="M70" i="2"/>
  <c r="I70" i="2"/>
  <c r="G70" i="2"/>
  <c r="E70" i="2"/>
  <c r="B70" i="2"/>
  <c r="R69" i="2"/>
  <c r="M69" i="2"/>
  <c r="G69" i="2"/>
  <c r="E69" i="2"/>
  <c r="B69" i="2"/>
  <c r="R68" i="2"/>
  <c r="M68" i="2"/>
  <c r="I68" i="2"/>
  <c r="G68" i="2"/>
  <c r="E68" i="2"/>
  <c r="B68" i="2"/>
  <c r="R67" i="2"/>
  <c r="M67" i="2"/>
  <c r="I67" i="2"/>
  <c r="G67" i="2"/>
  <c r="E67" i="2"/>
  <c r="B67" i="2"/>
  <c r="R66" i="2"/>
  <c r="M66" i="2"/>
  <c r="I66" i="2"/>
  <c r="G66" i="2"/>
  <c r="E66" i="2"/>
  <c r="B66" i="2"/>
  <c r="R65" i="2"/>
  <c r="M65" i="2"/>
  <c r="G65" i="2"/>
  <c r="E65" i="2"/>
  <c r="B65" i="2"/>
  <c r="R64" i="2"/>
  <c r="M64" i="2"/>
  <c r="I64" i="2"/>
  <c r="G64" i="2"/>
  <c r="E64" i="2"/>
  <c r="B64" i="2"/>
  <c r="R63" i="2"/>
  <c r="M63" i="2"/>
  <c r="I63" i="2"/>
  <c r="G63" i="2"/>
  <c r="E63" i="2"/>
  <c r="B63" i="2"/>
  <c r="R62" i="2"/>
  <c r="M62" i="2"/>
  <c r="I62" i="2"/>
  <c r="G62" i="2"/>
  <c r="E62" i="2"/>
  <c r="B62" i="2"/>
  <c r="R61" i="2"/>
  <c r="M61" i="2"/>
  <c r="G61" i="2"/>
  <c r="E61" i="2"/>
  <c r="B61" i="2"/>
  <c r="R60" i="2"/>
  <c r="M60" i="2"/>
  <c r="I60" i="2"/>
  <c r="G60" i="2"/>
  <c r="E60" i="2"/>
  <c r="B60" i="2"/>
  <c r="R59" i="2"/>
  <c r="M59" i="2"/>
  <c r="I59" i="2"/>
  <c r="G59" i="2"/>
  <c r="E59" i="2"/>
  <c r="B59" i="2"/>
  <c r="R58" i="2"/>
  <c r="M58" i="2"/>
  <c r="I58" i="2"/>
  <c r="G58" i="2"/>
  <c r="E58" i="2"/>
  <c r="B58" i="2"/>
  <c r="R57" i="2"/>
  <c r="M57" i="2"/>
  <c r="G57" i="2"/>
  <c r="E57" i="2"/>
  <c r="B57" i="2"/>
  <c r="I57" i="2" s="1"/>
  <c r="R56" i="2"/>
  <c r="M56" i="2"/>
  <c r="I56" i="2"/>
  <c r="G56" i="2"/>
  <c r="E56" i="2"/>
  <c r="B56" i="2"/>
  <c r="R55" i="2"/>
  <c r="M55" i="2"/>
  <c r="I55" i="2"/>
  <c r="G55" i="2"/>
  <c r="E55" i="2"/>
  <c r="B55" i="2"/>
  <c r="R54" i="2"/>
  <c r="M54" i="2"/>
  <c r="I54" i="2"/>
  <c r="G54" i="2"/>
  <c r="E54" i="2"/>
  <c r="B54" i="2"/>
  <c r="R53" i="2"/>
  <c r="M53" i="2"/>
  <c r="G53" i="2"/>
  <c r="E53" i="2"/>
  <c r="B53" i="2"/>
  <c r="I53" i="2" s="1"/>
  <c r="R52" i="2"/>
  <c r="M52" i="2"/>
  <c r="I52" i="2"/>
  <c r="G52" i="2"/>
  <c r="E52" i="2"/>
  <c r="B52" i="2"/>
  <c r="R51" i="2"/>
  <c r="M51" i="2"/>
  <c r="I51" i="2"/>
  <c r="G51" i="2"/>
  <c r="E51" i="2"/>
  <c r="B51" i="2"/>
  <c r="R50" i="2"/>
  <c r="M50" i="2"/>
  <c r="I50" i="2"/>
  <c r="G50" i="2"/>
  <c r="E50" i="2"/>
  <c r="B50" i="2"/>
  <c r="R49" i="2"/>
  <c r="M49" i="2"/>
  <c r="G49" i="2"/>
  <c r="E49" i="2"/>
  <c r="B49" i="2"/>
  <c r="I49" i="2" s="1"/>
  <c r="R48" i="2"/>
  <c r="M48" i="2"/>
  <c r="I48" i="2"/>
  <c r="G48" i="2"/>
  <c r="E48" i="2"/>
  <c r="B48" i="2"/>
  <c r="R47" i="2"/>
  <c r="M47" i="2"/>
  <c r="E47" i="2"/>
  <c r="B47" i="2"/>
  <c r="I47" i="2" s="1"/>
  <c r="R46" i="2"/>
  <c r="M46" i="2"/>
  <c r="I46" i="2"/>
  <c r="G46" i="2"/>
  <c r="E46" i="2"/>
  <c r="B46" i="2"/>
  <c r="R45" i="2"/>
  <c r="M45" i="2"/>
  <c r="E45" i="2"/>
  <c r="B45" i="2"/>
  <c r="R44" i="2"/>
  <c r="M44" i="2"/>
  <c r="I44" i="2"/>
  <c r="G44" i="2"/>
  <c r="E44" i="2"/>
  <c r="B44" i="2"/>
  <c r="R43" i="2"/>
  <c r="M43" i="2"/>
  <c r="I43" i="2"/>
  <c r="G43" i="2"/>
  <c r="E43" i="2"/>
  <c r="B43" i="2"/>
  <c r="R42" i="2"/>
  <c r="M42" i="2"/>
  <c r="I42" i="2"/>
  <c r="G42" i="2"/>
  <c r="E42" i="2"/>
  <c r="B42" i="2"/>
  <c r="R41" i="2"/>
  <c r="M41" i="2"/>
  <c r="G41" i="2"/>
  <c r="E41" i="2"/>
  <c r="B41" i="2"/>
  <c r="I41" i="2" s="1"/>
  <c r="R40" i="2"/>
  <c r="M40" i="2"/>
  <c r="I40" i="2"/>
  <c r="G40" i="2"/>
  <c r="E40" i="2"/>
  <c r="B40" i="2"/>
  <c r="R39" i="2"/>
  <c r="M39" i="2"/>
  <c r="E39" i="2"/>
  <c r="B39" i="2"/>
  <c r="G39" i="2" s="1"/>
  <c r="R38" i="2"/>
  <c r="M38" i="2"/>
  <c r="I38" i="2"/>
  <c r="G38" i="2"/>
  <c r="E38" i="2"/>
  <c r="B38" i="2"/>
  <c r="R37" i="2"/>
  <c r="M37" i="2"/>
  <c r="E37" i="2"/>
  <c r="B37" i="2"/>
  <c r="I37" i="2" s="1"/>
  <c r="R36" i="2"/>
  <c r="M36" i="2"/>
  <c r="I36" i="2"/>
  <c r="G36" i="2"/>
  <c r="E36" i="2"/>
  <c r="B36" i="2"/>
  <c r="R35" i="2"/>
  <c r="M35" i="2"/>
  <c r="I35" i="2"/>
  <c r="G35" i="2"/>
  <c r="E35" i="2"/>
  <c r="B35" i="2"/>
  <c r="R34" i="2"/>
  <c r="M34" i="2"/>
  <c r="I34" i="2"/>
  <c r="G34" i="2"/>
  <c r="E34" i="2"/>
  <c r="B34" i="2"/>
  <c r="R33" i="2"/>
  <c r="M33" i="2"/>
  <c r="G33" i="2"/>
  <c r="E33" i="2"/>
  <c r="B33" i="2"/>
  <c r="I33" i="2" s="1"/>
  <c r="R32" i="2"/>
  <c r="M32" i="2"/>
  <c r="I32" i="2"/>
  <c r="G32" i="2"/>
  <c r="E32" i="2"/>
  <c r="B32" i="2"/>
  <c r="R31" i="2"/>
  <c r="M31" i="2"/>
  <c r="E31" i="2"/>
  <c r="B31" i="2"/>
  <c r="R30" i="2"/>
  <c r="M30" i="2"/>
  <c r="I30" i="2"/>
  <c r="G30" i="2"/>
  <c r="E30" i="2"/>
  <c r="B30" i="2"/>
  <c r="R29" i="2"/>
  <c r="M29" i="2"/>
  <c r="E29" i="2"/>
  <c r="B29" i="2"/>
  <c r="R28" i="2"/>
  <c r="M28" i="2"/>
  <c r="I28" i="2"/>
  <c r="G28" i="2"/>
  <c r="E28" i="2"/>
  <c r="B28" i="2"/>
  <c r="R27" i="2"/>
  <c r="M27" i="2"/>
  <c r="I27" i="2"/>
  <c r="G27" i="2"/>
  <c r="E27" i="2"/>
  <c r="B27" i="2"/>
  <c r="R26" i="2"/>
  <c r="M26" i="2"/>
  <c r="I26" i="2"/>
  <c r="G26" i="2"/>
  <c r="E26" i="2"/>
  <c r="B26" i="2"/>
  <c r="R25" i="2"/>
  <c r="M25" i="2"/>
  <c r="G25" i="2"/>
  <c r="E25" i="2"/>
  <c r="B25" i="2"/>
  <c r="I25" i="2" s="1"/>
  <c r="R24" i="2"/>
  <c r="M24" i="2"/>
  <c r="I24" i="2"/>
  <c r="G24" i="2"/>
  <c r="E24" i="2"/>
  <c r="B24" i="2"/>
  <c r="R23" i="2"/>
  <c r="M23" i="2"/>
  <c r="E23" i="2"/>
  <c r="B23" i="2"/>
  <c r="R22" i="2"/>
  <c r="M22" i="2"/>
  <c r="I22" i="2"/>
  <c r="G22" i="2"/>
  <c r="E22" i="2"/>
  <c r="B22" i="2"/>
  <c r="R21" i="2"/>
  <c r="M21" i="2"/>
  <c r="E21" i="2"/>
  <c r="B21" i="2"/>
  <c r="I21" i="2" s="1"/>
  <c r="R20" i="2"/>
  <c r="M20" i="2"/>
  <c r="I20" i="2"/>
  <c r="G20" i="2"/>
  <c r="E20" i="2"/>
  <c r="B20" i="2"/>
  <c r="R19" i="2"/>
  <c r="M19" i="2"/>
  <c r="I19" i="2"/>
  <c r="G19" i="2"/>
  <c r="E19" i="2"/>
  <c r="B19" i="2"/>
  <c r="R18" i="2"/>
  <c r="M18" i="2"/>
  <c r="I18" i="2"/>
  <c r="G18" i="2"/>
  <c r="E18" i="2"/>
  <c r="B18" i="2"/>
  <c r="R17" i="2"/>
  <c r="M17" i="2"/>
  <c r="G17" i="2"/>
  <c r="E17" i="2"/>
  <c r="B17" i="2"/>
  <c r="I17" i="2" s="1"/>
  <c r="R16" i="2"/>
  <c r="M16" i="2"/>
  <c r="I16" i="2"/>
  <c r="G16" i="2"/>
  <c r="E16" i="2"/>
  <c r="B16" i="2"/>
  <c r="R15" i="2"/>
  <c r="M15" i="2"/>
  <c r="E15" i="2"/>
  <c r="B15" i="2"/>
  <c r="I15" i="2" s="1"/>
  <c r="R14" i="2"/>
  <c r="M14" i="2"/>
  <c r="I14" i="2"/>
  <c r="G14" i="2"/>
  <c r="E14" i="2"/>
  <c r="B14" i="2"/>
  <c r="R13" i="2"/>
  <c r="M13" i="2"/>
  <c r="E13" i="2"/>
  <c r="B13" i="2"/>
  <c r="R12" i="2"/>
  <c r="M12" i="2"/>
  <c r="I12" i="2"/>
  <c r="G12" i="2"/>
  <c r="E12" i="2"/>
  <c r="B12" i="2"/>
  <c r="R11" i="2"/>
  <c r="M11" i="2"/>
  <c r="I11" i="2"/>
  <c r="G11" i="2"/>
  <c r="E11" i="2"/>
  <c r="B11" i="2"/>
  <c r="R10" i="2"/>
  <c r="M10" i="2"/>
  <c r="I10" i="2"/>
  <c r="G10" i="2"/>
  <c r="E10" i="2"/>
  <c r="B10" i="2"/>
  <c r="R9" i="2"/>
  <c r="M9" i="2"/>
  <c r="G9" i="2"/>
  <c r="E9" i="2"/>
  <c r="B9" i="2"/>
  <c r="I9" i="2" s="1"/>
  <c r="R8" i="2"/>
  <c r="M8" i="2"/>
  <c r="I8" i="2"/>
  <c r="G8" i="2"/>
  <c r="E8" i="2"/>
  <c r="B8" i="2"/>
  <c r="R7" i="2"/>
  <c r="M7" i="2"/>
  <c r="E7" i="2"/>
  <c r="B7" i="2"/>
  <c r="R6" i="2"/>
  <c r="M6" i="2"/>
  <c r="I6" i="2"/>
  <c r="G6" i="2"/>
  <c r="E6" i="2"/>
  <c r="B6" i="2"/>
  <c r="R5" i="2"/>
  <c r="M5" i="2"/>
  <c r="E5" i="2"/>
  <c r="B5" i="2"/>
  <c r="R4" i="2"/>
  <c r="M4" i="2"/>
  <c r="I4" i="2"/>
  <c r="G4" i="2"/>
  <c r="E4" i="2"/>
  <c r="B4" i="2"/>
  <c r="R3" i="2"/>
  <c r="M3" i="2"/>
  <c r="I3" i="2"/>
  <c r="G3" i="2"/>
  <c r="E3" i="2"/>
  <c r="B3" i="2"/>
  <c r="R2" i="2"/>
  <c r="M2" i="2"/>
  <c r="I2" i="2"/>
  <c r="G2" i="2"/>
  <c r="E2" i="2"/>
  <c r="B2" i="2"/>
  <c r="D71" i="1"/>
  <c r="D70" i="1"/>
  <c r="V67" i="1"/>
  <c r="Y67" i="1" s="1"/>
  <c r="T67" i="1"/>
  <c r="S67" i="1"/>
  <c r="R67" i="1"/>
  <c r="T66" i="1"/>
  <c r="S66" i="1"/>
  <c r="V66" i="1" s="1"/>
  <c r="R66" i="1"/>
  <c r="E66" i="1"/>
  <c r="F66" i="1" s="1"/>
  <c r="D66" i="1"/>
  <c r="C66" i="1"/>
  <c r="T65" i="1"/>
  <c r="S65" i="1"/>
  <c r="R65" i="1"/>
  <c r="V65" i="1" s="1"/>
  <c r="E65" i="1"/>
  <c r="D65" i="1"/>
  <c r="C65" i="1"/>
  <c r="T64" i="1"/>
  <c r="S64" i="1"/>
  <c r="R64" i="1"/>
  <c r="V64" i="1" s="1"/>
  <c r="E64" i="1"/>
  <c r="D64" i="1"/>
  <c r="C64" i="1"/>
  <c r="F64" i="1" s="1"/>
  <c r="V63" i="1"/>
  <c r="X63" i="1" s="1"/>
  <c r="T63" i="1"/>
  <c r="S63" i="1"/>
  <c r="R63" i="1"/>
  <c r="E63" i="1"/>
  <c r="D63" i="1"/>
  <c r="C63" i="1"/>
  <c r="F63" i="1" s="1"/>
  <c r="T62" i="1"/>
  <c r="S62" i="1"/>
  <c r="R62" i="1"/>
  <c r="E62" i="1"/>
  <c r="D62" i="1"/>
  <c r="F62" i="1" s="1"/>
  <c r="C62" i="1"/>
  <c r="AE61" i="1"/>
  <c r="T61" i="1"/>
  <c r="S61" i="1"/>
  <c r="V61" i="1" s="1"/>
  <c r="R61" i="1"/>
  <c r="E61" i="1"/>
  <c r="D61" i="1"/>
  <c r="C61" i="1"/>
  <c r="F61" i="1" s="1"/>
  <c r="AE60" i="1"/>
  <c r="T60" i="1"/>
  <c r="S60" i="1"/>
  <c r="V60" i="1" s="1"/>
  <c r="R60" i="1"/>
  <c r="E60" i="1"/>
  <c r="D60" i="1"/>
  <c r="C60" i="1"/>
  <c r="F60" i="1" s="1"/>
  <c r="AE59" i="1"/>
  <c r="T59" i="1"/>
  <c r="S59" i="1"/>
  <c r="V59" i="1" s="1"/>
  <c r="R59" i="1"/>
  <c r="E59" i="1"/>
  <c r="D59" i="1"/>
  <c r="C59" i="1"/>
  <c r="F59" i="1" s="1"/>
  <c r="AE58" i="1"/>
  <c r="T58" i="1"/>
  <c r="V58" i="1" s="1"/>
  <c r="S58" i="1"/>
  <c r="R58" i="1"/>
  <c r="E58" i="1"/>
  <c r="D58" i="1"/>
  <c r="F58" i="1" s="1"/>
  <c r="C58" i="1"/>
  <c r="AE57" i="1"/>
  <c r="T57" i="1"/>
  <c r="V57" i="1" s="1"/>
  <c r="S57" i="1"/>
  <c r="R57" i="1"/>
  <c r="E57" i="1"/>
  <c r="D57" i="1"/>
  <c r="F57" i="1" s="1"/>
  <c r="C57" i="1"/>
  <c r="AF56" i="1"/>
  <c r="AE56" i="1"/>
  <c r="Z56" i="1"/>
  <c r="V56" i="1"/>
  <c r="Y56" i="1" s="1"/>
  <c r="T56" i="1"/>
  <c r="S56" i="1"/>
  <c r="R56" i="1"/>
  <c r="E56" i="1"/>
  <c r="D56" i="1"/>
  <c r="C56" i="1"/>
  <c r="F56" i="1" s="1"/>
  <c r="AE55" i="1"/>
  <c r="T55" i="1"/>
  <c r="S55" i="1"/>
  <c r="R55" i="1"/>
  <c r="V55" i="1" s="1"/>
  <c r="E55" i="1"/>
  <c r="D55" i="1"/>
  <c r="C55" i="1"/>
  <c r="F55" i="1" s="1"/>
  <c r="AF54" i="1"/>
  <c r="AE54" i="1"/>
  <c r="T54" i="1"/>
  <c r="S54" i="1"/>
  <c r="R54" i="1"/>
  <c r="V54" i="1" s="1"/>
  <c r="E54" i="1"/>
  <c r="D54" i="1"/>
  <c r="C54" i="1"/>
  <c r="F54" i="1" s="1"/>
  <c r="AE53" i="1"/>
  <c r="T53" i="1"/>
  <c r="S53" i="1"/>
  <c r="V53" i="1" s="1"/>
  <c r="R53" i="1"/>
  <c r="N53" i="1"/>
  <c r="E53" i="1"/>
  <c r="F53" i="1" s="1"/>
  <c r="D53" i="1"/>
  <c r="C53" i="1"/>
  <c r="AE52" i="1"/>
  <c r="T52" i="1"/>
  <c r="S52" i="1"/>
  <c r="R52" i="1"/>
  <c r="V52" i="1" s="1"/>
  <c r="F52" i="1"/>
  <c r="E52" i="1"/>
  <c r="D52" i="1"/>
  <c r="C52" i="1"/>
  <c r="AE51" i="1"/>
  <c r="T51" i="1"/>
  <c r="S51" i="1"/>
  <c r="R51" i="1"/>
  <c r="V51" i="1" s="1"/>
  <c r="E51" i="1"/>
  <c r="D51" i="1"/>
  <c r="F51" i="1" s="1"/>
  <c r="C51" i="1"/>
  <c r="AE50" i="1"/>
  <c r="T50" i="1"/>
  <c r="S50" i="1"/>
  <c r="V50" i="1" s="1"/>
  <c r="R50" i="1"/>
  <c r="E50" i="1"/>
  <c r="F50" i="1" s="1"/>
  <c r="D50" i="1"/>
  <c r="C50" i="1"/>
  <c r="AE49" i="1"/>
  <c r="T49" i="1"/>
  <c r="V49" i="1" s="1"/>
  <c r="S49" i="1"/>
  <c r="R49" i="1"/>
  <c r="E49" i="1"/>
  <c r="D49" i="1"/>
  <c r="C49" i="1"/>
  <c r="AE48" i="1"/>
  <c r="V48" i="1"/>
  <c r="X48" i="1" s="1"/>
  <c r="T48" i="1"/>
  <c r="S48" i="1"/>
  <c r="R48" i="1"/>
  <c r="E48" i="1"/>
  <c r="D48" i="1"/>
  <c r="C48" i="1"/>
  <c r="F48" i="1" s="1"/>
  <c r="AE47" i="1"/>
  <c r="E47" i="1"/>
  <c r="D47" i="1"/>
  <c r="F47" i="1" s="1"/>
  <c r="C47" i="1"/>
  <c r="AE46" i="1"/>
  <c r="AE45" i="1"/>
  <c r="AE44" i="1"/>
  <c r="AE43" i="1"/>
  <c r="AE42" i="1"/>
  <c r="AE41" i="1"/>
  <c r="AE40" i="1"/>
  <c r="AE39" i="1"/>
  <c r="AE38" i="1"/>
  <c r="H38" i="1"/>
  <c r="G38" i="1"/>
  <c r="F38" i="1"/>
  <c r="AE37" i="1"/>
  <c r="G37" i="1"/>
  <c r="F37" i="1"/>
  <c r="H37" i="1" s="1"/>
  <c r="AE36" i="1"/>
  <c r="G36" i="1"/>
  <c r="F36" i="1"/>
  <c r="H36" i="1" s="1"/>
  <c r="AE35" i="1"/>
  <c r="G35" i="1"/>
  <c r="F35" i="1"/>
  <c r="AE34" i="1"/>
  <c r="R34" i="1"/>
  <c r="Q34" i="1"/>
  <c r="P34" i="1"/>
  <c r="X34" i="1" s="1"/>
  <c r="O34" i="1"/>
  <c r="G34" i="1"/>
  <c r="F34" i="1"/>
  <c r="AE33" i="1"/>
  <c r="X33" i="1"/>
  <c r="W33" i="1"/>
  <c r="U33" i="1"/>
  <c r="T33" i="1"/>
  <c r="S33" i="1"/>
  <c r="AN30" i="1" s="1"/>
  <c r="R33" i="1"/>
  <c r="Q33" i="1"/>
  <c r="P33" i="1"/>
  <c r="V33" i="1" s="1"/>
  <c r="O33" i="1"/>
  <c r="G33" i="1"/>
  <c r="F33" i="1"/>
  <c r="F49" i="1" s="1"/>
  <c r="AE32" i="1"/>
  <c r="O32" i="1"/>
  <c r="R32" i="1" s="1"/>
  <c r="AE31" i="1"/>
  <c r="R31" i="1"/>
  <c r="Q31" i="1"/>
  <c r="O31" i="1"/>
  <c r="P31" i="1" s="1"/>
  <c r="AE30" i="1"/>
  <c r="X30" i="1"/>
  <c r="R30" i="1"/>
  <c r="Q30" i="1"/>
  <c r="P30" i="1"/>
  <c r="W30" i="1" s="1"/>
  <c r="O30" i="1"/>
  <c r="AE29" i="1"/>
  <c r="X29" i="1"/>
  <c r="W29" i="1"/>
  <c r="U29" i="1"/>
  <c r="T29" i="1"/>
  <c r="AF32" i="1" s="1"/>
  <c r="S29" i="1"/>
  <c r="AI26" i="1" s="1"/>
  <c r="R29" i="1"/>
  <c r="Q29" i="1"/>
  <c r="P29" i="1"/>
  <c r="V29" i="1" s="1"/>
  <c r="O29" i="1"/>
  <c r="E29" i="1"/>
  <c r="AE28" i="1"/>
  <c r="E28" i="1"/>
  <c r="AE27" i="1"/>
  <c r="E27" i="1"/>
  <c r="AE26" i="1"/>
  <c r="E22" i="1"/>
  <c r="E21" i="1"/>
  <c r="E17" i="1"/>
  <c r="D17" i="1"/>
  <c r="C17" i="1"/>
  <c r="E16" i="1"/>
  <c r="D16" i="1"/>
  <c r="C16" i="1"/>
  <c r="G16" i="1" s="1"/>
  <c r="E15" i="1"/>
  <c r="D15" i="1"/>
  <c r="C15" i="1"/>
  <c r="E14" i="1"/>
  <c r="D14" i="1"/>
  <c r="C14" i="1"/>
  <c r="G14" i="1" s="1"/>
  <c r="E13" i="1"/>
  <c r="D13" i="1"/>
  <c r="C13" i="1"/>
  <c r="E12" i="1"/>
  <c r="D12" i="1"/>
  <c r="C12" i="1"/>
  <c r="G12" i="1" s="1"/>
  <c r="P8" i="1"/>
  <c r="P7" i="1"/>
  <c r="E7" i="1"/>
  <c r="D7" i="1"/>
  <c r="P6" i="1"/>
  <c r="D6" i="1"/>
  <c r="E6" i="1" s="1"/>
  <c r="P5" i="1"/>
  <c r="D5" i="1"/>
  <c r="G17" i="1" s="1"/>
  <c r="P4" i="1"/>
  <c r="E4" i="1"/>
  <c r="D4" i="1"/>
  <c r="D3" i="1"/>
  <c r="E3" i="1" s="1"/>
  <c r="P1657" i="2" l="1"/>
  <c r="P1706" i="2"/>
  <c r="P1704" i="2"/>
  <c r="P1702" i="2"/>
  <c r="P1700" i="2"/>
  <c r="P1698" i="2"/>
  <c r="P1696" i="2"/>
  <c r="P1694" i="2"/>
  <c r="P1692" i="2"/>
  <c r="P1682" i="2"/>
  <c r="P1680" i="2"/>
  <c r="P1678" i="2"/>
  <c r="P1676" i="2"/>
  <c r="P1674" i="2"/>
  <c r="P1672" i="2"/>
  <c r="P1670" i="2"/>
  <c r="P1668" i="2"/>
  <c r="P1654" i="2"/>
  <c r="P1651" i="2"/>
  <c r="P1647" i="2"/>
  <c r="P1646" i="2"/>
  <c r="P1644" i="2"/>
  <c r="P1645" i="2"/>
  <c r="P1648" i="2"/>
  <c r="P1270" i="2"/>
  <c r="P1227" i="2"/>
  <c r="P1193" i="2"/>
  <c r="P1235" i="2"/>
  <c r="P873" i="2"/>
  <c r="P864" i="2"/>
  <c r="P847" i="2"/>
  <c r="P821" i="2"/>
  <c r="P904" i="2"/>
  <c r="P557" i="2"/>
  <c r="P861" i="2"/>
  <c r="P605" i="2"/>
  <c r="P930" i="2"/>
  <c r="P809" i="2"/>
  <c r="P570" i="2"/>
  <c r="P335" i="2"/>
  <c r="P303" i="2"/>
  <c r="P310" i="2"/>
  <c r="P346" i="2"/>
  <c r="P314" i="2"/>
  <c r="P284" i="2"/>
  <c r="P289" i="2"/>
  <c r="P523" i="2"/>
  <c r="P318" i="2"/>
  <c r="Z53" i="1"/>
  <c r="Y53" i="1"/>
  <c r="X53" i="1"/>
  <c r="P2130" i="2"/>
  <c r="P2127" i="2"/>
  <c r="P2128" i="2"/>
  <c r="P2154" i="2"/>
  <c r="P2140" i="2"/>
  <c r="P2150" i="2"/>
  <c r="P2152" i="2"/>
  <c r="P2138" i="2"/>
  <c r="P2126" i="2"/>
  <c r="P2139" i="2"/>
  <c r="P2151" i="2"/>
  <c r="P2142" i="2"/>
  <c r="P1610" i="2"/>
  <c r="P1603" i="2"/>
  <c r="P1605" i="2"/>
  <c r="P1556" i="2"/>
  <c r="P1540" i="2"/>
  <c r="P1569" i="2"/>
  <c r="P1596" i="2"/>
  <c r="P1527" i="2"/>
  <c r="P1574" i="2"/>
  <c r="P1528" i="2"/>
  <c r="P1520" i="2"/>
  <c r="P1436" i="2"/>
  <c r="P1434" i="2"/>
  <c r="P1382" i="2"/>
  <c r="P1417" i="2"/>
  <c r="P1547" i="2"/>
  <c r="P1451" i="2"/>
  <c r="P1252" i="2"/>
  <c r="P1220" i="2"/>
  <c r="P1172" i="2"/>
  <c r="P1119" i="2"/>
  <c r="P1543" i="2"/>
  <c r="P1425" i="2"/>
  <c r="P1408" i="2"/>
  <c r="P1503" i="2"/>
  <c r="P1403" i="2"/>
  <c r="P1080" i="2"/>
  <c r="P1136" i="2"/>
  <c r="P1129" i="2"/>
  <c r="P1066" i="2"/>
  <c r="P1087" i="2"/>
  <c r="P856" i="2"/>
  <c r="P1025" i="2"/>
  <c r="P901" i="2"/>
  <c r="P811" i="2"/>
  <c r="P849" i="2"/>
  <c r="N1766" i="2"/>
  <c r="N1768" i="2"/>
  <c r="N1767" i="2"/>
  <c r="N1769" i="2"/>
  <c r="N1764" i="2"/>
  <c r="N1765" i="2"/>
  <c r="N418" i="2"/>
  <c r="N424" i="2"/>
  <c r="N407" i="2"/>
  <c r="N410" i="2"/>
  <c r="N393" i="2"/>
  <c r="N391" i="2"/>
  <c r="N387" i="2"/>
  <c r="N362" i="2"/>
  <c r="N237" i="2"/>
  <c r="N230" i="2"/>
  <c r="N215" i="2"/>
  <c r="N202" i="2"/>
  <c r="N194" i="2"/>
  <c r="N192" i="2"/>
  <c r="N188" i="2"/>
  <c r="N186" i="2"/>
  <c r="N178" i="2"/>
  <c r="N170" i="2"/>
  <c r="N224" i="2"/>
  <c r="N219" i="2"/>
  <c r="N374" i="2"/>
  <c r="N372" i="2"/>
  <c r="N203" i="2"/>
  <c r="N197" i="2"/>
  <c r="N189" i="2"/>
  <c r="N185" i="2"/>
  <c r="N169" i="2"/>
  <c r="N163" i="2"/>
  <c r="N139" i="2"/>
  <c r="N125" i="2"/>
  <c r="N103" i="2"/>
  <c r="N81" i="2"/>
  <c r="N75" i="2"/>
  <c r="N71" i="2"/>
  <c r="N69" i="2"/>
  <c r="N65" i="2"/>
  <c r="N53" i="2"/>
  <c r="N250" i="2"/>
  <c r="N241" i="2"/>
  <c r="N222" i="2"/>
  <c r="N217" i="2"/>
  <c r="N50" i="2"/>
  <c r="N46" i="2"/>
  <c r="N74" i="2"/>
  <c r="N66" i="2"/>
  <c r="N45" i="2"/>
  <c r="N247" i="2"/>
  <c r="N228" i="2"/>
  <c r="N211" i="2"/>
  <c r="N47" i="2"/>
  <c r="N94" i="2"/>
  <c r="N212" i="2"/>
  <c r="N234" i="2"/>
  <c r="N221" i="2"/>
  <c r="N90" i="2"/>
  <c r="N210" i="2"/>
  <c r="N162" i="2"/>
  <c r="N96" i="2"/>
  <c r="N68" i="2"/>
  <c r="N60" i="2"/>
  <c r="N231" i="2"/>
  <c r="N160" i="2"/>
  <c r="N154" i="2"/>
  <c r="N443" i="2"/>
  <c r="N342" i="2"/>
  <c r="N240" i="2"/>
  <c r="X61" i="1"/>
  <c r="Z61" i="1"/>
  <c r="Y61" i="1"/>
  <c r="Z50" i="1"/>
  <c r="Y50" i="1"/>
  <c r="X50" i="1"/>
  <c r="N1310" i="2"/>
  <c r="N1332" i="2"/>
  <c r="N1292" i="2"/>
  <c r="N1229" i="2"/>
  <c r="N1278" i="2"/>
  <c r="N1307" i="2"/>
  <c r="N1184" i="2"/>
  <c r="N1232" i="2"/>
  <c r="N1264" i="2"/>
  <c r="N1261" i="2"/>
  <c r="N1211" i="2"/>
  <c r="N1048" i="2"/>
  <c r="N1009" i="2"/>
  <c r="N965" i="2"/>
  <c r="N953" i="2"/>
  <c r="N914" i="2"/>
  <c r="N898" i="2"/>
  <c r="N1258" i="2"/>
  <c r="N1007" i="2"/>
  <c r="N998" i="2"/>
  <c r="N994" i="2"/>
  <c r="N990" i="2"/>
  <c r="N961" i="2"/>
  <c r="N952" i="2"/>
  <c r="N908" i="2"/>
  <c r="N806" i="2"/>
  <c r="N854" i="2"/>
  <c r="N948" i="2"/>
  <c r="N878" i="2"/>
  <c r="N872" i="2"/>
  <c r="N840" i="2"/>
  <c r="N833" i="2"/>
  <c r="N894" i="2"/>
  <c r="N757" i="2"/>
  <c r="N810" i="2"/>
  <c r="N794" i="2"/>
  <c r="N746" i="2"/>
  <c r="N722" i="2"/>
  <c r="N899" i="2"/>
  <c r="N851" i="2"/>
  <c r="N623" i="2"/>
  <c r="N841" i="2"/>
  <c r="N699" i="2"/>
  <c r="N603" i="2"/>
  <c r="N796" i="2"/>
  <c r="N693" i="2"/>
  <c r="N674" i="2"/>
  <c r="N669" i="2"/>
  <c r="N942" i="2"/>
  <c r="N848" i="2"/>
  <c r="N683" i="2"/>
  <c r="N646" i="2"/>
  <c r="N731" i="2"/>
  <c r="N654" i="2"/>
  <c r="N918" i="2"/>
  <c r="N653" i="2"/>
  <c r="N820" i="2"/>
  <c r="N1033" i="2"/>
  <c r="N858" i="2"/>
  <c r="N671" i="2"/>
  <c r="N666" i="2"/>
  <c r="N780" i="2"/>
  <c r="N667" i="2"/>
  <c r="N627" i="2"/>
  <c r="N657" i="2"/>
  <c r="N697" i="2"/>
  <c r="N686" i="2"/>
  <c r="N631" i="2"/>
  <c r="N638" i="2"/>
  <c r="N709" i="2"/>
  <c r="N707" i="2"/>
  <c r="N696" i="2"/>
  <c r="Z65" i="1"/>
  <c r="X65" i="1"/>
  <c r="Y65" i="1"/>
  <c r="C2161" i="2"/>
  <c r="C2159" i="2"/>
  <c r="C2157" i="2"/>
  <c r="C2155" i="2"/>
  <c r="C2153" i="2"/>
  <c r="C2151" i="2"/>
  <c r="C2125" i="2"/>
  <c r="C2123" i="2"/>
  <c r="C2121" i="2"/>
  <c r="C2119" i="2"/>
  <c r="C2117" i="2"/>
  <c r="C2124" i="2"/>
  <c r="C2160" i="2"/>
  <c r="C2158" i="2"/>
  <c r="C2156" i="2"/>
  <c r="C2154" i="2"/>
  <c r="C2152" i="2"/>
  <c r="C2150" i="2"/>
  <c r="C2122" i="2"/>
  <c r="C2116" i="2"/>
  <c r="C2110" i="2"/>
  <c r="C2120" i="2"/>
  <c r="C2112" i="2"/>
  <c r="C2066" i="2"/>
  <c r="C2069" i="2"/>
  <c r="C2113" i="2"/>
  <c r="C2061" i="2"/>
  <c r="C2055" i="2"/>
  <c r="C2049" i="2"/>
  <c r="C2060" i="2"/>
  <c r="C2054" i="2"/>
  <c r="C2048" i="2"/>
  <c r="C2118" i="2"/>
  <c r="C2068" i="2"/>
  <c r="C2056" i="2"/>
  <c r="C2111" i="2"/>
  <c r="C2063" i="2"/>
  <c r="C2067" i="2"/>
  <c r="C2064" i="2"/>
  <c r="C2050" i="2"/>
  <c r="C1992" i="2"/>
  <c r="C2057" i="2"/>
  <c r="C1995" i="2"/>
  <c r="C2058" i="2"/>
  <c r="C2115" i="2"/>
  <c r="C2059" i="2"/>
  <c r="C1972" i="2"/>
  <c r="C1966" i="2"/>
  <c r="C2065" i="2"/>
  <c r="C2062" i="2"/>
  <c r="C2053" i="2"/>
  <c r="C1996" i="2"/>
  <c r="C2047" i="2"/>
  <c r="C1994" i="2"/>
  <c r="C1977" i="2"/>
  <c r="C1971" i="2"/>
  <c r="C1993" i="2"/>
  <c r="C1974" i="2"/>
  <c r="C1968" i="2"/>
  <c r="C1990" i="2"/>
  <c r="C1976" i="2"/>
  <c r="C2051" i="2"/>
  <c r="C2046" i="2"/>
  <c r="C1991" i="2"/>
  <c r="C1967" i="2"/>
  <c r="C2052" i="2"/>
  <c r="C1933" i="2"/>
  <c r="C1931" i="2"/>
  <c r="C1929" i="2"/>
  <c r="C1927" i="2"/>
  <c r="C1925" i="2"/>
  <c r="C1923" i="2"/>
  <c r="C1921" i="2"/>
  <c r="C1919" i="2"/>
  <c r="C1926" i="2"/>
  <c r="C1975" i="2"/>
  <c r="C1928" i="2"/>
  <c r="C1969" i="2"/>
  <c r="C1930" i="2"/>
  <c r="C2114" i="2"/>
  <c r="C1973" i="2"/>
  <c r="C1932" i="2"/>
  <c r="C1873" i="2"/>
  <c r="C1871" i="2"/>
  <c r="C1869" i="2"/>
  <c r="C1867" i="2"/>
  <c r="C1865" i="2"/>
  <c r="C1863" i="2"/>
  <c r="C1837" i="2"/>
  <c r="C1835" i="2"/>
  <c r="C1833" i="2"/>
  <c r="C1831" i="2"/>
  <c r="C1829" i="2"/>
  <c r="C1827" i="2"/>
  <c r="C1825" i="2"/>
  <c r="C1823" i="2"/>
  <c r="C1832" i="2"/>
  <c r="C1828" i="2"/>
  <c r="C1922" i="2"/>
  <c r="C1868" i="2"/>
  <c r="C1782" i="2"/>
  <c r="C1761" i="2"/>
  <c r="C1862" i="2"/>
  <c r="C1796" i="2"/>
  <c r="C1870" i="2"/>
  <c r="C1997" i="2"/>
  <c r="C1822" i="2"/>
  <c r="C1924" i="2"/>
  <c r="C1872" i="2"/>
  <c r="C1864" i="2"/>
  <c r="C1834" i="2"/>
  <c r="C1826" i="2"/>
  <c r="C1824" i="2"/>
  <c r="C1757" i="2"/>
  <c r="C1920" i="2"/>
  <c r="C1918" i="2"/>
  <c r="C1970" i="2"/>
  <c r="C1785" i="2"/>
  <c r="C1783" i="2"/>
  <c r="C1866" i="2"/>
  <c r="C1836" i="2"/>
  <c r="C1749" i="2"/>
  <c r="C1758" i="2"/>
  <c r="C1706" i="2"/>
  <c r="C1704" i="2"/>
  <c r="C1702" i="2"/>
  <c r="C1700" i="2"/>
  <c r="C1698" i="2"/>
  <c r="C1696" i="2"/>
  <c r="C1694" i="2"/>
  <c r="C1692" i="2"/>
  <c r="C1690" i="2"/>
  <c r="C1688" i="2"/>
  <c r="C1686" i="2"/>
  <c r="C1684" i="2"/>
  <c r="C1634" i="2"/>
  <c r="C1759" i="2"/>
  <c r="C1763" i="2"/>
  <c r="C1762" i="2"/>
  <c r="C1760" i="2"/>
  <c r="C1797" i="2"/>
  <c r="C1784" i="2"/>
  <c r="C1752" i="2"/>
  <c r="C1619" i="2"/>
  <c r="C1705" i="2"/>
  <c r="C1697" i="2"/>
  <c r="C1624" i="2"/>
  <c r="C1750" i="2"/>
  <c r="C1748" i="2"/>
  <c r="C1830" i="2"/>
  <c r="C1755" i="2"/>
  <c r="C1687" i="2"/>
  <c r="C1578" i="2"/>
  <c r="C1753" i="2"/>
  <c r="C1691" i="2"/>
  <c r="C1685" i="2"/>
  <c r="C1572" i="2"/>
  <c r="C1751" i="2"/>
  <c r="C1635" i="2"/>
  <c r="C1581" i="2"/>
  <c r="C1689" i="2"/>
  <c r="C1628" i="2"/>
  <c r="C1575" i="2"/>
  <c r="C1571" i="2"/>
  <c r="C1563" i="2"/>
  <c r="C1629" i="2"/>
  <c r="C1618" i="2"/>
  <c r="C1579" i="2"/>
  <c r="C1703" i="2"/>
  <c r="C1701" i="2"/>
  <c r="C1695" i="2"/>
  <c r="C1693" i="2"/>
  <c r="C1574" i="2"/>
  <c r="C1570" i="2"/>
  <c r="C1549" i="2"/>
  <c r="C1754" i="2"/>
  <c r="C1569" i="2"/>
  <c r="C1558" i="2"/>
  <c r="C1552" i="2"/>
  <c r="C1756" i="2"/>
  <c r="C1699" i="2"/>
  <c r="C1406" i="2"/>
  <c r="C1394" i="2"/>
  <c r="C1392" i="2"/>
  <c r="C1390" i="2"/>
  <c r="C1386" i="2"/>
  <c r="C1376" i="2"/>
  <c r="C1372" i="2"/>
  <c r="C1370" i="2"/>
  <c r="C1360" i="2"/>
  <c r="C1354" i="2"/>
  <c r="C1350" i="2"/>
  <c r="C1334" i="2"/>
  <c r="C1330" i="2"/>
  <c r="C1707" i="2"/>
  <c r="C1562" i="2"/>
  <c r="C1377" i="2"/>
  <c r="C1353" i="2"/>
  <c r="C1337" i="2"/>
  <c r="C1397" i="2"/>
  <c r="C1389" i="2"/>
  <c r="C1357" i="2"/>
  <c r="C1308" i="2"/>
  <c r="C1411" i="2"/>
  <c r="C1282" i="2"/>
  <c r="C1276" i="2"/>
  <c r="C1325" i="2"/>
  <c r="C1318" i="2"/>
  <c r="C1314" i="2"/>
  <c r="C1313" i="2"/>
  <c r="C1566" i="2"/>
  <c r="C1312" i="2"/>
  <c r="C1290" i="2"/>
  <c r="C1287" i="2"/>
  <c r="C1281" i="2"/>
  <c r="C1375" i="2"/>
  <c r="C1175" i="2"/>
  <c r="C1151" i="2"/>
  <c r="C1147" i="2"/>
  <c r="C1139" i="2"/>
  <c r="C1283" i="2"/>
  <c r="C1259" i="2"/>
  <c r="C1625" i="2"/>
  <c r="C1343" i="2"/>
  <c r="C1359" i="2"/>
  <c r="C1190" i="2"/>
  <c r="C1379" i="2"/>
  <c r="C1298" i="2"/>
  <c r="C1253" i="2"/>
  <c r="C1208" i="2"/>
  <c r="C1309" i="2"/>
  <c r="C1251" i="2"/>
  <c r="C1371" i="2"/>
  <c r="C1280" i="2"/>
  <c r="C1244" i="2"/>
  <c r="C1226" i="2"/>
  <c r="C1187" i="2"/>
  <c r="C1577" i="2"/>
  <c r="C1223" i="2"/>
  <c r="C1335" i="2"/>
  <c r="C1301" i="2"/>
  <c r="C1105" i="2"/>
  <c r="C1033" i="2"/>
  <c r="C1266" i="2"/>
  <c r="C927" i="2"/>
  <c r="C948" i="2"/>
  <c r="C912" i="2"/>
  <c r="C1242" i="2"/>
  <c r="C1220" i="2"/>
  <c r="C1009" i="2"/>
  <c r="C965" i="2"/>
  <c r="C953" i="2"/>
  <c r="C929" i="2"/>
  <c r="C842" i="2"/>
  <c r="C1048" i="2"/>
  <c r="C881" i="2"/>
  <c r="C791" i="2"/>
  <c r="C759" i="2"/>
  <c r="C994" i="2"/>
  <c r="C952" i="2"/>
  <c r="C869" i="2"/>
  <c r="C862" i="2"/>
  <c r="C828" i="2"/>
  <c r="C764" i="2"/>
  <c r="C831" i="2"/>
  <c r="C834" i="2"/>
  <c r="C1239" i="2"/>
  <c r="C932" i="2"/>
  <c r="C884" i="2"/>
  <c r="C1277" i="2"/>
  <c r="C908" i="2"/>
  <c r="C824" i="2"/>
  <c r="C758" i="2"/>
  <c r="C642" i="2"/>
  <c r="C909" i="2"/>
  <c r="C602" i="2"/>
  <c r="C1007" i="2"/>
  <c r="C990" i="2"/>
  <c r="C781" i="2"/>
  <c r="C877" i="2"/>
  <c r="C784" i="2"/>
  <c r="C661" i="2"/>
  <c r="C652" i="2"/>
  <c r="C609" i="2"/>
  <c r="C998" i="2"/>
  <c r="C955" i="2"/>
  <c r="C822" i="2"/>
  <c r="C636" i="2"/>
  <c r="C974" i="2"/>
  <c r="C798" i="2"/>
  <c r="C575" i="2"/>
  <c r="C747" i="2"/>
  <c r="C503" i="2"/>
  <c r="C755" i="2"/>
  <c r="C664" i="2"/>
  <c r="C1252" i="2"/>
  <c r="C538" i="2"/>
  <c r="C536" i="2"/>
  <c r="C534" i="2"/>
  <c r="C500" i="2"/>
  <c r="C797" i="2"/>
  <c r="C795" i="2"/>
  <c r="C728" i="2"/>
  <c r="C694" i="2"/>
  <c r="C688" i="2"/>
  <c r="C475" i="2"/>
  <c r="C476" i="2"/>
  <c r="C507" i="2"/>
  <c r="C290" i="2"/>
  <c r="C288" i="2"/>
  <c r="C278" i="2"/>
  <c r="C276" i="2"/>
  <c r="C274" i="2"/>
  <c r="C268" i="2"/>
  <c r="C260" i="2"/>
  <c r="C258" i="2"/>
  <c r="C250" i="2"/>
  <c r="C635" i="2"/>
  <c r="C445" i="2"/>
  <c r="C867" i="2"/>
  <c r="C514" i="2"/>
  <c r="C269" i="2"/>
  <c r="C240" i="2"/>
  <c r="C217" i="2"/>
  <c r="C199" i="2"/>
  <c r="C197" i="2"/>
  <c r="C195" i="2"/>
  <c r="C193" i="2"/>
  <c r="C191" i="2"/>
  <c r="C187" i="2"/>
  <c r="C177" i="2"/>
  <c r="C171" i="2"/>
  <c r="C231" i="2"/>
  <c r="C221" i="2"/>
  <c r="C216" i="2"/>
  <c r="C725" i="2"/>
  <c r="C204" i="2"/>
  <c r="C196" i="2"/>
  <c r="C190" i="2"/>
  <c r="C180" i="2"/>
  <c r="C174" i="2"/>
  <c r="C172" i="2"/>
  <c r="C168" i="2"/>
  <c r="C124" i="2"/>
  <c r="C219" i="2"/>
  <c r="C481" i="2"/>
  <c r="I17" i="1"/>
  <c r="C93" i="2"/>
  <c r="C251" i="2"/>
  <c r="H17" i="1"/>
  <c r="C209" i="2"/>
  <c r="C237" i="2"/>
  <c r="C228" i="2"/>
  <c r="C153" i="2"/>
  <c r="C147" i="2"/>
  <c r="C247" i="2"/>
  <c r="C242" i="2"/>
  <c r="C218" i="2"/>
  <c r="C211" i="2"/>
  <c r="C234" i="2"/>
  <c r="C259" i="2"/>
  <c r="C220" i="2"/>
  <c r="Z55" i="1"/>
  <c r="Y55" i="1"/>
  <c r="X55" i="1"/>
  <c r="N1795" i="2"/>
  <c r="N1794" i="2"/>
  <c r="N1789" i="2"/>
  <c r="N1793" i="2"/>
  <c r="N1797" i="2"/>
  <c r="N1788" i="2"/>
  <c r="N1787" i="2"/>
  <c r="N1790" i="2"/>
  <c r="N1791" i="2"/>
  <c r="N1792" i="2"/>
  <c r="N1796" i="2"/>
  <c r="N1786" i="2"/>
  <c r="N381" i="2"/>
  <c r="N367" i="2"/>
  <c r="N353" i="2"/>
  <c r="N329" i="2"/>
  <c r="N323" i="2"/>
  <c r="N299" i="2"/>
  <c r="N399" i="2"/>
  <c r="N360" i="2"/>
  <c r="N220" i="2"/>
  <c r="N204" i="2"/>
  <c r="N196" i="2"/>
  <c r="N190" i="2"/>
  <c r="N184" i="2"/>
  <c r="N180" i="2"/>
  <c r="N174" i="2"/>
  <c r="N172" i="2"/>
  <c r="N164" i="2"/>
  <c r="N348" i="2"/>
  <c r="N199" i="2"/>
  <c r="N195" i="2"/>
  <c r="N181" i="2"/>
  <c r="N165" i="2"/>
  <c r="N161" i="2"/>
  <c r="N141" i="2"/>
  <c r="N137" i="2"/>
  <c r="N135" i="2"/>
  <c r="N133" i="2"/>
  <c r="N131" i="2"/>
  <c r="N123" i="2"/>
  <c r="N97" i="2"/>
  <c r="N67" i="2"/>
  <c r="N63" i="2"/>
  <c r="N158" i="2"/>
  <c r="N152" i="2"/>
  <c r="N34" i="2"/>
  <c r="N26" i="2"/>
  <c r="N18" i="2"/>
  <c r="N330" i="2"/>
  <c r="N7" i="2"/>
  <c r="N216" i="2"/>
  <c r="N126" i="2"/>
  <c r="N106" i="2"/>
  <c r="N37" i="2"/>
  <c r="N378" i="2"/>
  <c r="N23" i="2"/>
  <c r="N20" i="2"/>
  <c r="N33" i="2"/>
  <c r="N102" i="2"/>
  <c r="N150" i="2"/>
  <c r="N108" i="2"/>
  <c r="N104" i="2"/>
  <c r="N92" i="2"/>
  <c r="N17" i="2"/>
  <c r="N9" i="2"/>
  <c r="N25" i="2"/>
  <c r="N38" i="2"/>
  <c r="N142" i="2"/>
  <c r="N19" i="2"/>
  <c r="N8" i="2"/>
  <c r="N354" i="2"/>
  <c r="N1962" i="2"/>
  <c r="N1957" i="2"/>
  <c r="N1955" i="2"/>
  <c r="N1976" i="2"/>
  <c r="N1973" i="2"/>
  <c r="N1970" i="2"/>
  <c r="N1967" i="2"/>
  <c r="N1959" i="2"/>
  <c r="N1964" i="2"/>
  <c r="N1969" i="2"/>
  <c r="N1968" i="2"/>
  <c r="N1949" i="2"/>
  <c r="N1972" i="2"/>
  <c r="N1971" i="2"/>
  <c r="N1956" i="2"/>
  <c r="N1952" i="2"/>
  <c r="N1946" i="2"/>
  <c r="N1944" i="2"/>
  <c r="N1942" i="2"/>
  <c r="N1940" i="2"/>
  <c r="N1938" i="2"/>
  <c r="N1936" i="2"/>
  <c r="N1934" i="2"/>
  <c r="N1966" i="2"/>
  <c r="N1935" i="2"/>
  <c r="N1937" i="2"/>
  <c r="N1939" i="2"/>
  <c r="N1941" i="2"/>
  <c r="N1963" i="2"/>
  <c r="N1958" i="2"/>
  <c r="N1948" i="2"/>
  <c r="N1943" i="2"/>
  <c r="N1961" i="2"/>
  <c r="N1974" i="2"/>
  <c r="N1975" i="2"/>
  <c r="N1950" i="2"/>
  <c r="N1960" i="2"/>
  <c r="N1965" i="2"/>
  <c r="N1953" i="2"/>
  <c r="N1951" i="2"/>
  <c r="N1954" i="2"/>
  <c r="N1947" i="2"/>
  <c r="N1977" i="2"/>
  <c r="N1945" i="2"/>
  <c r="N980" i="2"/>
  <c r="N923" i="2"/>
  <c r="N917" i="2"/>
  <c r="N1020" i="2"/>
  <c r="N940" i="2"/>
  <c r="N985" i="2"/>
  <c r="N868" i="2"/>
  <c r="N963" i="2"/>
  <c r="N915" i="2"/>
  <c r="N852" i="2"/>
  <c r="N675" i="2"/>
  <c r="N630" i="2"/>
  <c r="N567" i="2"/>
  <c r="N694" i="2"/>
  <c r="N640" i="2"/>
  <c r="N875" i="2"/>
  <c r="N611" i="2"/>
  <c r="N595" i="2"/>
  <c r="N650" i="2"/>
  <c r="N688" i="2"/>
  <c r="N664" i="2"/>
  <c r="N608" i="2"/>
  <c r="N571" i="2"/>
  <c r="N566" i="2"/>
  <c r="N554" i="2"/>
  <c r="N520" i="2"/>
  <c r="N648" i="2"/>
  <c r="N641" i="2"/>
  <c r="N607" i="2"/>
  <c r="N519" i="2"/>
  <c r="N553" i="2"/>
  <c r="N672" i="2"/>
  <c r="N661" i="2"/>
  <c r="N635" i="2"/>
  <c r="N628" i="2"/>
  <c r="N612" i="2"/>
  <c r="N599" i="2"/>
  <c r="N596" i="2"/>
  <c r="N468" i="2"/>
  <c r="N817" i="2"/>
  <c r="N428" i="2"/>
  <c r="N652" i="2"/>
  <c r="N455" i="2"/>
  <c r="N371" i="2"/>
  <c r="N361" i="2"/>
  <c r="N341" i="2"/>
  <c r="N305" i="2"/>
  <c r="N287" i="2"/>
  <c r="N572" i="2"/>
  <c r="N415" i="2"/>
  <c r="N316" i="2"/>
  <c r="N498" i="2"/>
  <c r="N488" i="2"/>
  <c r="N601" i="2"/>
  <c r="N200" i="2"/>
  <c r="N182" i="2"/>
  <c r="N176" i="2"/>
  <c r="N168" i="2"/>
  <c r="N166" i="2"/>
  <c r="N201" i="2"/>
  <c r="N193" i="2"/>
  <c r="N191" i="2"/>
  <c r="N187" i="2"/>
  <c r="N179" i="2"/>
  <c r="N175" i="2"/>
  <c r="N167" i="2"/>
  <c r="N157" i="2"/>
  <c r="N151" i="2"/>
  <c r="N149" i="2"/>
  <c r="N145" i="2"/>
  <c r="N143" i="2"/>
  <c r="N121" i="2"/>
  <c r="N117" i="2"/>
  <c r="N113" i="2"/>
  <c r="N77" i="2"/>
  <c r="N61" i="2"/>
  <c r="N457" i="2"/>
  <c r="N388" i="2"/>
  <c r="N146" i="2"/>
  <c r="N10" i="2"/>
  <c r="N14" i="2"/>
  <c r="N122" i="2"/>
  <c r="N376" i="2"/>
  <c r="N209" i="2"/>
  <c r="N118" i="2"/>
  <c r="N218" i="2"/>
  <c r="N30" i="2"/>
  <c r="N340" i="2"/>
  <c r="N110" i="2"/>
  <c r="N78" i="2"/>
  <c r="N54" i="2"/>
  <c r="N352" i="2"/>
  <c r="N156" i="2"/>
  <c r="N144" i="2"/>
  <c r="N320" i="2"/>
  <c r="N446" i="2"/>
  <c r="N27" i="2"/>
  <c r="N344" i="2"/>
  <c r="N40" i="2"/>
  <c r="N32" i="2"/>
  <c r="N1497" i="2"/>
  <c r="N1483" i="2"/>
  <c r="N1481" i="2"/>
  <c r="N1471" i="2"/>
  <c r="N1457" i="2"/>
  <c r="N1337" i="2"/>
  <c r="N1335" i="2"/>
  <c r="N1312" i="2"/>
  <c r="N1432" i="2"/>
  <c r="N1418" i="2"/>
  <c r="N1350" i="2"/>
  <c r="N1334" i="2"/>
  <c r="N1308" i="2"/>
  <c r="N1458" i="2"/>
  <c r="N1354" i="2"/>
  <c r="N1330" i="2"/>
  <c r="N1442" i="2"/>
  <c r="N1301" i="2"/>
  <c r="N1280" i="2"/>
  <c r="N1464" i="2"/>
  <c r="N1228" i="2"/>
  <c r="N1189" i="2"/>
  <c r="N1440" i="2"/>
  <c r="N1249" i="2"/>
  <c r="N1195" i="2"/>
  <c r="N1194" i="2"/>
  <c r="N1163" i="2"/>
  <c r="N1271" i="2"/>
  <c r="N1218" i="2"/>
  <c r="N1294" i="2"/>
  <c r="N1263" i="2"/>
  <c r="N1313" i="2"/>
  <c r="N1112" i="2"/>
  <c r="N1210" i="2"/>
  <c r="N1325" i="2"/>
  <c r="N1076" i="2"/>
  <c r="N1224" i="2"/>
  <c r="N1149" i="2"/>
  <c r="N1174" i="2"/>
  <c r="N1141" i="2"/>
  <c r="N1238" i="2"/>
  <c r="N1267" i="2"/>
  <c r="N1454" i="2"/>
  <c r="N1234" i="2"/>
  <c r="N1058" i="2"/>
  <c r="N1042" i="2"/>
  <c r="N1034" i="2"/>
  <c r="N1160" i="2"/>
  <c r="N1240" i="2"/>
  <c r="N977" i="2"/>
  <c r="N956" i="2"/>
  <c r="N941" i="2"/>
  <c r="N1192" i="2"/>
  <c r="N1023" i="2"/>
  <c r="N999" i="2"/>
  <c r="N987" i="2"/>
  <c r="N1063" i="2"/>
  <c r="N1041" i="2"/>
  <c r="N1022" i="2"/>
  <c r="N1065" i="2"/>
  <c r="N1045" i="2"/>
  <c r="N1013" i="2"/>
  <c r="N986" i="2"/>
  <c r="N982" i="2"/>
  <c r="N1001" i="2"/>
  <c r="N1219" i="2"/>
  <c r="N1031" i="2"/>
  <c r="N1199" i="2"/>
  <c r="N1000" i="2"/>
  <c r="N988" i="2"/>
  <c r="N1029" i="2"/>
  <c r="N1018" i="2"/>
  <c r="Y60" i="1"/>
  <c r="Z60" i="1"/>
  <c r="X60" i="1"/>
  <c r="N2160" i="2"/>
  <c r="N2158" i="2"/>
  <c r="N2156" i="2"/>
  <c r="N2154" i="2"/>
  <c r="N2152" i="2"/>
  <c r="N2150" i="2"/>
  <c r="N2148" i="2"/>
  <c r="N2146" i="2"/>
  <c r="N2144" i="2"/>
  <c r="N2142" i="2"/>
  <c r="N2140" i="2"/>
  <c r="N2138" i="2"/>
  <c r="N2136" i="2"/>
  <c r="N2134" i="2"/>
  <c r="N2132" i="2"/>
  <c r="N2130" i="2"/>
  <c r="N2128" i="2"/>
  <c r="N2126" i="2"/>
  <c r="N2131" i="2"/>
  <c r="N2129" i="2"/>
  <c r="N2149" i="2"/>
  <c r="N2159" i="2"/>
  <c r="N2127" i="2"/>
  <c r="N2145" i="2"/>
  <c r="N2155" i="2"/>
  <c r="N2147" i="2"/>
  <c r="N2133" i="2"/>
  <c r="N2143" i="2"/>
  <c r="N2141" i="2"/>
  <c r="N2151" i="2"/>
  <c r="N2153" i="2"/>
  <c r="N2137" i="2"/>
  <c r="N2135" i="2"/>
  <c r="N2157" i="2"/>
  <c r="N2139" i="2"/>
  <c r="N2161" i="2"/>
  <c r="N1606" i="2"/>
  <c r="N1599" i="2"/>
  <c r="N1597" i="2"/>
  <c r="N1593" i="2"/>
  <c r="N1591" i="2"/>
  <c r="N1589" i="2"/>
  <c r="N1603" i="2"/>
  <c r="N1605" i="2"/>
  <c r="N1574" i="2"/>
  <c r="N1570" i="2"/>
  <c r="N1601" i="2"/>
  <c r="N1556" i="2"/>
  <c r="N1610" i="2"/>
  <c r="N1569" i="2"/>
  <c r="N1566" i="2"/>
  <c r="N1596" i="2"/>
  <c r="N1540" i="2"/>
  <c r="N1528" i="2"/>
  <c r="N1531" i="2"/>
  <c r="N1527" i="2"/>
  <c r="N1520" i="2"/>
  <c r="N1535" i="2"/>
  <c r="N1503" i="2"/>
  <c r="N1487" i="2"/>
  <c r="N1485" i="2"/>
  <c r="N1451" i="2"/>
  <c r="N1431" i="2"/>
  <c r="N1429" i="2"/>
  <c r="N1425" i="2"/>
  <c r="N1423" i="2"/>
  <c r="N1419" i="2"/>
  <c r="N1417" i="2"/>
  <c r="N1403" i="2"/>
  <c r="N1399" i="2"/>
  <c r="N1395" i="2"/>
  <c r="N1387" i="2"/>
  <c r="N1383" i="2"/>
  <c r="N1551" i="2"/>
  <c r="N1537" i="2"/>
  <c r="N1513" i="2"/>
  <c r="N1512" i="2"/>
  <c r="N1543" i="2"/>
  <c r="N1533" i="2"/>
  <c r="N1505" i="2"/>
  <c r="N1382" i="2"/>
  <c r="N1366" i="2"/>
  <c r="N1563" i="2"/>
  <c r="N1510" i="2"/>
  <c r="N1446" i="2"/>
  <c r="N1434" i="2"/>
  <c r="N1517" i="2"/>
  <c r="N1414" i="2"/>
  <c r="N1362" i="2"/>
  <c r="N1488" i="2"/>
  <c r="N1460" i="2"/>
  <c r="N1438" i="2"/>
  <c r="N1408" i="2"/>
  <c r="N1436" i="2"/>
  <c r="N1252" i="2"/>
  <c r="N1172" i="2"/>
  <c r="N1344" i="2"/>
  <c r="N1547" i="2"/>
  <c r="N1368" i="2"/>
  <c r="N1223" i="2"/>
  <c r="N1220" i="2"/>
  <c r="N1136" i="2"/>
  <c r="N1242" i="2"/>
  <c r="N1129" i="2"/>
  <c r="N1584" i="2"/>
  <c r="N1572" i="2"/>
  <c r="N1145" i="2"/>
  <c r="N1103" i="2"/>
  <c r="N1095" i="2"/>
  <c r="N1080" i="2"/>
  <c r="N1190" i="2"/>
  <c r="N1097" i="2"/>
  <c r="N1092" i="2"/>
  <c r="N1208" i="2"/>
  <c r="N1087" i="2"/>
  <c r="N1508" i="2"/>
  <c r="N1066" i="2"/>
  <c r="N1050" i="2"/>
  <c r="N1040" i="2"/>
  <c r="N1038" i="2"/>
  <c r="N1032" i="2"/>
  <c r="N1119" i="2"/>
  <c r="N901" i="2"/>
  <c r="N991" i="2"/>
  <c r="N983" i="2"/>
  <c r="N973" i="2"/>
  <c r="N1412" i="2"/>
  <c r="N819" i="2"/>
  <c r="N811" i="2"/>
  <c r="N1478" i="2"/>
  <c r="N836" i="2"/>
  <c r="N856" i="2"/>
  <c r="N849" i="2"/>
  <c r="N845" i="2"/>
  <c r="N1025" i="2"/>
  <c r="N921" i="2"/>
  <c r="N891" i="2"/>
  <c r="N989" i="2"/>
  <c r="N1051" i="2"/>
  <c r="N1057" i="2"/>
  <c r="N859" i="2"/>
  <c r="N812" i="2"/>
  <c r="N772" i="2"/>
  <c r="N801" i="2"/>
  <c r="Y52" i="1"/>
  <c r="Z52" i="1"/>
  <c r="X52" i="1"/>
  <c r="C1568" i="2"/>
  <c r="C1561" i="2"/>
  <c r="C1557" i="2"/>
  <c r="C1555" i="2"/>
  <c r="C1567" i="2"/>
  <c r="C1548" i="2"/>
  <c r="C1519" i="2"/>
  <c r="C1551" i="2"/>
  <c r="C1547" i="2"/>
  <c r="C1564" i="2"/>
  <c r="C1545" i="2"/>
  <c r="C1515" i="2"/>
  <c r="C1543" i="2"/>
  <c r="C1533" i="2"/>
  <c r="C1573" i="2"/>
  <c r="C1539" i="2"/>
  <c r="C1521" i="2"/>
  <c r="C1537" i="2"/>
  <c r="C1517" i="2"/>
  <c r="C1498" i="2"/>
  <c r="C1494" i="2"/>
  <c r="C1474" i="2"/>
  <c r="C1468" i="2"/>
  <c r="C1450" i="2"/>
  <c r="C1378" i="2"/>
  <c r="C1358" i="2"/>
  <c r="C1352" i="2"/>
  <c r="C1340" i="2"/>
  <c r="C1504" i="2"/>
  <c r="C1556" i="2"/>
  <c r="C1535" i="2"/>
  <c r="C1536" i="2"/>
  <c r="C1526" i="2"/>
  <c r="C1487" i="2"/>
  <c r="C1554" i="2"/>
  <c r="C1477" i="2"/>
  <c r="C1361" i="2"/>
  <c r="C1329" i="2"/>
  <c r="C1512" i="2"/>
  <c r="C1324" i="2"/>
  <c r="C1510" i="2"/>
  <c r="C1349" i="2"/>
  <c r="C1327" i="2"/>
  <c r="C1323" i="2"/>
  <c r="C1319" i="2"/>
  <c r="C1303" i="2"/>
  <c r="C1297" i="2"/>
  <c r="C1294" i="2"/>
  <c r="C1291" i="2"/>
  <c r="C1288" i="2"/>
  <c r="C1331" i="2"/>
  <c r="C1293" i="2"/>
  <c r="C1284" i="2"/>
  <c r="C1237" i="2"/>
  <c r="C1216" i="2"/>
  <c r="C1192" i="2"/>
  <c r="C1191" i="2"/>
  <c r="C1159" i="2"/>
  <c r="C1143" i="2"/>
  <c r="C1214" i="2"/>
  <c r="C1131" i="2"/>
  <c r="C1234" i="2"/>
  <c r="C1189" i="2"/>
  <c r="C1174" i="2"/>
  <c r="C1173" i="2"/>
  <c r="C1165" i="2"/>
  <c r="C1286" i="2"/>
  <c r="C1205" i="2"/>
  <c r="C1254" i="2"/>
  <c r="C1248" i="2"/>
  <c r="C1224" i="2"/>
  <c r="C1221" i="2"/>
  <c r="C1169" i="2"/>
  <c r="C1152" i="2"/>
  <c r="C1099" i="2"/>
  <c r="C1219" i="2"/>
  <c r="C1186" i="2"/>
  <c r="C1267" i="2"/>
  <c r="C1204" i="2"/>
  <c r="C1087" i="2"/>
  <c r="C1077" i="2"/>
  <c r="C1196" i="2"/>
  <c r="C1263" i="2"/>
  <c r="C1246" i="2"/>
  <c r="C1148" i="2"/>
  <c r="C1136" i="2"/>
  <c r="C1108" i="2"/>
  <c r="C1100" i="2"/>
  <c r="C1129" i="2"/>
  <c r="C1111" i="2"/>
  <c r="C1249" i="2"/>
  <c r="C1101" i="2"/>
  <c r="C1178" i="2"/>
  <c r="C1103" i="2"/>
  <c r="C1493" i="2"/>
  <c r="C1247" i="2"/>
  <c r="C1141" i="2"/>
  <c r="C1061" i="2"/>
  <c r="C1057" i="2"/>
  <c r="C1053" i="2"/>
  <c r="C1145" i="2"/>
  <c r="C1116" i="2"/>
  <c r="C1172" i="2"/>
  <c r="C1050" i="2"/>
  <c r="C1006" i="2"/>
  <c r="C989" i="2"/>
  <c r="C1097" i="2"/>
  <c r="C1068" i="2"/>
  <c r="C1017" i="2"/>
  <c r="C1011" i="2"/>
  <c r="C951" i="2"/>
  <c r="C939" i="2"/>
  <c r="C910" i="2"/>
  <c r="C894" i="2"/>
  <c r="C1054" i="2"/>
  <c r="C1027" i="2"/>
  <c r="C978" i="2"/>
  <c r="C966" i="2"/>
  <c r="C930" i="2"/>
  <c r="C918" i="2"/>
  <c r="C1095" i="2"/>
  <c r="C1026" i="2"/>
  <c r="C992" i="2"/>
  <c r="C896" i="2"/>
  <c r="C1218" i="2"/>
  <c r="C1060" i="2"/>
  <c r="C1015" i="2"/>
  <c r="C971" i="2"/>
  <c r="C1040" i="2"/>
  <c r="C823" i="2"/>
  <c r="C736" i="2"/>
  <c r="C729" i="2"/>
  <c r="C724" i="2"/>
  <c r="C1072" i="2"/>
  <c r="C1014" i="2"/>
  <c r="C961" i="2"/>
  <c r="C900" i="2"/>
  <c r="C874" i="2"/>
  <c r="C820" i="2"/>
  <c r="C788" i="2"/>
  <c r="C962" i="2"/>
  <c r="C914" i="2"/>
  <c r="C848" i="2"/>
  <c r="C743" i="2"/>
  <c r="C738" i="2"/>
  <c r="C865" i="2"/>
  <c r="C785" i="2"/>
  <c r="C777" i="2"/>
  <c r="C769" i="2"/>
  <c r="C1062" i="2"/>
  <c r="C872" i="2"/>
  <c r="C854" i="2"/>
  <c r="C830" i="2"/>
  <c r="C1003" i="2"/>
  <c r="C964" i="2"/>
  <c r="C949" i="2"/>
  <c r="C818" i="2"/>
  <c r="C810" i="2"/>
  <c r="C757" i="2"/>
  <c r="C734" i="2"/>
  <c r="C733" i="2"/>
  <c r="C621" i="2"/>
  <c r="C970" i="2"/>
  <c r="C770" i="2"/>
  <c r="C691" i="2"/>
  <c r="C682" i="2"/>
  <c r="C615" i="2"/>
  <c r="C873" i="2"/>
  <c r="C864" i="2"/>
  <c r="C771" i="2"/>
  <c r="C708" i="2"/>
  <c r="C641" i="2"/>
  <c r="C839" i="2"/>
  <c r="C782" i="2"/>
  <c r="C749" i="2"/>
  <c r="C719" i="2"/>
  <c r="C701" i="2"/>
  <c r="C695" i="2"/>
  <c r="C1528" i="2"/>
  <c r="C860" i="2"/>
  <c r="C827" i="2"/>
  <c r="C803" i="2"/>
  <c r="C637" i="2"/>
  <c r="C612" i="2"/>
  <c r="C604" i="2"/>
  <c r="C601" i="2"/>
  <c r="C596" i="2"/>
  <c r="C580" i="2"/>
  <c r="C577" i="2"/>
  <c r="C934" i="2"/>
  <c r="C919" i="2"/>
  <c r="C851" i="2"/>
  <c r="C814" i="2"/>
  <c r="C794" i="2"/>
  <c r="C675" i="2"/>
  <c r="C572" i="2"/>
  <c r="C567" i="2"/>
  <c r="C539" i="2"/>
  <c r="C535" i="2"/>
  <c r="C529" i="2"/>
  <c r="C1021" i="2"/>
  <c r="C684" i="2"/>
  <c r="C678" i="2"/>
  <c r="C663" i="2"/>
  <c r="C650" i="2"/>
  <c r="C630" i="2"/>
  <c r="C522" i="2"/>
  <c r="C889" i="2"/>
  <c r="C665" i="2"/>
  <c r="C853" i="2"/>
  <c r="C532" i="2"/>
  <c r="C520" i="2"/>
  <c r="C489" i="2"/>
  <c r="C660" i="2"/>
  <c r="C569" i="2"/>
  <c r="C490" i="2"/>
  <c r="C416" i="2"/>
  <c r="C556" i="2"/>
  <c r="C469" i="2"/>
  <c r="C426" i="2"/>
  <c r="C405" i="2"/>
  <c r="C402" i="2"/>
  <c r="C821" i="2"/>
  <c r="C705" i="2"/>
  <c r="C439" i="2"/>
  <c r="C436" i="2"/>
  <c r="C554" i="2"/>
  <c r="C485" i="2"/>
  <c r="C394" i="2"/>
  <c r="C392" i="2"/>
  <c r="C386" i="2"/>
  <c r="C382" i="2"/>
  <c r="C370" i="2"/>
  <c r="C368" i="2"/>
  <c r="C364" i="2"/>
  <c r="C358" i="2"/>
  <c r="C346" i="2"/>
  <c r="C326" i="2"/>
  <c r="C318" i="2"/>
  <c r="C314" i="2"/>
  <c r="C294" i="2"/>
  <c r="C292" i="2"/>
  <c r="C286" i="2"/>
  <c r="C272" i="2"/>
  <c r="C266" i="2"/>
  <c r="C483" i="2"/>
  <c r="C474" i="2"/>
  <c r="C462" i="2"/>
  <c r="C456" i="2"/>
  <c r="C442" i="2"/>
  <c r="C404" i="2"/>
  <c r="C706" i="2"/>
  <c r="C319" i="2"/>
  <c r="C301" i="2"/>
  <c r="C414" i="2"/>
  <c r="C265" i="2"/>
  <c r="C253" i="2"/>
  <c r="C711" i="2"/>
  <c r="C656" i="2"/>
  <c r="C608" i="2"/>
  <c r="C453" i="2"/>
  <c r="C289" i="2"/>
  <c r="C778" i="2"/>
  <c r="C510" i="2"/>
  <c r="C423" i="2"/>
  <c r="C315" i="2"/>
  <c r="C309" i="2"/>
  <c r="C633" i="2"/>
  <c r="C466" i="2"/>
  <c r="C448" i="2"/>
  <c r="C411" i="2"/>
  <c r="C333" i="2"/>
  <c r="C437" i="2"/>
  <c r="C201" i="2"/>
  <c r="C189" i="2"/>
  <c r="C185" i="2"/>
  <c r="C181" i="2"/>
  <c r="C173" i="2"/>
  <c r="C167" i="2"/>
  <c r="C435" i="2"/>
  <c r="C377" i="2"/>
  <c r="C427" i="2"/>
  <c r="C245" i="2"/>
  <c r="C202" i="2"/>
  <c r="C198" i="2"/>
  <c r="C186" i="2"/>
  <c r="C182" i="2"/>
  <c r="C178" i="2"/>
  <c r="C176" i="2"/>
  <c r="C164" i="2"/>
  <c r="C162" i="2"/>
  <c r="C160" i="2"/>
  <c r="C158" i="2"/>
  <c r="C154" i="2"/>
  <c r="C150" i="2"/>
  <c r="C148" i="2"/>
  <c r="C146" i="2"/>
  <c r="C144" i="2"/>
  <c r="C128" i="2"/>
  <c r="C122" i="2"/>
  <c r="C120" i="2"/>
  <c r="C118" i="2"/>
  <c r="C104" i="2"/>
  <c r="C102" i="2"/>
  <c r="C92" i="2"/>
  <c r="C82" i="2"/>
  <c r="C78" i="2"/>
  <c r="C72" i="2"/>
  <c r="C62" i="2"/>
  <c r="C408" i="2"/>
  <c r="C365" i="2"/>
  <c r="C363" i="2"/>
  <c r="C339" i="2"/>
  <c r="C244" i="2"/>
  <c r="C235" i="2"/>
  <c r="C206" i="2"/>
  <c r="C493" i="2"/>
  <c r="C225" i="2"/>
  <c r="I14" i="1"/>
  <c r="C385" i="2"/>
  <c r="C57" i="2"/>
  <c r="H14" i="1"/>
  <c r="C395" i="2"/>
  <c r="C226" i="2"/>
  <c r="C131" i="2"/>
  <c r="C123" i="2"/>
  <c r="C115" i="2"/>
  <c r="C95" i="2"/>
  <c r="C91" i="2"/>
  <c r="C87" i="2"/>
  <c r="C63" i="2"/>
  <c r="C59" i="2"/>
  <c r="C55" i="2"/>
  <c r="C51" i="2"/>
  <c r="C223" i="2"/>
  <c r="C271" i="2"/>
  <c r="C210" i="2"/>
  <c r="C21" i="2"/>
  <c r="C1137" i="2"/>
  <c r="C230" i="2"/>
  <c r="C113" i="2"/>
  <c r="C141" i="2"/>
  <c r="C248" i="2"/>
  <c r="C347" i="2"/>
  <c r="C125" i="2"/>
  <c r="C215" i="2"/>
  <c r="C207" i="2"/>
  <c r="C22" i="2"/>
  <c r="C6" i="2"/>
  <c r="C499" i="2"/>
  <c r="C343" i="2"/>
  <c r="C13" i="2"/>
  <c r="C89" i="2"/>
  <c r="C41" i="2"/>
  <c r="C351" i="2"/>
  <c r="C157" i="2"/>
  <c r="C151" i="2"/>
  <c r="C133" i="2"/>
  <c r="C44" i="2"/>
  <c r="C39" i="2"/>
  <c r="C31" i="2"/>
  <c r="C28" i="2"/>
  <c r="W31" i="1"/>
  <c r="AF52" i="1" s="1"/>
  <c r="X31" i="1"/>
  <c r="V31" i="1"/>
  <c r="U31" i="1"/>
  <c r="AF40" i="1" s="1"/>
  <c r="J51" i="3" s="1"/>
  <c r="T31" i="1"/>
  <c r="AF34" i="1" s="1"/>
  <c r="J48" i="3" s="1"/>
  <c r="S31" i="1"/>
  <c r="X58" i="1"/>
  <c r="Z58" i="1"/>
  <c r="Y58" i="1"/>
  <c r="N1463" i="2"/>
  <c r="N1447" i="2"/>
  <c r="N1439" i="2"/>
  <c r="N1433" i="2"/>
  <c r="N1409" i="2"/>
  <c r="N1385" i="2"/>
  <c r="N1444" i="2"/>
  <c r="N1318" i="2"/>
  <c r="N1410" i="2"/>
  <c r="N1404" i="2"/>
  <c r="N1309" i="2"/>
  <c r="N1283" i="2"/>
  <c r="N1277" i="2"/>
  <c r="N1424" i="2"/>
  <c r="N1196" i="2"/>
  <c r="N1188" i="2"/>
  <c r="N1253" i="2"/>
  <c r="N1226" i="2"/>
  <c r="N1428" i="2"/>
  <c r="N1287" i="2"/>
  <c r="N1251" i="2"/>
  <c r="N1178" i="2"/>
  <c r="N1244" i="2"/>
  <c r="N1156" i="2"/>
  <c r="N1152" i="2"/>
  <c r="N1148" i="2"/>
  <c r="N1140" i="2"/>
  <c r="N1290" i="2"/>
  <c r="N1221" i="2"/>
  <c r="N1282" i="2"/>
  <c r="N1259" i="2"/>
  <c r="N1158" i="2"/>
  <c r="N1108" i="2"/>
  <c r="N1074" i="2"/>
  <c r="N1426" i="2"/>
  <c r="N1191" i="2"/>
  <c r="N1159" i="2"/>
  <c r="N1109" i="2"/>
  <c r="N1111" i="2"/>
  <c r="N1060" i="2"/>
  <c r="N1128" i="2"/>
  <c r="N1071" i="2"/>
  <c r="N1102" i="2"/>
  <c r="N959" i="2"/>
  <c r="N935" i="2"/>
  <c r="N926" i="2"/>
  <c r="N920" i="2"/>
  <c r="N1143" i="2"/>
  <c r="N911" i="2"/>
  <c r="N1099" i="2"/>
  <c r="N967" i="2"/>
  <c r="N931" i="2"/>
  <c r="N928" i="2"/>
  <c r="N916" i="2"/>
  <c r="N1106" i="2"/>
  <c r="N844" i="2"/>
  <c r="N972" i="2"/>
  <c r="N907" i="2"/>
  <c r="N1016" i="2"/>
  <c r="N871" i="2"/>
  <c r="N957" i="2"/>
  <c r="N933" i="2"/>
  <c r="N888" i="2"/>
  <c r="N882" i="2"/>
  <c r="N876" i="2"/>
  <c r="N846" i="2"/>
  <c r="N885" i="2"/>
  <c r="N866" i="2"/>
  <c r="N886" i="2"/>
  <c r="N880" i="2"/>
  <c r="N1059" i="2"/>
  <c r="N913" i="2"/>
  <c r="N1836" i="2"/>
  <c r="N1834" i="2"/>
  <c r="N1832" i="2"/>
  <c r="N1830" i="2"/>
  <c r="N1828" i="2"/>
  <c r="N1826" i="2"/>
  <c r="N1824" i="2"/>
  <c r="N1822" i="2"/>
  <c r="N1820" i="2"/>
  <c r="N1818" i="2"/>
  <c r="N1816" i="2"/>
  <c r="N1814" i="2"/>
  <c r="N1812" i="2"/>
  <c r="N1810" i="2"/>
  <c r="N1808" i="2"/>
  <c r="N1805" i="2"/>
  <c r="N1811" i="2"/>
  <c r="N1807" i="2"/>
  <c r="N1821" i="2"/>
  <c r="N1804" i="2"/>
  <c r="N1833" i="2"/>
  <c r="N1823" i="2"/>
  <c r="N1825" i="2"/>
  <c r="N1799" i="2"/>
  <c r="N1798" i="2"/>
  <c r="N1835" i="2"/>
  <c r="N1827" i="2"/>
  <c r="N1803" i="2"/>
  <c r="N1802" i="2"/>
  <c r="N1829" i="2"/>
  <c r="N1837" i="2"/>
  <c r="N1831" i="2"/>
  <c r="N1819" i="2"/>
  <c r="N1809" i="2"/>
  <c r="N1806" i="2"/>
  <c r="N1817" i="2"/>
  <c r="N1815" i="2"/>
  <c r="N1813" i="2"/>
  <c r="N1800" i="2"/>
  <c r="N1801" i="2"/>
  <c r="N1587" i="2"/>
  <c r="N1585" i="2"/>
  <c r="N1583" i="2"/>
  <c r="N1594" i="2"/>
  <c r="N1562" i="2"/>
  <c r="N1558" i="2"/>
  <c r="N1552" i="2"/>
  <c r="N1590" i="2"/>
  <c r="N1582" i="2"/>
  <c r="N1576" i="2"/>
  <c r="N1514" i="2"/>
  <c r="N1588" i="2"/>
  <c r="N1549" i="2"/>
  <c r="N1519" i="2"/>
  <c r="N1495" i="2"/>
  <c r="N1493" i="2"/>
  <c r="N1489" i="2"/>
  <c r="N1477" i="2"/>
  <c r="N1469" i="2"/>
  <c r="N1467" i="2"/>
  <c r="N1453" i="2"/>
  <c r="N1449" i="2"/>
  <c r="N1445" i="2"/>
  <c r="N1415" i="2"/>
  <c r="N1413" i="2"/>
  <c r="N1407" i="2"/>
  <c r="N1401" i="2"/>
  <c r="N1393" i="2"/>
  <c r="N1381" i="2"/>
  <c r="N1369" i="2"/>
  <c r="N1367" i="2"/>
  <c r="N1363" i="2"/>
  <c r="N1351" i="2"/>
  <c r="N1347" i="2"/>
  <c r="N1345" i="2"/>
  <c r="N1536" i="2"/>
  <c r="N1521" i="2"/>
  <c r="N1515" i="2"/>
  <c r="N1492" i="2"/>
  <c r="N1468" i="2"/>
  <c r="N1420" i="2"/>
  <c r="N1398" i="2"/>
  <c r="N1374" i="2"/>
  <c r="N1598" i="2"/>
  <c r="N1494" i="2"/>
  <c r="N1322" i="2"/>
  <c r="N1498" i="2"/>
  <c r="N1402" i="2"/>
  <c r="N1346" i="2"/>
  <c r="N1592" i="2"/>
  <c r="N1476" i="2"/>
  <c r="N1396" i="2"/>
  <c r="N1430" i="2"/>
  <c r="N1388" i="2"/>
  <c r="N1306" i="2"/>
  <c r="N1384" i="2"/>
  <c r="N1274" i="2"/>
  <c r="N1466" i="2"/>
  <c r="N1187" i="2"/>
  <c r="N1450" i="2"/>
  <c r="N1504" i="2"/>
  <c r="N1580" i="2"/>
  <c r="N1175" i="2"/>
  <c r="N1586" i="2"/>
  <c r="N1474" i="2"/>
  <c r="N1151" i="2"/>
  <c r="N1139" i="2"/>
  <c r="N1321" i="2"/>
  <c r="N1062" i="2"/>
  <c r="N1054" i="2"/>
  <c r="N1052" i="2"/>
  <c r="N1015" i="2"/>
  <c r="N962" i="2"/>
  <c r="N950" i="2"/>
  <c r="N947" i="2"/>
  <c r="N944" i="2"/>
  <c r="N1101" i="2"/>
  <c r="N903" i="2"/>
  <c r="N895" i="2"/>
  <c r="N970" i="2"/>
  <c r="N949" i="2"/>
  <c r="N837" i="2"/>
  <c r="N774" i="2"/>
  <c r="N750" i="2"/>
  <c r="N740" i="2"/>
  <c r="N1011" i="2"/>
  <c r="N1012" i="2"/>
  <c r="N883" i="2"/>
  <c r="N816" i="2"/>
  <c r="N768" i="2"/>
  <c r="N760" i="2"/>
  <c r="N993" i="2"/>
  <c r="N896" i="2"/>
  <c r="N786" i="2"/>
  <c r="N762" i="2"/>
  <c r="N775" i="2"/>
  <c r="N1068" i="2"/>
  <c r="N1005" i="2"/>
  <c r="N807" i="2"/>
  <c r="N727" i="2"/>
  <c r="N969" i="2"/>
  <c r="N799" i="2"/>
  <c r="N1026" i="2"/>
  <c r="N1006" i="2"/>
  <c r="Z54" i="1"/>
  <c r="Y54" i="1"/>
  <c r="X54" i="1"/>
  <c r="N1760" i="2"/>
  <c r="N1762" i="2"/>
  <c r="N1761" i="2"/>
  <c r="N1750" i="2"/>
  <c r="N1746" i="2"/>
  <c r="N1742" i="2"/>
  <c r="N1738" i="2"/>
  <c r="N1757" i="2"/>
  <c r="N1752" i="2"/>
  <c r="N1748" i="2"/>
  <c r="N1744" i="2"/>
  <c r="N1740" i="2"/>
  <c r="N1736" i="2"/>
  <c r="N1732" i="2"/>
  <c r="N1763" i="2"/>
  <c r="N1739" i="2"/>
  <c r="N1729" i="2"/>
  <c r="N1727" i="2"/>
  <c r="N1725" i="2"/>
  <c r="N1723" i="2"/>
  <c r="N1721" i="2"/>
  <c r="N1719" i="2"/>
  <c r="N1717" i="2"/>
  <c r="N1715" i="2"/>
  <c r="N1713" i="2"/>
  <c r="N1711" i="2"/>
  <c r="N1709" i="2"/>
  <c r="N1737" i="2"/>
  <c r="N1731" i="2"/>
  <c r="N1755" i="2"/>
  <c r="N1754" i="2"/>
  <c r="N1756" i="2"/>
  <c r="N1749" i="2"/>
  <c r="N1747" i="2"/>
  <c r="N1734" i="2"/>
  <c r="N1743" i="2"/>
  <c r="N1730" i="2"/>
  <c r="N1753" i="2"/>
  <c r="N1724" i="2"/>
  <c r="N1716" i="2"/>
  <c r="N1708" i="2"/>
  <c r="N1758" i="2"/>
  <c r="N1751" i="2"/>
  <c r="N1741" i="2"/>
  <c r="N1733" i="2"/>
  <c r="N1759" i="2"/>
  <c r="N1735" i="2"/>
  <c r="N1722" i="2"/>
  <c r="N1714" i="2"/>
  <c r="N1745" i="2"/>
  <c r="N1728" i="2"/>
  <c r="N1720" i="2"/>
  <c r="N1712" i="2"/>
  <c r="N1718" i="2"/>
  <c r="N1710" i="2"/>
  <c r="N1726" i="2"/>
  <c r="N890" i="2"/>
  <c r="N937" i="2"/>
  <c r="N850" i="2"/>
  <c r="N800" i="2"/>
  <c r="N829" i="2"/>
  <c r="N897" i="2"/>
  <c r="N870" i="2"/>
  <c r="N802" i="2"/>
  <c r="N555" i="2"/>
  <c r="N587" i="2"/>
  <c r="N569" i="2"/>
  <c r="N636" i="2"/>
  <c r="N532" i="2"/>
  <c r="N530" i="2"/>
  <c r="N522" i="2"/>
  <c r="N516" i="2"/>
  <c r="N521" i="2"/>
  <c r="N835" i="2"/>
  <c r="N642" i="2"/>
  <c r="N609" i="2"/>
  <c r="N748" i="2"/>
  <c r="N556" i="2"/>
  <c r="N529" i="2"/>
  <c r="N604" i="2"/>
  <c r="N509" i="2"/>
  <c r="N539" i="2"/>
  <c r="N602" i="2"/>
  <c r="N483" i="2"/>
  <c r="N400" i="2"/>
  <c r="N472" i="2"/>
  <c r="N448" i="2"/>
  <c r="N441" i="2"/>
  <c r="N375" i="2"/>
  <c r="N331" i="2"/>
  <c r="N327" i="2"/>
  <c r="N317" i="2"/>
  <c r="N293" i="2"/>
  <c r="N279" i="2"/>
  <c r="N577" i="2"/>
  <c r="N838" i="2"/>
  <c r="N783" i="2"/>
  <c r="N490" i="2"/>
  <c r="N486" i="2"/>
  <c r="N544" i="2"/>
  <c r="N480" i="2"/>
  <c r="N304" i="2"/>
  <c r="N298" i="2"/>
  <c r="N568" i="2"/>
  <c r="N300" i="2"/>
  <c r="N493" i="2"/>
  <c r="N419" i="2"/>
  <c r="N270" i="2"/>
  <c r="N398" i="2"/>
  <c r="N350" i="2"/>
  <c r="N252" i="2"/>
  <c r="N177" i="2"/>
  <c r="N171" i="2"/>
  <c r="N153" i="2"/>
  <c r="N147" i="2"/>
  <c r="N119" i="2"/>
  <c r="N115" i="2"/>
  <c r="N99" i="2"/>
  <c r="N95" i="2"/>
  <c r="N89" i="2"/>
  <c r="N87" i="2"/>
  <c r="N79" i="2"/>
  <c r="N59" i="2"/>
  <c r="N57" i="2"/>
  <c r="N140" i="2"/>
  <c r="N2" i="2"/>
  <c r="N5" i="2"/>
  <c r="N114" i="2"/>
  <c r="N82" i="2"/>
  <c r="N28" i="2"/>
  <c r="N12" i="2"/>
  <c r="N4" i="2"/>
  <c r="N70" i="2"/>
  <c r="N128" i="2"/>
  <c r="N120" i="2"/>
  <c r="N88" i="2"/>
  <c r="N76" i="2"/>
  <c r="N52" i="2"/>
  <c r="N280" i="2"/>
  <c r="N148" i="2"/>
  <c r="N51" i="2"/>
  <c r="N43" i="2"/>
  <c r="N48" i="2"/>
  <c r="N24" i="2"/>
  <c r="N1170" i="2"/>
  <c r="N1198" i="2"/>
  <c r="N1138" i="2"/>
  <c r="N1085" i="2"/>
  <c r="N1064" i="2"/>
  <c r="N1030" i="2"/>
  <c r="N1124" i="2"/>
  <c r="N1168" i="2"/>
  <c r="N1093" i="2"/>
  <c r="N1115" i="2"/>
  <c r="N822" i="2"/>
  <c r="N758" i="2"/>
  <c r="N795" i="2"/>
  <c r="N730" i="2"/>
  <c r="N824" i="2"/>
  <c r="N784" i="2"/>
  <c r="N797" i="2"/>
  <c r="N749" i="2"/>
  <c r="N734" i="2"/>
  <c r="N869" i="2"/>
  <c r="N706" i="2"/>
  <c r="N651" i="2"/>
  <c r="N689" i="2"/>
  <c r="N665" i="2"/>
  <c r="N1155" i="2"/>
  <c r="N1121" i="2"/>
  <c r="N828" i="2"/>
  <c r="N717" i="2"/>
  <c r="N711" i="2"/>
  <c r="N684" i="2"/>
  <c r="N579" i="2"/>
  <c r="N545" i="2"/>
  <c r="N743" i="2"/>
  <c r="N704" i="2"/>
  <c r="N559" i="2"/>
  <c r="N777" i="2"/>
  <c r="N756" i="2"/>
  <c r="N540" i="2"/>
  <c r="N526" i="2"/>
  <c r="N524" i="2"/>
  <c r="N834" i="2"/>
  <c r="N617" i="2"/>
  <c r="N586" i="2"/>
  <c r="N495" i="2"/>
  <c r="N682" i="2"/>
  <c r="N548" i="2"/>
  <c r="N546" i="2"/>
  <c r="N550" i="2"/>
  <c r="N561" i="2"/>
  <c r="N662" i="2"/>
  <c r="N558" i="2"/>
  <c r="N517" i="2"/>
  <c r="N791" i="2"/>
  <c r="N637" i="2"/>
  <c r="N525" i="2"/>
  <c r="N726" i="2"/>
  <c r="N719" i="2"/>
  <c r="N708" i="2"/>
  <c r="N512" i="2"/>
  <c r="N484" i="2"/>
  <c r="N658" i="2"/>
  <c r="N513" i="2"/>
  <c r="N692" i="2"/>
  <c r="N515" i="2"/>
  <c r="N831" i="2"/>
  <c r="N862" i="2"/>
  <c r="N537" i="2"/>
  <c r="N574" i="2"/>
  <c r="N549" i="2"/>
  <c r="N506" i="2"/>
  <c r="N690" i="2"/>
  <c r="N578" i="2"/>
  <c r="N1231" i="2"/>
  <c r="N1197" i="2"/>
  <c r="N1275" i="2"/>
  <c r="N1203" i="2"/>
  <c r="N1171" i="2"/>
  <c r="N1245" i="2"/>
  <c r="N1215" i="2"/>
  <c r="N1117" i="2"/>
  <c r="N1153" i="2"/>
  <c r="N1200" i="2"/>
  <c r="N1241" i="2"/>
  <c r="N974" i="2"/>
  <c r="N932" i="2"/>
  <c r="N929" i="2"/>
  <c r="N909" i="2"/>
  <c r="N1166" i="2"/>
  <c r="N955" i="2"/>
  <c r="N790" i="2"/>
  <c r="N782" i="2"/>
  <c r="N803" i="2"/>
  <c r="N771" i="2"/>
  <c r="N884" i="2"/>
  <c r="N742" i="2"/>
  <c r="N877" i="2"/>
  <c r="N867" i="2"/>
  <c r="N853" i="2"/>
  <c r="N773" i="2"/>
  <c r="N818" i="2"/>
  <c r="N770" i="2"/>
  <c r="N912" i="2"/>
  <c r="N793" i="2"/>
  <c r="N741" i="2"/>
  <c r="N718" i="2"/>
  <c r="N590" i="2"/>
  <c r="N582" i="2"/>
  <c r="N655" i="2"/>
  <c r="N626" i="2"/>
  <c r="N619" i="2"/>
  <c r="N823" i="2"/>
  <c r="N552" i="2"/>
  <c r="N716" i="2"/>
  <c r="N616" i="2"/>
  <c r="N592" i="2"/>
  <c r="N842" i="2"/>
  <c r="N745" i="2"/>
  <c r="N724" i="2"/>
  <c r="N649" i="2"/>
  <c r="N613" i="2"/>
  <c r="N597" i="2"/>
  <c r="N589" i="2"/>
  <c r="N528" i="2"/>
  <c r="N927" i="2"/>
  <c r="N618" i="2"/>
  <c r="N585" i="2"/>
  <c r="N681" i="2"/>
  <c r="N761" i="2"/>
  <c r="N588" i="2"/>
  <c r="N881" i="2"/>
  <c r="N733" i="2"/>
  <c r="N620" i="2"/>
  <c r="N736" i="2"/>
  <c r="N563" i="2"/>
  <c r="N560" i="2"/>
  <c r="N769" i="2"/>
  <c r="N562" i="2"/>
  <c r="N703" i="2"/>
  <c r="N565" i="2"/>
  <c r="N624" i="2"/>
  <c r="N583" i="2"/>
  <c r="N825" i="2"/>
  <c r="N695" i="2"/>
  <c r="N594" i="2"/>
  <c r="N1707" i="2"/>
  <c r="N1705" i="2"/>
  <c r="N1703" i="2"/>
  <c r="N1701" i="2"/>
  <c r="N1699" i="2"/>
  <c r="N1697" i="2"/>
  <c r="N1695" i="2"/>
  <c r="N1693" i="2"/>
  <c r="N1691" i="2"/>
  <c r="N1689" i="2"/>
  <c r="N1687" i="2"/>
  <c r="N1685" i="2"/>
  <c r="N1683" i="2"/>
  <c r="N1681" i="2"/>
  <c r="N1679" i="2"/>
  <c r="N1677" i="2"/>
  <c r="N1675" i="2"/>
  <c r="N1673" i="2"/>
  <c r="N1671" i="2"/>
  <c r="N1669" i="2"/>
  <c r="N1667" i="2"/>
  <c r="N1665" i="2"/>
  <c r="N1663" i="2"/>
  <c r="N1661" i="2"/>
  <c r="N1659" i="2"/>
  <c r="N1657" i="2"/>
  <c r="N1655" i="2"/>
  <c r="N1653" i="2"/>
  <c r="N1651" i="2"/>
  <c r="N1649" i="2"/>
  <c r="N1647" i="2"/>
  <c r="N1645" i="2"/>
  <c r="N1643" i="2"/>
  <c r="N1641" i="2"/>
  <c r="N1639" i="2"/>
  <c r="N1637" i="2"/>
  <c r="N1688" i="2"/>
  <c r="N1686" i="2"/>
  <c r="N1662" i="2"/>
  <c r="N1652" i="2"/>
  <c r="N1648" i="2"/>
  <c r="N1644" i="2"/>
  <c r="N1640" i="2"/>
  <c r="N1636" i="2"/>
  <c r="N1690" i="2"/>
  <c r="N1684" i="2"/>
  <c r="N1660" i="2"/>
  <c r="N1700" i="2"/>
  <c r="N1692" i="2"/>
  <c r="N1682" i="2"/>
  <c r="N1658" i="2"/>
  <c r="N1680" i="2"/>
  <c r="N1656" i="2"/>
  <c r="N1678" i="2"/>
  <c r="N1674" i="2"/>
  <c r="N1654" i="2"/>
  <c r="N1650" i="2"/>
  <c r="N1646" i="2"/>
  <c r="N1642" i="2"/>
  <c r="N1638" i="2"/>
  <c r="N1672" i="2"/>
  <c r="N1668" i="2"/>
  <c r="N1664" i="2"/>
  <c r="N1706" i="2"/>
  <c r="N1698" i="2"/>
  <c r="N1704" i="2"/>
  <c r="N1696" i="2"/>
  <c r="N1670" i="2"/>
  <c r="N1702" i="2"/>
  <c r="N1666" i="2"/>
  <c r="N1694" i="2"/>
  <c r="N1311" i="2"/>
  <c r="N1320" i="2"/>
  <c r="N1272" i="2"/>
  <c r="N1270" i="2"/>
  <c r="N1236" i="2"/>
  <c r="N1235" i="2"/>
  <c r="N1676" i="2"/>
  <c r="N1296" i="2"/>
  <c r="N1227" i="2"/>
  <c r="N1265" i="2"/>
  <c r="N1285" i="2"/>
  <c r="N1336" i="2"/>
  <c r="N1193" i="2"/>
  <c r="N893" i="2"/>
  <c r="N1008" i="2"/>
  <c r="N1021" i="2"/>
  <c r="N976" i="2"/>
  <c r="N964" i="2"/>
  <c r="N958" i="2"/>
  <c r="N934" i="2"/>
  <c r="N905" i="2"/>
  <c r="N904" i="2"/>
  <c r="N861" i="2"/>
  <c r="N939" i="2"/>
  <c r="N847" i="2"/>
  <c r="N924" i="2"/>
  <c r="N864" i="2"/>
  <c r="N910" i="2"/>
  <c r="N992" i="2"/>
  <c r="N821" i="2"/>
  <c r="N647" i="2"/>
  <c r="N874" i="2"/>
  <c r="N670" i="2"/>
  <c r="N614" i="2"/>
  <c r="N606" i="2"/>
  <c r="N557" i="2"/>
  <c r="N639" i="2"/>
  <c r="N625" i="2"/>
  <c r="N605" i="2"/>
  <c r="N873" i="2"/>
  <c r="N809" i="2"/>
  <c r="N930" i="2"/>
  <c r="N573" i="2"/>
  <c r="N570" i="2"/>
  <c r="N978" i="2"/>
  <c r="N863" i="2"/>
  <c r="N593" i="2"/>
  <c r="N383" i="2"/>
  <c r="N377" i="2"/>
  <c r="N363" i="2"/>
  <c r="N359" i="2"/>
  <c r="N351" i="2"/>
  <c r="N347" i="2"/>
  <c r="N345" i="2"/>
  <c r="N339" i="2"/>
  <c r="N335" i="2"/>
  <c r="N319" i="2"/>
  <c r="N311" i="2"/>
  <c r="N303" i="2"/>
  <c r="N289" i="2"/>
  <c r="N523" i="2"/>
  <c r="N284" i="2"/>
  <c r="N310" i="2"/>
  <c r="N945" i="2"/>
  <c r="N338" i="2"/>
  <c r="N318" i="2"/>
  <c r="N356" i="2"/>
  <c r="N314" i="2"/>
  <c r="N346" i="2"/>
  <c r="N392" i="2"/>
  <c r="N328" i="2"/>
  <c r="N368" i="2"/>
  <c r="N366" i="2"/>
  <c r="Z49" i="1"/>
  <c r="Y49" i="1"/>
  <c r="X49" i="1"/>
  <c r="Y51" i="1"/>
  <c r="Z51" i="1"/>
  <c r="X51" i="1"/>
  <c r="Y64" i="1"/>
  <c r="Z64" i="1"/>
  <c r="X64" i="1"/>
  <c r="N2124" i="2"/>
  <c r="N2122" i="2"/>
  <c r="N2120" i="2"/>
  <c r="N2105" i="2"/>
  <c r="N2103" i="2"/>
  <c r="N2101" i="2"/>
  <c r="N2099" i="2"/>
  <c r="N2097" i="2"/>
  <c r="N2119" i="2"/>
  <c r="N2112" i="2"/>
  <c r="N2107" i="2"/>
  <c r="N2109" i="2"/>
  <c r="N2118" i="2"/>
  <c r="N2100" i="2"/>
  <c r="N2094" i="2"/>
  <c r="N2123" i="2"/>
  <c r="N2098" i="2"/>
  <c r="N2116" i="2"/>
  <c r="N2108" i="2"/>
  <c r="N2106" i="2"/>
  <c r="N2090" i="2"/>
  <c r="N2104" i="2"/>
  <c r="N2089" i="2"/>
  <c r="N2117" i="2"/>
  <c r="N2088" i="2"/>
  <c r="N2114" i="2"/>
  <c r="N2110" i="2"/>
  <c r="N2087" i="2"/>
  <c r="N2078" i="2"/>
  <c r="N2072" i="2"/>
  <c r="N2121" i="2"/>
  <c r="N2086" i="2"/>
  <c r="N2125" i="2"/>
  <c r="N2111" i="2"/>
  <c r="N2092" i="2"/>
  <c r="N2084" i="2"/>
  <c r="N2093" i="2"/>
  <c r="N2080" i="2"/>
  <c r="N2079" i="2"/>
  <c r="N2081" i="2"/>
  <c r="N2115" i="2"/>
  <c r="N2077" i="2"/>
  <c r="N2071" i="2"/>
  <c r="N2096" i="2"/>
  <c r="N2095" i="2"/>
  <c r="N2074" i="2"/>
  <c r="N2102" i="2"/>
  <c r="N2075" i="2"/>
  <c r="N2083" i="2"/>
  <c r="N2070" i="2"/>
  <c r="N2113" i="2"/>
  <c r="N2085" i="2"/>
  <c r="N2073" i="2"/>
  <c r="N2082" i="2"/>
  <c r="N2091" i="2"/>
  <c r="N2076" i="2"/>
  <c r="N1635" i="2"/>
  <c r="N1633" i="2"/>
  <c r="N1631" i="2"/>
  <c r="N1632" i="2"/>
  <c r="N1623" i="2"/>
  <c r="N1620" i="2"/>
  <c r="N1625" i="2"/>
  <c r="N1634" i="2"/>
  <c r="N1630" i="2"/>
  <c r="N1622" i="2"/>
  <c r="N1621" i="2"/>
  <c r="N1624" i="2"/>
  <c r="N1365" i="2"/>
  <c r="N1355" i="2"/>
  <c r="N1339" i="2"/>
  <c r="N1333" i="2"/>
  <c r="N1342" i="2"/>
  <c r="N1315" i="2"/>
  <c r="N1348" i="2"/>
  <c r="N1268" i="2"/>
  <c r="N1380" i="2"/>
  <c r="N1302" i="2"/>
  <c r="N1364" i="2"/>
  <c r="N1147" i="2"/>
  <c r="N1100" i="2"/>
  <c r="N1105" i="2"/>
  <c r="N1317" i="2"/>
  <c r="N1083" i="2"/>
  <c r="N1056" i="2"/>
  <c r="N1044" i="2"/>
  <c r="N1061" i="2"/>
  <c r="N971" i="2"/>
  <c r="N1003" i="2"/>
  <c r="N995" i="2"/>
  <c r="N1014" i="2"/>
  <c r="N1072" i="2"/>
  <c r="N946" i="2"/>
  <c r="N943" i="2"/>
  <c r="N900" i="2"/>
  <c r="N1027" i="2"/>
  <c r="N735" i="2"/>
  <c r="N1028" i="2"/>
  <c r="N997" i="2"/>
  <c r="N981" i="2"/>
  <c r="N936" i="2"/>
  <c r="N966" i="2"/>
  <c r="N680" i="2"/>
  <c r="N598" i="2"/>
  <c r="N951" i="2"/>
  <c r="N643" i="2"/>
  <c r="N710" i="2"/>
  <c r="N698" i="2"/>
  <c r="N879" i="2"/>
  <c r="N632" i="2"/>
  <c r="N1017" i="2"/>
  <c r="N1053" i="2"/>
  <c r="N677" i="2"/>
  <c r="N411" i="2"/>
  <c r="N445" i="2"/>
  <c r="N395" i="2"/>
  <c r="N385" i="2"/>
  <c r="N379" i="2"/>
  <c r="N373" i="2"/>
  <c r="N365" i="2"/>
  <c r="N357" i="2"/>
  <c r="N355" i="2"/>
  <c r="N349" i="2"/>
  <c r="N333" i="2"/>
  <c r="N430" i="2"/>
  <c r="N406" i="2"/>
  <c r="N715" i="2"/>
  <c r="N416" i="2"/>
  <c r="N687" i="2"/>
  <c r="N439" i="2"/>
  <c r="N645" i="2"/>
  <c r="N476" i="2"/>
  <c r="N409" i="2"/>
  <c r="N1010" i="2"/>
  <c r="N668" i="2"/>
  <c r="N386" i="2"/>
  <c r="N384" i="2"/>
  <c r="N408" i="2"/>
  <c r="N382" i="2"/>
  <c r="N380" i="2"/>
  <c r="N358" i="2"/>
  <c r="N396" i="2"/>
  <c r="N324" i="2"/>
  <c r="N364" i="2"/>
  <c r="AF46" i="1"/>
  <c r="N2064" i="2"/>
  <c r="N2067" i="2"/>
  <c r="N2058" i="2"/>
  <c r="N2052" i="2"/>
  <c r="N2046" i="2"/>
  <c r="N2041" i="2"/>
  <c r="N2065" i="2"/>
  <c r="N2063" i="2"/>
  <c r="N2057" i="2"/>
  <c r="N2051" i="2"/>
  <c r="N2045" i="2"/>
  <c r="N2069" i="2"/>
  <c r="N2066" i="2"/>
  <c r="N2043" i="2"/>
  <c r="N2040" i="2"/>
  <c r="N2015" i="2"/>
  <c r="N2008" i="2"/>
  <c r="N2068" i="2"/>
  <c r="N2042" i="2"/>
  <c r="N2035" i="2"/>
  <c r="N2030" i="2"/>
  <c r="N2018" i="2"/>
  <c r="N2001" i="2"/>
  <c r="N2059" i="2"/>
  <c r="N2044" i="2"/>
  <c r="N2025" i="2"/>
  <c r="N2011" i="2"/>
  <c r="N2004" i="2"/>
  <c r="N2060" i="2"/>
  <c r="N2039" i="2"/>
  <c r="N2034" i="2"/>
  <c r="N2021" i="2"/>
  <c r="N2014" i="2"/>
  <c r="N2061" i="2"/>
  <c r="N2053" i="2"/>
  <c r="N2029" i="2"/>
  <c r="N2028" i="2"/>
  <c r="N2027" i="2"/>
  <c r="N2026" i="2"/>
  <c r="N2009" i="2"/>
  <c r="N2006" i="2"/>
  <c r="N2054" i="2"/>
  <c r="N2007" i="2"/>
  <c r="N2005" i="2"/>
  <c r="N2003" i="2"/>
  <c r="N2002" i="2"/>
  <c r="N2048" i="2"/>
  <c r="N2032" i="2"/>
  <c r="N2031" i="2"/>
  <c r="N2000" i="2"/>
  <c r="N2037" i="2"/>
  <c r="N2017" i="2"/>
  <c r="N2049" i="2"/>
  <c r="N2038" i="2"/>
  <c r="N2047" i="2"/>
  <c r="N2020" i="2"/>
  <c r="N2019" i="2"/>
  <c r="N2010" i="2"/>
  <c r="N2055" i="2"/>
  <c r="N2023" i="2"/>
  <c r="N2062" i="2"/>
  <c r="N2024" i="2"/>
  <c r="N2013" i="2"/>
  <c r="N1999" i="2"/>
  <c r="N2033" i="2"/>
  <c r="N2056" i="2"/>
  <c r="N2022" i="2"/>
  <c r="N2050" i="2"/>
  <c r="N2012" i="2"/>
  <c r="N2036" i="2"/>
  <c r="N2016" i="2"/>
  <c r="N1998" i="2"/>
  <c r="N1255" i="2"/>
  <c r="N1207" i="2"/>
  <c r="N1180" i="2"/>
  <c r="N1164" i="2"/>
  <c r="N1222" i="2"/>
  <c r="N1179" i="2"/>
  <c r="N1279" i="2"/>
  <c r="N1212" i="2"/>
  <c r="N1201" i="2"/>
  <c r="N1133" i="2"/>
  <c r="N1243" i="2"/>
  <c r="N919" i="2"/>
  <c r="N814" i="2"/>
  <c r="N766" i="2"/>
  <c r="N830" i="2"/>
  <c r="N827" i="2"/>
  <c r="N763" i="2"/>
  <c r="N843" i="2"/>
  <c r="N808" i="2"/>
  <c r="N1233" i="2"/>
  <c r="N889" i="2"/>
  <c r="N860" i="2"/>
  <c r="N813" i="2"/>
  <c r="N805" i="2"/>
  <c r="N789" i="2"/>
  <c r="N826" i="2"/>
  <c r="N778" i="2"/>
  <c r="N754" i="2"/>
  <c r="N865" i="2"/>
  <c r="N785" i="2"/>
  <c r="N738" i="2"/>
  <c r="N564" i="2"/>
  <c r="N584" i="2"/>
  <c r="N576" i="2"/>
  <c r="N788" i="2"/>
  <c r="N542" i="2"/>
  <c r="N855" i="2"/>
  <c r="N887" i="2"/>
  <c r="N551" i="2"/>
  <c r="N531" i="2"/>
  <c r="N505" i="2"/>
  <c r="N610" i="2"/>
  <c r="N504" i="2"/>
  <c r="N541" i="2"/>
  <c r="N343" i="2"/>
  <c r="N325" i="2"/>
  <c r="N315" i="2"/>
  <c r="N309" i="2"/>
  <c r="N301" i="2"/>
  <c r="N291" i="2"/>
  <c r="N285" i="2"/>
  <c r="N283" i="2"/>
  <c r="N273" i="2"/>
  <c r="N271" i="2"/>
  <c r="N263" i="2"/>
  <c r="N257" i="2"/>
  <c r="N465" i="2"/>
  <c r="N272" i="2"/>
  <c r="N721" i="2"/>
  <c r="N292" i="2"/>
  <c r="N839" i="2"/>
  <c r="N266" i="2"/>
  <c r="N238" i="2"/>
  <c r="N282" i="2"/>
  <c r="N245" i="2"/>
  <c r="N496" i="2"/>
  <c r="N326" i="2"/>
  <c r="N294" i="2"/>
  <c r="N286" i="2"/>
  <c r="N302" i="2"/>
  <c r="N306" i="2"/>
  <c r="N262" i="2"/>
  <c r="X57" i="1"/>
  <c r="Y57" i="1"/>
  <c r="Z57" i="1"/>
  <c r="N1538" i="2"/>
  <c r="N1455" i="2"/>
  <c r="N1389" i="2"/>
  <c r="N1379" i="2"/>
  <c r="N1375" i="2"/>
  <c r="N1371" i="2"/>
  <c r="N1359" i="2"/>
  <c r="N1357" i="2"/>
  <c r="N1353" i="2"/>
  <c r="N1349" i="2"/>
  <c r="N1343" i="2"/>
  <c r="N1327" i="2"/>
  <c r="N1525" i="2"/>
  <c r="N1499" i="2"/>
  <c r="N1500" i="2"/>
  <c r="N1480" i="2"/>
  <c r="N1522" i="2"/>
  <c r="N1470" i="2"/>
  <c r="N1326" i="2"/>
  <c r="N1394" i="2"/>
  <c r="N1370" i="2"/>
  <c r="N1289" i="2"/>
  <c r="N1286" i="2"/>
  <c r="N1360" i="2"/>
  <c r="N1511" i="2"/>
  <c r="N1122" i="2"/>
  <c r="N1376" i="2"/>
  <c r="N1323" i="2"/>
  <c r="N1319" i="2"/>
  <c r="N1305" i="2"/>
  <c r="N1205" i="2"/>
  <c r="N1300" i="2"/>
  <c r="N1484" i="2"/>
  <c r="N1273" i="2"/>
  <c r="N1225" i="2"/>
  <c r="N1247" i="2"/>
  <c r="N1291" i="2"/>
  <c r="N1260" i="2"/>
  <c r="N1209" i="2"/>
  <c r="N1157" i="2"/>
  <c r="N1146" i="2"/>
  <c r="N1256" i="2"/>
  <c r="N1123" i="2"/>
  <c r="N1086" i="2"/>
  <c r="N1084" i="2"/>
  <c r="N1078" i="2"/>
  <c r="N1297" i="2"/>
  <c r="N1254" i="2"/>
  <c r="N1104" i="2"/>
  <c r="N1089" i="2"/>
  <c r="N1081" i="2"/>
  <c r="N1230" i="2"/>
  <c r="N1110" i="2"/>
  <c r="N1069" i="2"/>
  <c r="N1075" i="2"/>
  <c r="N1257" i="2"/>
  <c r="N1182" i="2"/>
  <c r="N1118" i="2"/>
  <c r="N1079" i="2"/>
  <c r="N1046" i="2"/>
  <c r="N1036" i="2"/>
  <c r="N1518" i="2"/>
  <c r="N1043" i="2"/>
  <c r="N1284" i="2"/>
  <c r="N1002" i="2"/>
  <c r="N1047" i="2"/>
  <c r="N1049" i="2"/>
  <c r="N1107" i="2"/>
  <c r="N1067" i="2"/>
  <c r="N1237" i="2"/>
  <c r="N1496" i="2"/>
  <c r="N1113" i="2"/>
  <c r="N1932" i="2"/>
  <c r="N1930" i="2"/>
  <c r="N1928" i="2"/>
  <c r="N1926" i="2"/>
  <c r="N1924" i="2"/>
  <c r="N1922" i="2"/>
  <c r="N1920" i="2"/>
  <c r="N1918" i="2"/>
  <c r="N1916" i="2"/>
  <c r="N1914" i="2"/>
  <c r="N1912" i="2"/>
  <c r="N1910" i="2"/>
  <c r="N1908" i="2"/>
  <c r="N1906" i="2"/>
  <c r="N1904" i="2"/>
  <c r="N1902" i="2"/>
  <c r="N1900" i="2"/>
  <c r="N1898" i="2"/>
  <c r="N1896" i="2"/>
  <c r="N1894" i="2"/>
  <c r="N1892" i="2"/>
  <c r="N1890" i="2"/>
  <c r="N1911" i="2"/>
  <c r="N1897" i="2"/>
  <c r="N1913" i="2"/>
  <c r="N1895" i="2"/>
  <c r="N1889" i="2"/>
  <c r="N1883" i="2"/>
  <c r="N1875" i="2"/>
  <c r="N1915" i="2"/>
  <c r="N1880" i="2"/>
  <c r="N1917" i="2"/>
  <c r="N1919" i="2"/>
  <c r="N1893" i="2"/>
  <c r="N1888" i="2"/>
  <c r="N1885" i="2"/>
  <c r="N1877" i="2"/>
  <c r="N1925" i="2"/>
  <c r="N1874" i="2"/>
  <c r="N1909" i="2"/>
  <c r="N1905" i="2"/>
  <c r="N1901" i="2"/>
  <c r="N1923" i="2"/>
  <c r="N1891" i="2"/>
  <c r="N1931" i="2"/>
  <c r="N1899" i="2"/>
  <c r="N1882" i="2"/>
  <c r="N1881" i="2"/>
  <c r="N1929" i="2"/>
  <c r="N1878" i="2"/>
  <c r="N1886" i="2"/>
  <c r="N1903" i="2"/>
  <c r="N1887" i="2"/>
  <c r="N1879" i="2"/>
  <c r="N1927" i="2"/>
  <c r="N1933" i="2"/>
  <c r="N1921" i="2"/>
  <c r="N1884" i="2"/>
  <c r="N1907" i="2"/>
  <c r="N1876" i="2"/>
  <c r="N1628" i="2"/>
  <c r="N1617" i="2"/>
  <c r="N1627" i="2"/>
  <c r="N1619" i="2"/>
  <c r="N1629" i="2"/>
  <c r="N1618" i="2"/>
  <c r="N1616" i="2"/>
  <c r="N1626" i="2"/>
  <c r="N779" i="2"/>
  <c r="N723" i="2"/>
  <c r="N792" i="2"/>
  <c r="N752" i="2"/>
  <c r="N744" i="2"/>
  <c r="N832" i="2"/>
  <c r="N712" i="2"/>
  <c r="N804" i="2"/>
  <c r="N767" i="2"/>
  <c r="N536" i="2"/>
  <c r="N499" i="2"/>
  <c r="N510" i="2"/>
  <c r="N575" i="2"/>
  <c r="N474" i="2"/>
  <c r="N456" i="2"/>
  <c r="N450" i="2"/>
  <c r="N482" i="2"/>
  <c r="N431" i="2"/>
  <c r="N751" i="2"/>
  <c r="N466" i="2"/>
  <c r="N460" i="2"/>
  <c r="N417" i="2"/>
  <c r="N397" i="2"/>
  <c r="N295" i="2"/>
  <c r="N281" i="2"/>
  <c r="N277" i="2"/>
  <c r="N267" i="2"/>
  <c r="N255" i="2"/>
  <c r="N249" i="2"/>
  <c r="N437" i="2"/>
  <c r="N535" i="2"/>
  <c r="N501" i="2"/>
  <c r="N239" i="2"/>
  <c r="N489" i="2"/>
  <c r="N685" i="2"/>
  <c r="N492" i="2"/>
  <c r="N436" i="2"/>
  <c r="N427" i="2"/>
  <c r="N432" i="2"/>
  <c r="N254" i="2"/>
  <c r="N527" i="2"/>
  <c r="N469" i="2"/>
  <c r="N458" i="2"/>
  <c r="N405" i="2"/>
  <c r="N236" i="2"/>
  <c r="N227" i="2"/>
  <c r="N93" i="2"/>
  <c r="N91" i="2"/>
  <c r="N55" i="2"/>
  <c r="N264" i="2"/>
  <c r="N42" i="2"/>
  <c r="N39" i="2"/>
  <c r="N31" i="2"/>
  <c r="N6" i="2"/>
  <c r="N86" i="2"/>
  <c r="N15" i="2"/>
  <c r="N29" i="2"/>
  <c r="N720" i="2"/>
  <c r="N58" i="2"/>
  <c r="N470" i="2"/>
  <c r="N44" i="2"/>
  <c r="N36" i="2"/>
  <c r="N41" i="2"/>
  <c r="N21" i="2"/>
  <c r="N124" i="2"/>
  <c r="N72" i="2"/>
  <c r="N64" i="2"/>
  <c r="N22" i="2"/>
  <c r="N49" i="2"/>
  <c r="N208" i="2"/>
  <c r="N35" i="2"/>
  <c r="N11" i="2"/>
  <c r="N3" i="2"/>
  <c r="N16" i="2"/>
  <c r="N62" i="2"/>
  <c r="N13" i="2"/>
  <c r="N1780" i="2"/>
  <c r="N1771" i="2"/>
  <c r="N1785" i="2"/>
  <c r="N1770" i="2"/>
  <c r="N1784" i="2"/>
  <c r="N1775" i="2"/>
  <c r="N1774" i="2"/>
  <c r="N1772" i="2"/>
  <c r="N1778" i="2"/>
  <c r="N1776" i="2"/>
  <c r="N1782" i="2"/>
  <c r="N1779" i="2"/>
  <c r="N1783" i="2"/>
  <c r="N1773" i="2"/>
  <c r="N1781" i="2"/>
  <c r="N1777" i="2"/>
  <c r="N787" i="2"/>
  <c r="N776" i="2"/>
  <c r="N737" i="2"/>
  <c r="N765" i="2"/>
  <c r="N732" i="2"/>
  <c r="N815" i="2"/>
  <c r="N739" i="2"/>
  <c r="N753" i="2"/>
  <c r="N538" i="2"/>
  <c r="N534" i="2"/>
  <c r="N676" i="2"/>
  <c r="N462" i="2"/>
  <c r="N442" i="2"/>
  <c r="N401" i="2"/>
  <c r="N485" i="2"/>
  <c r="N435" i="2"/>
  <c r="N404" i="2"/>
  <c r="N514" i="2"/>
  <c r="N421" i="2"/>
  <c r="N414" i="2"/>
  <c r="N714" i="2"/>
  <c r="N461" i="2"/>
  <c r="N434" i="2"/>
  <c r="N389" i="2"/>
  <c r="N369" i="2"/>
  <c r="N337" i="2"/>
  <c r="N321" i="2"/>
  <c r="N313" i="2"/>
  <c r="N307" i="2"/>
  <c r="N297" i="2"/>
  <c r="N500" i="2"/>
  <c r="N413" i="2"/>
  <c r="N478" i="2"/>
  <c r="N453" i="2"/>
  <c r="N440" i="2"/>
  <c r="N423" i="2"/>
  <c r="N420" i="2"/>
  <c r="N507" i="2"/>
  <c r="N322" i="2"/>
  <c r="N403" i="2"/>
  <c r="N713" i="2"/>
  <c r="N336" i="2"/>
  <c r="N702" i="2"/>
  <c r="N475" i="2"/>
  <c r="N481" i="2"/>
  <c r="N334" i="2"/>
  <c r="N332" i="2"/>
  <c r="N308" i="2"/>
  <c r="N451" i="2"/>
  <c r="N370" i="2"/>
  <c r="N312" i="2"/>
  <c r="N426" i="2"/>
  <c r="N503" i="2"/>
  <c r="N394" i="2"/>
  <c r="N402" i="2"/>
  <c r="N296" i="2"/>
  <c r="Z66" i="1"/>
  <c r="Y66" i="1"/>
  <c r="X66" i="1"/>
  <c r="C1603" i="2"/>
  <c r="C1605" i="2"/>
  <c r="C1607" i="2"/>
  <c r="C1611" i="2"/>
  <c r="C1600" i="2"/>
  <c r="C1598" i="2"/>
  <c r="C1596" i="2"/>
  <c r="C1594" i="2"/>
  <c r="C1592" i="2"/>
  <c r="C1590" i="2"/>
  <c r="C1588" i="2"/>
  <c r="C1586" i="2"/>
  <c r="C1584" i="2"/>
  <c r="C1582" i="2"/>
  <c r="C1580" i="2"/>
  <c r="C1615" i="2"/>
  <c r="C1604" i="2"/>
  <c r="C1606" i="2"/>
  <c r="C1585" i="2"/>
  <c r="C1576" i="2"/>
  <c r="C1614" i="2"/>
  <c r="C1613" i="2"/>
  <c r="C1612" i="2"/>
  <c r="C1591" i="2"/>
  <c r="C1583" i="2"/>
  <c r="C1599" i="2"/>
  <c r="C1593" i="2"/>
  <c r="C1602" i="2"/>
  <c r="C1587" i="2"/>
  <c r="C1522" i="2"/>
  <c r="C1595" i="2"/>
  <c r="C1518" i="2"/>
  <c r="C1597" i="2"/>
  <c r="C1525" i="2"/>
  <c r="C1610" i="2"/>
  <c r="C1538" i="2"/>
  <c r="C1608" i="2"/>
  <c r="C1496" i="2"/>
  <c r="C1490" i="2"/>
  <c r="C1486" i="2"/>
  <c r="C1484" i="2"/>
  <c r="C1480" i="2"/>
  <c r="C1470" i="2"/>
  <c r="C1464" i="2"/>
  <c r="C1458" i="2"/>
  <c r="C1454" i="2"/>
  <c r="C1444" i="2"/>
  <c r="C1442" i="2"/>
  <c r="C1440" i="2"/>
  <c r="C1432" i="2"/>
  <c r="C1428" i="2"/>
  <c r="C1426" i="2"/>
  <c r="C1424" i="2"/>
  <c r="C1422" i="2"/>
  <c r="C1418" i="2"/>
  <c r="C1416" i="2"/>
  <c r="C1412" i="2"/>
  <c r="C1410" i="2"/>
  <c r="C1408" i="2"/>
  <c r="C1404" i="2"/>
  <c r="C1400" i="2"/>
  <c r="C1384" i="2"/>
  <c r="C1382" i="2"/>
  <c r="C1380" i="2"/>
  <c r="C1368" i="2"/>
  <c r="C1366" i="2"/>
  <c r="C1364" i="2"/>
  <c r="C1362" i="2"/>
  <c r="C1348" i="2"/>
  <c r="C1346" i="2"/>
  <c r="C1344" i="2"/>
  <c r="C1342" i="2"/>
  <c r="C1336" i="2"/>
  <c r="C1332" i="2"/>
  <c r="C1523" i="2"/>
  <c r="C1509" i="2"/>
  <c r="C1500" i="2"/>
  <c r="C1589" i="2"/>
  <c r="C1516" i="2"/>
  <c r="C1511" i="2"/>
  <c r="C1475" i="2"/>
  <c r="C1463" i="2"/>
  <c r="C1439" i="2"/>
  <c r="C1532" i="2"/>
  <c r="C1499" i="2"/>
  <c r="C1441" i="2"/>
  <c r="C1427" i="2"/>
  <c r="C1409" i="2"/>
  <c r="C1385" i="2"/>
  <c r="C1369" i="2"/>
  <c r="C1345" i="2"/>
  <c r="C1601" i="2"/>
  <c r="C1425" i="2"/>
  <c r="C1320" i="2"/>
  <c r="C1530" i="2"/>
  <c r="C1455" i="2"/>
  <c r="C1443" i="2"/>
  <c r="C1502" i="2"/>
  <c r="C1483" i="2"/>
  <c r="C1471" i="2"/>
  <c r="C1459" i="2"/>
  <c r="C1447" i="2"/>
  <c r="C1435" i="2"/>
  <c r="C1405" i="2"/>
  <c r="C1373" i="2"/>
  <c r="C1365" i="2"/>
  <c r="C1333" i="2"/>
  <c r="C1311" i="2"/>
  <c r="C1367" i="2"/>
  <c r="C1315" i="2"/>
  <c r="C1285" i="2"/>
  <c r="C1279" i="2"/>
  <c r="C1322" i="2"/>
  <c r="C1321" i="2"/>
  <c r="C1317" i="2"/>
  <c r="C1457" i="2"/>
  <c r="C1403" i="2"/>
  <c r="C1363" i="2"/>
  <c r="C1339" i="2"/>
  <c r="C1497" i="2"/>
  <c r="C1351" i="2"/>
  <c r="C1507" i="2"/>
  <c r="C1395" i="2"/>
  <c r="C1302" i="2"/>
  <c r="C1296" i="2"/>
  <c r="C1278" i="2"/>
  <c r="C1355" i="2"/>
  <c r="C1264" i="2"/>
  <c r="C1261" i="2"/>
  <c r="C1200" i="2"/>
  <c r="C1184" i="2"/>
  <c r="C1168" i="2"/>
  <c r="C1155" i="2"/>
  <c r="C1235" i="2"/>
  <c r="C1211" i="2"/>
  <c r="C1541" i="2"/>
  <c r="C1481" i="2"/>
  <c r="C1347" i="2"/>
  <c r="C1258" i="2"/>
  <c r="C1255" i="2"/>
  <c r="C1231" i="2"/>
  <c r="C1207" i="2"/>
  <c r="C1198" i="2"/>
  <c r="C1197" i="2"/>
  <c r="C1166" i="2"/>
  <c r="C1433" i="2"/>
  <c r="C1387" i="2"/>
  <c r="C1232" i="2"/>
  <c r="C1229" i="2"/>
  <c r="C1138" i="2"/>
  <c r="C1125" i="2"/>
  <c r="C1117" i="2"/>
  <c r="C1275" i="2"/>
  <c r="C1227" i="2"/>
  <c r="C1306" i="2"/>
  <c r="C1272" i="2"/>
  <c r="C1245" i="2"/>
  <c r="C1164" i="2"/>
  <c r="C1094" i="2"/>
  <c r="C1310" i="2"/>
  <c r="C1241" i="2"/>
  <c r="C1212" i="2"/>
  <c r="C1222" i="2"/>
  <c r="C1091" i="2"/>
  <c r="C1085" i="2"/>
  <c r="C1201" i="2"/>
  <c r="C1179" i="2"/>
  <c r="C1093" i="2"/>
  <c r="C1609" i="2"/>
  <c r="C1274" i="2"/>
  <c r="C1268" i="2"/>
  <c r="C1180" i="2"/>
  <c r="C1383" i="2"/>
  <c r="C1307" i="2"/>
  <c r="C1233" i="2"/>
  <c r="C1124" i="2"/>
  <c r="C1243" i="2"/>
  <c r="C1215" i="2"/>
  <c r="C1171" i="2"/>
  <c r="C1153" i="2"/>
  <c r="C1115" i="2"/>
  <c r="C1070" i="2"/>
  <c r="C1193" i="2"/>
  <c r="C1133" i="2"/>
  <c r="C1055" i="2"/>
  <c r="C1039" i="2"/>
  <c r="C1037" i="2"/>
  <c r="C1265" i="2"/>
  <c r="C1236" i="2"/>
  <c r="C1121" i="2"/>
  <c r="C1292" i="2"/>
  <c r="C985" i="2"/>
  <c r="C1461" i="2"/>
  <c r="C1421" i="2"/>
  <c r="C963" i="2"/>
  <c r="C1270" i="2"/>
  <c r="C1030" i="2"/>
  <c r="C915" i="2"/>
  <c r="C1391" i="2"/>
  <c r="C996" i="2"/>
  <c r="C984" i="2"/>
  <c r="C1170" i="2"/>
  <c r="C923" i="2"/>
  <c r="C917" i="2"/>
  <c r="C968" i="2"/>
  <c r="C875" i="2"/>
  <c r="C852" i="2"/>
  <c r="C835" i="2"/>
  <c r="C815" i="2"/>
  <c r="C783" i="2"/>
  <c r="C767" i="2"/>
  <c r="C751" i="2"/>
  <c r="C937" i="2"/>
  <c r="C838" i="2"/>
  <c r="C804" i="2"/>
  <c r="C748" i="2"/>
  <c r="C1064" i="2"/>
  <c r="C817" i="2"/>
  <c r="C753" i="2"/>
  <c r="C980" i="2"/>
  <c r="C1024" i="2"/>
  <c r="C940" i="2"/>
  <c r="C850" i="2"/>
  <c r="C800" i="2"/>
  <c r="C677" i="2"/>
  <c r="C668" i="2"/>
  <c r="C645" i="2"/>
  <c r="C890" i="2"/>
  <c r="C735" i="2"/>
  <c r="C610" i="2"/>
  <c r="C1020" i="2"/>
  <c r="C792" i="2"/>
  <c r="C720" i="2"/>
  <c r="C714" i="2"/>
  <c r="C702" i="2"/>
  <c r="C1203" i="2"/>
  <c r="C870" i="2"/>
  <c r="C802" i="2"/>
  <c r="C713" i="2"/>
  <c r="C570" i="2"/>
  <c r="C752" i="2"/>
  <c r="C737" i="2"/>
  <c r="C685" i="2"/>
  <c r="C676" i="2"/>
  <c r="C593" i="2"/>
  <c r="C647" i="2"/>
  <c r="C541" i="2"/>
  <c r="C531" i="2"/>
  <c r="C523" i="2"/>
  <c r="C723" i="2"/>
  <c r="C573" i="2"/>
  <c r="C496" i="2"/>
  <c r="C868" i="2"/>
  <c r="C614" i="2"/>
  <c r="C639" i="2"/>
  <c r="C605" i="2"/>
  <c r="C576" i="2"/>
  <c r="C779" i="2"/>
  <c r="C732" i="2"/>
  <c r="C715" i="2"/>
  <c r="C680" i="2"/>
  <c r="C787" i="2"/>
  <c r="C687" i="2"/>
  <c r="C670" i="2"/>
  <c r="C625" i="2"/>
  <c r="C606" i="2"/>
  <c r="C832" i="2"/>
  <c r="C829" i="2"/>
  <c r="C542" i="2"/>
  <c r="C897" i="2"/>
  <c r="C443" i="2"/>
  <c r="C710" i="2"/>
  <c r="C518" i="2"/>
  <c r="C505" i="2"/>
  <c r="C504" i="2"/>
  <c r="C487" i="2"/>
  <c r="C464" i="2"/>
  <c r="C564" i="2"/>
  <c r="C412" i="2"/>
  <c r="C643" i="2"/>
  <c r="C584" i="2"/>
  <c r="C557" i="2"/>
  <c r="C551" i="2"/>
  <c r="C425" i="2"/>
  <c r="C422" i="2"/>
  <c r="C390" i="2"/>
  <c r="C388" i="2"/>
  <c r="C378" i="2"/>
  <c r="C376" i="2"/>
  <c r="C374" i="2"/>
  <c r="C372" i="2"/>
  <c r="C362" i="2"/>
  <c r="C360" i="2"/>
  <c r="C354" i="2"/>
  <c r="C352" i="2"/>
  <c r="C350" i="2"/>
  <c r="C348" i="2"/>
  <c r="C344" i="2"/>
  <c r="C342" i="2"/>
  <c r="C340" i="2"/>
  <c r="C330" i="2"/>
  <c r="C320" i="2"/>
  <c r="C316" i="2"/>
  <c r="C304" i="2"/>
  <c r="C300" i="2"/>
  <c r="C298" i="2"/>
  <c r="C280" i="2"/>
  <c r="C270" i="2"/>
  <c r="C264" i="2"/>
  <c r="C254" i="2"/>
  <c r="C252" i="2"/>
  <c r="C473" i="2"/>
  <c r="C449" i="2"/>
  <c r="C418" i="2"/>
  <c r="C765" i="2"/>
  <c r="C744" i="2"/>
  <c r="C407" i="2"/>
  <c r="C295" i="2"/>
  <c r="C277" i="2"/>
  <c r="C236" i="2"/>
  <c r="C739" i="2"/>
  <c r="C491" i="2"/>
  <c r="C776" i="2"/>
  <c r="C632" i="2"/>
  <c r="C465" i="2"/>
  <c r="C287" i="2"/>
  <c r="C698" i="2"/>
  <c r="C447" i="2"/>
  <c r="C410" i="2"/>
  <c r="C424" i="2"/>
  <c r="C323" i="2"/>
  <c r="C317" i="2"/>
  <c r="C305" i="2"/>
  <c r="C299" i="2"/>
  <c r="C293" i="2"/>
  <c r="C281" i="2"/>
  <c r="C381" i="2"/>
  <c r="C331" i="2"/>
  <c r="C227" i="2"/>
  <c r="C255" i="2"/>
  <c r="C249" i="2"/>
  <c r="C208" i="2"/>
  <c r="C444" i="2"/>
  <c r="C399" i="2"/>
  <c r="C239" i="2"/>
  <c r="C387" i="2"/>
  <c r="C341" i="2"/>
  <c r="C279" i="2"/>
  <c r="C393" i="2"/>
  <c r="I12" i="1"/>
  <c r="C371" i="2"/>
  <c r="C922" i="2"/>
  <c r="C361" i="2"/>
  <c r="H12" i="1"/>
  <c r="C598" i="2"/>
  <c r="C367" i="2"/>
  <c r="C267" i="2"/>
  <c r="C353" i="2"/>
  <c r="C329" i="2"/>
  <c r="C327" i="2"/>
  <c r="C712" i="2"/>
  <c r="C391" i="2"/>
  <c r="C2149" i="2"/>
  <c r="C2147" i="2"/>
  <c r="C2145" i="2"/>
  <c r="C2143" i="2"/>
  <c r="C2141" i="2"/>
  <c r="C2139" i="2"/>
  <c r="C2106" i="2"/>
  <c r="C2104" i="2"/>
  <c r="C2102" i="2"/>
  <c r="C2100" i="2"/>
  <c r="C2098" i="2"/>
  <c r="C2096" i="2"/>
  <c r="C2148" i="2"/>
  <c r="C2146" i="2"/>
  <c r="C2144" i="2"/>
  <c r="C2142" i="2"/>
  <c r="C2140" i="2"/>
  <c r="C2138" i="2"/>
  <c r="C2108" i="2"/>
  <c r="C2105" i="2"/>
  <c r="C2103" i="2"/>
  <c r="C2095" i="2"/>
  <c r="C2099" i="2"/>
  <c r="C2094" i="2"/>
  <c r="C2101" i="2"/>
  <c r="C2093" i="2"/>
  <c r="C2092" i="2"/>
  <c r="C2109" i="2"/>
  <c r="C2097" i="2"/>
  <c r="C2091" i="2"/>
  <c r="C2090" i="2"/>
  <c r="C2043" i="2"/>
  <c r="C2042" i="2"/>
  <c r="C2041" i="2"/>
  <c r="C2037" i="2"/>
  <c r="C2028" i="2"/>
  <c r="C2027" i="2"/>
  <c r="C2023" i="2"/>
  <c r="C1986" i="2"/>
  <c r="C2107" i="2"/>
  <c r="C2032" i="2"/>
  <c r="C2031" i="2"/>
  <c r="C2036" i="2"/>
  <c r="C2035" i="2"/>
  <c r="C2034" i="2"/>
  <c r="C1963" i="2"/>
  <c r="C1958" i="2"/>
  <c r="C1956" i="2"/>
  <c r="C2044" i="2"/>
  <c r="C2025" i="2"/>
  <c r="C1960" i="2"/>
  <c r="C2024" i="2"/>
  <c r="C2022" i="2"/>
  <c r="C1965" i="2"/>
  <c r="C1964" i="2"/>
  <c r="C1962" i="2"/>
  <c r="C1959" i="2"/>
  <c r="C1954" i="2"/>
  <c r="C2033" i="2"/>
  <c r="C2030" i="2"/>
  <c r="C1961" i="2"/>
  <c r="C1950" i="2"/>
  <c r="C1987" i="2"/>
  <c r="C1953" i="2"/>
  <c r="C1917" i="2"/>
  <c r="C1915" i="2"/>
  <c r="C1913" i="2"/>
  <c r="C1911" i="2"/>
  <c r="C1909" i="2"/>
  <c r="C1907" i="2"/>
  <c r="C1905" i="2"/>
  <c r="C1903" i="2"/>
  <c r="C1901" i="2"/>
  <c r="C1899" i="2"/>
  <c r="C1897" i="2"/>
  <c r="C1895" i="2"/>
  <c r="C2040" i="2"/>
  <c r="C2029" i="2"/>
  <c r="C1988" i="2"/>
  <c r="C1952" i="2"/>
  <c r="C1904" i="2"/>
  <c r="C1906" i="2"/>
  <c r="C1902" i="2"/>
  <c r="C2045" i="2"/>
  <c r="C1955" i="2"/>
  <c r="C1908" i="2"/>
  <c r="C1900" i="2"/>
  <c r="C1861" i="2"/>
  <c r="C1859" i="2"/>
  <c r="C1857" i="2"/>
  <c r="C1855" i="2"/>
  <c r="C1853" i="2"/>
  <c r="C1851" i="2"/>
  <c r="C1821" i="2"/>
  <c r="C1819" i="2"/>
  <c r="C1817" i="2"/>
  <c r="C1815" i="2"/>
  <c r="C1813" i="2"/>
  <c r="C1811" i="2"/>
  <c r="C2038" i="2"/>
  <c r="C1910" i="2"/>
  <c r="C1898" i="2"/>
  <c r="C1858" i="2"/>
  <c r="C1951" i="2"/>
  <c r="C1912" i="2"/>
  <c r="C1854" i="2"/>
  <c r="C1916" i="2"/>
  <c r="C1852" i="2"/>
  <c r="C1814" i="2"/>
  <c r="C1792" i="2"/>
  <c r="C1768" i="2"/>
  <c r="C1896" i="2"/>
  <c r="C1818" i="2"/>
  <c r="C1816" i="2"/>
  <c r="C1810" i="2"/>
  <c r="C1777" i="2"/>
  <c r="C1791" i="2"/>
  <c r="C1767" i="2"/>
  <c r="C1856" i="2"/>
  <c r="C1820" i="2"/>
  <c r="C1781" i="2"/>
  <c r="C2026" i="2"/>
  <c r="C2039" i="2"/>
  <c r="C1894" i="2"/>
  <c r="C1850" i="2"/>
  <c r="C1779" i="2"/>
  <c r="C1778" i="2"/>
  <c r="C1795" i="2"/>
  <c r="C1794" i="2"/>
  <c r="C1780" i="2"/>
  <c r="C1812" i="2"/>
  <c r="C1914" i="2"/>
  <c r="C1860" i="2"/>
  <c r="C1747" i="2"/>
  <c r="C1746" i="2"/>
  <c r="C1744" i="2"/>
  <c r="C1745" i="2"/>
  <c r="C1743" i="2"/>
  <c r="C1742" i="2"/>
  <c r="C1733" i="2"/>
  <c r="C1728" i="2"/>
  <c r="C1682" i="2"/>
  <c r="C1680" i="2"/>
  <c r="C1678" i="2"/>
  <c r="C1676" i="2"/>
  <c r="C1674" i="2"/>
  <c r="C1672" i="2"/>
  <c r="C1670" i="2"/>
  <c r="C1668" i="2"/>
  <c r="C1666" i="2"/>
  <c r="C1664" i="2"/>
  <c r="C1662" i="2"/>
  <c r="C1660" i="2"/>
  <c r="C1630" i="2"/>
  <c r="C1730" i="2"/>
  <c r="C1989" i="2"/>
  <c r="C1793" i="2"/>
  <c r="C1741" i="2"/>
  <c r="C1740" i="2"/>
  <c r="C1769" i="2"/>
  <c r="C1739" i="2"/>
  <c r="C1738" i="2"/>
  <c r="C1790" i="2"/>
  <c r="C1736" i="2"/>
  <c r="C1671" i="2"/>
  <c r="C1669" i="2"/>
  <c r="C1729" i="2"/>
  <c r="C1667" i="2"/>
  <c r="C1665" i="2"/>
  <c r="C1957" i="2"/>
  <c r="C1734" i="2"/>
  <c r="C1663" i="2"/>
  <c r="C1683" i="2"/>
  <c r="C1681" i="2"/>
  <c r="C1673" i="2"/>
  <c r="C1766" i="2"/>
  <c r="C1731" i="2"/>
  <c r="C1735" i="2"/>
  <c r="C1679" i="2"/>
  <c r="C1776" i="2"/>
  <c r="C1737" i="2"/>
  <c r="C1661" i="2"/>
  <c r="C1631" i="2"/>
  <c r="C1621" i="2"/>
  <c r="C1472" i="2"/>
  <c r="C1456" i="2"/>
  <c r="C1452" i="2"/>
  <c r="C1448" i="2"/>
  <c r="C1434" i="2"/>
  <c r="C1414" i="2"/>
  <c r="C1396" i="2"/>
  <c r="C1388" i="2"/>
  <c r="C1374" i="2"/>
  <c r="C1620" i="2"/>
  <c r="C1465" i="2"/>
  <c r="C1429" i="2"/>
  <c r="C1393" i="2"/>
  <c r="C1677" i="2"/>
  <c r="C1437" i="2"/>
  <c r="C1419" i="2"/>
  <c r="C1407" i="2"/>
  <c r="C1732" i="2"/>
  <c r="C1399" i="2"/>
  <c r="C1135" i="2"/>
  <c r="C1417" i="2"/>
  <c r="C1675" i="2"/>
  <c r="C1413" i="2"/>
  <c r="C1154" i="2"/>
  <c r="C1127" i="2"/>
  <c r="C1120" i="2"/>
  <c r="C1114" i="2"/>
  <c r="C1104" i="2"/>
  <c r="C1081" i="2"/>
  <c r="C1079" i="2"/>
  <c r="C1090" i="2"/>
  <c r="C1082" i="2"/>
  <c r="C1132" i="2"/>
  <c r="C1067" i="2"/>
  <c r="C1063" i="2"/>
  <c r="C1047" i="2"/>
  <c r="C1043" i="2"/>
  <c r="C1031" i="2"/>
  <c r="C1113" i="2"/>
  <c r="C1018" i="2"/>
  <c r="C1069" i="2"/>
  <c r="C957" i="2"/>
  <c r="C933" i="2"/>
  <c r="C902" i="2"/>
  <c r="C954" i="2"/>
  <c r="C907" i="2"/>
  <c r="C1058" i="2"/>
  <c r="C1162" i="2"/>
  <c r="C1098" i="2"/>
  <c r="C1036" i="2"/>
  <c r="C977" i="2"/>
  <c r="C941" i="2"/>
  <c r="C920" i="2"/>
  <c r="C866" i="2"/>
  <c r="C849" i="2"/>
  <c r="C799" i="2"/>
  <c r="C928" i="2"/>
  <c r="C913" i="2"/>
  <c r="C886" i="2"/>
  <c r="C812" i="2"/>
  <c r="C772" i="2"/>
  <c r="C1022" i="2"/>
  <c r="C938" i="2"/>
  <c r="C1046" i="2"/>
  <c r="C801" i="2"/>
  <c r="C1002" i="2"/>
  <c r="C987" i="2"/>
  <c r="C986" i="2"/>
  <c r="C857" i="2"/>
  <c r="C844" i="2"/>
  <c r="C653" i="2"/>
  <c r="C1013" i="2"/>
  <c r="C811" i="2"/>
  <c r="C760" i="2"/>
  <c r="C667" i="2"/>
  <c r="C631" i="2"/>
  <c r="C583" i="2"/>
  <c r="C657" i="2"/>
  <c r="C638" i="2"/>
  <c r="C750" i="2"/>
  <c r="C686" i="2"/>
  <c r="C627" i="2"/>
  <c r="C546" i="2"/>
  <c r="C1023" i="2"/>
  <c r="C762" i="2"/>
  <c r="C588" i="2"/>
  <c r="C836" i="2"/>
  <c r="C666" i="2"/>
  <c r="C623" i="2"/>
  <c r="C560" i="2"/>
  <c r="C537" i="2"/>
  <c r="C906" i="2"/>
  <c r="C892" i="2"/>
  <c r="C982" i="2"/>
  <c r="C578" i="2"/>
  <c r="C574" i="2"/>
  <c r="C494" i="2"/>
  <c r="C882" i="2"/>
  <c r="C786" i="2"/>
  <c r="C582" i="2"/>
  <c r="C515" i="2"/>
  <c r="C512" i="2"/>
  <c r="C506" i="2"/>
  <c r="C967" i="2"/>
  <c r="C693" i="2"/>
  <c r="C619" i="2"/>
  <c r="C545" i="2"/>
  <c r="C540" i="2"/>
  <c r="C1078" i="2"/>
  <c r="C876" i="2"/>
  <c r="C528" i="2"/>
  <c r="C433" i="2"/>
  <c r="C549" i="2"/>
  <c r="C654" i="2"/>
  <c r="C463" i="2"/>
  <c r="C452" i="2"/>
  <c r="C429" i="2"/>
  <c r="C415" i="2"/>
  <c r="C562" i="2"/>
  <c r="C446" i="2"/>
  <c r="C398" i="2"/>
  <c r="C334" i="2"/>
  <c r="C322" i="2"/>
  <c r="C308" i="2"/>
  <c r="C613" i="2"/>
  <c r="C467" i="2"/>
  <c r="C455" i="2"/>
  <c r="C552" i="2"/>
  <c r="C513" i="2"/>
  <c r="C484" i="2"/>
  <c r="C428" i="2"/>
  <c r="C313" i="2"/>
  <c r="C438" i="2"/>
  <c r="C479" i="2"/>
  <c r="C590" i="2"/>
  <c r="C459" i="2"/>
  <c r="C727" i="2"/>
  <c r="C563" i="2"/>
  <c r="C454" i="2"/>
  <c r="C375" i="2"/>
  <c r="C132" i="2"/>
  <c r="C100" i="2"/>
  <c r="C98" i="2"/>
  <c r="C94" i="2"/>
  <c r="C90" i="2"/>
  <c r="C84" i="2"/>
  <c r="C80" i="2"/>
  <c r="C68" i="2"/>
  <c r="C60" i="2"/>
  <c r="C56" i="2"/>
  <c r="I16" i="1"/>
  <c r="C589" i="2"/>
  <c r="C65" i="2"/>
  <c r="C30" i="2"/>
  <c r="C9" i="2"/>
  <c r="C127" i="2"/>
  <c r="C111" i="2"/>
  <c r="C107" i="2"/>
  <c r="C83" i="2"/>
  <c r="C71" i="2"/>
  <c r="C46" i="2"/>
  <c r="C337" i="2"/>
  <c r="C27" i="2"/>
  <c r="C297" i="2"/>
  <c r="C34" i="2"/>
  <c r="C18" i="2"/>
  <c r="C105" i="2"/>
  <c r="C73" i="2"/>
  <c r="C45" i="2"/>
  <c r="C26" i="2"/>
  <c r="C2" i="2"/>
  <c r="H16" i="1"/>
  <c r="C14" i="2"/>
  <c r="C10" i="2"/>
  <c r="C603" i="2"/>
  <c r="C38" i="2"/>
  <c r="C20" i="2"/>
  <c r="C4" i="2"/>
  <c r="N1872" i="2"/>
  <c r="N1870" i="2"/>
  <c r="N1868" i="2"/>
  <c r="N1866" i="2"/>
  <c r="N1864" i="2"/>
  <c r="N1862" i="2"/>
  <c r="N1860" i="2"/>
  <c r="N1858" i="2"/>
  <c r="N1856" i="2"/>
  <c r="N1854" i="2"/>
  <c r="N1852" i="2"/>
  <c r="N1850" i="2"/>
  <c r="N1848" i="2"/>
  <c r="N1846" i="2"/>
  <c r="N1844" i="2"/>
  <c r="N1842" i="2"/>
  <c r="N1840" i="2"/>
  <c r="N1838" i="2"/>
  <c r="N1871" i="2"/>
  <c r="N1847" i="2"/>
  <c r="N1867" i="2"/>
  <c r="N1843" i="2"/>
  <c r="N1865" i="2"/>
  <c r="N1841" i="2"/>
  <c r="N1839" i="2"/>
  <c r="N1859" i="2"/>
  <c r="N1849" i="2"/>
  <c r="N1873" i="2"/>
  <c r="N1851" i="2"/>
  <c r="N1861" i="2"/>
  <c r="N1845" i="2"/>
  <c r="N1857" i="2"/>
  <c r="N1853" i="2"/>
  <c r="N1869" i="2"/>
  <c r="N1855" i="2"/>
  <c r="N1863" i="2"/>
  <c r="N1604" i="2"/>
  <c r="N1615" i="2"/>
  <c r="N1608" i="2"/>
  <c r="N1612" i="2"/>
  <c r="N1595" i="2"/>
  <c r="N1581" i="2"/>
  <c r="N1579" i="2"/>
  <c r="N1602" i="2"/>
  <c r="N1600" i="2"/>
  <c r="N1578" i="2"/>
  <c r="N1607" i="2"/>
  <c r="N1564" i="2"/>
  <c r="N1560" i="2"/>
  <c r="N1554" i="2"/>
  <c r="N1609" i="2"/>
  <c r="N1577" i="2"/>
  <c r="N1573" i="2"/>
  <c r="N1565" i="2"/>
  <c r="N1559" i="2"/>
  <c r="N1553" i="2"/>
  <c r="N1539" i="2"/>
  <c r="N1524" i="2"/>
  <c r="N1491" i="2"/>
  <c r="N1479" i="2"/>
  <c r="N1473" i="2"/>
  <c r="N1465" i="2"/>
  <c r="N1459" i="2"/>
  <c r="N1443" i="2"/>
  <c r="N1441" i="2"/>
  <c r="N1437" i="2"/>
  <c r="N1435" i="2"/>
  <c r="N1427" i="2"/>
  <c r="N1421" i="2"/>
  <c r="N1405" i="2"/>
  <c r="N1391" i="2"/>
  <c r="N1373" i="2"/>
  <c r="N1548" i="2"/>
  <c r="N1544" i="2"/>
  <c r="N1568" i="2"/>
  <c r="N1545" i="2"/>
  <c r="N1529" i="2"/>
  <c r="N1526" i="2"/>
  <c r="N1613" i="2"/>
  <c r="N1611" i="2"/>
  <c r="N1557" i="2"/>
  <c r="N1506" i="2"/>
  <c r="N1501" i="2"/>
  <c r="N1422" i="2"/>
  <c r="N1567" i="2"/>
  <c r="N1550" i="2"/>
  <c r="N1456" i="2"/>
  <c r="N1614" i="2"/>
  <c r="N1561" i="2"/>
  <c r="N1571" i="2"/>
  <c r="N1555" i="2"/>
  <c r="N1482" i="2"/>
  <c r="N1416" i="2"/>
  <c r="N1575" i="2"/>
  <c r="N1542" i="2"/>
  <c r="N1448" i="2"/>
  <c r="N1400" i="2"/>
  <c r="N1298" i="2"/>
  <c r="N1204" i="2"/>
  <c r="N1181" i="2"/>
  <c r="N1173" i="2"/>
  <c r="N1165" i="2"/>
  <c r="N1130" i="2"/>
  <c r="N1276" i="2"/>
  <c r="N1452" i="2"/>
  <c r="N1246" i="2"/>
  <c r="N1186" i="2"/>
  <c r="N1144" i="2"/>
  <c r="N1534" i="2"/>
  <c r="N1266" i="2"/>
  <c r="N1314" i="2"/>
  <c r="N1281" i="2"/>
  <c r="N1239" i="2"/>
  <c r="N1116" i="2"/>
  <c r="N1134" i="2"/>
  <c r="N1131" i="2"/>
  <c r="N1088" i="2"/>
  <c r="N1214" i="2"/>
  <c r="N1137" i="2"/>
  <c r="N1126" i="2"/>
  <c r="N1096" i="2"/>
  <c r="N1462" i="2"/>
  <c r="N1169" i="2"/>
  <c r="N1546" i="2"/>
  <c r="N1472" i="2"/>
  <c r="N1216" i="2"/>
  <c r="N1206" i="2"/>
  <c r="N1077" i="2"/>
  <c r="N1073" i="2"/>
  <c r="N938" i="2"/>
  <c r="N906" i="2"/>
  <c r="N979" i="2"/>
  <c r="N925" i="2"/>
  <c r="N892" i="2"/>
  <c r="N1019" i="2"/>
  <c r="N857" i="2"/>
  <c r="N960" i="2"/>
  <c r="N954" i="2"/>
  <c r="N902" i="2"/>
  <c r="N1177" i="2"/>
  <c r="N1161" i="2"/>
  <c r="N1035" i="2"/>
  <c r="N975" i="2"/>
  <c r="N1004" i="2"/>
  <c r="Z59" i="1"/>
  <c r="X59" i="1"/>
  <c r="Y59" i="1"/>
  <c r="N1994" i="2"/>
  <c r="N1997" i="2"/>
  <c r="N1990" i="2"/>
  <c r="N1984" i="2"/>
  <c r="N1991" i="2"/>
  <c r="N1983" i="2"/>
  <c r="N1979" i="2"/>
  <c r="N1989" i="2"/>
  <c r="N1993" i="2"/>
  <c r="N1980" i="2"/>
  <c r="N1995" i="2"/>
  <c r="N1981" i="2"/>
  <c r="N1996" i="2"/>
  <c r="N1988" i="2"/>
  <c r="N1982" i="2"/>
  <c r="N1986" i="2"/>
  <c r="N1985" i="2"/>
  <c r="N1992" i="2"/>
  <c r="N1987" i="2"/>
  <c r="N1978" i="2"/>
  <c r="N1532" i="2"/>
  <c r="N1516" i="2"/>
  <c r="N1475" i="2"/>
  <c r="N1461" i="2"/>
  <c r="N1411" i="2"/>
  <c r="N1397" i="2"/>
  <c r="N1377" i="2"/>
  <c r="N1361" i="2"/>
  <c r="N1341" i="2"/>
  <c r="N1331" i="2"/>
  <c r="N1329" i="2"/>
  <c r="N1507" i="2"/>
  <c r="N1502" i="2"/>
  <c r="N1541" i="2"/>
  <c r="N1530" i="2"/>
  <c r="N1509" i="2"/>
  <c r="N1406" i="2"/>
  <c r="N1390" i="2"/>
  <c r="N1358" i="2"/>
  <c r="N1386" i="2"/>
  <c r="N1378" i="2"/>
  <c r="N1338" i="2"/>
  <c r="N1303" i="2"/>
  <c r="N1352" i="2"/>
  <c r="N1523" i="2"/>
  <c r="N1295" i="2"/>
  <c r="N1486" i="2"/>
  <c r="N1392" i="2"/>
  <c r="N1114" i="2"/>
  <c r="N1250" i="2"/>
  <c r="N1328" i="2"/>
  <c r="N1324" i="2"/>
  <c r="N1299" i="2"/>
  <c r="N1288" i="2"/>
  <c r="N1248" i="2"/>
  <c r="N1316" i="2"/>
  <c r="N1202" i="2"/>
  <c r="N1162" i="2"/>
  <c r="N1132" i="2"/>
  <c r="N1269" i="2"/>
  <c r="N1340" i="2"/>
  <c r="N1293" i="2"/>
  <c r="N1490" i="2"/>
  <c r="N1213" i="2"/>
  <c r="N1372" i="2"/>
  <c r="N1090" i="2"/>
  <c r="N1082" i="2"/>
  <c r="N1217" i="2"/>
  <c r="N1150" i="2"/>
  <c r="N1154" i="2"/>
  <c r="N1142" i="2"/>
  <c r="N1127" i="2"/>
  <c r="N1167" i="2"/>
  <c r="N1091" i="2"/>
  <c r="N1070" i="2"/>
  <c r="N1356" i="2"/>
  <c r="N1098" i="2"/>
  <c r="N1037" i="2"/>
  <c r="N1024" i="2"/>
  <c r="N968" i="2"/>
  <c r="N1039" i="2"/>
  <c r="N1185" i="2"/>
  <c r="N922" i="2"/>
  <c r="N1304" i="2"/>
  <c r="N1262" i="2"/>
  <c r="N1183" i="2"/>
  <c r="N798" i="2"/>
  <c r="N728" i="2"/>
  <c r="N996" i="2"/>
  <c r="N755" i="2"/>
  <c r="N747" i="2"/>
  <c r="N1055" i="2"/>
  <c r="N1176" i="2"/>
  <c r="N781" i="2"/>
  <c r="N1135" i="2"/>
  <c r="N1120" i="2"/>
  <c r="N700" i="2"/>
  <c r="N656" i="2"/>
  <c r="N543" i="2"/>
  <c r="N633" i="2"/>
  <c r="N1125" i="2"/>
  <c r="N764" i="2"/>
  <c r="N729" i="2"/>
  <c r="N705" i="2"/>
  <c r="N679" i="2"/>
  <c r="N660" i="2"/>
  <c r="N984" i="2"/>
  <c r="N629" i="2"/>
  <c r="N659" i="2"/>
  <c r="N622" i="2"/>
  <c r="N600" i="2"/>
  <c r="N547" i="2"/>
  <c r="N725" i="2"/>
  <c r="N678" i="2"/>
  <c r="N673" i="2"/>
  <c r="N581" i="2"/>
  <c r="N511" i="2"/>
  <c r="N502" i="2"/>
  <c r="N1094" i="2"/>
  <c r="N634" i="2"/>
  <c r="N621" i="2"/>
  <c r="N691" i="2"/>
  <c r="N663" i="2"/>
  <c r="N438" i="2"/>
  <c r="N467" i="2"/>
  <c r="N533" i="2"/>
  <c r="N494" i="2"/>
  <c r="N454" i="2"/>
  <c r="N497" i="2"/>
  <c r="N701" i="2"/>
  <c r="N644" i="2"/>
  <c r="N580" i="2"/>
  <c r="N479" i="2"/>
  <c r="N471" i="2"/>
  <c r="N459" i="2"/>
  <c r="N477" i="2"/>
  <c r="N615" i="2"/>
  <c r="N759" i="2"/>
  <c r="N433" i="2"/>
  <c r="N429" i="2"/>
  <c r="N508" i="2"/>
  <c r="I257" i="2"/>
  <c r="G257" i="2"/>
  <c r="J39" i="3"/>
  <c r="J99" i="3"/>
  <c r="J36" i="3"/>
  <c r="J87" i="3"/>
  <c r="J3" i="3"/>
  <c r="J38" i="3"/>
  <c r="J37" i="3"/>
  <c r="J17" i="3"/>
  <c r="J84" i="3"/>
  <c r="AF30" i="1"/>
  <c r="AF42" i="1"/>
  <c r="Y48" i="1"/>
  <c r="G179" i="2"/>
  <c r="G203" i="2"/>
  <c r="I214" i="2"/>
  <c r="I239" i="2"/>
  <c r="G239" i="2"/>
  <c r="I318" i="2"/>
  <c r="G318" i="2"/>
  <c r="I472" i="2"/>
  <c r="G472" i="2"/>
  <c r="E5" i="1"/>
  <c r="AF26" i="1"/>
  <c r="AI30" i="1"/>
  <c r="S34" i="1"/>
  <c r="AF57" i="1"/>
  <c r="J40" i="3" s="1"/>
  <c r="Z48" i="1"/>
  <c r="AF58" i="1"/>
  <c r="AF60" i="1"/>
  <c r="AF61" i="1"/>
  <c r="I179" i="2"/>
  <c r="G181" i="2"/>
  <c r="I203" i="2"/>
  <c r="G205" i="2"/>
  <c r="I230" i="2"/>
  <c r="G230" i="2"/>
  <c r="I243" i="2"/>
  <c r="G243" i="2"/>
  <c r="I253" i="2"/>
  <c r="I256" i="2"/>
  <c r="G256" i="2"/>
  <c r="I262" i="2"/>
  <c r="G262" i="2"/>
  <c r="G275" i="2"/>
  <c r="I275" i="2"/>
  <c r="I316" i="2"/>
  <c r="G316" i="2"/>
  <c r="I371" i="2"/>
  <c r="G371" i="2"/>
  <c r="I387" i="2"/>
  <c r="G387" i="2"/>
  <c r="N452" i="2"/>
  <c r="P2159" i="2"/>
  <c r="P2136" i="2"/>
  <c r="P2160" i="2"/>
  <c r="P2146" i="2"/>
  <c r="P2149" i="2"/>
  <c r="P2147" i="2"/>
  <c r="P2137" i="2"/>
  <c r="P2135" i="2"/>
  <c r="P2134" i="2"/>
  <c r="P2161" i="2"/>
  <c r="P2148" i="2"/>
  <c r="P2158" i="2"/>
  <c r="P1599" i="2"/>
  <c r="P1593" i="2"/>
  <c r="P1606" i="2"/>
  <c r="P1601" i="2"/>
  <c r="P1566" i="2"/>
  <c r="P1572" i="2"/>
  <c r="P1531" i="2"/>
  <c r="P1513" i="2"/>
  <c r="P1535" i="2"/>
  <c r="P1551" i="2"/>
  <c r="P1537" i="2"/>
  <c r="P1488" i="2"/>
  <c r="P1446" i="2"/>
  <c r="P1431" i="2"/>
  <c r="P1517" i="2"/>
  <c r="P1414" i="2"/>
  <c r="P1412" i="2"/>
  <c r="P1429" i="2"/>
  <c r="P1387" i="2"/>
  <c r="P1242" i="2"/>
  <c r="P1208" i="2"/>
  <c r="P1508" i="2"/>
  <c r="P1145" i="2"/>
  <c r="P1368" i="2"/>
  <c r="P1395" i="2"/>
  <c r="P1097" i="2"/>
  <c r="P1092" i="2"/>
  <c r="P1038" i="2"/>
  <c r="P991" i="2"/>
  <c r="P836" i="2"/>
  <c r="P891" i="2"/>
  <c r="P1103" i="2"/>
  <c r="P845" i="2"/>
  <c r="P1051" i="2"/>
  <c r="P1057" i="2"/>
  <c r="P801" i="2"/>
  <c r="I273" i="2"/>
  <c r="G273" i="2"/>
  <c r="I547" i="2"/>
  <c r="G547" i="2"/>
  <c r="AJ26" i="1"/>
  <c r="AK30" i="1"/>
  <c r="X5" i="3" s="1"/>
  <c r="U34" i="1"/>
  <c r="AF43" i="1" s="1"/>
  <c r="G15" i="2"/>
  <c r="G23" i="2"/>
  <c r="G31" i="2"/>
  <c r="G163" i="2"/>
  <c r="I218" i="2"/>
  <c r="G218" i="2"/>
  <c r="AL30" i="1"/>
  <c r="P32" i="1"/>
  <c r="AF38" i="1"/>
  <c r="J8" i="3" s="1"/>
  <c r="I31" i="2"/>
  <c r="I133" i="2"/>
  <c r="I145" i="2"/>
  <c r="I151" i="2"/>
  <c r="I163" i="2"/>
  <c r="G187" i="2"/>
  <c r="I228" i="2"/>
  <c r="G228" i="2"/>
  <c r="G249" i="2"/>
  <c r="I255" i="2"/>
  <c r="I427" i="2"/>
  <c r="G427" i="2"/>
  <c r="N463" i="2"/>
  <c r="I497" i="2"/>
  <c r="G497" i="2"/>
  <c r="I231" i="2"/>
  <c r="G231" i="2"/>
  <c r="H35" i="1"/>
  <c r="I235" i="2"/>
  <c r="I244" i="2"/>
  <c r="AJ30" i="1"/>
  <c r="I223" i="2"/>
  <c r="G223" i="2"/>
  <c r="I234" i="2"/>
  <c r="G234" i="2"/>
  <c r="I383" i="2"/>
  <c r="G383" i="2"/>
  <c r="AF48" i="1"/>
  <c r="J97" i="3" s="1"/>
  <c r="G7" i="2"/>
  <c r="G47" i="2"/>
  <c r="G133" i="2"/>
  <c r="G157" i="2"/>
  <c r="I247" i="2"/>
  <c r="I284" i="2"/>
  <c r="I499" i="2"/>
  <c r="G499" i="2"/>
  <c r="AK26" i="1"/>
  <c r="AF44" i="1"/>
  <c r="J14" i="3" s="1"/>
  <c r="I7" i="2"/>
  <c r="I23" i="2"/>
  <c r="I139" i="2"/>
  <c r="I157" i="2"/>
  <c r="I252" i="2"/>
  <c r="AL26" i="1"/>
  <c r="S30" i="1"/>
  <c r="AM30" i="1"/>
  <c r="Q32" i="1"/>
  <c r="H33" i="1"/>
  <c r="AF33" i="1"/>
  <c r="J29" i="3" s="1"/>
  <c r="W34" i="1"/>
  <c r="AF55" i="1" s="1"/>
  <c r="AF50" i="1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G165" i="2"/>
  <c r="I187" i="2"/>
  <c r="G189" i="2"/>
  <c r="G284" i="2"/>
  <c r="I321" i="2"/>
  <c r="G321" i="2"/>
  <c r="N591" i="2"/>
  <c r="G768" i="2"/>
  <c r="I768" i="2"/>
  <c r="I278" i="2"/>
  <c r="G278" i="2"/>
  <c r="I206" i="2"/>
  <c r="I460" i="2"/>
  <c r="T34" i="1"/>
  <c r="AF37" i="1" s="1"/>
  <c r="I205" i="2"/>
  <c r="I279" i="2"/>
  <c r="G279" i="2"/>
  <c r="V34" i="1"/>
  <c r="AF49" i="1" s="1"/>
  <c r="J121" i="3" s="1"/>
  <c r="I39" i="2"/>
  <c r="AM26" i="1"/>
  <c r="T30" i="1"/>
  <c r="AF36" i="1"/>
  <c r="J89" i="3" s="1"/>
  <c r="AF51" i="1"/>
  <c r="V62" i="1"/>
  <c r="G5" i="2"/>
  <c r="G13" i="2"/>
  <c r="G21" i="2"/>
  <c r="G29" i="2"/>
  <c r="G37" i="2"/>
  <c r="G45" i="2"/>
  <c r="I165" i="2"/>
  <c r="G167" i="2"/>
  <c r="I189" i="2"/>
  <c r="G191" i="2"/>
  <c r="G247" i="2"/>
  <c r="G252" i="2"/>
  <c r="G255" i="2"/>
  <c r="G269" i="2"/>
  <c r="I286" i="2"/>
  <c r="G286" i="2"/>
  <c r="I339" i="2"/>
  <c r="G339" i="2"/>
  <c r="I363" i="2"/>
  <c r="G363" i="2"/>
  <c r="I425" i="2"/>
  <c r="G425" i="2"/>
  <c r="I644" i="2"/>
  <c r="G644" i="2"/>
  <c r="P1200" i="2"/>
  <c r="P1275" i="2"/>
  <c r="P1241" i="2"/>
  <c r="P1231" i="2"/>
  <c r="P884" i="2"/>
  <c r="P742" i="2"/>
  <c r="P932" i="2"/>
  <c r="P773" i="2"/>
  <c r="P853" i="2"/>
  <c r="P818" i="2"/>
  <c r="P825" i="2"/>
  <c r="P655" i="2"/>
  <c r="P626" i="2"/>
  <c r="P619" i="2"/>
  <c r="P929" i="2"/>
  <c r="P597" i="2"/>
  <c r="P589" i="2"/>
  <c r="P974" i="2"/>
  <c r="P803" i="2"/>
  <c r="P790" i="2"/>
  <c r="P563" i="2"/>
  <c r="P624" i="2"/>
  <c r="P590" i="2"/>
  <c r="P769" i="2"/>
  <c r="I29" i="2"/>
  <c r="I167" i="2"/>
  <c r="I191" i="2"/>
  <c r="I232" i="2"/>
  <c r="I315" i="2"/>
  <c r="G315" i="2"/>
  <c r="I335" i="2"/>
  <c r="G335" i="2"/>
  <c r="I359" i="2"/>
  <c r="G359" i="2"/>
  <c r="I395" i="2"/>
  <c r="G395" i="2"/>
  <c r="I404" i="2"/>
  <c r="G404" i="2"/>
  <c r="I413" i="2"/>
  <c r="G413" i="2"/>
  <c r="I268" i="2"/>
  <c r="G268" i="2"/>
  <c r="I211" i="2"/>
  <c r="G13" i="1"/>
  <c r="G15" i="1"/>
  <c r="AN26" i="1"/>
  <c r="U30" i="1"/>
  <c r="AF39" i="1" s="1"/>
  <c r="P1404" i="2"/>
  <c r="P1409" i="2"/>
  <c r="P1226" i="2"/>
  <c r="P1290" i="2"/>
  <c r="P1426" i="2"/>
  <c r="P1385" i="2"/>
  <c r="P1259" i="2"/>
  <c r="P1108" i="2"/>
  <c r="P1148" i="2"/>
  <c r="P1060" i="2"/>
  <c r="P1016" i="2"/>
  <c r="P1071" i="2"/>
  <c r="P1099" i="2"/>
  <c r="P885" i="2"/>
  <c r="P1106" i="2"/>
  <c r="P1253" i="2"/>
  <c r="P933" i="2"/>
  <c r="P846" i="2"/>
  <c r="P1059" i="2"/>
  <c r="P888" i="2"/>
  <c r="P882" i="2"/>
  <c r="P935" i="2"/>
  <c r="P886" i="2"/>
  <c r="P844" i="2"/>
  <c r="I5" i="2"/>
  <c r="I13" i="2"/>
  <c r="I45" i="2"/>
  <c r="H34" i="1"/>
  <c r="X56" i="1"/>
  <c r="I135" i="2"/>
  <c r="I141" i="2"/>
  <c r="I147" i="2"/>
  <c r="I153" i="2"/>
  <c r="I159" i="2"/>
  <c r="I216" i="2"/>
  <c r="G216" i="2"/>
  <c r="I221" i="2"/>
  <c r="G221" i="2"/>
  <c r="G225" i="2"/>
  <c r="I454" i="2"/>
  <c r="G454" i="2"/>
  <c r="I493" i="2"/>
  <c r="G493" i="2"/>
  <c r="I220" i="2"/>
  <c r="G220" i="2"/>
  <c r="I298" i="2"/>
  <c r="G298" i="2"/>
  <c r="I238" i="2"/>
  <c r="I303" i="2"/>
  <c r="G303" i="2"/>
  <c r="I347" i="2"/>
  <c r="G347" i="2"/>
  <c r="I212" i="2"/>
  <c r="I267" i="2"/>
  <c r="G267" i="2"/>
  <c r="V30" i="1"/>
  <c r="AF45" i="1" s="1"/>
  <c r="J30" i="3" s="1"/>
  <c r="Y63" i="1"/>
  <c r="F65" i="1"/>
  <c r="X67" i="1"/>
  <c r="Z63" i="1"/>
  <c r="Z67" i="1"/>
  <c r="I208" i="2"/>
  <c r="I217" i="2"/>
  <c r="G232" i="2"/>
  <c r="I240" i="2"/>
  <c r="G240" i="2"/>
  <c r="I260" i="2"/>
  <c r="G263" i="2"/>
  <c r="I294" i="2"/>
  <c r="G294" i="2"/>
  <c r="I300" i="2"/>
  <c r="G300" i="2"/>
  <c r="I309" i="2"/>
  <c r="G309" i="2"/>
  <c r="I428" i="2"/>
  <c r="G428" i="2"/>
  <c r="I584" i="2"/>
  <c r="G584" i="2"/>
  <c r="I224" i="2"/>
  <c r="G245" i="2"/>
  <c r="G261" i="2"/>
  <c r="I310" i="2"/>
  <c r="G310" i="2"/>
  <c r="I312" i="2"/>
  <c r="G312" i="2"/>
  <c r="I400" i="2"/>
  <c r="G400" i="2"/>
  <c r="I466" i="2"/>
  <c r="I725" i="2"/>
  <c r="G725" i="2"/>
  <c r="I210" i="2"/>
  <c r="I236" i="2"/>
  <c r="I266" i="2"/>
  <c r="I274" i="2"/>
  <c r="G274" i="2"/>
  <c r="G287" i="2"/>
  <c r="I291" i="2"/>
  <c r="G291" i="2"/>
  <c r="I343" i="2"/>
  <c r="G343" i="2"/>
  <c r="I367" i="2"/>
  <c r="G367" i="2"/>
  <c r="I391" i="2"/>
  <c r="G391" i="2"/>
  <c r="I410" i="2"/>
  <c r="G410" i="2"/>
  <c r="I481" i="2"/>
  <c r="G481" i="2"/>
  <c r="I215" i="2"/>
  <c r="I226" i="2"/>
  <c r="I237" i="2"/>
  <c r="I248" i="2"/>
  <c r="I285" i="2"/>
  <c r="G285" i="2"/>
  <c r="I290" i="2"/>
  <c r="G290" i="2"/>
  <c r="I327" i="2"/>
  <c r="G327" i="2"/>
  <c r="I351" i="2"/>
  <c r="G351" i="2"/>
  <c r="I375" i="2"/>
  <c r="G375" i="2"/>
  <c r="I431" i="2"/>
  <c r="G431" i="2"/>
  <c r="I407" i="2"/>
  <c r="I437" i="2"/>
  <c r="G437" i="2"/>
  <c r="I448" i="2"/>
  <c r="I222" i="2"/>
  <c r="I272" i="2"/>
  <c r="I331" i="2"/>
  <c r="G331" i="2"/>
  <c r="I355" i="2"/>
  <c r="G355" i="2"/>
  <c r="I379" i="2"/>
  <c r="G379" i="2"/>
  <c r="G816" i="2"/>
  <c r="I816" i="2"/>
  <c r="I242" i="2"/>
  <c r="I250" i="2"/>
  <c r="G251" i="2"/>
  <c r="I254" i="2"/>
  <c r="I280" i="2"/>
  <c r="G280" i="2"/>
  <c r="I289" i="2"/>
  <c r="G289" i="2"/>
  <c r="I292" i="2"/>
  <c r="G292" i="2"/>
  <c r="I297" i="2"/>
  <c r="G297" i="2"/>
  <c r="I304" i="2"/>
  <c r="G304" i="2"/>
  <c r="I306" i="2"/>
  <c r="G306" i="2"/>
  <c r="I322" i="2"/>
  <c r="G322" i="2"/>
  <c r="I324" i="2"/>
  <c r="G324" i="2"/>
  <c r="G407" i="2"/>
  <c r="G448" i="2"/>
  <c r="I500" i="2"/>
  <c r="G500" i="2"/>
  <c r="I598" i="2"/>
  <c r="G598" i="2"/>
  <c r="I293" i="2"/>
  <c r="I299" i="2"/>
  <c r="I305" i="2"/>
  <c r="I311" i="2"/>
  <c r="I317" i="2"/>
  <c r="I323" i="2"/>
  <c r="I424" i="2"/>
  <c r="G424" i="2"/>
  <c r="I495" i="2"/>
  <c r="G495" i="2"/>
  <c r="I527" i="2"/>
  <c r="G527" i="2"/>
  <c r="I690" i="2"/>
  <c r="G690" i="2"/>
  <c r="I258" i="2"/>
  <c r="I270" i="2"/>
  <c r="I282" i="2"/>
  <c r="I328" i="2"/>
  <c r="G328" i="2"/>
  <c r="I332" i="2"/>
  <c r="G332" i="2"/>
  <c r="I336" i="2"/>
  <c r="G336" i="2"/>
  <c r="I340" i="2"/>
  <c r="G340" i="2"/>
  <c r="I344" i="2"/>
  <c r="G344" i="2"/>
  <c r="I348" i="2"/>
  <c r="G348" i="2"/>
  <c r="I352" i="2"/>
  <c r="G352" i="2"/>
  <c r="I356" i="2"/>
  <c r="G356" i="2"/>
  <c r="I360" i="2"/>
  <c r="G360" i="2"/>
  <c r="I364" i="2"/>
  <c r="G364" i="2"/>
  <c r="I368" i="2"/>
  <c r="G368" i="2"/>
  <c r="I372" i="2"/>
  <c r="G372" i="2"/>
  <c r="I376" i="2"/>
  <c r="G376" i="2"/>
  <c r="I380" i="2"/>
  <c r="G380" i="2"/>
  <c r="I384" i="2"/>
  <c r="G384" i="2"/>
  <c r="I388" i="2"/>
  <c r="G388" i="2"/>
  <c r="I392" i="2"/>
  <c r="G392" i="2"/>
  <c r="I396" i="2"/>
  <c r="G396" i="2"/>
  <c r="I403" i="2"/>
  <c r="G403" i="2"/>
  <c r="I417" i="2"/>
  <c r="G417" i="2"/>
  <c r="I441" i="2"/>
  <c r="G441" i="2"/>
  <c r="I557" i="2"/>
  <c r="G557" i="2"/>
  <c r="I434" i="2"/>
  <c r="I453" i="2"/>
  <c r="G453" i="2"/>
  <c r="I459" i="2"/>
  <c r="G459" i="2"/>
  <c r="I465" i="2"/>
  <c r="G465" i="2"/>
  <c r="I471" i="2"/>
  <c r="G471" i="2"/>
  <c r="I482" i="2"/>
  <c r="G482" i="2"/>
  <c r="I494" i="2"/>
  <c r="I590" i="2"/>
  <c r="G590" i="2"/>
  <c r="I608" i="2"/>
  <c r="G608" i="2"/>
  <c r="G776" i="2"/>
  <c r="I776" i="2"/>
  <c r="I288" i="2"/>
  <c r="I479" i="2"/>
  <c r="G479" i="2"/>
  <c r="I485" i="2"/>
  <c r="G485" i="2"/>
  <c r="I491" i="2"/>
  <c r="G491" i="2"/>
  <c r="I548" i="2"/>
  <c r="G548" i="2"/>
  <c r="I264" i="2"/>
  <c r="I276" i="2"/>
  <c r="I296" i="2"/>
  <c r="G296" i="2"/>
  <c r="I302" i="2"/>
  <c r="G302" i="2"/>
  <c r="I308" i="2"/>
  <c r="G308" i="2"/>
  <c r="I314" i="2"/>
  <c r="G314" i="2"/>
  <c r="I320" i="2"/>
  <c r="G320" i="2"/>
  <c r="I326" i="2"/>
  <c r="G326" i="2"/>
  <c r="I330" i="2"/>
  <c r="G330" i="2"/>
  <c r="I334" i="2"/>
  <c r="G334" i="2"/>
  <c r="I338" i="2"/>
  <c r="G338" i="2"/>
  <c r="I342" i="2"/>
  <c r="G342" i="2"/>
  <c r="I346" i="2"/>
  <c r="G346" i="2"/>
  <c r="I350" i="2"/>
  <c r="G350" i="2"/>
  <c r="I354" i="2"/>
  <c r="G354" i="2"/>
  <c r="I358" i="2"/>
  <c r="G358" i="2"/>
  <c r="I362" i="2"/>
  <c r="G362" i="2"/>
  <c r="I366" i="2"/>
  <c r="G366" i="2"/>
  <c r="I370" i="2"/>
  <c r="G370" i="2"/>
  <c r="I374" i="2"/>
  <c r="G374" i="2"/>
  <c r="I378" i="2"/>
  <c r="G378" i="2"/>
  <c r="I382" i="2"/>
  <c r="G382" i="2"/>
  <c r="I386" i="2"/>
  <c r="G386" i="2"/>
  <c r="I390" i="2"/>
  <c r="G390" i="2"/>
  <c r="I394" i="2"/>
  <c r="G394" i="2"/>
  <c r="I398" i="2"/>
  <c r="G398" i="2"/>
  <c r="G414" i="2"/>
  <c r="G438" i="2"/>
  <c r="G494" i="2"/>
  <c r="I562" i="2"/>
  <c r="G562" i="2"/>
  <c r="I246" i="2"/>
  <c r="G288" i="2"/>
  <c r="I295" i="2"/>
  <c r="I301" i="2"/>
  <c r="I307" i="2"/>
  <c r="I313" i="2"/>
  <c r="I319" i="2"/>
  <c r="I325" i="2"/>
  <c r="I422" i="2"/>
  <c r="G422" i="2"/>
  <c r="G434" i="2"/>
  <c r="I446" i="2"/>
  <c r="G446" i="2"/>
  <c r="I552" i="2"/>
  <c r="G552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389" i="2"/>
  <c r="I393" i="2"/>
  <c r="I397" i="2"/>
  <c r="I401" i="2"/>
  <c r="G401" i="2"/>
  <c r="I484" i="2"/>
  <c r="I836" i="2"/>
  <c r="G836" i="2"/>
  <c r="I421" i="2"/>
  <c r="I445" i="2"/>
  <c r="I449" i="2"/>
  <c r="G449" i="2"/>
  <c r="I455" i="2"/>
  <c r="G455" i="2"/>
  <c r="I461" i="2"/>
  <c r="G461" i="2"/>
  <c r="I467" i="2"/>
  <c r="G467" i="2"/>
  <c r="I473" i="2"/>
  <c r="G473" i="2"/>
  <c r="I483" i="2"/>
  <c r="G483" i="2"/>
  <c r="I555" i="2"/>
  <c r="G555" i="2"/>
  <c r="I560" i="2"/>
  <c r="G560" i="2"/>
  <c r="I616" i="2"/>
  <c r="G616" i="2"/>
  <c r="I646" i="2"/>
  <c r="G646" i="2"/>
  <c r="G824" i="2"/>
  <c r="G964" i="2"/>
  <c r="I964" i="2"/>
  <c r="I411" i="2"/>
  <c r="I435" i="2"/>
  <c r="I511" i="2"/>
  <c r="G511" i="2"/>
  <c r="I567" i="2"/>
  <c r="G567" i="2"/>
  <c r="I626" i="2"/>
  <c r="G626" i="2"/>
  <c r="I980" i="2"/>
  <c r="G980" i="2"/>
  <c r="I415" i="2"/>
  <c r="G418" i="2"/>
  <c r="G421" i="2"/>
  <c r="I439" i="2"/>
  <c r="G442" i="2"/>
  <c r="G445" i="2"/>
  <c r="G450" i="2"/>
  <c r="G456" i="2"/>
  <c r="G462" i="2"/>
  <c r="G468" i="2"/>
  <c r="G474" i="2"/>
  <c r="I531" i="2"/>
  <c r="G531" i="2"/>
  <c r="I1088" i="2"/>
  <c r="G1088" i="2"/>
  <c r="I405" i="2"/>
  <c r="I418" i="2"/>
  <c r="I429" i="2"/>
  <c r="I442" i="2"/>
  <c r="I450" i="2"/>
  <c r="I451" i="2"/>
  <c r="G451" i="2"/>
  <c r="I456" i="2"/>
  <c r="I457" i="2"/>
  <c r="G457" i="2"/>
  <c r="I462" i="2"/>
  <c r="I463" i="2"/>
  <c r="G463" i="2"/>
  <c r="I468" i="2"/>
  <c r="I469" i="2"/>
  <c r="G469" i="2"/>
  <c r="I474" i="2"/>
  <c r="I475" i="2"/>
  <c r="G475" i="2"/>
  <c r="I487" i="2"/>
  <c r="G487" i="2"/>
  <c r="I505" i="2"/>
  <c r="G505" i="2"/>
  <c r="I545" i="2"/>
  <c r="G545" i="2"/>
  <c r="I620" i="2"/>
  <c r="G620" i="2"/>
  <c r="I688" i="2"/>
  <c r="I694" i="2"/>
  <c r="G694" i="2"/>
  <c r="I911" i="2"/>
  <c r="I419" i="2"/>
  <c r="I443" i="2"/>
  <c r="I519" i="2"/>
  <c r="G519" i="2"/>
  <c r="I529" i="2"/>
  <c r="G529" i="2"/>
  <c r="I550" i="2"/>
  <c r="G550" i="2"/>
  <c r="I660" i="2"/>
  <c r="I666" i="2"/>
  <c r="G666" i="2"/>
  <c r="I409" i="2"/>
  <c r="I433" i="2"/>
  <c r="G476" i="2"/>
  <c r="I477" i="2"/>
  <c r="G477" i="2"/>
  <c r="G488" i="2"/>
  <c r="I489" i="2"/>
  <c r="G489" i="2"/>
  <c r="I502" i="2"/>
  <c r="G1078" i="2"/>
  <c r="I1078" i="2"/>
  <c r="I399" i="2"/>
  <c r="G405" i="2"/>
  <c r="I423" i="2"/>
  <c r="G429" i="2"/>
  <c r="I447" i="2"/>
  <c r="G872" i="2"/>
  <c r="I872" i="2"/>
  <c r="I1046" i="2"/>
  <c r="G1046" i="2"/>
  <c r="I1042" i="2"/>
  <c r="G1042" i="2"/>
  <c r="I1333" i="2"/>
  <c r="G1333" i="2"/>
  <c r="I533" i="2"/>
  <c r="G533" i="2"/>
  <c r="I535" i="2"/>
  <c r="G535" i="2"/>
  <c r="I537" i="2"/>
  <c r="G537" i="2"/>
  <c r="I539" i="2"/>
  <c r="G539" i="2"/>
  <c r="I541" i="2"/>
  <c r="G541" i="2"/>
  <c r="I543" i="2"/>
  <c r="G543" i="2"/>
  <c r="I606" i="2"/>
  <c r="G606" i="2"/>
  <c r="I640" i="2"/>
  <c r="G640" i="2"/>
  <c r="I670" i="2"/>
  <c r="G670" i="2"/>
  <c r="I858" i="2"/>
  <c r="G858" i="2"/>
  <c r="I521" i="2"/>
  <c r="G521" i="2"/>
  <c r="I680" i="2"/>
  <c r="G680" i="2"/>
  <c r="I730" i="2"/>
  <c r="G730" i="2"/>
  <c r="I1024" i="2"/>
  <c r="G1024" i="2"/>
  <c r="G878" i="2"/>
  <c r="I878" i="2"/>
  <c r="I523" i="2"/>
  <c r="G523" i="2"/>
  <c r="I582" i="2"/>
  <c r="G582" i="2"/>
  <c r="I614" i="2"/>
  <c r="G614" i="2"/>
  <c r="I630" i="2"/>
  <c r="G630" i="2"/>
  <c r="G808" i="2"/>
  <c r="G882" i="2"/>
  <c r="I882" i="2"/>
  <c r="G908" i="2"/>
  <c r="G940" i="2"/>
  <c r="I974" i="2"/>
  <c r="G974" i="2"/>
  <c r="I1038" i="2"/>
  <c r="G1038" i="2"/>
  <c r="I574" i="2"/>
  <c r="G574" i="2"/>
  <c r="I684" i="2"/>
  <c r="I742" i="2"/>
  <c r="G742" i="2"/>
  <c r="I525" i="2"/>
  <c r="G525" i="2"/>
  <c r="I569" i="2"/>
  <c r="G569" i="2"/>
  <c r="I572" i="2"/>
  <c r="G572" i="2"/>
  <c r="I656" i="2"/>
  <c r="G656" i="2"/>
  <c r="I744" i="2"/>
  <c r="G892" i="2"/>
  <c r="I1008" i="2"/>
  <c r="G1008" i="2"/>
  <c r="I1062" i="2"/>
  <c r="G1062" i="2"/>
  <c r="G752" i="2"/>
  <c r="G784" i="2"/>
  <c r="G846" i="2"/>
  <c r="I860" i="2"/>
  <c r="I896" i="2"/>
  <c r="G896" i="2"/>
  <c r="I926" i="2"/>
  <c r="G926" i="2"/>
  <c r="I932" i="2"/>
  <c r="G932" i="2"/>
  <c r="G986" i="2"/>
  <c r="I1225" i="2"/>
  <c r="G1225" i="2"/>
  <c r="G870" i="2"/>
  <c r="I870" i="2"/>
  <c r="G888" i="2"/>
  <c r="I888" i="2"/>
  <c r="G792" i="2"/>
  <c r="I893" i="2"/>
  <c r="G893" i="2"/>
  <c r="G916" i="2"/>
  <c r="I986" i="2"/>
  <c r="G1002" i="2"/>
  <c r="G580" i="2"/>
  <c r="G588" i="2"/>
  <c r="G596" i="2"/>
  <c r="G604" i="2"/>
  <c r="G612" i="2"/>
  <c r="G634" i="2"/>
  <c r="G652" i="2"/>
  <c r="G676" i="2"/>
  <c r="I735" i="2"/>
  <c r="G737" i="2"/>
  <c r="I752" i="2"/>
  <c r="G760" i="2"/>
  <c r="I784" i="2"/>
  <c r="I846" i="2"/>
  <c r="G850" i="2"/>
  <c r="G860" i="2"/>
  <c r="G884" i="2"/>
  <c r="I884" i="2"/>
  <c r="I890" i="2"/>
  <c r="I1201" i="2"/>
  <c r="G1201" i="2"/>
  <c r="I1471" i="2"/>
  <c r="G1471" i="2"/>
  <c r="G800" i="2"/>
  <c r="I830" i="2"/>
  <c r="G830" i="2"/>
  <c r="I916" i="2"/>
  <c r="I950" i="2"/>
  <c r="G950" i="2"/>
  <c r="I956" i="2"/>
  <c r="G956" i="2"/>
  <c r="I1002" i="2"/>
  <c r="G1071" i="2"/>
  <c r="I1071" i="2"/>
  <c r="I553" i="2"/>
  <c r="I565" i="2"/>
  <c r="I732" i="2"/>
  <c r="I792" i="2"/>
  <c r="I834" i="2"/>
  <c r="G834" i="2"/>
  <c r="I850" i="2"/>
  <c r="I854" i="2"/>
  <c r="G854" i="2"/>
  <c r="G876" i="2"/>
  <c r="I876" i="2"/>
  <c r="I895" i="2"/>
  <c r="G895" i="2"/>
  <c r="G1020" i="2"/>
  <c r="I909" i="2"/>
  <c r="G909" i="2"/>
  <c r="I906" i="2"/>
  <c r="I840" i="2"/>
  <c r="I864" i="2"/>
  <c r="I914" i="2"/>
  <c r="G914" i="2"/>
  <c r="I938" i="2"/>
  <c r="G938" i="2"/>
  <c r="I962" i="2"/>
  <c r="G962" i="2"/>
  <c r="I1022" i="2"/>
  <c r="I1044" i="2"/>
  <c r="I1064" i="2"/>
  <c r="I1542" i="2"/>
  <c r="G1542" i="2"/>
  <c r="G790" i="2"/>
  <c r="G798" i="2"/>
  <c r="G874" i="2"/>
  <c r="G880" i="2"/>
  <c r="G886" i="2"/>
  <c r="I904" i="2"/>
  <c r="G904" i="2"/>
  <c r="G906" i="2"/>
  <c r="G922" i="2"/>
  <c r="I1014" i="2"/>
  <c r="I1072" i="2"/>
  <c r="G1072" i="2"/>
  <c r="I1119" i="2"/>
  <c r="G1119" i="2"/>
  <c r="I1187" i="2"/>
  <c r="G1187" i="2"/>
  <c r="I1269" i="2"/>
  <c r="G1269" i="2"/>
  <c r="I901" i="2"/>
  <c r="G901" i="2"/>
  <c r="I1040" i="2"/>
  <c r="G1040" i="2"/>
  <c r="I1093" i="2"/>
  <c r="G1093" i="2"/>
  <c r="G726" i="2"/>
  <c r="G731" i="2"/>
  <c r="G738" i="2"/>
  <c r="G743" i="2"/>
  <c r="I920" i="2"/>
  <c r="G920" i="2"/>
  <c r="I944" i="2"/>
  <c r="G944" i="2"/>
  <c r="I968" i="2"/>
  <c r="G968" i="2"/>
  <c r="G1091" i="2"/>
  <c r="I1117" i="2"/>
  <c r="G1117" i="2"/>
  <c r="I1177" i="2"/>
  <c r="G1177" i="2"/>
  <c r="I726" i="2"/>
  <c r="I738" i="2"/>
  <c r="G748" i="2"/>
  <c r="G756" i="2"/>
  <c r="G764" i="2"/>
  <c r="G772" i="2"/>
  <c r="G780" i="2"/>
  <c r="G788" i="2"/>
  <c r="G796" i="2"/>
  <c r="G804" i="2"/>
  <c r="G812" i="2"/>
  <c r="G820" i="2"/>
  <c r="G828" i="2"/>
  <c r="G838" i="2"/>
  <c r="I848" i="2"/>
  <c r="G862" i="2"/>
  <c r="I874" i="2"/>
  <c r="I880" i="2"/>
  <c r="I886" i="2"/>
  <c r="I898" i="2"/>
  <c r="G1014" i="2"/>
  <c r="I1036" i="2"/>
  <c r="G1036" i="2"/>
  <c r="I1060" i="2"/>
  <c r="G1060" i="2"/>
  <c r="I1076" i="2"/>
  <c r="G1076" i="2"/>
  <c r="I1080" i="2"/>
  <c r="G1080" i="2"/>
  <c r="I1090" i="2"/>
  <c r="G1090" i="2"/>
  <c r="G1095" i="2"/>
  <c r="I1095" i="2"/>
  <c r="I1265" i="2"/>
  <c r="G1265" i="2"/>
  <c r="G1087" i="2"/>
  <c r="I1087" i="2"/>
  <c r="I1111" i="2"/>
  <c r="I1423" i="2"/>
  <c r="G1423" i="2"/>
  <c r="G912" i="2"/>
  <c r="G984" i="2"/>
  <c r="G988" i="2"/>
  <c r="G992" i="2"/>
  <c r="G996" i="2"/>
  <c r="G1000" i="2"/>
  <c r="G1004" i="2"/>
  <c r="G1010" i="2"/>
  <c r="G1016" i="2"/>
  <c r="G1026" i="2"/>
  <c r="G1034" i="2"/>
  <c r="G1058" i="2"/>
  <c r="G1069" i="2"/>
  <c r="I1069" i="2"/>
  <c r="G1075" i="2"/>
  <c r="I1461" i="2"/>
  <c r="G1461" i="2"/>
  <c r="I912" i="2"/>
  <c r="I984" i="2"/>
  <c r="I988" i="2"/>
  <c r="I992" i="2"/>
  <c r="I996" i="2"/>
  <c r="I1000" i="2"/>
  <c r="I1004" i="2"/>
  <c r="I1010" i="2"/>
  <c r="I1016" i="2"/>
  <c r="I1026" i="2"/>
  <c r="G1032" i="2"/>
  <c r="I1034" i="2"/>
  <c r="G1056" i="2"/>
  <c r="I1058" i="2"/>
  <c r="I1092" i="2"/>
  <c r="G1111" i="2"/>
  <c r="G891" i="2"/>
  <c r="G899" i="2"/>
  <c r="G907" i="2"/>
  <c r="G915" i="2"/>
  <c r="I1075" i="2"/>
  <c r="G1089" i="2"/>
  <c r="I1089" i="2"/>
  <c r="I1123" i="2"/>
  <c r="I1203" i="2"/>
  <c r="G1203" i="2"/>
  <c r="I1131" i="2"/>
  <c r="I1133" i="2"/>
  <c r="G1133" i="2"/>
  <c r="I1179" i="2"/>
  <c r="G1179" i="2"/>
  <c r="I1193" i="2"/>
  <c r="G1193" i="2"/>
  <c r="I1459" i="2"/>
  <c r="G1459" i="2"/>
  <c r="G1115" i="2"/>
  <c r="I1171" i="2"/>
  <c r="G1171" i="2"/>
  <c r="I1281" i="2"/>
  <c r="G1281" i="2"/>
  <c r="I1493" i="2"/>
  <c r="G1493" i="2"/>
  <c r="I1081" i="2"/>
  <c r="G1082" i="2"/>
  <c r="I1085" i="2"/>
  <c r="G1086" i="2"/>
  <c r="G1103" i="2"/>
  <c r="I1125" i="2"/>
  <c r="G1125" i="2"/>
  <c r="G1063" i="2"/>
  <c r="G1065" i="2"/>
  <c r="I1067" i="2"/>
  <c r="I1082" i="2"/>
  <c r="I1083" i="2"/>
  <c r="G1084" i="2"/>
  <c r="I1086" i="2"/>
  <c r="I1161" i="2"/>
  <c r="G1161" i="2"/>
  <c r="I1249" i="2"/>
  <c r="G1249" i="2"/>
  <c r="I1084" i="2"/>
  <c r="G1105" i="2"/>
  <c r="I1115" i="2"/>
  <c r="I1275" i="2"/>
  <c r="G1275" i="2"/>
  <c r="I1473" i="2"/>
  <c r="G1473" i="2"/>
  <c r="I1530" i="2"/>
  <c r="G1530" i="2"/>
  <c r="I1163" i="2"/>
  <c r="G1163" i="2"/>
  <c r="I1185" i="2"/>
  <c r="G1185" i="2"/>
  <c r="I1211" i="2"/>
  <c r="G1211" i="2"/>
  <c r="I1221" i="2"/>
  <c r="G1221" i="2"/>
  <c r="I1309" i="2"/>
  <c r="G1309" i="2"/>
  <c r="I1312" i="2"/>
  <c r="G1312" i="2"/>
  <c r="I1611" i="2"/>
  <c r="G1611" i="2"/>
  <c r="I1137" i="2"/>
  <c r="G1137" i="2"/>
  <c r="I1149" i="2"/>
  <c r="G1149" i="2"/>
  <c r="I1217" i="2"/>
  <c r="G1217" i="2"/>
  <c r="I1243" i="2"/>
  <c r="G1243" i="2"/>
  <c r="G1292" i="2"/>
  <c r="I1305" i="2"/>
  <c r="G1305" i="2"/>
  <c r="I1391" i="2"/>
  <c r="G1391" i="2"/>
  <c r="I1145" i="2"/>
  <c r="G1145" i="2"/>
  <c r="I1157" i="2"/>
  <c r="G1157" i="2"/>
  <c r="I1227" i="2"/>
  <c r="G1227" i="2"/>
  <c r="I1273" i="2"/>
  <c r="G1273" i="2"/>
  <c r="I1235" i="2"/>
  <c r="G1235" i="2"/>
  <c r="I1245" i="2"/>
  <c r="G1245" i="2"/>
  <c r="I1267" i="2"/>
  <c r="G1267" i="2"/>
  <c r="I1306" i="2"/>
  <c r="G1109" i="2"/>
  <c r="I1219" i="2"/>
  <c r="G1219" i="2"/>
  <c r="I1241" i="2"/>
  <c r="G1241" i="2"/>
  <c r="I1293" i="2"/>
  <c r="G1293" i="2"/>
  <c r="I1455" i="2"/>
  <c r="G1455" i="2"/>
  <c r="G1101" i="2"/>
  <c r="I1109" i="2"/>
  <c r="G1113" i="2"/>
  <c r="I1127" i="2"/>
  <c r="I1169" i="2"/>
  <c r="G1169" i="2"/>
  <c r="I1195" i="2"/>
  <c r="G1195" i="2"/>
  <c r="I1251" i="2"/>
  <c r="G1251" i="2"/>
  <c r="G1280" i="2"/>
  <c r="G1306" i="2"/>
  <c r="I1536" i="2"/>
  <c r="G1536" i="2"/>
  <c r="I1101" i="2"/>
  <c r="I1113" i="2"/>
  <c r="I1141" i="2"/>
  <c r="G1141" i="2"/>
  <c r="I1153" i="2"/>
  <c r="G1153" i="2"/>
  <c r="I1443" i="2"/>
  <c r="G1443" i="2"/>
  <c r="I1223" i="2"/>
  <c r="G1223" i="2"/>
  <c r="I1247" i="2"/>
  <c r="G1247" i="2"/>
  <c r="I1271" i="2"/>
  <c r="G1271" i="2"/>
  <c r="I1278" i="2"/>
  <c r="G1278" i="2"/>
  <c r="I1290" i="2"/>
  <c r="G1290" i="2"/>
  <c r="I1302" i="2"/>
  <c r="G1302" i="2"/>
  <c r="I1335" i="2"/>
  <c r="G1335" i="2"/>
  <c r="I1431" i="2"/>
  <c r="G1431" i="2"/>
  <c r="I1205" i="2"/>
  <c r="G1205" i="2"/>
  <c r="I1229" i="2"/>
  <c r="G1229" i="2"/>
  <c r="I1253" i="2"/>
  <c r="G1253" i="2"/>
  <c r="G1277" i="2"/>
  <c r="I1287" i="2"/>
  <c r="G1287" i="2"/>
  <c r="G1289" i="2"/>
  <c r="I1299" i="2"/>
  <c r="G1299" i="2"/>
  <c r="G1301" i="2"/>
  <c r="I1433" i="2"/>
  <c r="G1433" i="2"/>
  <c r="I1495" i="2"/>
  <c r="G1495" i="2"/>
  <c r="I1165" i="2"/>
  <c r="G1165" i="2"/>
  <c r="I1173" i="2"/>
  <c r="G1173" i="2"/>
  <c r="I1181" i="2"/>
  <c r="G1181" i="2"/>
  <c r="I1189" i="2"/>
  <c r="G1189" i="2"/>
  <c r="I1197" i="2"/>
  <c r="G1197" i="2"/>
  <c r="I1207" i="2"/>
  <c r="G1207" i="2"/>
  <c r="I1231" i="2"/>
  <c r="G1231" i="2"/>
  <c r="I1255" i="2"/>
  <c r="G1255" i="2"/>
  <c r="I1277" i="2"/>
  <c r="I1289" i="2"/>
  <c r="I1301" i="2"/>
  <c r="I1359" i="2"/>
  <c r="G1359" i="2"/>
  <c r="I1397" i="2"/>
  <c r="I1413" i="2"/>
  <c r="G1413" i="2"/>
  <c r="I1445" i="2"/>
  <c r="G1445" i="2"/>
  <c r="I1481" i="2"/>
  <c r="G1481" i="2"/>
  <c r="I1522" i="2"/>
  <c r="G1522" i="2"/>
  <c r="G1675" i="2"/>
  <c r="I1675" i="2"/>
  <c r="I1209" i="2"/>
  <c r="G1209" i="2"/>
  <c r="I1233" i="2"/>
  <c r="G1233" i="2"/>
  <c r="I1257" i="2"/>
  <c r="G1257" i="2"/>
  <c r="I1341" i="2"/>
  <c r="G1341" i="2"/>
  <c r="I1365" i="2"/>
  <c r="G1365" i="2"/>
  <c r="I1405" i="2"/>
  <c r="I1259" i="2"/>
  <c r="G1259" i="2"/>
  <c r="I1284" i="2"/>
  <c r="G1284" i="2"/>
  <c r="I1296" i="2"/>
  <c r="G1296" i="2"/>
  <c r="I1501" i="2"/>
  <c r="G1501" i="2"/>
  <c r="I1135" i="2"/>
  <c r="I1139" i="2"/>
  <c r="I1143" i="2"/>
  <c r="I1147" i="2"/>
  <c r="I1151" i="2"/>
  <c r="I1155" i="2"/>
  <c r="I1159" i="2"/>
  <c r="G1159" i="2"/>
  <c r="I1167" i="2"/>
  <c r="G1167" i="2"/>
  <c r="I1175" i="2"/>
  <c r="G1175" i="2"/>
  <c r="I1183" i="2"/>
  <c r="G1183" i="2"/>
  <c r="I1191" i="2"/>
  <c r="G1191" i="2"/>
  <c r="I1199" i="2"/>
  <c r="G1199" i="2"/>
  <c r="I1213" i="2"/>
  <c r="G1213" i="2"/>
  <c r="I1237" i="2"/>
  <c r="G1237" i="2"/>
  <c r="I1261" i="2"/>
  <c r="G1261" i="2"/>
  <c r="I1286" i="2"/>
  <c r="I1298" i="2"/>
  <c r="I1349" i="2"/>
  <c r="I1375" i="2"/>
  <c r="G1375" i="2"/>
  <c r="I1399" i="2"/>
  <c r="G1399" i="2"/>
  <c r="G1405" i="2"/>
  <c r="I1483" i="2"/>
  <c r="G1483" i="2"/>
  <c r="I1485" i="2"/>
  <c r="G1485" i="2"/>
  <c r="I1215" i="2"/>
  <c r="G1215" i="2"/>
  <c r="I1239" i="2"/>
  <c r="G1239" i="2"/>
  <c r="I1263" i="2"/>
  <c r="G1263" i="2"/>
  <c r="I1307" i="2"/>
  <c r="G1307" i="2"/>
  <c r="I1383" i="2"/>
  <c r="G1383" i="2"/>
  <c r="I1421" i="2"/>
  <c r="G1421" i="2"/>
  <c r="I1311" i="2"/>
  <c r="I1351" i="2"/>
  <c r="G1351" i="2"/>
  <c r="I1373" i="2"/>
  <c r="I1467" i="2"/>
  <c r="G1467" i="2"/>
  <c r="I1497" i="2"/>
  <c r="G1497" i="2"/>
  <c r="I1525" i="2"/>
  <c r="G1525" i="2"/>
  <c r="I1573" i="2"/>
  <c r="G1573" i="2"/>
  <c r="I1407" i="2"/>
  <c r="G1407" i="2"/>
  <c r="I1419" i="2"/>
  <c r="G1419" i="2"/>
  <c r="I1435" i="2"/>
  <c r="G1435" i="2"/>
  <c r="I1457" i="2"/>
  <c r="G1457" i="2"/>
  <c r="G1316" i="2"/>
  <c r="I1357" i="2"/>
  <c r="G1373" i="2"/>
  <c r="I1381" i="2"/>
  <c r="I1415" i="2"/>
  <c r="I1437" i="2"/>
  <c r="G1437" i="2"/>
  <c r="I1479" i="2"/>
  <c r="G1479" i="2"/>
  <c r="I1521" i="2"/>
  <c r="G1521" i="2"/>
  <c r="G1725" i="2"/>
  <c r="I1725" i="2"/>
  <c r="I1303" i="2"/>
  <c r="I1315" i="2"/>
  <c r="I1319" i="2"/>
  <c r="G1319" i="2"/>
  <c r="I1323" i="2"/>
  <c r="G1323" i="2"/>
  <c r="I1327" i="2"/>
  <c r="G1327" i="2"/>
  <c r="I1367" i="2"/>
  <c r="G1367" i="2"/>
  <c r="I1447" i="2"/>
  <c r="G1447" i="2"/>
  <c r="I1469" i="2"/>
  <c r="G1469" i="2"/>
  <c r="I1502" i="2"/>
  <c r="G1502" i="2"/>
  <c r="I1343" i="2"/>
  <c r="G1343" i="2"/>
  <c r="G1357" i="2"/>
  <c r="G1381" i="2"/>
  <c r="I1389" i="2"/>
  <c r="G1415" i="2"/>
  <c r="I1449" i="2"/>
  <c r="G1449" i="2"/>
  <c r="I1491" i="2"/>
  <c r="G1491" i="2"/>
  <c r="I1417" i="2"/>
  <c r="I1425" i="2"/>
  <c r="I1538" i="2"/>
  <c r="G1538" i="2"/>
  <c r="I1329" i="2"/>
  <c r="I1337" i="2"/>
  <c r="I1345" i="2"/>
  <c r="I1353" i="2"/>
  <c r="I1361" i="2"/>
  <c r="I1369" i="2"/>
  <c r="I1377" i="2"/>
  <c r="I1385" i="2"/>
  <c r="I1393" i="2"/>
  <c r="I1401" i="2"/>
  <c r="I1409" i="2"/>
  <c r="I1427" i="2"/>
  <c r="I1429" i="2"/>
  <c r="G1429" i="2"/>
  <c r="I1441" i="2"/>
  <c r="G1441" i="2"/>
  <c r="I1453" i="2"/>
  <c r="G1453" i="2"/>
  <c r="I1465" i="2"/>
  <c r="G1465" i="2"/>
  <c r="I1477" i="2"/>
  <c r="G1477" i="2"/>
  <c r="I1489" i="2"/>
  <c r="G1489" i="2"/>
  <c r="I1499" i="2"/>
  <c r="I1596" i="2"/>
  <c r="G1596" i="2"/>
  <c r="I1313" i="2"/>
  <c r="I1519" i="2"/>
  <c r="G1519" i="2"/>
  <c r="G1741" i="2"/>
  <c r="I1741" i="2"/>
  <c r="I1439" i="2"/>
  <c r="G1439" i="2"/>
  <c r="I1451" i="2"/>
  <c r="G1451" i="2"/>
  <c r="I1463" i="2"/>
  <c r="G1463" i="2"/>
  <c r="I1475" i="2"/>
  <c r="G1475" i="2"/>
  <c r="I1487" i="2"/>
  <c r="G1487" i="2"/>
  <c r="I1516" i="2"/>
  <c r="G1516" i="2"/>
  <c r="I1526" i="2"/>
  <c r="G1526" i="2"/>
  <c r="G1717" i="2"/>
  <c r="I1717" i="2"/>
  <c r="I1317" i="2"/>
  <c r="I1321" i="2"/>
  <c r="I1325" i="2"/>
  <c r="G1329" i="2"/>
  <c r="I1331" i="2"/>
  <c r="G1337" i="2"/>
  <c r="I1339" i="2"/>
  <c r="G1345" i="2"/>
  <c r="I1347" i="2"/>
  <c r="G1353" i="2"/>
  <c r="I1355" i="2"/>
  <c r="G1361" i="2"/>
  <c r="I1363" i="2"/>
  <c r="G1369" i="2"/>
  <c r="I1371" i="2"/>
  <c r="G1377" i="2"/>
  <c r="I1379" i="2"/>
  <c r="G1385" i="2"/>
  <c r="I1387" i="2"/>
  <c r="G1393" i="2"/>
  <c r="I1395" i="2"/>
  <c r="G1401" i="2"/>
  <c r="I1403" i="2"/>
  <c r="G1409" i="2"/>
  <c r="I1411" i="2"/>
  <c r="G1427" i="2"/>
  <c r="G1499" i="2"/>
  <c r="I1503" i="2"/>
  <c r="G1503" i="2"/>
  <c r="I1507" i="2"/>
  <c r="G1507" i="2"/>
  <c r="I1562" i="2"/>
  <c r="G1562" i="2"/>
  <c r="I1577" i="2"/>
  <c r="I1520" i="2"/>
  <c r="G1520" i="2"/>
  <c r="I1556" i="2"/>
  <c r="G1709" i="2"/>
  <c r="I1709" i="2"/>
  <c r="I1524" i="2"/>
  <c r="G1524" i="2"/>
  <c r="I1578" i="2"/>
  <c r="G1578" i="2"/>
  <c r="G1508" i="2"/>
  <c r="G1517" i="2"/>
  <c r="I1534" i="2"/>
  <c r="G1701" i="2"/>
  <c r="I1701" i="2"/>
  <c r="I1508" i="2"/>
  <c r="G1556" i="2"/>
  <c r="I1574" i="2"/>
  <c r="G1574" i="2"/>
  <c r="G1631" i="2"/>
  <c r="I1631" i="2"/>
  <c r="G1500" i="2"/>
  <c r="G1504" i="2"/>
  <c r="G1509" i="2"/>
  <c r="I1517" i="2"/>
  <c r="G1523" i="2"/>
  <c r="G1534" i="2"/>
  <c r="I1554" i="2"/>
  <c r="I1560" i="2"/>
  <c r="I1566" i="2"/>
  <c r="G1633" i="2"/>
  <c r="G1655" i="2"/>
  <c r="I1655" i="2"/>
  <c r="G1677" i="2"/>
  <c r="I1677" i="2"/>
  <c r="I1514" i="2"/>
  <c r="I1528" i="2"/>
  <c r="I1532" i="2"/>
  <c r="I1540" i="2"/>
  <c r="I1570" i="2"/>
  <c r="G1570" i="2"/>
  <c r="I1518" i="2"/>
  <c r="I1544" i="2"/>
  <c r="I1552" i="2"/>
  <c r="I1558" i="2"/>
  <c r="I1564" i="2"/>
  <c r="I1569" i="2"/>
  <c r="I1595" i="2"/>
  <c r="G1595" i="2"/>
  <c r="G1687" i="2"/>
  <c r="I1687" i="2"/>
  <c r="G1512" i="2"/>
  <c r="G1514" i="2"/>
  <c r="I1546" i="2"/>
  <c r="G1607" i="2"/>
  <c r="I1607" i="2"/>
  <c r="I1775" i="2"/>
  <c r="G1775" i="2"/>
  <c r="I1548" i="2"/>
  <c r="I1550" i="2"/>
  <c r="G1544" i="2"/>
  <c r="G1552" i="2"/>
  <c r="G1558" i="2"/>
  <c r="G1639" i="2"/>
  <c r="I1639" i="2"/>
  <c r="G1693" i="2"/>
  <c r="I1693" i="2"/>
  <c r="I1594" i="2"/>
  <c r="G1594" i="2"/>
  <c r="I1600" i="2"/>
  <c r="G1600" i="2"/>
  <c r="G1637" i="2"/>
  <c r="G1657" i="2"/>
  <c r="G1679" i="2"/>
  <c r="I1679" i="2"/>
  <c r="G1735" i="2"/>
  <c r="I1735" i="2"/>
  <c r="I1593" i="2"/>
  <c r="I1599" i="2"/>
  <c r="I1617" i="2"/>
  <c r="G1617" i="2"/>
  <c r="G1643" i="2"/>
  <c r="G1579" i="2"/>
  <c r="I1581" i="2"/>
  <c r="I1592" i="2"/>
  <c r="G1592" i="2"/>
  <c r="I1637" i="2"/>
  <c r="I1657" i="2"/>
  <c r="I1731" i="2"/>
  <c r="G1731" i="2"/>
  <c r="I1567" i="2"/>
  <c r="G1580" i="2"/>
  <c r="I1583" i="2"/>
  <c r="I1591" i="2"/>
  <c r="G1635" i="2"/>
  <c r="G1647" i="2"/>
  <c r="I1766" i="2"/>
  <c r="G1766" i="2"/>
  <c r="G1571" i="2"/>
  <c r="G1575" i="2"/>
  <c r="G1582" i="2"/>
  <c r="I1585" i="2"/>
  <c r="I1590" i="2"/>
  <c r="G1590" i="2"/>
  <c r="G1593" i="2"/>
  <c r="I1598" i="2"/>
  <c r="G1598" i="2"/>
  <c r="G1599" i="2"/>
  <c r="I1643" i="2"/>
  <c r="G1663" i="2"/>
  <c r="I1663" i="2"/>
  <c r="I1785" i="2"/>
  <c r="G1785" i="2"/>
  <c r="I1587" i="2"/>
  <c r="I1589" i="2"/>
  <c r="I1597" i="2"/>
  <c r="I1625" i="2"/>
  <c r="G1625" i="2"/>
  <c r="G1641" i="2"/>
  <c r="G1651" i="2"/>
  <c r="G1681" i="2"/>
  <c r="I1740" i="2"/>
  <c r="G1740" i="2"/>
  <c r="G1659" i="2"/>
  <c r="G1683" i="2"/>
  <c r="G1691" i="2"/>
  <c r="G1753" i="2"/>
  <c r="G1661" i="2"/>
  <c r="G1685" i="2"/>
  <c r="G1689" i="2"/>
  <c r="G1699" i="2"/>
  <c r="G1707" i="2"/>
  <c r="G1715" i="2"/>
  <c r="G1723" i="2"/>
  <c r="G1737" i="2"/>
  <c r="I1737" i="2"/>
  <c r="G1665" i="2"/>
  <c r="I1691" i="2"/>
  <c r="I1750" i="2"/>
  <c r="G1750" i="2"/>
  <c r="I1760" i="2"/>
  <c r="G1760" i="2"/>
  <c r="I1661" i="2"/>
  <c r="G1667" i="2"/>
  <c r="I1685" i="2"/>
  <c r="I1689" i="2"/>
  <c r="G1697" i="2"/>
  <c r="I1699" i="2"/>
  <c r="G1705" i="2"/>
  <c r="I1707" i="2"/>
  <c r="G1713" i="2"/>
  <c r="I1715" i="2"/>
  <c r="G1721" i="2"/>
  <c r="I1723" i="2"/>
  <c r="G1729" i="2"/>
  <c r="I1613" i="2"/>
  <c r="G1669" i="2"/>
  <c r="I1765" i="2"/>
  <c r="G1765" i="2"/>
  <c r="I1974" i="2"/>
  <c r="G1974" i="2"/>
  <c r="G1621" i="2"/>
  <c r="G1629" i="2"/>
  <c r="I1665" i="2"/>
  <c r="G1671" i="2"/>
  <c r="I1736" i="2"/>
  <c r="G1736" i="2"/>
  <c r="I1752" i="2"/>
  <c r="G1752" i="2"/>
  <c r="G1645" i="2"/>
  <c r="G1649" i="2"/>
  <c r="G1653" i="2"/>
  <c r="G1673" i="2"/>
  <c r="G1695" i="2"/>
  <c r="G1703" i="2"/>
  <c r="G1711" i="2"/>
  <c r="G1719" i="2"/>
  <c r="G1727" i="2"/>
  <c r="I1762" i="2"/>
  <c r="G1762" i="2"/>
  <c r="I1738" i="2"/>
  <c r="G1738" i="2"/>
  <c r="I1769" i="2"/>
  <c r="G1769" i="2"/>
  <c r="I1840" i="2"/>
  <c r="G1840" i="2"/>
  <c r="I1916" i="2"/>
  <c r="G1916" i="2"/>
  <c r="G1759" i="2"/>
  <c r="J85" i="3"/>
  <c r="O1894" i="2" s="1"/>
  <c r="G1732" i="2"/>
  <c r="I1742" i="2"/>
  <c r="G1742" i="2"/>
  <c r="I1783" i="2"/>
  <c r="G1783" i="2"/>
  <c r="I1744" i="2"/>
  <c r="G1744" i="2"/>
  <c r="I1758" i="2"/>
  <c r="G1758" i="2"/>
  <c r="G1836" i="2"/>
  <c r="I1836" i="2"/>
  <c r="I1852" i="2"/>
  <c r="G1852" i="2"/>
  <c r="G1730" i="2"/>
  <c r="I1746" i="2"/>
  <c r="G1746" i="2"/>
  <c r="I1759" i="2"/>
  <c r="I1829" i="2"/>
  <c r="G1829" i="2"/>
  <c r="I1734" i="2"/>
  <c r="G1734" i="2"/>
  <c r="I1748" i="2"/>
  <c r="G1748" i="2"/>
  <c r="I1756" i="2"/>
  <c r="G1756" i="2"/>
  <c r="I1771" i="2"/>
  <c r="G1771" i="2"/>
  <c r="G1850" i="2"/>
  <c r="I1850" i="2"/>
  <c r="I1789" i="2"/>
  <c r="G1789" i="2"/>
  <c r="I1799" i="2"/>
  <c r="G1799" i="2"/>
  <c r="I1842" i="2"/>
  <c r="I1921" i="2"/>
  <c r="G1921" i="2"/>
  <c r="I1949" i="2"/>
  <c r="G1949" i="2"/>
  <c r="I1864" i="2"/>
  <c r="G1864" i="2"/>
  <c r="G1866" i="2"/>
  <c r="I1754" i="2"/>
  <c r="G1754" i="2"/>
  <c r="I1883" i="2"/>
  <c r="G1883" i="2"/>
  <c r="G1763" i="2"/>
  <c r="I1763" i="2"/>
  <c r="I1872" i="2"/>
  <c r="G1872" i="2"/>
  <c r="I1970" i="2"/>
  <c r="G1970" i="2"/>
  <c r="I1824" i="2"/>
  <c r="G1824" i="2"/>
  <c r="I1898" i="2"/>
  <c r="G1898" i="2"/>
  <c r="I1779" i="2"/>
  <c r="G1779" i="2"/>
  <c r="I1781" i="2"/>
  <c r="G1781" i="2"/>
  <c r="I1803" i="2"/>
  <c r="G1803" i="2"/>
  <c r="I1843" i="2"/>
  <c r="G1843" i="2"/>
  <c r="I1793" i="2"/>
  <c r="G1793" i="2"/>
  <c r="G1826" i="2"/>
  <c r="I1826" i="2"/>
  <c r="I1923" i="2"/>
  <c r="G1923" i="2"/>
  <c r="I1944" i="2"/>
  <c r="G1944" i="2"/>
  <c r="I1835" i="2"/>
  <c r="G1835" i="2"/>
  <c r="I1848" i="2"/>
  <c r="G1848" i="2"/>
  <c r="J82" i="3"/>
  <c r="I1841" i="2"/>
  <c r="G1841" i="2"/>
  <c r="I1878" i="2"/>
  <c r="G1878" i="2"/>
  <c r="I1886" i="2"/>
  <c r="G1886" i="2"/>
  <c r="I1922" i="2"/>
  <c r="G1922" i="2"/>
  <c r="I2110" i="2"/>
  <c r="G2110" i="2"/>
  <c r="I1795" i="2"/>
  <c r="G1795" i="2"/>
  <c r="I1823" i="2"/>
  <c r="G1823" i="2"/>
  <c r="I1825" i="2"/>
  <c r="G1825" i="2"/>
  <c r="I1833" i="2"/>
  <c r="G1833" i="2"/>
  <c r="I1846" i="2"/>
  <c r="I1915" i="2"/>
  <c r="G1915" i="2"/>
  <c r="I1934" i="2"/>
  <c r="G1934" i="2"/>
  <c r="I1805" i="2"/>
  <c r="G1805" i="2"/>
  <c r="I1821" i="2"/>
  <c r="G1821" i="2"/>
  <c r="I1839" i="2"/>
  <c r="G1839" i="2"/>
  <c r="G1858" i="2"/>
  <c r="I1870" i="2"/>
  <c r="I1893" i="2"/>
  <c r="I1910" i="2"/>
  <c r="G1910" i="2"/>
  <c r="I1920" i="2"/>
  <c r="I1767" i="2"/>
  <c r="G1767" i="2"/>
  <c r="I1791" i="2"/>
  <c r="G1791" i="2"/>
  <c r="G1822" i="2"/>
  <c r="I1858" i="2"/>
  <c r="I1941" i="2"/>
  <c r="G1941" i="2"/>
  <c r="I1777" i="2"/>
  <c r="G1777" i="2"/>
  <c r="I1801" i="2"/>
  <c r="G1801" i="2"/>
  <c r="G1818" i="2"/>
  <c r="I1822" i="2"/>
  <c r="G1846" i="2"/>
  <c r="G1877" i="2"/>
  <c r="G1893" i="2"/>
  <c r="I1896" i="2"/>
  <c r="G1896" i="2"/>
  <c r="I1917" i="2"/>
  <c r="G1917" i="2"/>
  <c r="I1936" i="2"/>
  <c r="G1936" i="2"/>
  <c r="I1787" i="2"/>
  <c r="G1787" i="2"/>
  <c r="G1808" i="2"/>
  <c r="G1832" i="2"/>
  <c r="G1838" i="2"/>
  <c r="I1844" i="2"/>
  <c r="G1870" i="2"/>
  <c r="G1885" i="2"/>
  <c r="I1889" i="2"/>
  <c r="G1889" i="2"/>
  <c r="I1938" i="2"/>
  <c r="G1938" i="2"/>
  <c r="I1945" i="2"/>
  <c r="G1945" i="2"/>
  <c r="I1773" i="2"/>
  <c r="G1773" i="2"/>
  <c r="I1797" i="2"/>
  <c r="G1797" i="2"/>
  <c r="G1812" i="2"/>
  <c r="I1815" i="2"/>
  <c r="G1815" i="2"/>
  <c r="I1817" i="2"/>
  <c r="G1817" i="2"/>
  <c r="I1837" i="2"/>
  <c r="G1837" i="2"/>
  <c r="I1875" i="2"/>
  <c r="G1875" i="2"/>
  <c r="G1888" i="2"/>
  <c r="I1914" i="2"/>
  <c r="G1914" i="2"/>
  <c r="I1940" i="2"/>
  <c r="G1940" i="2"/>
  <c r="I1947" i="2"/>
  <c r="G1947" i="2"/>
  <c r="I1957" i="2"/>
  <c r="G1957" i="2"/>
  <c r="O2102" i="2"/>
  <c r="O1951" i="2"/>
  <c r="O2108" i="2"/>
  <c r="O2040" i="2"/>
  <c r="O2031" i="2"/>
  <c r="O2026" i="2"/>
  <c r="O1912" i="2"/>
  <c r="O2028" i="2"/>
  <c r="O1913" i="2"/>
  <c r="O1915" i="2"/>
  <c r="O2041" i="2"/>
  <c r="O1860" i="2"/>
  <c r="O1858" i="2"/>
  <c r="O1856" i="2"/>
  <c r="O1854" i="2"/>
  <c r="O1852" i="2"/>
  <c r="O1850" i="2"/>
  <c r="J19" i="3"/>
  <c r="I2088" i="2"/>
  <c r="G2088" i="2"/>
  <c r="I1912" i="2"/>
  <c r="G1912" i="2"/>
  <c r="I1925" i="2"/>
  <c r="G1925" i="2"/>
  <c r="I1943" i="2"/>
  <c r="G1943" i="2"/>
  <c r="I2058" i="2"/>
  <c r="G2058" i="2"/>
  <c r="I1819" i="2"/>
  <c r="G1819" i="2"/>
  <c r="I1827" i="2"/>
  <c r="G1827" i="2"/>
  <c r="I1894" i="2"/>
  <c r="O1902" i="2"/>
  <c r="I1919" i="2"/>
  <c r="G1919" i="2"/>
  <c r="O2022" i="2"/>
  <c r="I1831" i="2"/>
  <c r="G1831" i="2"/>
  <c r="I1927" i="2"/>
  <c r="G1927" i="2"/>
  <c r="I1939" i="2"/>
  <c r="G1939" i="2"/>
  <c r="I2084" i="2"/>
  <c r="G2084" i="2"/>
  <c r="I1895" i="2"/>
  <c r="G1895" i="2"/>
  <c r="I1913" i="2"/>
  <c r="G1913" i="2"/>
  <c r="I1937" i="2"/>
  <c r="G1937" i="2"/>
  <c r="I1897" i="2"/>
  <c r="G1897" i="2"/>
  <c r="I1911" i="2"/>
  <c r="G1911" i="2"/>
  <c r="I1935" i="2"/>
  <c r="G1935" i="2"/>
  <c r="I1899" i="2"/>
  <c r="G1899" i="2"/>
  <c r="I1909" i="2"/>
  <c r="G1909" i="2"/>
  <c r="I1933" i="2"/>
  <c r="G1933" i="2"/>
  <c r="I2078" i="2"/>
  <c r="G2078" i="2"/>
  <c r="G1845" i="2"/>
  <c r="G1873" i="2"/>
  <c r="G1881" i="2"/>
  <c r="I1887" i="2"/>
  <c r="I1901" i="2"/>
  <c r="G1901" i="2"/>
  <c r="I1907" i="2"/>
  <c r="G1907" i="2"/>
  <c r="G1908" i="2"/>
  <c r="I1931" i="2"/>
  <c r="G1931" i="2"/>
  <c r="G1932" i="2"/>
  <c r="I1953" i="2"/>
  <c r="G1953" i="2"/>
  <c r="G1955" i="2"/>
  <c r="I1988" i="2"/>
  <c r="I1891" i="2"/>
  <c r="I1903" i="2"/>
  <c r="G1903" i="2"/>
  <c r="I1905" i="2"/>
  <c r="G1905" i="2"/>
  <c r="I1929" i="2"/>
  <c r="G1929" i="2"/>
  <c r="I1955" i="2"/>
  <c r="I2071" i="2"/>
  <c r="G2071" i="2"/>
  <c r="I2052" i="2"/>
  <c r="G2052" i="2"/>
  <c r="I1968" i="2"/>
  <c r="G1968" i="2"/>
  <c r="I1980" i="2"/>
  <c r="G1980" i="2"/>
  <c r="I1962" i="2"/>
  <c r="I1967" i="2"/>
  <c r="I2046" i="2"/>
  <c r="G2046" i="2"/>
  <c r="I1960" i="2"/>
  <c r="G1960" i="2"/>
  <c r="I1984" i="2"/>
  <c r="G1984" i="2"/>
  <c r="I1965" i="2"/>
  <c r="G1965" i="2"/>
  <c r="I2072" i="2"/>
  <c r="I2079" i="2"/>
  <c r="G2079" i="2"/>
  <c r="J16" i="3"/>
  <c r="I2044" i="2"/>
  <c r="G2044" i="2"/>
  <c r="O2096" i="2"/>
  <c r="O2095" i="2"/>
  <c r="O2035" i="2"/>
  <c r="O2090" i="2"/>
  <c r="O2039" i="2"/>
  <c r="O2029" i="2"/>
  <c r="O2024" i="2"/>
  <c r="I2062" i="2"/>
  <c r="G2062" i="2"/>
  <c r="I2089" i="2"/>
  <c r="G2089" i="2"/>
  <c r="G2072" i="2"/>
  <c r="J13" i="3"/>
  <c r="I2127" i="2"/>
  <c r="G2127" i="2"/>
  <c r="I2042" i="2"/>
  <c r="G2042" i="2"/>
  <c r="I2068" i="2"/>
  <c r="G2068" i="2"/>
  <c r="I2077" i="2"/>
  <c r="G2077" i="2"/>
  <c r="I2090" i="2"/>
  <c r="G2090" i="2"/>
  <c r="I2050" i="2"/>
  <c r="G2050" i="2"/>
  <c r="I2064" i="2"/>
  <c r="G2064" i="2"/>
  <c r="I2085" i="2"/>
  <c r="G2085" i="2"/>
  <c r="I2103" i="2"/>
  <c r="G2103" i="2"/>
  <c r="I2132" i="2"/>
  <c r="G2132" i="2"/>
  <c r="O2100" i="2"/>
  <c r="O2094" i="2"/>
  <c r="O2101" i="2"/>
  <c r="O2099" i="2"/>
  <c r="O2091" i="2"/>
  <c r="O2104" i="2"/>
  <c r="O2097" i="2"/>
  <c r="O2044" i="2"/>
  <c r="O2098" i="2"/>
  <c r="O2103" i="2"/>
  <c r="O2106" i="2"/>
  <c r="O2105" i="2"/>
  <c r="O2092" i="2"/>
  <c r="O2093" i="2"/>
  <c r="O2109" i="2"/>
  <c r="J86" i="3"/>
  <c r="O1964" i="2" s="1"/>
  <c r="G2041" i="2"/>
  <c r="I2111" i="2"/>
  <c r="G2111" i="2"/>
  <c r="I2041" i="2"/>
  <c r="I2056" i="2"/>
  <c r="G2056" i="2"/>
  <c r="J10" i="3"/>
  <c r="J18" i="3"/>
  <c r="I2087" i="2"/>
  <c r="G2087" i="2"/>
  <c r="I2128" i="2"/>
  <c r="G2128" i="2"/>
  <c r="J15" i="3"/>
  <c r="I2065" i="2"/>
  <c r="G2065" i="2"/>
  <c r="I2066" i="2"/>
  <c r="J21" i="3"/>
  <c r="I2131" i="2"/>
  <c r="G2131" i="2"/>
  <c r="I2048" i="2"/>
  <c r="I2054" i="2"/>
  <c r="I2060" i="2"/>
  <c r="I2091" i="2"/>
  <c r="G2091" i="2"/>
  <c r="I2105" i="2"/>
  <c r="G2105" i="2"/>
  <c r="I2073" i="2"/>
  <c r="G2073" i="2"/>
  <c r="I2086" i="2"/>
  <c r="I2099" i="2"/>
  <c r="G2099" i="2"/>
  <c r="I2115" i="2"/>
  <c r="I2074" i="2"/>
  <c r="I2080" i="2"/>
  <c r="I2097" i="2"/>
  <c r="G2097" i="2"/>
  <c r="I2109" i="2"/>
  <c r="J7" i="3"/>
  <c r="J98" i="3"/>
  <c r="J101" i="3"/>
  <c r="I2092" i="2"/>
  <c r="I2116" i="2"/>
  <c r="I2095" i="2"/>
  <c r="G2095" i="2"/>
  <c r="I2082" i="2"/>
  <c r="I2101" i="2"/>
  <c r="G2101" i="2"/>
  <c r="I2112" i="2"/>
  <c r="G2112" i="2"/>
  <c r="I2119" i="2"/>
  <c r="G2119" i="2"/>
  <c r="I2070" i="2"/>
  <c r="G2075" i="2"/>
  <c r="I2076" i="2"/>
  <c r="G2081" i="2"/>
  <c r="G2092" i="2"/>
  <c r="J28" i="3"/>
  <c r="J93" i="3"/>
  <c r="G2123" i="2"/>
  <c r="T5" i="3"/>
  <c r="O2107" i="2"/>
  <c r="J117" i="3"/>
  <c r="I2120" i="2"/>
  <c r="G2120" i="2"/>
  <c r="I2130" i="2"/>
  <c r="J4" i="3"/>
  <c r="J12" i="3"/>
  <c r="J9" i="3"/>
  <c r="J41" i="3"/>
  <c r="J88" i="3"/>
  <c r="O2032" i="2" s="1"/>
  <c r="J6" i="3"/>
  <c r="J83" i="3"/>
  <c r="O1815" i="2" s="1"/>
  <c r="I2107" i="2"/>
  <c r="G2107" i="2"/>
  <c r="G2130" i="2"/>
  <c r="J91" i="3"/>
  <c r="J2" i="3"/>
  <c r="J31" i="3"/>
  <c r="J94" i="3"/>
  <c r="J5" i="3"/>
  <c r="G2133" i="2"/>
  <c r="I2121" i="2"/>
  <c r="G2122" i="2"/>
  <c r="I2133" i="2"/>
  <c r="G2134" i="2"/>
  <c r="G2135" i="2"/>
  <c r="G2136" i="2"/>
  <c r="G2137" i="2"/>
  <c r="G2138" i="2"/>
  <c r="G2139" i="2"/>
  <c r="G2141" i="2"/>
  <c r="G2143" i="2"/>
  <c r="G2145" i="2"/>
  <c r="G2147" i="2"/>
  <c r="G2149" i="2"/>
  <c r="G2151" i="2"/>
  <c r="G2153" i="2"/>
  <c r="G2155" i="2"/>
  <c r="G2157" i="2"/>
  <c r="G2159" i="2"/>
  <c r="G2161" i="2"/>
  <c r="J92" i="3"/>
  <c r="I2135" i="2"/>
  <c r="I2137" i="2"/>
  <c r="I2139" i="2"/>
  <c r="I2141" i="2"/>
  <c r="I2143" i="2"/>
  <c r="I2145" i="2"/>
  <c r="I2147" i="2"/>
  <c r="I2149" i="2"/>
  <c r="I2151" i="2"/>
  <c r="I2153" i="2"/>
  <c r="I2155" i="2"/>
  <c r="I2157" i="2"/>
  <c r="I2159" i="2"/>
  <c r="I2161" i="2"/>
  <c r="J95" i="3"/>
  <c r="J100" i="3"/>
  <c r="O967" i="2" l="1"/>
  <c r="O928" i="2"/>
  <c r="O913" i="2"/>
  <c r="O907" i="2"/>
  <c r="Q907" i="2" s="1"/>
  <c r="O957" i="2"/>
  <c r="O933" i="2"/>
  <c r="Q933" i="2" s="1"/>
  <c r="O866" i="2"/>
  <c r="O886" i="2"/>
  <c r="Q886" i="2" s="1"/>
  <c r="O882" i="2"/>
  <c r="Q882" i="2" s="1"/>
  <c r="O920" i="2"/>
  <c r="Q920" i="2" s="1"/>
  <c r="O876" i="2"/>
  <c r="O844" i="2"/>
  <c r="Q844" i="2" s="1"/>
  <c r="O1540" i="2"/>
  <c r="Q1540" i="2" s="1"/>
  <c r="O1520" i="2"/>
  <c r="Q1520" i="2" s="1"/>
  <c r="O1513" i="2"/>
  <c r="Q1513" i="2" s="1"/>
  <c r="O1505" i="2"/>
  <c r="O1503" i="2"/>
  <c r="Q1503" i="2" s="1"/>
  <c r="O1527" i="2"/>
  <c r="Q1527" i="2" s="1"/>
  <c r="O1531" i="2"/>
  <c r="Q1531" i="2" s="1"/>
  <c r="O1488" i="2"/>
  <c r="Q1488" i="2" s="1"/>
  <c r="O1478" i="2"/>
  <c r="Q1478" i="2" s="1"/>
  <c r="O1460" i="2"/>
  <c r="O1485" i="2"/>
  <c r="O1119" i="2"/>
  <c r="Q1119" i="2" s="1"/>
  <c r="O1080" i="2"/>
  <c r="Q1080" i="2" s="1"/>
  <c r="O1508" i="2"/>
  <c r="Q1508" i="2" s="1"/>
  <c r="O1066" i="2"/>
  <c r="Q1066" i="2" s="1"/>
  <c r="O1038" i="2"/>
  <c r="Q1038" i="2" s="1"/>
  <c r="O1032" i="2"/>
  <c r="Q1032" i="2" s="1"/>
  <c r="O1092" i="2"/>
  <c r="Q1092" i="2" s="1"/>
  <c r="O1051" i="2"/>
  <c r="Q1051" i="2" s="1"/>
  <c r="O1025" i="2"/>
  <c r="Q1025" i="2" s="1"/>
  <c r="O991" i="2"/>
  <c r="Q991" i="2" s="1"/>
  <c r="O983" i="2"/>
  <c r="O973" i="2"/>
  <c r="O921" i="2"/>
  <c r="O229" i="2"/>
  <c r="O246" i="2"/>
  <c r="O261" i="2"/>
  <c r="O214" i="2"/>
  <c r="O232" i="2"/>
  <c r="O233" i="2"/>
  <c r="O243" i="2"/>
  <c r="Q243" i="2" s="1"/>
  <c r="O213" i="2"/>
  <c r="Q213" i="2" s="1"/>
  <c r="O183" i="2"/>
  <c r="O256" i="2"/>
  <c r="O205" i="2"/>
  <c r="O275" i="2"/>
  <c r="O742" i="2"/>
  <c r="Q742" i="2" s="1"/>
  <c r="O773" i="2"/>
  <c r="Q773" i="2" s="1"/>
  <c r="O718" i="2"/>
  <c r="O716" i="2"/>
  <c r="O741" i="2"/>
  <c r="Q741" i="2" s="1"/>
  <c r="O745" i="2"/>
  <c r="Q745" i="2" s="1"/>
  <c r="O703" i="2"/>
  <c r="O681" i="2"/>
  <c r="O761" i="2"/>
  <c r="O793" i="2"/>
  <c r="O790" i="2"/>
  <c r="Q790" i="2" s="1"/>
  <c r="O825" i="2"/>
  <c r="Q825" i="2" s="1"/>
  <c r="Q1951" i="2"/>
  <c r="P1444" i="2"/>
  <c r="P1463" i="2"/>
  <c r="P1439" i="2"/>
  <c r="P1283" i="2"/>
  <c r="P1424" i="2"/>
  <c r="P1188" i="2"/>
  <c r="P1178" i="2"/>
  <c r="P1287" i="2"/>
  <c r="P1251" i="2"/>
  <c r="P1221" i="2"/>
  <c r="P1318" i="2"/>
  <c r="P1191" i="2"/>
  <c r="P1143" i="2"/>
  <c r="P1156" i="2"/>
  <c r="P967" i="2"/>
  <c r="P931" i="2"/>
  <c r="P928" i="2"/>
  <c r="P1102" i="2"/>
  <c r="P972" i="2"/>
  <c r="P876" i="2"/>
  <c r="P1140" i="2"/>
  <c r="P920" i="2"/>
  <c r="P880" i="2"/>
  <c r="P926" i="2"/>
  <c r="P1707" i="2"/>
  <c r="P1705" i="2"/>
  <c r="P1703" i="2"/>
  <c r="P1701" i="2"/>
  <c r="P1699" i="2"/>
  <c r="P1697" i="2"/>
  <c r="P1695" i="2"/>
  <c r="P1693" i="2"/>
  <c r="P1683" i="2"/>
  <c r="P1681" i="2"/>
  <c r="P1679" i="2"/>
  <c r="P1677" i="2"/>
  <c r="P1675" i="2"/>
  <c r="P1673" i="2"/>
  <c r="P1671" i="2"/>
  <c r="P1669" i="2"/>
  <c r="P1659" i="2"/>
  <c r="P1658" i="2"/>
  <c r="P1656" i="2"/>
  <c r="P1655" i="2"/>
  <c r="P1650" i="2"/>
  <c r="P1649" i="2"/>
  <c r="P1653" i="2"/>
  <c r="P1652" i="2"/>
  <c r="P1272" i="2"/>
  <c r="P1236" i="2"/>
  <c r="P1320" i="2"/>
  <c r="P992" i="2"/>
  <c r="P1285" i="2"/>
  <c r="P976" i="2"/>
  <c r="P934" i="2"/>
  <c r="P905" i="2"/>
  <c r="P924" i="2"/>
  <c r="P863" i="2"/>
  <c r="P874" i="2"/>
  <c r="P939" i="2"/>
  <c r="P573" i="2"/>
  <c r="P606" i="2"/>
  <c r="P377" i="2"/>
  <c r="P351" i="2"/>
  <c r="P347" i="2"/>
  <c r="P345" i="2"/>
  <c r="P319" i="2"/>
  <c r="P311" i="2"/>
  <c r="P647" i="2"/>
  <c r="P614" i="2"/>
  <c r="P366" i="2"/>
  <c r="P338" i="2"/>
  <c r="O1986" i="2"/>
  <c r="O1127" i="2"/>
  <c r="O1132" i="2"/>
  <c r="O1090" i="2"/>
  <c r="O1082" i="2"/>
  <c r="O1162" i="2"/>
  <c r="O1135" i="2"/>
  <c r="O1154" i="2"/>
  <c r="O1120" i="2"/>
  <c r="Q1120" i="2" s="1"/>
  <c r="O1114" i="2"/>
  <c r="Q1114" i="2" s="1"/>
  <c r="O1098" i="2"/>
  <c r="O494" i="2"/>
  <c r="O438" i="2"/>
  <c r="O467" i="2"/>
  <c r="O454" i="2"/>
  <c r="O479" i="2"/>
  <c r="O459" i="2"/>
  <c r="Q459" i="2" s="1"/>
  <c r="O452" i="2"/>
  <c r="O433" i="2"/>
  <c r="Q433" i="2" s="1"/>
  <c r="O429" i="2"/>
  <c r="O463" i="2"/>
  <c r="Q463" i="2" s="1"/>
  <c r="O1380" i="2"/>
  <c r="O1365" i="2"/>
  <c r="O1364" i="2"/>
  <c r="O1348" i="2"/>
  <c r="O1333" i="2"/>
  <c r="O1268" i="2"/>
  <c r="O1302" i="2"/>
  <c r="O1342" i="2"/>
  <c r="O1317" i="2"/>
  <c r="Q1317" i="2" s="1"/>
  <c r="O1355" i="2"/>
  <c r="Q1355" i="2" s="1"/>
  <c r="O1339" i="2"/>
  <c r="Q1339" i="2" s="1"/>
  <c r="O1315" i="2"/>
  <c r="O735" i="2"/>
  <c r="O710" i="2"/>
  <c r="O698" i="2"/>
  <c r="O680" i="2"/>
  <c r="O668" i="2"/>
  <c r="O598" i="2"/>
  <c r="O643" i="2"/>
  <c r="Q643" i="2" s="1"/>
  <c r="O632" i="2"/>
  <c r="O715" i="2"/>
  <c r="O687" i="2"/>
  <c r="Q687" i="2" s="1"/>
  <c r="O677" i="2"/>
  <c r="Q677" i="2" s="1"/>
  <c r="O645" i="2"/>
  <c r="J57" i="3"/>
  <c r="O1953" i="2"/>
  <c r="J110" i="3"/>
  <c r="J118" i="3"/>
  <c r="O478" i="2"/>
  <c r="O421" i="2"/>
  <c r="O461" i="2"/>
  <c r="O434" i="2"/>
  <c r="O389" i="2"/>
  <c r="O369" i="2"/>
  <c r="O420" i="2"/>
  <c r="O403" i="2"/>
  <c r="O440" i="2"/>
  <c r="O401" i="2"/>
  <c r="O413" i="2"/>
  <c r="O451" i="2"/>
  <c r="O574" i="2"/>
  <c r="O540" i="2"/>
  <c r="O549" i="2"/>
  <c r="O537" i="2"/>
  <c r="O545" i="2"/>
  <c r="O578" i="2"/>
  <c r="O513" i="2"/>
  <c r="O484" i="2"/>
  <c r="O512" i="2"/>
  <c r="Q512" i="2" s="1"/>
  <c r="O546" i="2"/>
  <c r="Q546" i="2" s="1"/>
  <c r="O515" i="2"/>
  <c r="Q515" i="2" s="1"/>
  <c r="O506" i="2"/>
  <c r="O590" i="2"/>
  <c r="Q590" i="2" s="1"/>
  <c r="O582" i="2"/>
  <c r="O562" i="2"/>
  <c r="O619" i="2"/>
  <c r="Q619" i="2" s="1"/>
  <c r="O552" i="2"/>
  <c r="Q552" i="2" s="1"/>
  <c r="O613" i="2"/>
  <c r="O589" i="2"/>
  <c r="Q589" i="2" s="1"/>
  <c r="O588" i="2"/>
  <c r="O528" i="2"/>
  <c r="Q528" i="2" s="1"/>
  <c r="O563" i="2"/>
  <c r="Q563" i="2" s="1"/>
  <c r="O560" i="2"/>
  <c r="Q560" i="2" s="1"/>
  <c r="O583" i="2"/>
  <c r="J109" i="3"/>
  <c r="Q1860" i="2"/>
  <c r="O1916" i="2"/>
  <c r="O1956" i="2"/>
  <c r="O1955" i="2"/>
  <c r="P1928" i="2"/>
  <c r="P1926" i="2"/>
  <c r="P1924" i="2"/>
  <c r="P1922" i="2"/>
  <c r="P1912" i="2"/>
  <c r="P1906" i="2"/>
  <c r="P1904" i="2"/>
  <c r="P1915" i="2"/>
  <c r="Q1915" i="2" s="1"/>
  <c r="P1880" i="2"/>
  <c r="P1885" i="2"/>
  <c r="P1877" i="2"/>
  <c r="P1921" i="2"/>
  <c r="P1882" i="2"/>
  <c r="P1909" i="2"/>
  <c r="P1905" i="2"/>
  <c r="P1901" i="2"/>
  <c r="P1929" i="2"/>
  <c r="P1878" i="2"/>
  <c r="P1903" i="2"/>
  <c r="P1927" i="2"/>
  <c r="P1884" i="2"/>
  <c r="P1925" i="2"/>
  <c r="P1883" i="2"/>
  <c r="P1881" i="2"/>
  <c r="P466" i="2"/>
  <c r="P458" i="2"/>
  <c r="P712" i="2"/>
  <c r="P431" i="2"/>
  <c r="P417" i="2"/>
  <c r="P397" i="2"/>
  <c r="P751" i="2"/>
  <c r="P427" i="2"/>
  <c r="P720" i="2"/>
  <c r="P436" i="2"/>
  <c r="P685" i="2"/>
  <c r="P405" i="2"/>
  <c r="P236" i="2"/>
  <c r="P254" i="2"/>
  <c r="P208" i="2"/>
  <c r="P39" i="2"/>
  <c r="P15" i="2"/>
  <c r="P35" i="2"/>
  <c r="P3" i="2"/>
  <c r="P6" i="2"/>
  <c r="P11" i="2"/>
  <c r="P227" i="2"/>
  <c r="P21" i="2"/>
  <c r="P13" i="2"/>
  <c r="O1464" i="2"/>
  <c r="O1458" i="2"/>
  <c r="O1454" i="2"/>
  <c r="O1442" i="2"/>
  <c r="O1440" i="2"/>
  <c r="Q1440" i="2" s="1"/>
  <c r="O1432" i="2"/>
  <c r="O1418" i="2"/>
  <c r="O1481" i="2"/>
  <c r="Q1481" i="2" s="1"/>
  <c r="O1457" i="2"/>
  <c r="Q1457" i="2" s="1"/>
  <c r="O1497" i="2"/>
  <c r="O1483" i="2"/>
  <c r="O1471" i="2"/>
  <c r="O381" i="2"/>
  <c r="O367" i="2"/>
  <c r="O353" i="2"/>
  <c r="Q353" i="2" s="1"/>
  <c r="O329" i="2"/>
  <c r="O399" i="2"/>
  <c r="Q399" i="2" s="1"/>
  <c r="O360" i="2"/>
  <c r="O348" i="2"/>
  <c r="O323" i="2"/>
  <c r="Q323" i="2" s="1"/>
  <c r="O299" i="2"/>
  <c r="Q299" i="2" s="1"/>
  <c r="O378" i="2"/>
  <c r="O354" i="2"/>
  <c r="O330" i="2"/>
  <c r="O1318" i="2"/>
  <c r="O1309" i="2"/>
  <c r="O1283" i="2"/>
  <c r="Q1283" i="2" s="1"/>
  <c r="O1277" i="2"/>
  <c r="O1244" i="2"/>
  <c r="O1226" i="2"/>
  <c r="Q1226" i="2" s="1"/>
  <c r="O1253" i="2"/>
  <c r="Q1253" i="2" s="1"/>
  <c r="O1287" i="2"/>
  <c r="Q1287" i="2" s="1"/>
  <c r="O1251" i="2"/>
  <c r="O1290" i="2"/>
  <c r="Q1290" i="2" s="1"/>
  <c r="O1282" i="2"/>
  <c r="O1259" i="2"/>
  <c r="Q1259" i="2" s="1"/>
  <c r="Q1912" i="2"/>
  <c r="O1156" i="2"/>
  <c r="Q1156" i="2" s="1"/>
  <c r="O1140" i="2"/>
  <c r="Q1140" i="2" s="1"/>
  <c r="O1188" i="2"/>
  <c r="Q1188" i="2" s="1"/>
  <c r="O1158" i="2"/>
  <c r="Q1158" i="2" s="1"/>
  <c r="O1128" i="2"/>
  <c r="Q1128" i="2" s="1"/>
  <c r="O1102" i="2"/>
  <c r="Q1102" i="2" s="1"/>
  <c r="O1109" i="2"/>
  <c r="O1016" i="2"/>
  <c r="Q1016" i="2" s="1"/>
  <c r="O1071" i="2"/>
  <c r="Q1071" i="2" s="1"/>
  <c r="O1074" i="2"/>
  <c r="O1106" i="2"/>
  <c r="Q1106" i="2" s="1"/>
  <c r="O1059" i="2"/>
  <c r="Q1059" i="2" s="1"/>
  <c r="P2067" i="2"/>
  <c r="P2065" i="2"/>
  <c r="P2063" i="2"/>
  <c r="P2045" i="2"/>
  <c r="P2069" i="2"/>
  <c r="P2066" i="2"/>
  <c r="P2064" i="2"/>
  <c r="P2068" i="2"/>
  <c r="P2044" i="2"/>
  <c r="Q2044" i="2" s="1"/>
  <c r="P2039" i="2"/>
  <c r="Q2039" i="2" s="1"/>
  <c r="P2021" i="2"/>
  <c r="P2014" i="2"/>
  <c r="P2038" i="2"/>
  <c r="P2017" i="2"/>
  <c r="P2040" i="2"/>
  <c r="P2041" i="2"/>
  <c r="P2020" i="2"/>
  <c r="P2019" i="2"/>
  <c r="P2018" i="2"/>
  <c r="P2062" i="2"/>
  <c r="P2043" i="2"/>
  <c r="P2042" i="2"/>
  <c r="P2015" i="2"/>
  <c r="P2016" i="2"/>
  <c r="P1222" i="2"/>
  <c r="P1179" i="2"/>
  <c r="P889" i="2"/>
  <c r="P1255" i="2"/>
  <c r="P813" i="2"/>
  <c r="P805" i="2"/>
  <c r="P839" i="2"/>
  <c r="P855" i="2"/>
  <c r="P785" i="2"/>
  <c r="P763" i="2"/>
  <c r="P1207" i="2"/>
  <c r="P584" i="2"/>
  <c r="P551" i="2"/>
  <c r="P504" i="2"/>
  <c r="P827" i="2"/>
  <c r="P301" i="2"/>
  <c r="P541" i="2"/>
  <c r="P292" i="2"/>
  <c r="P271" i="2"/>
  <c r="P282" i="2"/>
  <c r="P326" i="2"/>
  <c r="P306" i="2"/>
  <c r="P262" i="2"/>
  <c r="P285" i="2"/>
  <c r="O424" i="2"/>
  <c r="Q424" i="2" s="1"/>
  <c r="O407" i="2"/>
  <c r="O410" i="2"/>
  <c r="Q410" i="2" s="1"/>
  <c r="O393" i="2"/>
  <c r="O391" i="2"/>
  <c r="O387" i="2"/>
  <c r="O372" i="2"/>
  <c r="O418" i="2"/>
  <c r="O362" i="2"/>
  <c r="Q362" i="2" s="1"/>
  <c r="O374" i="2"/>
  <c r="O443" i="2"/>
  <c r="O342" i="2"/>
  <c r="Q2041" i="2"/>
  <c r="O1914" i="2"/>
  <c r="Q1914" i="2" s="1"/>
  <c r="O1952" i="2"/>
  <c r="Q1952" i="2" s="1"/>
  <c r="X62" i="1"/>
  <c r="Y62" i="1"/>
  <c r="Z62" i="1"/>
  <c r="O1056" i="2"/>
  <c r="O1044" i="2"/>
  <c r="O1028" i="2"/>
  <c r="Q1028" i="2" s="1"/>
  <c r="O1010" i="2"/>
  <c r="O995" i="2"/>
  <c r="Q995" i="2" s="1"/>
  <c r="O946" i="2"/>
  <c r="O943" i="2"/>
  <c r="O879" i="2"/>
  <c r="Q879" i="2" s="1"/>
  <c r="O997" i="2"/>
  <c r="Q997" i="2" s="1"/>
  <c r="O981" i="2"/>
  <c r="O1083" i="2"/>
  <c r="O936" i="2"/>
  <c r="O379" i="2"/>
  <c r="O373" i="2"/>
  <c r="O357" i="2"/>
  <c r="O355" i="2"/>
  <c r="O349" i="2"/>
  <c r="Q349" i="2" s="1"/>
  <c r="O409" i="2"/>
  <c r="O406" i="2"/>
  <c r="O396" i="2"/>
  <c r="Q396" i="2" s="1"/>
  <c r="O384" i="2"/>
  <c r="Q384" i="2" s="1"/>
  <c r="O380" i="2"/>
  <c r="O324" i="2"/>
  <c r="O430" i="2"/>
  <c r="O1222" i="2"/>
  <c r="Q1222" i="2" s="1"/>
  <c r="O1212" i="2"/>
  <c r="O1133" i="2"/>
  <c r="Q1133" i="2" s="1"/>
  <c r="O1279" i="2"/>
  <c r="O1243" i="2"/>
  <c r="Q1243" i="2" s="1"/>
  <c r="O1201" i="2"/>
  <c r="O1255" i="2"/>
  <c r="Q1255" i="2" s="1"/>
  <c r="O1179" i="2"/>
  <c r="Q1179" i="2" s="1"/>
  <c r="O1180" i="2"/>
  <c r="Q1180" i="2" s="1"/>
  <c r="O1164" i="2"/>
  <c r="O1233" i="2"/>
  <c r="O564" i="2"/>
  <c r="O1207" i="2"/>
  <c r="O584" i="2"/>
  <c r="O576" i="2"/>
  <c r="Q576" i="2" s="1"/>
  <c r="O542" i="2"/>
  <c r="O541" i="2"/>
  <c r="Q541" i="2" s="1"/>
  <c r="O551" i="2"/>
  <c r="Q551" i="2" s="1"/>
  <c r="O610" i="2"/>
  <c r="O504" i="2"/>
  <c r="Q504" i="2" s="1"/>
  <c r="O496" i="2"/>
  <c r="Q496" i="2" s="1"/>
  <c r="O531" i="2"/>
  <c r="O465" i="2"/>
  <c r="O505" i="2"/>
  <c r="P1538" i="2"/>
  <c r="P1499" i="2"/>
  <c r="P1522" i="2"/>
  <c r="P1349" i="2"/>
  <c r="P1289" i="2"/>
  <c r="P1360" i="2"/>
  <c r="P1379" i="2"/>
  <c r="P1518" i="2"/>
  <c r="P1323" i="2"/>
  <c r="P1319" i="2"/>
  <c r="P1300" i="2"/>
  <c r="P1157" i="2"/>
  <c r="P1394" i="2"/>
  <c r="P1123" i="2"/>
  <c r="P1376" i="2"/>
  <c r="P1122" i="2"/>
  <c r="P1284" i="2"/>
  <c r="P1257" i="2"/>
  <c r="P1113" i="2"/>
  <c r="P1089" i="2"/>
  <c r="P1079" i="2"/>
  <c r="P1081" i="2"/>
  <c r="P1047" i="2"/>
  <c r="P1326" i="2"/>
  <c r="J49" i="3"/>
  <c r="O1113" i="2"/>
  <c r="Q1113" i="2" s="1"/>
  <c r="O1078" i="2"/>
  <c r="O1069" i="2"/>
  <c r="Q1069" i="2" s="1"/>
  <c r="O1079" i="2"/>
  <c r="O1046" i="2"/>
  <c r="Q1046" i="2" s="1"/>
  <c r="O1036" i="2"/>
  <c r="Q1036" i="2" s="1"/>
  <c r="O1047" i="2"/>
  <c r="Q1047" i="2" s="1"/>
  <c r="O1043" i="2"/>
  <c r="O1002" i="2"/>
  <c r="O1081" i="2"/>
  <c r="Q1081" i="2" s="1"/>
  <c r="O1067" i="2"/>
  <c r="O1104" i="2"/>
  <c r="O2025" i="2"/>
  <c r="O1817" i="2"/>
  <c r="O1957" i="2"/>
  <c r="O1620" i="2"/>
  <c r="Q1620" i="2" s="1"/>
  <c r="O1630" i="2"/>
  <c r="Q1630" i="2" s="1"/>
  <c r="O1631" i="2"/>
  <c r="O1621" i="2"/>
  <c r="J120" i="3"/>
  <c r="J119" i="3"/>
  <c r="J60" i="3"/>
  <c r="P1932" i="2"/>
  <c r="P1930" i="2"/>
  <c r="P1916" i="2"/>
  <c r="P1914" i="2"/>
  <c r="P1910" i="2"/>
  <c r="P1908" i="2"/>
  <c r="P1917" i="2"/>
  <c r="P1893" i="2"/>
  <c r="P1888" i="2"/>
  <c r="P1892" i="2"/>
  <c r="P1889" i="2"/>
  <c r="P1913" i="2"/>
  <c r="Q1913" i="2" s="1"/>
  <c r="P1933" i="2"/>
  <c r="P1890" i="2"/>
  <c r="P1886" i="2"/>
  <c r="P1887" i="2"/>
  <c r="P1891" i="2"/>
  <c r="P1931" i="2"/>
  <c r="P1907" i="2"/>
  <c r="P1911" i="2"/>
  <c r="P1628" i="2"/>
  <c r="P1619" i="2"/>
  <c r="P1629" i="2"/>
  <c r="P1618" i="2"/>
  <c r="P752" i="2"/>
  <c r="P767" i="2"/>
  <c r="P723" i="2"/>
  <c r="P510" i="2"/>
  <c r="P474" i="2"/>
  <c r="P470" i="2"/>
  <c r="P460" i="2"/>
  <c r="P804" i="2"/>
  <c r="P501" i="2"/>
  <c r="P437" i="2"/>
  <c r="P432" i="2"/>
  <c r="P281" i="2"/>
  <c r="P469" i="2"/>
  <c r="P264" i="2"/>
  <c r="P255" i="2"/>
  <c r="P44" i="2"/>
  <c r="P64" i="2"/>
  <c r="P36" i="2"/>
  <c r="P72" i="2"/>
  <c r="P41" i="2"/>
  <c r="P22" i="2"/>
  <c r="P239" i="2"/>
  <c r="P42" i="2"/>
  <c r="P16" i="2"/>
  <c r="P1454" i="2"/>
  <c r="P1440" i="2"/>
  <c r="P1432" i="2"/>
  <c r="P1334" i="2"/>
  <c r="P1308" i="2"/>
  <c r="P1418" i="2"/>
  <c r="P1280" i="2"/>
  <c r="P1194" i="2"/>
  <c r="P1174" i="2"/>
  <c r="P1160" i="2"/>
  <c r="P1149" i="2"/>
  <c r="P1141" i="2"/>
  <c r="P1219" i="2"/>
  <c r="P1312" i="2"/>
  <c r="P1022" i="2"/>
  <c r="P1000" i="2"/>
  <c r="P986" i="2"/>
  <c r="P982" i="2"/>
  <c r="P1189" i="2"/>
  <c r="P1112" i="2"/>
  <c r="P1041" i="2"/>
  <c r="P956" i="2"/>
  <c r="P941" i="2"/>
  <c r="P999" i="2"/>
  <c r="O1332" i="2"/>
  <c r="Q1332" i="2" s="1"/>
  <c r="O1292" i="2"/>
  <c r="O1307" i="2"/>
  <c r="Q1307" i="2" s="1"/>
  <c r="O1264" i="2"/>
  <c r="O1258" i="2"/>
  <c r="Q1258" i="2" s="1"/>
  <c r="O1232" i="2"/>
  <c r="Q1232" i="2" s="1"/>
  <c r="O1229" i="2"/>
  <c r="Q1229" i="2" s="1"/>
  <c r="O1310" i="2"/>
  <c r="O1278" i="2"/>
  <c r="O1184" i="2"/>
  <c r="O1261" i="2"/>
  <c r="O1211" i="2"/>
  <c r="P1691" i="2"/>
  <c r="P1689" i="2"/>
  <c r="P1687" i="2"/>
  <c r="P1685" i="2"/>
  <c r="P1667" i="2"/>
  <c r="P1665" i="2"/>
  <c r="P1663" i="2"/>
  <c r="P1661" i="2"/>
  <c r="P1690" i="2"/>
  <c r="P1688" i="2"/>
  <c r="P1686" i="2"/>
  <c r="P1684" i="2"/>
  <c r="P1666" i="2"/>
  <c r="P1664" i="2"/>
  <c r="P1662" i="2"/>
  <c r="P1660" i="2"/>
  <c r="P1643" i="2"/>
  <c r="P1639" i="2"/>
  <c r="P1642" i="2"/>
  <c r="P1638" i="2"/>
  <c r="P1637" i="2"/>
  <c r="P1640" i="2"/>
  <c r="P1636" i="2"/>
  <c r="P1641" i="2"/>
  <c r="P1311" i="2"/>
  <c r="P1336" i="2"/>
  <c r="P1265" i="2"/>
  <c r="P1008" i="2"/>
  <c r="P1296" i="2"/>
  <c r="P1021" i="2"/>
  <c r="P964" i="2"/>
  <c r="P958" i="2"/>
  <c r="P910" i="2"/>
  <c r="P893" i="2"/>
  <c r="P945" i="2"/>
  <c r="P670" i="2"/>
  <c r="P639" i="2"/>
  <c r="P625" i="2"/>
  <c r="P978" i="2"/>
  <c r="P593" i="2"/>
  <c r="P383" i="2"/>
  <c r="P363" i="2"/>
  <c r="P359" i="2"/>
  <c r="P339" i="2"/>
  <c r="P392" i="2"/>
  <c r="P368" i="2"/>
  <c r="P356" i="2"/>
  <c r="P328" i="2"/>
  <c r="Y68" i="1"/>
  <c r="AN28" i="1"/>
  <c r="AJ28" i="1"/>
  <c r="AM28" i="1"/>
  <c r="AI28" i="1"/>
  <c r="V5" i="3" s="1"/>
  <c r="AL28" i="1"/>
  <c r="AK28" i="1"/>
  <c r="AF28" i="1"/>
  <c r="O1615" i="2"/>
  <c r="O1608" i="2"/>
  <c r="O1614" i="2"/>
  <c r="Q1614" i="2" s="1"/>
  <c r="O1607" i="2"/>
  <c r="Q1607" i="2" s="1"/>
  <c r="O1604" i="2"/>
  <c r="O1602" i="2"/>
  <c r="O1600" i="2"/>
  <c r="O1609" i="2"/>
  <c r="O1595" i="2"/>
  <c r="O1612" i="2"/>
  <c r="Q1612" i="2" s="1"/>
  <c r="O1613" i="2"/>
  <c r="O1611" i="2"/>
  <c r="Q1611" i="2" s="1"/>
  <c r="O1422" i="2"/>
  <c r="O1416" i="2"/>
  <c r="Q1416" i="2" s="1"/>
  <c r="O1443" i="2"/>
  <c r="Q1443" i="2" s="1"/>
  <c r="O1421" i="2"/>
  <c r="O1391" i="2"/>
  <c r="O1405" i="2"/>
  <c r="O1373" i="2"/>
  <c r="O1441" i="2"/>
  <c r="O1435" i="2"/>
  <c r="O1400" i="2"/>
  <c r="O1427" i="2"/>
  <c r="O1459" i="2"/>
  <c r="O1794" i="2"/>
  <c r="Q1794" i="2" s="1"/>
  <c r="O1792" i="2"/>
  <c r="Q1792" i="2" s="1"/>
  <c r="O1790" i="2"/>
  <c r="Q1790" i="2" s="1"/>
  <c r="O1793" i="2"/>
  <c r="O1791" i="2"/>
  <c r="O1795" i="2"/>
  <c r="O26" i="2"/>
  <c r="O20" i="2"/>
  <c r="O18" i="2"/>
  <c r="Q18" i="2" s="1"/>
  <c r="O9" i="2"/>
  <c r="O38" i="2"/>
  <c r="O34" i="2"/>
  <c r="J58" i="3"/>
  <c r="O1987" i="2"/>
  <c r="Q2028" i="2"/>
  <c r="P1755" i="2"/>
  <c r="P1751" i="2"/>
  <c r="P1739" i="2"/>
  <c r="P1732" i="2"/>
  <c r="P1723" i="2"/>
  <c r="P1717" i="2"/>
  <c r="P1738" i="2"/>
  <c r="P1722" i="2"/>
  <c r="P1716" i="2"/>
  <c r="P1733" i="2"/>
  <c r="P1754" i="2"/>
  <c r="P1750" i="2"/>
  <c r="P937" i="2"/>
  <c r="P829" i="2"/>
  <c r="P870" i="2"/>
  <c r="P587" i="2"/>
  <c r="P569" i="2"/>
  <c r="P522" i="2"/>
  <c r="P642" i="2"/>
  <c r="P556" i="2"/>
  <c r="P544" i="2"/>
  <c r="P609" i="2"/>
  <c r="P555" i="2"/>
  <c r="P890" i="2"/>
  <c r="P400" i="2"/>
  <c r="P375" i="2"/>
  <c r="P327" i="2"/>
  <c r="P317" i="2"/>
  <c r="P293" i="2"/>
  <c r="P419" i="2"/>
  <c r="P509" i="2"/>
  <c r="P398" i="2"/>
  <c r="P350" i="2"/>
  <c r="P12" i="2"/>
  <c r="P99" i="2"/>
  <c r="P4" i="2"/>
  <c r="P120" i="2"/>
  <c r="P177" i="2"/>
  <c r="P148" i="2"/>
  <c r="P2" i="2"/>
  <c r="P140" i="2"/>
  <c r="P115" i="2"/>
  <c r="P604" i="2"/>
  <c r="P114" i="2"/>
  <c r="P82" i="2"/>
  <c r="P70" i="2"/>
  <c r="P153" i="2"/>
  <c r="P5" i="2"/>
  <c r="O532" i="2"/>
  <c r="O539" i="2"/>
  <c r="O556" i="2"/>
  <c r="Q556" i="2" s="1"/>
  <c r="O529" i="2"/>
  <c r="O490" i="2"/>
  <c r="O522" i="2"/>
  <c r="Q522" i="2" s="1"/>
  <c r="O483" i="2"/>
  <c r="O448" i="2"/>
  <c r="O493" i="2"/>
  <c r="O604" i="2"/>
  <c r="Q604" i="2" s="1"/>
  <c r="O577" i="2"/>
  <c r="O148" i="2"/>
  <c r="O28" i="2"/>
  <c r="O89" i="2"/>
  <c r="Q89" i="2" s="1"/>
  <c r="O57" i="2"/>
  <c r="O128" i="2"/>
  <c r="Q128" i="2" s="1"/>
  <c r="O120" i="2"/>
  <c r="O95" i="2"/>
  <c r="O115" i="2"/>
  <c r="Q115" i="2" s="1"/>
  <c r="O51" i="2"/>
  <c r="Q51" i="2" s="1"/>
  <c r="O87" i="2"/>
  <c r="O59" i="2"/>
  <c r="O569" i="2"/>
  <c r="Q569" i="2" s="1"/>
  <c r="O82" i="2"/>
  <c r="Q82" i="2" s="1"/>
  <c r="O1767" i="2"/>
  <c r="O1766" i="2"/>
  <c r="O1769" i="2"/>
  <c r="O1768" i="2"/>
  <c r="Q1768" i="2" s="1"/>
  <c r="O65" i="2"/>
  <c r="O45" i="2"/>
  <c r="Q45" i="2" s="1"/>
  <c r="O68" i="2"/>
  <c r="O60" i="2"/>
  <c r="Q60" i="2" s="1"/>
  <c r="O71" i="2"/>
  <c r="Q71" i="2" s="1"/>
  <c r="O46" i="2"/>
  <c r="O94" i="2"/>
  <c r="O90" i="2"/>
  <c r="J59" i="3"/>
  <c r="O2030" i="2"/>
  <c r="O787" i="2"/>
  <c r="O776" i="2"/>
  <c r="O737" i="2"/>
  <c r="O765" i="2"/>
  <c r="O732" i="2"/>
  <c r="O739" i="2"/>
  <c r="O714" i="2"/>
  <c r="O702" i="2"/>
  <c r="O676" i="2"/>
  <c r="O815" i="2"/>
  <c r="O753" i="2"/>
  <c r="O713" i="2"/>
  <c r="O1963" i="2"/>
  <c r="O2043" i="2"/>
  <c r="Q2043" i="2" s="1"/>
  <c r="O1121" i="2"/>
  <c r="Q1121" i="2" s="1"/>
  <c r="O1168" i="2"/>
  <c r="O1198" i="2"/>
  <c r="O1170" i="2"/>
  <c r="Q1170" i="2" s="1"/>
  <c r="O1115" i="2"/>
  <c r="Q1115" i="2" s="1"/>
  <c r="O1155" i="2"/>
  <c r="O1064" i="2"/>
  <c r="O1030" i="2"/>
  <c r="O1124" i="2"/>
  <c r="O1093" i="2"/>
  <c r="O1085" i="2"/>
  <c r="O1138" i="2"/>
  <c r="O1859" i="2"/>
  <c r="O1851" i="2"/>
  <c r="O1861" i="2"/>
  <c r="Q1861" i="2" s="1"/>
  <c r="O1853" i="2"/>
  <c r="Q1853" i="2" s="1"/>
  <c r="O1855" i="2"/>
  <c r="Q1855" i="2" s="1"/>
  <c r="O1857" i="2"/>
  <c r="O1472" i="2"/>
  <c r="O1456" i="2"/>
  <c r="O1452" i="2"/>
  <c r="O1448" i="2"/>
  <c r="O1465" i="2"/>
  <c r="Q1465" i="2" s="1"/>
  <c r="O1437" i="2"/>
  <c r="O906" i="2"/>
  <c r="Q906" i="2" s="1"/>
  <c r="O892" i="2"/>
  <c r="O857" i="2"/>
  <c r="O938" i="2"/>
  <c r="O902" i="2"/>
  <c r="Q902" i="2" s="1"/>
  <c r="O954" i="2"/>
  <c r="O1594" i="2"/>
  <c r="O1588" i="2"/>
  <c r="O1576" i="2"/>
  <c r="O1585" i="2"/>
  <c r="O1586" i="2"/>
  <c r="Q1586" i="2" s="1"/>
  <c r="O1580" i="2"/>
  <c r="O1598" i="2"/>
  <c r="Q1598" i="2" s="1"/>
  <c r="O1587" i="2"/>
  <c r="O1583" i="2"/>
  <c r="Q1583" i="2" s="1"/>
  <c r="O1367" i="2"/>
  <c r="Q1367" i="2" s="1"/>
  <c r="O1322" i="2"/>
  <c r="O1306" i="2"/>
  <c r="O1592" i="2"/>
  <c r="O1351" i="2"/>
  <c r="O1369" i="2"/>
  <c r="O1347" i="2"/>
  <c r="O1274" i="2"/>
  <c r="O1384" i="2"/>
  <c r="O1321" i="2"/>
  <c r="O1582" i="2"/>
  <c r="O1346" i="2"/>
  <c r="O1345" i="2"/>
  <c r="Q1345" i="2" s="1"/>
  <c r="O1590" i="2"/>
  <c r="Q1590" i="2" s="1"/>
  <c r="O1363" i="2"/>
  <c r="J116" i="3"/>
  <c r="P1758" i="2"/>
  <c r="P1757" i="2"/>
  <c r="P1753" i="2"/>
  <c r="P1749" i="2"/>
  <c r="P1743" i="2"/>
  <c r="P1741" i="2"/>
  <c r="P1711" i="2"/>
  <c r="P1709" i="2"/>
  <c r="P1736" i="2"/>
  <c r="P1752" i="2"/>
  <c r="P1748" i="2"/>
  <c r="P1728" i="2"/>
  <c r="P1720" i="2"/>
  <c r="P1718" i="2"/>
  <c r="P1714" i="2"/>
  <c r="P1712" i="2"/>
  <c r="P1710" i="2"/>
  <c r="P1708" i="2"/>
  <c r="P1734" i="2"/>
  <c r="P1730" i="2"/>
  <c r="P1740" i="2"/>
  <c r="P1759" i="2"/>
  <c r="P1756" i="2"/>
  <c r="P1742" i="2"/>
  <c r="P800" i="2"/>
  <c r="P835" i="2"/>
  <c r="P748" i="2"/>
  <c r="P529" i="2"/>
  <c r="P490" i="2"/>
  <c r="P480" i="2"/>
  <c r="P472" i="2"/>
  <c r="P448" i="2"/>
  <c r="P516" i="2"/>
  <c r="P483" i="2"/>
  <c r="P441" i="2"/>
  <c r="P783" i="2"/>
  <c r="P298" i="2"/>
  <c r="P270" i="2"/>
  <c r="P252" i="2"/>
  <c r="P57" i="2"/>
  <c r="P28" i="2"/>
  <c r="P76" i="2"/>
  <c r="P51" i="2"/>
  <c r="P279" i="2"/>
  <c r="P87" i="2"/>
  <c r="P43" i="2"/>
  <c r="P48" i="2"/>
  <c r="P24" i="2"/>
  <c r="P1307" i="2"/>
  <c r="P1232" i="2"/>
  <c r="P1278" i="2"/>
  <c r="P1261" i="2"/>
  <c r="P994" i="2"/>
  <c r="P990" i="2"/>
  <c r="P948" i="2"/>
  <c r="P872" i="2"/>
  <c r="P918" i="2"/>
  <c r="P722" i="2"/>
  <c r="P899" i="2"/>
  <c r="P841" i="2"/>
  <c r="P669" i="2"/>
  <c r="P806" i="2"/>
  <c r="P697" i="2"/>
  <c r="P654" i="2"/>
  <c r="P653" i="2"/>
  <c r="P858" i="2"/>
  <c r="P820" i="2"/>
  <c r="P1033" i="2"/>
  <c r="P686" i="2"/>
  <c r="P854" i="2"/>
  <c r="P623" i="2"/>
  <c r="P696" i="2"/>
  <c r="Q2093" i="2"/>
  <c r="O1905" i="2"/>
  <c r="Q1905" i="2" s="1"/>
  <c r="O1901" i="2"/>
  <c r="Q1901" i="2" s="1"/>
  <c r="O1899" i="2"/>
  <c r="O1900" i="2"/>
  <c r="O1897" i="2"/>
  <c r="O1903" i="2"/>
  <c r="O1911" i="2"/>
  <c r="Q1911" i="2" s="1"/>
  <c r="O1898" i="2"/>
  <c r="O1907" i="2"/>
  <c r="Q1907" i="2" s="1"/>
  <c r="O1320" i="2"/>
  <c r="Q1320" i="2" s="1"/>
  <c r="O1272" i="2"/>
  <c r="Q1272" i="2" s="1"/>
  <c r="O1270" i="2"/>
  <c r="Q1270" i="2" s="1"/>
  <c r="O1236" i="2"/>
  <c r="Q1236" i="2" s="1"/>
  <c r="O1227" i="2"/>
  <c r="Q1227" i="2" s="1"/>
  <c r="O1311" i="2"/>
  <c r="O1193" i="2"/>
  <c r="Q1193" i="2" s="1"/>
  <c r="O1296" i="2"/>
  <c r="O1265" i="2"/>
  <c r="Q1265" i="2" s="1"/>
  <c r="O1235" i="2"/>
  <c r="Q1235" i="2" s="1"/>
  <c r="O1336" i="2"/>
  <c r="Q1336" i="2" s="1"/>
  <c r="O670" i="2"/>
  <c r="Q670" i="2" s="1"/>
  <c r="O614" i="2"/>
  <c r="Q614" i="2" s="1"/>
  <c r="O606" i="2"/>
  <c r="Q606" i="2" s="1"/>
  <c r="O639" i="2"/>
  <c r="O625" i="2"/>
  <c r="Q625" i="2" s="1"/>
  <c r="O605" i="2"/>
  <c r="Q605" i="2" s="1"/>
  <c r="O1285" i="2"/>
  <c r="Q1285" i="2" s="1"/>
  <c r="O573" i="2"/>
  <c r="Q573" i="2" s="1"/>
  <c r="O647" i="2"/>
  <c r="Q647" i="2" s="1"/>
  <c r="O557" i="2"/>
  <c r="Q557" i="2" s="1"/>
  <c r="O570" i="2"/>
  <c r="Q570" i="2" s="1"/>
  <c r="O593" i="2"/>
  <c r="Q593" i="2" s="1"/>
  <c r="O523" i="2"/>
  <c r="Q523" i="2" s="1"/>
  <c r="Q2026" i="2"/>
  <c r="O887" i="2"/>
  <c r="Q887" i="2" s="1"/>
  <c r="O855" i="2"/>
  <c r="O843" i="2"/>
  <c r="Q843" i="2" s="1"/>
  <c r="O763" i="2"/>
  <c r="Q763" i="2" s="1"/>
  <c r="O808" i="2"/>
  <c r="Q808" i="2" s="1"/>
  <c r="O813" i="2"/>
  <c r="Q813" i="2" s="1"/>
  <c r="O805" i="2"/>
  <c r="O789" i="2"/>
  <c r="O754" i="2"/>
  <c r="O766" i="2"/>
  <c r="O721" i="2"/>
  <c r="Q721" i="2" s="1"/>
  <c r="O826" i="2"/>
  <c r="O291" i="2"/>
  <c r="Q291" i="2" s="1"/>
  <c r="O283" i="2"/>
  <c r="O282" i="2"/>
  <c r="Q282" i="2" s="1"/>
  <c r="O325" i="2"/>
  <c r="O273" i="2"/>
  <c r="Q273" i="2" s="1"/>
  <c r="O263" i="2"/>
  <c r="O306" i="2"/>
  <c r="O238" i="2"/>
  <c r="O285" i="2"/>
  <c r="O262" i="2"/>
  <c r="O257" i="2"/>
  <c r="Q257" i="2" s="1"/>
  <c r="O302" i="2"/>
  <c r="O1904" i="2"/>
  <c r="O1989" i="2"/>
  <c r="O1663" i="2"/>
  <c r="Q1663" i="2" s="1"/>
  <c r="O1660" i="2"/>
  <c r="Q1660" i="2" s="1"/>
  <c r="O1682" i="2"/>
  <c r="Q1682" i="2" s="1"/>
  <c r="O1661" i="2"/>
  <c r="Q1661" i="2" s="1"/>
  <c r="O1683" i="2"/>
  <c r="Q1683" i="2" s="1"/>
  <c r="O1680" i="2"/>
  <c r="Q1680" i="2" s="1"/>
  <c r="O1681" i="2"/>
  <c r="O1678" i="2"/>
  <c r="Q1678" i="2" s="1"/>
  <c r="O1679" i="2"/>
  <c r="O1676" i="2"/>
  <c r="Q1676" i="2" s="1"/>
  <c r="O1675" i="2"/>
  <c r="Q1675" i="2" s="1"/>
  <c r="O1672" i="2"/>
  <c r="Q1672" i="2" s="1"/>
  <c r="O1673" i="2"/>
  <c r="Q1673" i="2" s="1"/>
  <c r="O1670" i="2"/>
  <c r="Q1670" i="2" s="1"/>
  <c r="O1671" i="2"/>
  <c r="Q1671" i="2" s="1"/>
  <c r="O1664" i="2"/>
  <c r="Q1664" i="2" s="1"/>
  <c r="O1674" i="2"/>
  <c r="Q1674" i="2" s="1"/>
  <c r="O1677" i="2"/>
  <c r="O1669" i="2"/>
  <c r="Q1669" i="2" s="1"/>
  <c r="O1665" i="2"/>
  <c r="O1662" i="2"/>
  <c r="O1666" i="2"/>
  <c r="Q1666" i="2" s="1"/>
  <c r="O1667" i="2"/>
  <c r="O1668" i="2"/>
  <c r="Q1668" i="2" s="1"/>
  <c r="P1203" i="2"/>
  <c r="P1171" i="2"/>
  <c r="P1245" i="2"/>
  <c r="P955" i="2"/>
  <c r="P867" i="2"/>
  <c r="P909" i="2"/>
  <c r="P912" i="2"/>
  <c r="P736" i="2"/>
  <c r="P823" i="2"/>
  <c r="P616" i="2"/>
  <c r="P745" i="2"/>
  <c r="P649" i="2"/>
  <c r="P613" i="2"/>
  <c r="P618" i="2"/>
  <c r="P1215" i="2"/>
  <c r="P761" i="2"/>
  <c r="P793" i="2"/>
  <c r="P552" i="2"/>
  <c r="P771" i="2"/>
  <c r="P718" i="2"/>
  <c r="P585" i="2"/>
  <c r="P782" i="2"/>
  <c r="P583" i="2"/>
  <c r="P582" i="2"/>
  <c r="O955" i="2"/>
  <c r="Q955" i="2" s="1"/>
  <c r="O881" i="2"/>
  <c r="Q881" i="2" s="1"/>
  <c r="O877" i="2"/>
  <c r="O867" i="2"/>
  <c r="Q867" i="2" s="1"/>
  <c r="O884" i="2"/>
  <c r="Q884" i="2" s="1"/>
  <c r="O932" i="2"/>
  <c r="Q932" i="2" s="1"/>
  <c r="O909" i="2"/>
  <c r="O974" i="2"/>
  <c r="Q974" i="2" s="1"/>
  <c r="O927" i="2"/>
  <c r="O842" i="2"/>
  <c r="O912" i="2"/>
  <c r="Q912" i="2" s="1"/>
  <c r="O929" i="2"/>
  <c r="Q929" i="2" s="1"/>
  <c r="AO30" i="1"/>
  <c r="J61" i="3"/>
  <c r="P1258" i="2"/>
  <c r="P1184" i="2"/>
  <c r="P1211" i="2"/>
  <c r="P1229" i="2"/>
  <c r="P998" i="2"/>
  <c r="P952" i="2"/>
  <c r="P908" i="2"/>
  <c r="P833" i="2"/>
  <c r="P757" i="2"/>
  <c r="P810" i="2"/>
  <c r="P794" i="2"/>
  <c r="P746" i="2"/>
  <c r="P848" i="2"/>
  <c r="P699" i="2"/>
  <c r="P603" i="2"/>
  <c r="P796" i="2"/>
  <c r="P674" i="2"/>
  <c r="P646" i="2"/>
  <c r="P671" i="2"/>
  <c r="P780" i="2"/>
  <c r="P627" i="2"/>
  <c r="P953" i="2"/>
  <c r="P631" i="2"/>
  <c r="P657" i="2"/>
  <c r="O1960" i="2"/>
  <c r="O1965" i="2"/>
  <c r="O1961" i="2"/>
  <c r="O1954" i="2"/>
  <c r="Q1954" i="2" s="1"/>
  <c r="O428" i="2"/>
  <c r="Q428" i="2" s="1"/>
  <c r="O455" i="2"/>
  <c r="Q455" i="2" s="1"/>
  <c r="O446" i="2"/>
  <c r="O30" i="2"/>
  <c r="O14" i="2"/>
  <c r="O27" i="2"/>
  <c r="O415" i="2"/>
  <c r="O10" i="2"/>
  <c r="Q10" i="2" s="1"/>
  <c r="O919" i="2"/>
  <c r="O865" i="2"/>
  <c r="Q865" i="2" s="1"/>
  <c r="O839" i="2"/>
  <c r="Q839" i="2" s="1"/>
  <c r="O830" i="2"/>
  <c r="Q830" i="2" s="1"/>
  <c r="O827" i="2"/>
  <c r="Q827" i="2" s="1"/>
  <c r="O889" i="2"/>
  <c r="Q889" i="2" s="1"/>
  <c r="O860" i="2"/>
  <c r="O814" i="2"/>
  <c r="O785" i="2"/>
  <c r="Q785" i="2" s="1"/>
  <c r="O738" i="2"/>
  <c r="O788" i="2"/>
  <c r="O778" i="2"/>
  <c r="Q778" i="2" s="1"/>
  <c r="O343" i="2"/>
  <c r="O315" i="2"/>
  <c r="Q315" i="2" s="1"/>
  <c r="O309" i="2"/>
  <c r="O272" i="2"/>
  <c r="Q272" i="2" s="1"/>
  <c r="O292" i="2"/>
  <c r="Q292" i="2" s="1"/>
  <c r="O271" i="2"/>
  <c r="Q271" i="2" s="1"/>
  <c r="O301" i="2"/>
  <c r="Q301" i="2" s="1"/>
  <c r="O286" i="2"/>
  <c r="O266" i="2"/>
  <c r="O294" i="2"/>
  <c r="O326" i="2"/>
  <c r="Q326" i="2" s="1"/>
  <c r="O245" i="2"/>
  <c r="O1988" i="2"/>
  <c r="O184" i="2"/>
  <c r="O152" i="2"/>
  <c r="O142" i="2"/>
  <c r="O165" i="2"/>
  <c r="O97" i="2"/>
  <c r="O161" i="2"/>
  <c r="O137" i="2"/>
  <c r="Q137" i="2" s="1"/>
  <c r="O135" i="2"/>
  <c r="O108" i="2"/>
  <c r="Q108" i="2" s="1"/>
  <c r="O67" i="2"/>
  <c r="Q67" i="2" s="1"/>
  <c r="O126" i="2"/>
  <c r="Q126" i="2" s="1"/>
  <c r="O106" i="2"/>
  <c r="O132" i="2"/>
  <c r="O127" i="2"/>
  <c r="O111" i="2"/>
  <c r="O105" i="2"/>
  <c r="Q105" i="2" s="1"/>
  <c r="O73" i="2"/>
  <c r="O100" i="2"/>
  <c r="Q100" i="2" s="1"/>
  <c r="O84" i="2"/>
  <c r="O80" i="2"/>
  <c r="Q80" i="2" s="1"/>
  <c r="O56" i="2"/>
  <c r="Q56" i="2" s="1"/>
  <c r="O107" i="2"/>
  <c r="Q107" i="2" s="1"/>
  <c r="O83" i="2"/>
  <c r="O98" i="2"/>
  <c r="O1730" i="2"/>
  <c r="Q1730" i="2" s="1"/>
  <c r="O1740" i="2"/>
  <c r="Q1740" i="2" s="1"/>
  <c r="O1739" i="2"/>
  <c r="O1729" i="2"/>
  <c r="O1738" i="2"/>
  <c r="Q1738" i="2" s="1"/>
  <c r="O1737" i="2"/>
  <c r="O1731" i="2"/>
  <c r="Q1731" i="2" s="1"/>
  <c r="O1736" i="2"/>
  <c r="Q1736" i="2" s="1"/>
  <c r="O1735" i="2"/>
  <c r="Q1735" i="2" s="1"/>
  <c r="O1747" i="2"/>
  <c r="O1734" i="2"/>
  <c r="Q1734" i="2" s="1"/>
  <c r="O1728" i="2"/>
  <c r="O1746" i="2"/>
  <c r="O1743" i="2"/>
  <c r="Q1743" i="2" s="1"/>
  <c r="O1741" i="2"/>
  <c r="Q1741" i="2" s="1"/>
  <c r="O1745" i="2"/>
  <c r="O1732" i="2"/>
  <c r="O1742" i="2"/>
  <c r="O1733" i="2"/>
  <c r="Q1733" i="2" s="1"/>
  <c r="O1744" i="2"/>
  <c r="O375" i="2"/>
  <c r="Q375" i="2" s="1"/>
  <c r="O4" i="2"/>
  <c r="O2" i="2"/>
  <c r="O398" i="2"/>
  <c r="Q398" i="2" s="1"/>
  <c r="O1020" i="2"/>
  <c r="O940" i="2"/>
  <c r="O875" i="2"/>
  <c r="Q875" i="2" s="1"/>
  <c r="O963" i="2"/>
  <c r="O923" i="2"/>
  <c r="Q923" i="2" s="1"/>
  <c r="O915" i="2"/>
  <c r="O980" i="2"/>
  <c r="O917" i="2"/>
  <c r="Q917" i="2" s="1"/>
  <c r="O852" i="2"/>
  <c r="Q852" i="2" s="1"/>
  <c r="O817" i="2"/>
  <c r="O985" i="2"/>
  <c r="O371" i="2"/>
  <c r="O361" i="2"/>
  <c r="O341" i="2"/>
  <c r="O316" i="2"/>
  <c r="O868" i="2"/>
  <c r="O388" i="2"/>
  <c r="O376" i="2"/>
  <c r="O352" i="2"/>
  <c r="Q352" i="2" s="1"/>
  <c r="O344" i="2"/>
  <c r="Q344" i="2" s="1"/>
  <c r="O340" i="2"/>
  <c r="Q340" i="2" s="1"/>
  <c r="O305" i="2"/>
  <c r="O287" i="2"/>
  <c r="O320" i="2"/>
  <c r="O1606" i="2"/>
  <c r="Q1606" i="2" s="1"/>
  <c r="O1610" i="2"/>
  <c r="Q1610" i="2" s="1"/>
  <c r="O1601" i="2"/>
  <c r="Q1601" i="2" s="1"/>
  <c r="O1605" i="2"/>
  <c r="Q1605" i="2" s="1"/>
  <c r="O1603" i="2"/>
  <c r="Q1603" i="2" s="1"/>
  <c r="O1596" i="2"/>
  <c r="Q1596" i="2" s="1"/>
  <c r="O1593" i="2"/>
  <c r="Q1593" i="2" s="1"/>
  <c r="O1584" i="2"/>
  <c r="O1591" i="2"/>
  <c r="Q1591" i="2" s="1"/>
  <c r="O1589" i="2"/>
  <c r="O1597" i="2"/>
  <c r="O1599" i="2"/>
  <c r="Q1599" i="2" s="1"/>
  <c r="O1412" i="2"/>
  <c r="Q1412" i="2" s="1"/>
  <c r="O1383" i="2"/>
  <c r="O1382" i="2"/>
  <c r="Q1382" i="2" s="1"/>
  <c r="O1366" i="2"/>
  <c r="O1408" i="2"/>
  <c r="Q1408" i="2" s="1"/>
  <c r="O1395" i="2"/>
  <c r="Q1395" i="2" s="1"/>
  <c r="O1387" i="2"/>
  <c r="Q1387" i="2" s="1"/>
  <c r="O1344" i="2"/>
  <c r="O1362" i="2"/>
  <c r="Q1362" i="2" s="1"/>
  <c r="O1425" i="2"/>
  <c r="Q1425" i="2" s="1"/>
  <c r="O1368" i="2"/>
  <c r="Q1368" i="2" s="1"/>
  <c r="O1403" i="2"/>
  <c r="Q1403" i="2" s="1"/>
  <c r="O2038" i="2"/>
  <c r="Q2038" i="2" s="1"/>
  <c r="O2042" i="2"/>
  <c r="O2036" i="2"/>
  <c r="Q2036" i="2" s="1"/>
  <c r="O1950" i="2"/>
  <c r="O2033" i="2"/>
  <c r="Q2033" i="2" s="1"/>
  <c r="O1917" i="2"/>
  <c r="Q1917" i="2" s="1"/>
  <c r="O1906" i="2"/>
  <c r="Q1906" i="2" s="1"/>
  <c r="J50" i="3"/>
  <c r="P1990" i="2"/>
  <c r="P1987" i="2"/>
  <c r="P1993" i="2"/>
  <c r="P1991" i="2"/>
  <c r="P1979" i="2"/>
  <c r="P1989" i="2"/>
  <c r="P1988" i="2"/>
  <c r="P1978" i="2"/>
  <c r="P1981" i="2"/>
  <c r="P1980" i="2"/>
  <c r="P1992" i="2"/>
  <c r="P1986" i="2"/>
  <c r="P1502" i="2"/>
  <c r="P1486" i="2"/>
  <c r="P1390" i="2"/>
  <c r="P1372" i="2"/>
  <c r="P1475" i="2"/>
  <c r="P1295" i="2"/>
  <c r="P1262" i="2"/>
  <c r="P1250" i="2"/>
  <c r="P1248" i="2"/>
  <c r="P1176" i="2"/>
  <c r="P1288" i="2"/>
  <c r="P1127" i="2"/>
  <c r="P1324" i="2"/>
  <c r="P1461" i="2"/>
  <c r="P1217" i="2"/>
  <c r="P1090" i="2"/>
  <c r="P1142" i="2"/>
  <c r="P1024" i="2"/>
  <c r="P984" i="2"/>
  <c r="P922" i="2"/>
  <c r="P725" i="2"/>
  <c r="P968" i="2"/>
  <c r="P1293" i="2"/>
  <c r="P622" i="2"/>
  <c r="P547" i="2"/>
  <c r="P755" i="2"/>
  <c r="P581" i="2"/>
  <c r="P621" i="2"/>
  <c r="P502" i="2"/>
  <c r="P580" i="2"/>
  <c r="P433" i="2"/>
  <c r="P471" i="2"/>
  <c r="P459" i="2"/>
  <c r="P615" i="2"/>
  <c r="P591" i="2"/>
  <c r="P656" i="2"/>
  <c r="O1523" i="2"/>
  <c r="O1509" i="2"/>
  <c r="O1507" i="2"/>
  <c r="O1530" i="2"/>
  <c r="Q1530" i="2" s="1"/>
  <c r="O1502" i="2"/>
  <c r="Q1502" i="2" s="1"/>
  <c r="O1541" i="2"/>
  <c r="Q1541" i="2" s="1"/>
  <c r="O1532" i="2"/>
  <c r="O1490" i="2"/>
  <c r="O1486" i="2"/>
  <c r="O1475" i="2"/>
  <c r="O1516" i="2"/>
  <c r="O1461" i="2"/>
  <c r="O1091" i="2"/>
  <c r="O1024" i="2"/>
  <c r="O1055" i="2"/>
  <c r="O1039" i="2"/>
  <c r="O1037" i="2"/>
  <c r="Q1037" i="2" s="1"/>
  <c r="O922" i="2"/>
  <c r="Q922" i="2" s="1"/>
  <c r="O996" i="2"/>
  <c r="O1070" i="2"/>
  <c r="O1094" i="2"/>
  <c r="O1125" i="2"/>
  <c r="O968" i="2"/>
  <c r="O984" i="2"/>
  <c r="Q984" i="2" s="1"/>
  <c r="Q1902" i="2"/>
  <c r="AM27" i="1"/>
  <c r="AN27" i="1"/>
  <c r="AL27" i="1"/>
  <c r="AK27" i="1"/>
  <c r="AJ27" i="1"/>
  <c r="AI27" i="1"/>
  <c r="AF27" i="1"/>
  <c r="O1896" i="2"/>
  <c r="O1538" i="2"/>
  <c r="Q1538" i="2" s="1"/>
  <c r="O1511" i="2"/>
  <c r="O1522" i="2"/>
  <c r="Q1522" i="2" s="1"/>
  <c r="O1525" i="2"/>
  <c r="O1499" i="2"/>
  <c r="Q1499" i="2" s="1"/>
  <c r="O1496" i="2"/>
  <c r="O1484" i="2"/>
  <c r="Q1484" i="2" s="1"/>
  <c r="O1480" i="2"/>
  <c r="O1470" i="2"/>
  <c r="O1455" i="2"/>
  <c r="O1500" i="2"/>
  <c r="O1518" i="2"/>
  <c r="O686" i="2"/>
  <c r="O666" i="2"/>
  <c r="O654" i="2"/>
  <c r="Q654" i="2" s="1"/>
  <c r="O603" i="2"/>
  <c r="Q603" i="2" s="1"/>
  <c r="O693" i="2"/>
  <c r="Q693" i="2" s="1"/>
  <c r="O667" i="2"/>
  <c r="O627" i="2"/>
  <c r="Q627" i="2" s="1"/>
  <c r="O631" i="2"/>
  <c r="O638" i="2"/>
  <c r="Q638" i="2" s="1"/>
  <c r="O623" i="2"/>
  <c r="Q623" i="2" s="1"/>
  <c r="O657" i="2"/>
  <c r="O653" i="2"/>
  <c r="Q653" i="2" s="1"/>
  <c r="O779" i="2"/>
  <c r="O723" i="2"/>
  <c r="Q723" i="2" s="1"/>
  <c r="O792" i="2"/>
  <c r="Q792" i="2" s="1"/>
  <c r="O752" i="2"/>
  <c r="O744" i="2"/>
  <c r="Q744" i="2" s="1"/>
  <c r="O720" i="2"/>
  <c r="O712" i="2"/>
  <c r="Q712" i="2" s="1"/>
  <c r="O767" i="2"/>
  <c r="Q767" i="2" s="1"/>
  <c r="O751" i="2"/>
  <c r="Q751" i="2" s="1"/>
  <c r="O804" i="2"/>
  <c r="Q804" i="2" s="1"/>
  <c r="O832" i="2"/>
  <c r="O685" i="2"/>
  <c r="Q685" i="2" s="1"/>
  <c r="O295" i="2"/>
  <c r="O277" i="2"/>
  <c r="O264" i="2"/>
  <c r="Q264" i="2" s="1"/>
  <c r="O267" i="2"/>
  <c r="O254" i="2"/>
  <c r="Q254" i="2" s="1"/>
  <c r="O249" i="2"/>
  <c r="O208" i="2"/>
  <c r="Q208" i="2" s="1"/>
  <c r="O227" i="2"/>
  <c r="Q227" i="2" s="1"/>
  <c r="O255" i="2"/>
  <c r="Q255" i="2" s="1"/>
  <c r="O239" i="2"/>
  <c r="Q239" i="2" s="1"/>
  <c r="O236" i="2"/>
  <c r="Q236" i="2" s="1"/>
  <c r="O281" i="2"/>
  <c r="Q1852" i="2"/>
  <c r="O1908" i="2"/>
  <c r="Q1908" i="2" s="1"/>
  <c r="P1166" i="2"/>
  <c r="P1153" i="2"/>
  <c r="P1197" i="2"/>
  <c r="P1117" i="2"/>
  <c r="P881" i="2"/>
  <c r="P877" i="2"/>
  <c r="P770" i="2"/>
  <c r="P724" i="2"/>
  <c r="P592" i="2"/>
  <c r="P716" i="2"/>
  <c r="P528" i="2"/>
  <c r="P842" i="2"/>
  <c r="P703" i="2"/>
  <c r="P927" i="2"/>
  <c r="P733" i="2"/>
  <c r="P594" i="2"/>
  <c r="P588" i="2"/>
  <c r="P620" i="2"/>
  <c r="P560" i="2"/>
  <c r="P695" i="2"/>
  <c r="P565" i="2"/>
  <c r="P562" i="2"/>
  <c r="P681" i="2"/>
  <c r="P741" i="2"/>
  <c r="J111" i="3"/>
  <c r="P2058" i="2"/>
  <c r="P2057" i="2"/>
  <c r="P2052" i="2"/>
  <c r="P2059" i="2"/>
  <c r="P2011" i="2"/>
  <c r="P2004" i="2"/>
  <c r="P2034" i="2"/>
  <c r="P2061" i="2"/>
  <c r="P2060" i="2"/>
  <c r="P2053" i="2"/>
  <c r="P2029" i="2"/>
  <c r="Q2029" i="2" s="1"/>
  <c r="P2010" i="2"/>
  <c r="P2033" i="2"/>
  <c r="P2008" i="2"/>
  <c r="P2005" i="2"/>
  <c r="P2032" i="2"/>
  <c r="Q2032" i="2" s="1"/>
  <c r="P2009" i="2"/>
  <c r="P2028" i="2"/>
  <c r="P2012" i="2"/>
  <c r="P2013" i="2"/>
  <c r="P2035" i="2"/>
  <c r="Q2035" i="2" s="1"/>
  <c r="P2036" i="2"/>
  <c r="P2056" i="2"/>
  <c r="P2037" i="2"/>
  <c r="P1212" i="2"/>
  <c r="P1180" i="2"/>
  <c r="P1164" i="2"/>
  <c r="P1133" i="2"/>
  <c r="P808" i="2"/>
  <c r="P778" i="2"/>
  <c r="P754" i="2"/>
  <c r="P738" i="2"/>
  <c r="P788" i="2"/>
  <c r="P766" i="2"/>
  <c r="P542" i="2"/>
  <c r="P721" i="2"/>
  <c r="P505" i="2"/>
  <c r="P496" i="2"/>
  <c r="P830" i="2"/>
  <c r="P465" i="2"/>
  <c r="P283" i="2"/>
  <c r="P257" i="2"/>
  <c r="P263" i="2"/>
  <c r="P245" i="2"/>
  <c r="P238" i="2"/>
  <c r="P272" i="2"/>
  <c r="P266" i="2"/>
  <c r="P294" i="2"/>
  <c r="P1790" i="2"/>
  <c r="P1791" i="2"/>
  <c r="P367" i="2"/>
  <c r="P399" i="2"/>
  <c r="P348" i="2"/>
  <c r="P378" i="2"/>
  <c r="P23" i="2"/>
  <c r="P7" i="2"/>
  <c r="P199" i="2"/>
  <c r="P123" i="2"/>
  <c r="P174" i="2"/>
  <c r="P158" i="2"/>
  <c r="P20" i="2"/>
  <c r="P184" i="2"/>
  <c r="P181" i="2"/>
  <c r="P150" i="2"/>
  <c r="P19" i="2"/>
  <c r="P152" i="2"/>
  <c r="P38" i="2"/>
  <c r="P220" i="2"/>
  <c r="P161" i="2"/>
  <c r="P196" i="2"/>
  <c r="P126" i="2"/>
  <c r="P37" i="2"/>
  <c r="O1275" i="2"/>
  <c r="Q1275" i="2" s="1"/>
  <c r="O1153" i="2"/>
  <c r="Q1153" i="2" s="1"/>
  <c r="O1245" i="2"/>
  <c r="Q1245" i="2" s="1"/>
  <c r="O1200" i="2"/>
  <c r="Q1200" i="2" s="1"/>
  <c r="O1166" i="2"/>
  <c r="Q1166" i="2" s="1"/>
  <c r="O1117" i="2"/>
  <c r="O1231" i="2"/>
  <c r="Q1231" i="2" s="1"/>
  <c r="O1197" i="2"/>
  <c r="O1215" i="2"/>
  <c r="Q1215" i="2" s="1"/>
  <c r="O1241" i="2"/>
  <c r="Q1241" i="2" s="1"/>
  <c r="O1203" i="2"/>
  <c r="O1171" i="2"/>
  <c r="Q2100" i="2"/>
  <c r="Q2031" i="2"/>
  <c r="O1058" i="2"/>
  <c r="O1022" i="2"/>
  <c r="O1018" i="2"/>
  <c r="O1063" i="2"/>
  <c r="O1031" i="2"/>
  <c r="Q1031" i="2" s="1"/>
  <c r="O1023" i="2"/>
  <c r="O987" i="2"/>
  <c r="Q987" i="2" s="1"/>
  <c r="O1013" i="2"/>
  <c r="Q1013" i="2" s="1"/>
  <c r="O986" i="2"/>
  <c r="Q986" i="2" s="1"/>
  <c r="O982" i="2"/>
  <c r="O941" i="2"/>
  <c r="Q941" i="2" s="1"/>
  <c r="O977" i="2"/>
  <c r="O587" i="2"/>
  <c r="O544" i="2"/>
  <c r="Q544" i="2" s="1"/>
  <c r="O555" i="2"/>
  <c r="Q555" i="2" s="1"/>
  <c r="O486" i="2"/>
  <c r="O480" i="2"/>
  <c r="Q480" i="2" s="1"/>
  <c r="O521" i="2"/>
  <c r="O472" i="2"/>
  <c r="Q472" i="2" s="1"/>
  <c r="O441" i="2"/>
  <c r="Q441" i="2" s="1"/>
  <c r="O568" i="2"/>
  <c r="Q568" i="2" s="1"/>
  <c r="O516" i="2"/>
  <c r="Q516" i="2" s="1"/>
  <c r="O509" i="2"/>
  <c r="Q509" i="2" s="1"/>
  <c r="O140" i="2"/>
  <c r="Q140" i="2" s="1"/>
  <c r="O99" i="2"/>
  <c r="Q99" i="2" s="1"/>
  <c r="O79" i="2"/>
  <c r="O43" i="2"/>
  <c r="Q43" i="2" s="1"/>
  <c r="O88" i="2"/>
  <c r="O76" i="2"/>
  <c r="Q76" i="2" s="1"/>
  <c r="O52" i="2"/>
  <c r="O119" i="2"/>
  <c r="O48" i="2"/>
  <c r="Q48" i="2" s="1"/>
  <c r="O24" i="2"/>
  <c r="Q24" i="2" s="1"/>
  <c r="O530" i="2"/>
  <c r="O114" i="2"/>
  <c r="Q114" i="2" s="1"/>
  <c r="O70" i="2"/>
  <c r="Q2040" i="2"/>
  <c r="O1326" i="2"/>
  <c r="Q1326" i="2" s="1"/>
  <c r="O1289" i="2"/>
  <c r="Q1289" i="2" s="1"/>
  <c r="O1260" i="2"/>
  <c r="O1256" i="2"/>
  <c r="Q1256" i="2" s="1"/>
  <c r="O1230" i="2"/>
  <c r="O1305" i="2"/>
  <c r="Q1305" i="2" s="1"/>
  <c r="O1300" i="2"/>
  <c r="Q1300" i="2" s="1"/>
  <c r="O1273" i="2"/>
  <c r="Q1273" i="2" s="1"/>
  <c r="O1182" i="2"/>
  <c r="O1257" i="2"/>
  <c r="Q1257" i="2" s="1"/>
  <c r="O1225" i="2"/>
  <c r="O1209" i="2"/>
  <c r="O1814" i="2"/>
  <c r="O1816" i="2"/>
  <c r="O1820" i="2"/>
  <c r="O1813" i="2"/>
  <c r="Q1813" i="2" s="1"/>
  <c r="O1810" i="2"/>
  <c r="O1818" i="2"/>
  <c r="O1811" i="2"/>
  <c r="O1821" i="2"/>
  <c r="Q1821" i="2" s="1"/>
  <c r="O1819" i="2"/>
  <c r="O1812" i="2"/>
  <c r="Q1812" i="2" s="1"/>
  <c r="O1407" i="2"/>
  <c r="O1374" i="2"/>
  <c r="O1396" i="2"/>
  <c r="O1388" i="2"/>
  <c r="O1413" i="2"/>
  <c r="O1393" i="2"/>
  <c r="Q1393" i="2" s="1"/>
  <c r="O760" i="2"/>
  <c r="O727" i="2"/>
  <c r="Q727" i="2" s="1"/>
  <c r="O799" i="2"/>
  <c r="O786" i="2"/>
  <c r="Q786" i="2" s="1"/>
  <c r="O762" i="2"/>
  <c r="Q762" i="2" s="1"/>
  <c r="O750" i="2"/>
  <c r="Q750" i="2" s="1"/>
  <c r="O1958" i="2"/>
  <c r="J56" i="3"/>
  <c r="O2023" i="2"/>
  <c r="Q2023" i="2" s="1"/>
  <c r="O2037" i="2"/>
  <c r="Q2037" i="2" s="1"/>
  <c r="O2045" i="2"/>
  <c r="Q2045" i="2" s="1"/>
  <c r="O2034" i="2"/>
  <c r="O1909" i="2"/>
  <c r="Q1909" i="2" s="1"/>
  <c r="O1962" i="2"/>
  <c r="Q1962" i="2" s="1"/>
  <c r="O1895" i="2"/>
  <c r="Q1895" i="2" s="1"/>
  <c r="O1910" i="2"/>
  <c r="Q1910" i="2" s="1"/>
  <c r="O2027" i="2"/>
  <c r="O1959" i="2"/>
  <c r="N518" i="2"/>
  <c r="N425" i="2"/>
  <c r="N473" i="2"/>
  <c r="N449" i="2"/>
  <c r="N275" i="2"/>
  <c r="N269" i="2"/>
  <c r="N265" i="2"/>
  <c r="N261" i="2"/>
  <c r="N259" i="2"/>
  <c r="N253" i="2"/>
  <c r="N251" i="2"/>
  <c r="N491" i="2"/>
  <c r="N447" i="2"/>
  <c r="N290" i="2"/>
  <c r="N244" i="2"/>
  <c r="N444" i="2"/>
  <c r="N412" i="2"/>
  <c r="N278" i="2"/>
  <c r="N258" i="2"/>
  <c r="N225" i="2"/>
  <c r="N207" i="2"/>
  <c r="N487" i="2"/>
  <c r="N246" i="2"/>
  <c r="N198" i="2"/>
  <c r="N464" i="2"/>
  <c r="N276" i="2"/>
  <c r="N242" i="2"/>
  <c r="N233" i="2"/>
  <c r="N205" i="2"/>
  <c r="N183" i="2"/>
  <c r="N173" i="2"/>
  <c r="N159" i="2"/>
  <c r="N155" i="2"/>
  <c r="N129" i="2"/>
  <c r="N127" i="2"/>
  <c r="N111" i="2"/>
  <c r="N109" i="2"/>
  <c r="N107" i="2"/>
  <c r="N105" i="2"/>
  <c r="N101" i="2"/>
  <c r="N85" i="2"/>
  <c r="N83" i="2"/>
  <c r="N73" i="2"/>
  <c r="N134" i="2"/>
  <c r="N206" i="2"/>
  <c r="N274" i="2"/>
  <c r="N248" i="2"/>
  <c r="N229" i="2"/>
  <c r="N390" i="2"/>
  <c r="N223" i="2"/>
  <c r="N235" i="2"/>
  <c r="N422" i="2"/>
  <c r="N243" i="2"/>
  <c r="N213" i="2"/>
  <c r="N138" i="2"/>
  <c r="N132" i="2"/>
  <c r="N116" i="2"/>
  <c r="N112" i="2"/>
  <c r="N100" i="2"/>
  <c r="N84" i="2"/>
  <c r="N80" i="2"/>
  <c r="N56" i="2"/>
  <c r="N256" i="2"/>
  <c r="N214" i="2"/>
  <c r="N130" i="2"/>
  <c r="N98" i="2"/>
  <c r="N268" i="2"/>
  <c r="N260" i="2"/>
  <c r="N136" i="2"/>
  <c r="N226" i="2"/>
  <c r="N288" i="2"/>
  <c r="N232" i="2"/>
  <c r="O1444" i="2"/>
  <c r="O1428" i="2"/>
  <c r="O1426" i="2"/>
  <c r="Q1426" i="2" s="1"/>
  <c r="O1424" i="2"/>
  <c r="Q1424" i="2" s="1"/>
  <c r="O1433" i="2"/>
  <c r="O1404" i="2"/>
  <c r="Q1404" i="2" s="1"/>
  <c r="O1463" i="2"/>
  <c r="Q1463" i="2" s="1"/>
  <c r="O1409" i="2"/>
  <c r="Q1409" i="2" s="1"/>
  <c r="O1410" i="2"/>
  <c r="Q1410" i="2" s="1"/>
  <c r="O1439" i="2"/>
  <c r="Q1439" i="2" s="1"/>
  <c r="O1447" i="2"/>
  <c r="O1385" i="2"/>
  <c r="Q1385" i="2" s="1"/>
  <c r="J108" i="3"/>
  <c r="P2051" i="2"/>
  <c r="P2046" i="2"/>
  <c r="P2025" i="2"/>
  <c r="P2024" i="2"/>
  <c r="Q2024" i="2" s="1"/>
  <c r="P2007" i="2"/>
  <c r="P2000" i="2"/>
  <c r="P2055" i="2"/>
  <c r="P2054" i="2"/>
  <c r="P2047" i="2"/>
  <c r="P2003" i="2"/>
  <c r="P2002" i="2"/>
  <c r="P2048" i="2"/>
  <c r="P2031" i="2"/>
  <c r="P2030" i="2"/>
  <c r="P2001" i="2"/>
  <c r="P1999" i="2"/>
  <c r="P2049" i="2"/>
  <c r="P1998" i="2"/>
  <c r="P2026" i="2"/>
  <c r="P2027" i="2"/>
  <c r="P2022" i="2"/>
  <c r="Q2022" i="2" s="1"/>
  <c r="P2050" i="2"/>
  <c r="P2006" i="2"/>
  <c r="P2023" i="2"/>
  <c r="P1279" i="2"/>
  <c r="P1243" i="2"/>
  <c r="P1201" i="2"/>
  <c r="P1233" i="2"/>
  <c r="P919" i="2"/>
  <c r="P887" i="2"/>
  <c r="P860" i="2"/>
  <c r="P843" i="2"/>
  <c r="P789" i="2"/>
  <c r="P826" i="2"/>
  <c r="P865" i="2"/>
  <c r="P576" i="2"/>
  <c r="P610" i="2"/>
  <c r="P531" i="2"/>
  <c r="P564" i="2"/>
  <c r="P343" i="2"/>
  <c r="P325" i="2"/>
  <c r="P315" i="2"/>
  <c r="P309" i="2"/>
  <c r="P291" i="2"/>
  <c r="P302" i="2"/>
  <c r="P286" i="2"/>
  <c r="P273" i="2"/>
  <c r="P814" i="2"/>
  <c r="P1796" i="2"/>
  <c r="P1794" i="2"/>
  <c r="P1792" i="2"/>
  <c r="P1786" i="2"/>
  <c r="P1797" i="2"/>
  <c r="P1787" i="2"/>
  <c r="P323" i="2"/>
  <c r="P299" i="2"/>
  <c r="P354" i="2"/>
  <c r="P330" i="2"/>
  <c r="P97" i="2"/>
  <c r="P104" i="2"/>
  <c r="P92" i="2"/>
  <c r="P133" i="2"/>
  <c r="P108" i="2"/>
  <c r="P63" i="2"/>
  <c r="P25" i="2"/>
  <c r="P9" i="2"/>
  <c r="P26" i="2"/>
  <c r="P204" i="2"/>
  <c r="P180" i="2"/>
  <c r="P67" i="2"/>
  <c r="P8" i="2"/>
  <c r="P137" i="2"/>
  <c r="P1428" i="2"/>
  <c r="P1433" i="2"/>
  <c r="P1447" i="2"/>
  <c r="P1309" i="2"/>
  <c r="P1277" i="2"/>
  <c r="P1410" i="2"/>
  <c r="P1244" i="2"/>
  <c r="P1196" i="2"/>
  <c r="P1158" i="2"/>
  <c r="P1074" i="2"/>
  <c r="P1159" i="2"/>
  <c r="P1111" i="2"/>
  <c r="P1128" i="2"/>
  <c r="P911" i="2"/>
  <c r="P916" i="2"/>
  <c r="P1152" i="2"/>
  <c r="P1109" i="2"/>
  <c r="P871" i="2"/>
  <c r="P913" i="2"/>
  <c r="P1282" i="2"/>
  <c r="P907" i="2"/>
  <c r="P957" i="2"/>
  <c r="P959" i="2"/>
  <c r="P866" i="2"/>
  <c r="J20" i="3"/>
  <c r="J11" i="3"/>
  <c r="P1496" i="2"/>
  <c r="P1480" i="2"/>
  <c r="P1470" i="2"/>
  <c r="P1455" i="2"/>
  <c r="P1375" i="2"/>
  <c r="P1359" i="2"/>
  <c r="P1343" i="2"/>
  <c r="P1357" i="2"/>
  <c r="P1286" i="2"/>
  <c r="P1256" i="2"/>
  <c r="P1182" i="2"/>
  <c r="P1225" i="2"/>
  <c r="P1247" i="2"/>
  <c r="P1118" i="2"/>
  <c r="P1205" i="2"/>
  <c r="P1086" i="2"/>
  <c r="P1084" i="2"/>
  <c r="P1078" i="2"/>
  <c r="P1046" i="2"/>
  <c r="P1002" i="2"/>
  <c r="P1209" i="2"/>
  <c r="P1043" i="2"/>
  <c r="P1049" i="2"/>
  <c r="P1237" i="2"/>
  <c r="P1762" i="2"/>
  <c r="P1760" i="2"/>
  <c r="P1747" i="2"/>
  <c r="P1745" i="2"/>
  <c r="P1737" i="2"/>
  <c r="P1735" i="2"/>
  <c r="P1729" i="2"/>
  <c r="P1727" i="2"/>
  <c r="P1725" i="2"/>
  <c r="P1721" i="2"/>
  <c r="P1719" i="2"/>
  <c r="P1715" i="2"/>
  <c r="P1713" i="2"/>
  <c r="P1731" i="2"/>
  <c r="P1726" i="2"/>
  <c r="P1724" i="2"/>
  <c r="P1746" i="2"/>
  <c r="P1763" i="2"/>
  <c r="P1761" i="2"/>
  <c r="P1744" i="2"/>
  <c r="P897" i="2"/>
  <c r="P850" i="2"/>
  <c r="P802" i="2"/>
  <c r="P636" i="2"/>
  <c r="P532" i="2"/>
  <c r="P530" i="2"/>
  <c r="P602" i="2"/>
  <c r="P568" i="2"/>
  <c r="P486" i="2"/>
  <c r="P577" i="2"/>
  <c r="P539" i="2"/>
  <c r="P521" i="2"/>
  <c r="P331" i="2"/>
  <c r="P493" i="2"/>
  <c r="P838" i="2"/>
  <c r="P304" i="2"/>
  <c r="P280" i="2"/>
  <c r="P89" i="2"/>
  <c r="P88" i="2"/>
  <c r="P52" i="2"/>
  <c r="P128" i="2"/>
  <c r="P79" i="2"/>
  <c r="P59" i="2"/>
  <c r="P119" i="2"/>
  <c r="P95" i="2"/>
  <c r="P171" i="2"/>
  <c r="P300" i="2"/>
  <c r="P147" i="2"/>
  <c r="P1511" i="2"/>
  <c r="P1525" i="2"/>
  <c r="P1484" i="2"/>
  <c r="P1327" i="2"/>
  <c r="P1389" i="2"/>
  <c r="P1370" i="2"/>
  <c r="P1353" i="2"/>
  <c r="P1260" i="2"/>
  <c r="P1254" i="2"/>
  <c r="P1230" i="2"/>
  <c r="P1305" i="2"/>
  <c r="P1273" i="2"/>
  <c r="P1371" i="2"/>
  <c r="P1291" i="2"/>
  <c r="P1110" i="2"/>
  <c r="P1500" i="2"/>
  <c r="P1297" i="2"/>
  <c r="P1075" i="2"/>
  <c r="P1036" i="2"/>
  <c r="P1146" i="2"/>
  <c r="P1104" i="2"/>
  <c r="P1067" i="2"/>
  <c r="P1069" i="2"/>
  <c r="P1107" i="2"/>
  <c r="P1332" i="2"/>
  <c r="P1292" i="2"/>
  <c r="P1264" i="2"/>
  <c r="P1310" i="2"/>
  <c r="P1048" i="2"/>
  <c r="P1007" i="2"/>
  <c r="P961" i="2"/>
  <c r="P914" i="2"/>
  <c r="P878" i="2"/>
  <c r="P840" i="2"/>
  <c r="P894" i="2"/>
  <c r="P965" i="2"/>
  <c r="P942" i="2"/>
  <c r="P1009" i="2"/>
  <c r="P898" i="2"/>
  <c r="P693" i="2"/>
  <c r="P683" i="2"/>
  <c r="P731" i="2"/>
  <c r="P709" i="2"/>
  <c r="P667" i="2"/>
  <c r="P666" i="2"/>
  <c r="P707" i="2"/>
  <c r="P851" i="2"/>
  <c r="P638" i="2"/>
  <c r="AO26" i="1"/>
  <c r="AJ31" i="1"/>
  <c r="AO31" i="1" s="1"/>
  <c r="AI31" i="1"/>
  <c r="Y5" i="3" s="1"/>
  <c r="AF31" i="1"/>
  <c r="AK31" i="1"/>
  <c r="AN31" i="1"/>
  <c r="AM31" i="1"/>
  <c r="AL31" i="1"/>
  <c r="P412" i="2"/>
  <c r="P447" i="2"/>
  <c r="P259" i="2"/>
  <c r="P422" i="2"/>
  <c r="P390" i="2"/>
  <c r="P278" i="2"/>
  <c r="P260" i="2"/>
  <c r="P232" i="2"/>
  <c r="P242" i="2"/>
  <c r="P85" i="2"/>
  <c r="P112" i="2"/>
  <c r="P116" i="2"/>
  <c r="P84" i="2"/>
  <c r="P213" i="2"/>
  <c r="P183" i="2"/>
  <c r="P56" i="2"/>
  <c r="P205" i="2"/>
  <c r="P138" i="2"/>
  <c r="P206" i="2"/>
  <c r="P111" i="2"/>
  <c r="P83" i="2"/>
  <c r="P225" i="2"/>
  <c r="P198" i="2"/>
  <c r="P173" i="2"/>
  <c r="P1920" i="2"/>
  <c r="P1918" i="2"/>
  <c r="P1902" i="2"/>
  <c r="P1900" i="2"/>
  <c r="P1898" i="2"/>
  <c r="P1896" i="2"/>
  <c r="P1894" i="2"/>
  <c r="Q1894" i="2" s="1"/>
  <c r="P1919" i="2"/>
  <c r="P1874" i="2"/>
  <c r="P1923" i="2"/>
  <c r="P1879" i="2"/>
  <c r="P1875" i="2"/>
  <c r="P1897" i="2"/>
  <c r="P1876" i="2"/>
  <c r="P1895" i="2"/>
  <c r="P1899" i="2"/>
  <c r="P1617" i="2"/>
  <c r="P1616" i="2"/>
  <c r="P1626" i="2"/>
  <c r="P1627" i="2"/>
  <c r="P792" i="2"/>
  <c r="P744" i="2"/>
  <c r="P832" i="2"/>
  <c r="P536" i="2"/>
  <c r="P499" i="2"/>
  <c r="P527" i="2"/>
  <c r="P492" i="2"/>
  <c r="P482" i="2"/>
  <c r="P456" i="2"/>
  <c r="P450" i="2"/>
  <c r="P295" i="2"/>
  <c r="P535" i="2"/>
  <c r="P489" i="2"/>
  <c r="P575" i="2"/>
  <c r="P249" i="2"/>
  <c r="P779" i="2"/>
  <c r="P93" i="2"/>
  <c r="P31" i="2"/>
  <c r="P55" i="2"/>
  <c r="P124" i="2"/>
  <c r="P277" i="2"/>
  <c r="P267" i="2"/>
  <c r="P49" i="2"/>
  <c r="P91" i="2"/>
  <c r="P86" i="2"/>
  <c r="P62" i="2"/>
  <c r="P58" i="2"/>
  <c r="P29" i="2"/>
  <c r="P1788" i="2"/>
  <c r="P1789" i="2"/>
  <c r="P1793" i="2"/>
  <c r="P1795" i="2"/>
  <c r="P381" i="2"/>
  <c r="P353" i="2"/>
  <c r="P329" i="2"/>
  <c r="P360" i="2"/>
  <c r="P164" i="2"/>
  <c r="P33" i="2"/>
  <c r="P17" i="2"/>
  <c r="P142" i="2"/>
  <c r="P34" i="2"/>
  <c r="P165" i="2"/>
  <c r="P18" i="2"/>
  <c r="P131" i="2"/>
  <c r="P190" i="2"/>
  <c r="P216" i="2"/>
  <c r="P195" i="2"/>
  <c r="P172" i="2"/>
  <c r="P106" i="2"/>
  <c r="P102" i="2"/>
  <c r="P141" i="2"/>
  <c r="P135" i="2"/>
  <c r="P1523" i="2"/>
  <c r="P1541" i="2"/>
  <c r="P1507" i="2"/>
  <c r="P1530" i="2"/>
  <c r="P1358" i="2"/>
  <c r="P1397" i="2"/>
  <c r="P1356" i="2"/>
  <c r="P1392" i="2"/>
  <c r="P1162" i="2"/>
  <c r="P1328" i="2"/>
  <c r="P1299" i="2"/>
  <c r="P1338" i="2"/>
  <c r="P1411" i="2"/>
  <c r="P1377" i="2"/>
  <c r="P1185" i="2"/>
  <c r="P1329" i="2"/>
  <c r="P1213" i="2"/>
  <c r="P1132" i="2"/>
  <c r="P1070" i="2"/>
  <c r="P1378" i="2"/>
  <c r="P1135" i="2"/>
  <c r="P1150" i="2"/>
  <c r="P1125" i="2"/>
  <c r="P1091" i="2"/>
  <c r="P1098" i="2"/>
  <c r="P1183" i="2"/>
  <c r="P1352" i="2"/>
  <c r="P764" i="2"/>
  <c r="P729" i="2"/>
  <c r="P728" i="2"/>
  <c r="P660" i="2"/>
  <c r="P629" i="2"/>
  <c r="P659" i="2"/>
  <c r="P673" i="2"/>
  <c r="P798" i="2"/>
  <c r="P511" i="2"/>
  <c r="P701" i="2"/>
  <c r="P494" i="2"/>
  <c r="P1037" i="2"/>
  <c r="P759" i="2"/>
  <c r="P700" i="2"/>
  <c r="P438" i="2"/>
  <c r="P467" i="2"/>
  <c r="P543" i="2"/>
  <c r="P477" i="2"/>
  <c r="P463" i="2"/>
  <c r="P691" i="2"/>
  <c r="P508" i="2"/>
  <c r="C2137" i="2"/>
  <c r="C2135" i="2"/>
  <c r="C2133" i="2"/>
  <c r="C2131" i="2"/>
  <c r="C2129" i="2"/>
  <c r="C2127" i="2"/>
  <c r="C2136" i="2"/>
  <c r="C2134" i="2"/>
  <c r="C2130" i="2"/>
  <c r="C2126" i="2"/>
  <c r="C2132" i="2"/>
  <c r="C2083" i="2"/>
  <c r="C2082" i="2"/>
  <c r="C2081" i="2"/>
  <c r="C2075" i="2"/>
  <c r="C2080" i="2"/>
  <c r="C2074" i="2"/>
  <c r="C2128" i="2"/>
  <c r="C2076" i="2"/>
  <c r="C2087" i="2"/>
  <c r="C2020" i="2"/>
  <c r="C2013" i="2"/>
  <c r="C2073" i="2"/>
  <c r="C2006" i="2"/>
  <c r="C1999" i="2"/>
  <c r="C2085" i="2"/>
  <c r="C2016" i="2"/>
  <c r="C2009" i="2"/>
  <c r="C2077" i="2"/>
  <c r="C2019" i="2"/>
  <c r="C2002" i="2"/>
  <c r="C2088" i="2"/>
  <c r="C2071" i="2"/>
  <c r="C1981" i="2"/>
  <c r="C1978" i="2"/>
  <c r="C2089" i="2"/>
  <c r="C2070" i="2"/>
  <c r="C2079" i="2"/>
  <c r="C2072" i="2"/>
  <c r="C2021" i="2"/>
  <c r="C2018" i="2"/>
  <c r="C2017" i="2"/>
  <c r="C2015" i="2"/>
  <c r="C1985" i="2"/>
  <c r="C2014" i="2"/>
  <c r="C2012" i="2"/>
  <c r="C2011" i="2"/>
  <c r="C1980" i="2"/>
  <c r="C1984" i="2"/>
  <c r="C1998" i="2"/>
  <c r="C1979" i="2"/>
  <c r="C2007" i="2"/>
  <c r="C1945" i="2"/>
  <c r="C1943" i="2"/>
  <c r="C1941" i="2"/>
  <c r="C1939" i="2"/>
  <c r="C1937" i="2"/>
  <c r="C1935" i="2"/>
  <c r="C1893" i="2"/>
  <c r="C1891" i="2"/>
  <c r="C1887" i="2"/>
  <c r="C1879" i="2"/>
  <c r="C2078" i="2"/>
  <c r="C2003" i="2"/>
  <c r="C1982" i="2"/>
  <c r="C1884" i="2"/>
  <c r="C1876" i="2"/>
  <c r="C1890" i="2"/>
  <c r="C1881" i="2"/>
  <c r="C1849" i="2"/>
  <c r="C1847" i="2"/>
  <c r="C1845" i="2"/>
  <c r="C1843" i="2"/>
  <c r="C1841" i="2"/>
  <c r="C1839" i="2"/>
  <c r="C1809" i="2"/>
  <c r="C2010" i="2"/>
  <c r="C2001" i="2"/>
  <c r="C1934" i="2"/>
  <c r="C2004" i="2"/>
  <c r="C1886" i="2"/>
  <c r="C1885" i="2"/>
  <c r="C2000" i="2"/>
  <c r="C1983" i="2"/>
  <c r="C1948" i="2"/>
  <c r="C1942" i="2"/>
  <c r="C2086" i="2"/>
  <c r="C1889" i="2"/>
  <c r="C1949" i="2"/>
  <c r="C1936" i="2"/>
  <c r="C1938" i="2"/>
  <c r="C1844" i="2"/>
  <c r="C1808" i="2"/>
  <c r="C1787" i="2"/>
  <c r="C1764" i="2"/>
  <c r="C2084" i="2"/>
  <c r="C1892" i="2"/>
  <c r="C1880" i="2"/>
  <c r="C1807" i="2"/>
  <c r="C1801" i="2"/>
  <c r="C1772" i="2"/>
  <c r="C1838" i="2"/>
  <c r="C1806" i="2"/>
  <c r="C1805" i="2"/>
  <c r="C1786" i="2"/>
  <c r="C2005" i="2"/>
  <c r="C1877" i="2"/>
  <c r="C1846" i="2"/>
  <c r="C1878" i="2"/>
  <c r="C1840" i="2"/>
  <c r="C1944" i="2"/>
  <c r="C1803" i="2"/>
  <c r="C1882" i="2"/>
  <c r="C1946" i="2"/>
  <c r="C1804" i="2"/>
  <c r="C1874" i="2"/>
  <c r="C1765" i="2"/>
  <c r="C2008" i="2"/>
  <c r="C1798" i="2"/>
  <c r="C1947" i="2"/>
  <c r="C1842" i="2"/>
  <c r="C1799" i="2"/>
  <c r="C1940" i="2"/>
  <c r="C1875" i="2"/>
  <c r="C1800" i="2"/>
  <c r="C1771" i="2"/>
  <c r="C1789" i="2"/>
  <c r="C1726" i="2"/>
  <c r="C1724" i="2"/>
  <c r="C1722" i="2"/>
  <c r="C1720" i="2"/>
  <c r="C1718" i="2"/>
  <c r="C1716" i="2"/>
  <c r="C1714" i="2"/>
  <c r="C1712" i="2"/>
  <c r="C1710" i="2"/>
  <c r="C1708" i="2"/>
  <c r="C1658" i="2"/>
  <c r="C1656" i="2"/>
  <c r="C1654" i="2"/>
  <c r="C1652" i="2"/>
  <c r="C1650" i="2"/>
  <c r="C1648" i="2"/>
  <c r="C1646" i="2"/>
  <c r="C1644" i="2"/>
  <c r="C1642" i="2"/>
  <c r="C1640" i="2"/>
  <c r="C1638" i="2"/>
  <c r="C1636" i="2"/>
  <c r="C1632" i="2"/>
  <c r="C1775" i="2"/>
  <c r="C1888" i="2"/>
  <c r="C1883" i="2"/>
  <c r="C1773" i="2"/>
  <c r="C1788" i="2"/>
  <c r="C1627" i="2"/>
  <c r="C1721" i="2"/>
  <c r="C1713" i="2"/>
  <c r="C1653" i="2"/>
  <c r="C1649" i="2"/>
  <c r="C1645" i="2"/>
  <c r="C1641" i="2"/>
  <c r="C1637" i="2"/>
  <c r="C1633" i="2"/>
  <c r="C1616" i="2"/>
  <c r="C1774" i="2"/>
  <c r="C1770" i="2"/>
  <c r="C1659" i="2"/>
  <c r="C1623" i="2"/>
  <c r="C1657" i="2"/>
  <c r="C1647" i="2"/>
  <c r="C1626" i="2"/>
  <c r="C1848" i="2"/>
  <c r="C1643" i="2"/>
  <c r="C1617" i="2"/>
  <c r="C1727" i="2"/>
  <c r="C1725" i="2"/>
  <c r="C1719" i="2"/>
  <c r="C1717" i="2"/>
  <c r="C1711" i="2"/>
  <c r="C1709" i="2"/>
  <c r="C1482" i="2"/>
  <c r="C1462" i="2"/>
  <c r="C1446" i="2"/>
  <c r="C1438" i="2"/>
  <c r="C1436" i="2"/>
  <c r="C1420" i="2"/>
  <c r="C1402" i="2"/>
  <c r="C1398" i="2"/>
  <c r="C1622" i="2"/>
  <c r="C1715" i="2"/>
  <c r="C1451" i="2"/>
  <c r="C1401" i="2"/>
  <c r="C1723" i="2"/>
  <c r="C1491" i="2"/>
  <c r="C1479" i="2"/>
  <c r="C1431" i="2"/>
  <c r="C1423" i="2"/>
  <c r="C1639" i="2"/>
  <c r="C1415" i="2"/>
  <c r="C1381" i="2"/>
  <c r="C1213" i="2"/>
  <c r="C1183" i="2"/>
  <c r="C1176" i="2"/>
  <c r="C1167" i="2"/>
  <c r="C1118" i="2"/>
  <c r="C1501" i="2"/>
  <c r="C1123" i="2"/>
  <c r="C1651" i="2"/>
  <c r="C1150" i="2"/>
  <c r="C1146" i="2"/>
  <c r="C1142" i="2"/>
  <c r="C1802" i="2"/>
  <c r="C1655" i="2"/>
  <c r="C1473" i="2"/>
  <c r="C1107" i="2"/>
  <c r="C1110" i="2"/>
  <c r="C1089" i="2"/>
  <c r="C1075" i="2"/>
  <c r="C1185" i="2"/>
  <c r="C1086" i="2"/>
  <c r="C1084" i="2"/>
  <c r="C1202" i="2"/>
  <c r="C1122" i="2"/>
  <c r="C1065" i="2"/>
  <c r="C1049" i="2"/>
  <c r="C1045" i="2"/>
  <c r="C1041" i="2"/>
  <c r="C1029" i="2"/>
  <c r="C1157" i="2"/>
  <c r="C1076" i="2"/>
  <c r="C1001" i="2"/>
  <c r="C975" i="2"/>
  <c r="C972" i="2"/>
  <c r="C960" i="2"/>
  <c r="C1034" i="2"/>
  <c r="C1004" i="2"/>
  <c r="C1000" i="2"/>
  <c r="C988" i="2"/>
  <c r="C959" i="2"/>
  <c r="C935" i="2"/>
  <c r="C901" i="2"/>
  <c r="C859" i="2"/>
  <c r="C807" i="2"/>
  <c r="C775" i="2"/>
  <c r="C880" i="2"/>
  <c r="C845" i="2"/>
  <c r="C731" i="2"/>
  <c r="C1019" i="2"/>
  <c r="C956" i="2"/>
  <c r="C925" i="2"/>
  <c r="C916" i="2"/>
  <c r="C816" i="2"/>
  <c r="C931" i="2"/>
  <c r="C819" i="2"/>
  <c r="C618" i="2"/>
  <c r="C594" i="2"/>
  <c r="C586" i="2"/>
  <c r="C696" i="2"/>
  <c r="C888" i="2"/>
  <c r="C707" i="2"/>
  <c r="C671" i="2"/>
  <c r="C624" i="2"/>
  <c r="C565" i="2"/>
  <c r="C558" i="2"/>
  <c r="C979" i="2"/>
  <c r="C926" i="2"/>
  <c r="C846" i="2"/>
  <c r="C585" i="2"/>
  <c r="C891" i="2"/>
  <c r="C856" i="2"/>
  <c r="C740" i="2"/>
  <c r="C620" i="2"/>
  <c r="C548" i="2"/>
  <c r="C543" i="2"/>
  <c r="C533" i="2"/>
  <c r="C525" i="2"/>
  <c r="C517" i="2"/>
  <c r="C999" i="2"/>
  <c r="C669" i="2"/>
  <c r="C498" i="2"/>
  <c r="C709" i="2"/>
  <c r="C697" i="2"/>
  <c r="C592" i="2"/>
  <c r="C871" i="2"/>
  <c r="C774" i="2"/>
  <c r="C674" i="2"/>
  <c r="C646" i="2"/>
  <c r="C597" i="2"/>
  <c r="C561" i="2"/>
  <c r="C502" i="2"/>
  <c r="C477" i="2"/>
  <c r="C699" i="2"/>
  <c r="C550" i="2"/>
  <c r="C524" i="2"/>
  <c r="C419" i="2"/>
  <c r="C911" i="2"/>
  <c r="C457" i="2"/>
  <c r="C559" i="2"/>
  <c r="C488" i="2"/>
  <c r="C508" i="2"/>
  <c r="C336" i="2"/>
  <c r="C332" i="2"/>
  <c r="C312" i="2"/>
  <c r="C296" i="2"/>
  <c r="C722" i="2"/>
  <c r="C655" i="2"/>
  <c r="C616" i="2"/>
  <c r="C579" i="2"/>
  <c r="C526" i="2"/>
  <c r="C468" i="2"/>
  <c r="C307" i="2"/>
  <c r="C1042" i="2"/>
  <c r="C885" i="2"/>
  <c r="C649" i="2"/>
  <c r="C471" i="2"/>
  <c r="C768" i="2"/>
  <c r="C626" i="2"/>
  <c r="C321" i="2"/>
  <c r="C683" i="2"/>
  <c r="C495" i="2"/>
  <c r="C400" i="2"/>
  <c r="C511" i="2"/>
  <c r="C138" i="2"/>
  <c r="C136" i="2"/>
  <c r="C134" i="2"/>
  <c r="C130" i="2"/>
  <c r="C116" i="2"/>
  <c r="C112" i="2"/>
  <c r="C96" i="2"/>
  <c r="C74" i="2"/>
  <c r="C66" i="2"/>
  <c r="C54" i="2"/>
  <c r="C155" i="2"/>
  <c r="I15" i="1"/>
  <c r="H15" i="1"/>
  <c r="C19" i="2"/>
  <c r="C101" i="2"/>
  <c r="C85" i="2"/>
  <c r="C81" i="2"/>
  <c r="C103" i="2"/>
  <c r="C75" i="2"/>
  <c r="C40" i="2"/>
  <c r="C32" i="2"/>
  <c r="C8" i="2"/>
  <c r="C50" i="2"/>
  <c r="C37" i="2"/>
  <c r="C109" i="2"/>
  <c r="C69" i="2"/>
  <c r="C33" i="2"/>
  <c r="C497" i="2"/>
  <c r="C159" i="2"/>
  <c r="C5" i="2"/>
  <c r="C129" i="2"/>
  <c r="C61" i="2"/>
  <c r="C53" i="2"/>
  <c r="C25" i="2"/>
  <c r="C47" i="2"/>
  <c r="C23" i="2"/>
  <c r="C12" i="2"/>
  <c r="C7" i="2"/>
  <c r="C17" i="2"/>
  <c r="P518" i="2"/>
  <c r="P473" i="2"/>
  <c r="P444" i="2"/>
  <c r="P248" i="2"/>
  <c r="P487" i="2"/>
  <c r="P276" i="2"/>
  <c r="P275" i="2"/>
  <c r="P229" i="2"/>
  <c r="P244" i="2"/>
  <c r="P223" i="2"/>
  <c r="P274" i="2"/>
  <c r="P258" i="2"/>
  <c r="P109" i="2"/>
  <c r="P105" i="2"/>
  <c r="P290" i="2"/>
  <c r="P136" i="2"/>
  <c r="P80" i="2"/>
  <c r="P107" i="2"/>
  <c r="P265" i="2"/>
  <c r="P256" i="2"/>
  <c r="P132" i="2"/>
  <c r="P246" i="2"/>
  <c r="P134" i="2"/>
  <c r="P159" i="2"/>
  <c r="P1836" i="2"/>
  <c r="P1834" i="2"/>
  <c r="P1832" i="2"/>
  <c r="P1830" i="2"/>
  <c r="P1828" i="2"/>
  <c r="P1820" i="2"/>
  <c r="P1818" i="2"/>
  <c r="P1816" i="2"/>
  <c r="P1814" i="2"/>
  <c r="P1804" i="2"/>
  <c r="P1802" i="2"/>
  <c r="P1825" i="2"/>
  <c r="P1827" i="2"/>
  <c r="P1829" i="2"/>
  <c r="P1808" i="2"/>
  <c r="P1806" i="2"/>
  <c r="P1576" i="2"/>
  <c r="P1586" i="2"/>
  <c r="P1580" i="2"/>
  <c r="P1494" i="2"/>
  <c r="P1474" i="2"/>
  <c r="P1468" i="2"/>
  <c r="P1450" i="2"/>
  <c r="P1430" i="2"/>
  <c r="P1467" i="2"/>
  <c r="P1374" i="2"/>
  <c r="P1445" i="2"/>
  <c r="P1396" i="2"/>
  <c r="P1381" i="2"/>
  <c r="P1306" i="2"/>
  <c r="P1274" i="2"/>
  <c r="P1449" i="2"/>
  <c r="P1321" i="2"/>
  <c r="P1582" i="2"/>
  <c r="P1346" i="2"/>
  <c r="P1402" i="2"/>
  <c r="P895" i="2"/>
  <c r="P949" i="2"/>
  <c r="P883" i="2"/>
  <c r="P947" i="2"/>
  <c r="P896" i="2"/>
  <c r="P762" i="2"/>
  <c r="P775" i="2"/>
  <c r="P727" i="2"/>
  <c r="P837" i="2"/>
  <c r="P962" i="2"/>
  <c r="P1011" i="2"/>
  <c r="P740" i="2"/>
  <c r="P1868" i="2"/>
  <c r="P1860" i="2"/>
  <c r="P1858" i="2"/>
  <c r="Q1858" i="2" s="1"/>
  <c r="P1856" i="2"/>
  <c r="Q1856" i="2" s="1"/>
  <c r="P1854" i="2"/>
  <c r="Q1854" i="2" s="1"/>
  <c r="P1844" i="2"/>
  <c r="P1867" i="2"/>
  <c r="P1843" i="2"/>
  <c r="P1865" i="2"/>
  <c r="P1841" i="2"/>
  <c r="P1869" i="2"/>
  <c r="P1845" i="2"/>
  <c r="P1595" i="2"/>
  <c r="P1607" i="2"/>
  <c r="P1600" i="2"/>
  <c r="P1554" i="2"/>
  <c r="P1542" i="2"/>
  <c r="P1577" i="2"/>
  <c r="P1545" i="2"/>
  <c r="P1529" i="2"/>
  <c r="P1526" i="2"/>
  <c r="P1506" i="2"/>
  <c r="P1462" i="2"/>
  <c r="P1452" i="2"/>
  <c r="P1571" i="2"/>
  <c r="P1524" i="2"/>
  <c r="P1479" i="2"/>
  <c r="P1391" i="2"/>
  <c r="P1416" i="2"/>
  <c r="P1373" i="2"/>
  <c r="P1602" i="2"/>
  <c r="P1400" i="2"/>
  <c r="P1276" i="2"/>
  <c r="P1437" i="2"/>
  <c r="P1116" i="2"/>
  <c r="P1126" i="2"/>
  <c r="P1131" i="2"/>
  <c r="P1088" i="2"/>
  <c r="P1239" i="2"/>
  <c r="P1165" i="2"/>
  <c r="P1077" i="2"/>
  <c r="P925" i="2"/>
  <c r="P1073" i="2"/>
  <c r="P857" i="2"/>
  <c r="P1539" i="2"/>
  <c r="P1035" i="2"/>
  <c r="P902" i="2"/>
  <c r="P975" i="2"/>
  <c r="P1997" i="2"/>
  <c r="P1984" i="2"/>
  <c r="P1983" i="2"/>
  <c r="P1982" i="2"/>
  <c r="P1996" i="2"/>
  <c r="P1994" i="2"/>
  <c r="P1995" i="2"/>
  <c r="P1985" i="2"/>
  <c r="P1532" i="2"/>
  <c r="P1516" i="2"/>
  <c r="P1490" i="2"/>
  <c r="P1509" i="2"/>
  <c r="P1406" i="2"/>
  <c r="P1304" i="2"/>
  <c r="P1341" i="2"/>
  <c r="P1340" i="2"/>
  <c r="P1316" i="2"/>
  <c r="P1202" i="2"/>
  <c r="P1269" i="2"/>
  <c r="P1303" i="2"/>
  <c r="P1386" i="2"/>
  <c r="P1082" i="2"/>
  <c r="P1167" i="2"/>
  <c r="P1094" i="2"/>
  <c r="P1154" i="2"/>
  <c r="P996" i="2"/>
  <c r="P1039" i="2"/>
  <c r="P1114" i="2"/>
  <c r="P1331" i="2"/>
  <c r="P1055" i="2"/>
  <c r="P781" i="2"/>
  <c r="P705" i="2"/>
  <c r="P679" i="2"/>
  <c r="P600" i="2"/>
  <c r="P1361" i="2"/>
  <c r="P678" i="2"/>
  <c r="P663" i="2"/>
  <c r="P634" i="2"/>
  <c r="P633" i="2"/>
  <c r="P454" i="2"/>
  <c r="P452" i="2"/>
  <c r="P1120" i="2"/>
  <c r="P533" i="2"/>
  <c r="P497" i="2"/>
  <c r="P644" i="2"/>
  <c r="P429" i="2"/>
  <c r="P479" i="2"/>
  <c r="P747" i="2"/>
  <c r="C1565" i="2"/>
  <c r="C1559" i="2"/>
  <c r="C1553" i="2"/>
  <c r="C1550" i="2"/>
  <c r="C1534" i="2"/>
  <c r="C1546" i="2"/>
  <c r="C1544" i="2"/>
  <c r="C1529" i="2"/>
  <c r="C1542" i="2"/>
  <c r="C1524" i="2"/>
  <c r="C1520" i="2"/>
  <c r="C1505" i="2"/>
  <c r="C1492" i="2"/>
  <c r="C1488" i="2"/>
  <c r="C1478" i="2"/>
  <c r="C1476" i="2"/>
  <c r="C1466" i="2"/>
  <c r="C1460" i="2"/>
  <c r="C1430" i="2"/>
  <c r="C1356" i="2"/>
  <c r="C1338" i="2"/>
  <c r="C1328" i="2"/>
  <c r="C1508" i="2"/>
  <c r="C1540" i="2"/>
  <c r="C1503" i="2"/>
  <c r="C1560" i="2"/>
  <c r="C1514" i="2"/>
  <c r="C1489" i="2"/>
  <c r="C1453" i="2"/>
  <c r="C1467" i="2"/>
  <c r="C1495" i="2"/>
  <c r="C1341" i="2"/>
  <c r="C1469" i="2"/>
  <c r="C1304" i="2"/>
  <c r="C1300" i="2"/>
  <c r="C1326" i="2"/>
  <c r="C1316" i="2"/>
  <c r="C1531" i="2"/>
  <c r="C1445" i="2"/>
  <c r="C1299" i="2"/>
  <c r="C1485" i="2"/>
  <c r="C1240" i="2"/>
  <c r="C1199" i="2"/>
  <c r="C1160" i="2"/>
  <c r="C1126" i="2"/>
  <c r="C1295" i="2"/>
  <c r="C1262" i="2"/>
  <c r="C1238" i="2"/>
  <c r="C1260" i="2"/>
  <c r="C1257" i="2"/>
  <c r="C1527" i="2"/>
  <c r="C1513" i="2"/>
  <c r="C1210" i="2"/>
  <c r="C1182" i="2"/>
  <c r="C1181" i="2"/>
  <c r="C1449" i="2"/>
  <c r="C1256" i="2"/>
  <c r="C1158" i="2"/>
  <c r="C1134" i="2"/>
  <c r="C1109" i="2"/>
  <c r="C1305" i="2"/>
  <c r="C1230" i="2"/>
  <c r="C1206" i="2"/>
  <c r="C1269" i="2"/>
  <c r="C1195" i="2"/>
  <c r="C1140" i="2"/>
  <c r="C1289" i="2"/>
  <c r="C1161" i="2"/>
  <c r="C1119" i="2"/>
  <c r="C1096" i="2"/>
  <c r="C1083" i="2"/>
  <c r="C1073" i="2"/>
  <c r="C1273" i="2"/>
  <c r="C1156" i="2"/>
  <c r="C1144" i="2"/>
  <c r="C1228" i="2"/>
  <c r="C1163" i="2"/>
  <c r="C1130" i="2"/>
  <c r="C1088" i="2"/>
  <c r="C1217" i="2"/>
  <c r="C1188" i="2"/>
  <c r="C1271" i="2"/>
  <c r="C1106" i="2"/>
  <c r="C1102" i="2"/>
  <c r="C1059" i="2"/>
  <c r="C1051" i="2"/>
  <c r="C1035" i="2"/>
  <c r="C1225" i="2"/>
  <c r="C1209" i="2"/>
  <c r="C1177" i="2"/>
  <c r="C1128" i="2"/>
  <c r="C1012" i="2"/>
  <c r="C997" i="2"/>
  <c r="C993" i="2"/>
  <c r="C1506" i="2"/>
  <c r="C1052" i="2"/>
  <c r="C1005" i="2"/>
  <c r="C981" i="2"/>
  <c r="C969" i="2"/>
  <c r="C945" i="2"/>
  <c r="C921" i="2"/>
  <c r="C1149" i="2"/>
  <c r="C1028" i="2"/>
  <c r="C942" i="2"/>
  <c r="C936" i="2"/>
  <c r="C924" i="2"/>
  <c r="C899" i="2"/>
  <c r="C1092" i="2"/>
  <c r="C1056" i="2"/>
  <c r="C1032" i="2"/>
  <c r="C1080" i="2"/>
  <c r="C1025" i="2"/>
  <c r="C1016" i="2"/>
  <c r="C1010" i="2"/>
  <c r="C904" i="2"/>
  <c r="C947" i="2"/>
  <c r="C944" i="2"/>
  <c r="C1074" i="2"/>
  <c r="C1066" i="2"/>
  <c r="C887" i="2"/>
  <c r="C741" i="2"/>
  <c r="C995" i="2"/>
  <c r="C976" i="2"/>
  <c r="C903" i="2"/>
  <c r="C796" i="2"/>
  <c r="C780" i="2"/>
  <c r="C756" i="2"/>
  <c r="C1194" i="2"/>
  <c r="C855" i="2"/>
  <c r="C858" i="2"/>
  <c r="C841" i="2"/>
  <c r="C825" i="2"/>
  <c r="C809" i="2"/>
  <c r="C793" i="2"/>
  <c r="C761" i="2"/>
  <c r="C1038" i="2"/>
  <c r="C878" i="2"/>
  <c r="C861" i="2"/>
  <c r="C837" i="2"/>
  <c r="C1250" i="2"/>
  <c r="C1112" i="2"/>
  <c r="C973" i="2"/>
  <c r="C895" i="2"/>
  <c r="C893" i="2"/>
  <c r="C833" i="2"/>
  <c r="C1071" i="2"/>
  <c r="C983" i="2"/>
  <c r="C950" i="2"/>
  <c r="C883" i="2"/>
  <c r="C843" i="2"/>
  <c r="C790" i="2"/>
  <c r="C789" i="2"/>
  <c r="C692" i="2"/>
  <c r="C958" i="2"/>
  <c r="C943" i="2"/>
  <c r="C658" i="2"/>
  <c r="C628" i="2"/>
  <c r="C607" i="2"/>
  <c r="C599" i="2"/>
  <c r="C591" i="2"/>
  <c r="C863" i="2"/>
  <c r="C681" i="2"/>
  <c r="C672" i="2"/>
  <c r="C840" i="2"/>
  <c r="C826" i="2"/>
  <c r="C662" i="2"/>
  <c r="C648" i="2"/>
  <c r="C553" i="2"/>
  <c r="C898" i="2"/>
  <c r="C634" i="2"/>
  <c r="C617" i="2"/>
  <c r="C946" i="2"/>
  <c r="C813" i="2"/>
  <c r="C763" i="2"/>
  <c r="C742" i="2"/>
  <c r="C690" i="2"/>
  <c r="C651" i="2"/>
  <c r="C644" i="2"/>
  <c r="C555" i="2"/>
  <c r="C527" i="2"/>
  <c r="C521" i="2"/>
  <c r="C519" i="2"/>
  <c r="C991" i="2"/>
  <c r="C673" i="2"/>
  <c r="C600" i="2"/>
  <c r="C571" i="2"/>
  <c r="C516" i="2"/>
  <c r="C501" i="2"/>
  <c r="C808" i="2"/>
  <c r="C754" i="2"/>
  <c r="C679" i="2"/>
  <c r="C622" i="2"/>
  <c r="C568" i="2"/>
  <c r="C847" i="2"/>
  <c r="C805" i="2"/>
  <c r="C726" i="2"/>
  <c r="C595" i="2"/>
  <c r="C773" i="2"/>
  <c r="C730" i="2"/>
  <c r="C721" i="2"/>
  <c r="C703" i="2"/>
  <c r="C509" i="2"/>
  <c r="C640" i="2"/>
  <c r="C905" i="2"/>
  <c r="C806" i="2"/>
  <c r="C745" i="2"/>
  <c r="C659" i="2"/>
  <c r="C587" i="2"/>
  <c r="C1044" i="2"/>
  <c r="C766" i="2"/>
  <c r="C718" i="2"/>
  <c r="C704" i="2"/>
  <c r="C430" i="2"/>
  <c r="C409" i="2"/>
  <c r="C406" i="2"/>
  <c r="C566" i="2"/>
  <c r="C478" i="2"/>
  <c r="C440" i="2"/>
  <c r="C544" i="2"/>
  <c r="C470" i="2"/>
  <c r="C458" i="2"/>
  <c r="C451" i="2"/>
  <c r="C716" i="2"/>
  <c r="C581" i="2"/>
  <c r="C530" i="2"/>
  <c r="C401" i="2"/>
  <c r="C396" i="2"/>
  <c r="C384" i="2"/>
  <c r="C380" i="2"/>
  <c r="C366" i="2"/>
  <c r="C356" i="2"/>
  <c r="C338" i="2"/>
  <c r="C328" i="2"/>
  <c r="C324" i="2"/>
  <c r="C310" i="2"/>
  <c r="C306" i="2"/>
  <c r="C302" i="2"/>
  <c r="C284" i="2"/>
  <c r="C282" i="2"/>
  <c r="C262" i="2"/>
  <c r="C256" i="2"/>
  <c r="C700" i="2"/>
  <c r="C689" i="2"/>
  <c r="C461" i="2"/>
  <c r="C450" i="2"/>
  <c r="C421" i="2"/>
  <c r="C746" i="2"/>
  <c r="C717" i="2"/>
  <c r="C431" i="2"/>
  <c r="C325" i="2"/>
  <c r="C241" i="2"/>
  <c r="C482" i="2"/>
  <c r="C434" i="2"/>
  <c r="C275" i="2"/>
  <c r="C263" i="2"/>
  <c r="C303" i="2"/>
  <c r="C611" i="2"/>
  <c r="C492" i="2"/>
  <c r="C480" i="2"/>
  <c r="C311" i="2"/>
  <c r="C1008" i="2"/>
  <c r="C879" i="2"/>
  <c r="C547" i="2"/>
  <c r="C472" i="2"/>
  <c r="C460" i="2"/>
  <c r="C432" i="2"/>
  <c r="C486" i="2"/>
  <c r="C379" i="2"/>
  <c r="C357" i="2"/>
  <c r="C355" i="2"/>
  <c r="C233" i="2"/>
  <c r="C222" i="2"/>
  <c r="C232" i="2"/>
  <c r="C212" i="2"/>
  <c r="C205" i="2"/>
  <c r="C203" i="2"/>
  <c r="C183" i="2"/>
  <c r="C179" i="2"/>
  <c r="C175" i="2"/>
  <c r="C169" i="2"/>
  <c r="C165" i="2"/>
  <c r="C403" i="2"/>
  <c r="C257" i="2"/>
  <c r="C261" i="2"/>
  <c r="C229" i="2"/>
  <c r="C224" i="2"/>
  <c r="C200" i="2"/>
  <c r="C194" i="2"/>
  <c r="C192" i="2"/>
  <c r="C188" i="2"/>
  <c r="C184" i="2"/>
  <c r="C170" i="2"/>
  <c r="C166" i="2"/>
  <c r="C156" i="2"/>
  <c r="C152" i="2"/>
  <c r="C142" i="2"/>
  <c r="C140" i="2"/>
  <c r="C126" i="2"/>
  <c r="C114" i="2"/>
  <c r="C110" i="2"/>
  <c r="C108" i="2"/>
  <c r="C106" i="2"/>
  <c r="C88" i="2"/>
  <c r="C86" i="2"/>
  <c r="C76" i="2"/>
  <c r="C70" i="2"/>
  <c r="C64" i="2"/>
  <c r="C58" i="2"/>
  <c r="C52" i="2"/>
  <c r="C629" i="2"/>
  <c r="C441" i="2"/>
  <c r="C389" i="2"/>
  <c r="C283" i="2"/>
  <c r="C214" i="2"/>
  <c r="C161" i="2"/>
  <c r="C149" i="2"/>
  <c r="C143" i="2"/>
  <c r="C137" i="2"/>
  <c r="I13" i="1"/>
  <c r="C48" i="2"/>
  <c r="C16" i="2"/>
  <c r="C117" i="2"/>
  <c r="C49" i="2"/>
  <c r="C413" i="2"/>
  <c r="C359" i="2"/>
  <c r="C335" i="2"/>
  <c r="C119" i="2"/>
  <c r="C99" i="2"/>
  <c r="C79" i="2"/>
  <c r="C67" i="2"/>
  <c r="H13" i="1"/>
  <c r="C43" i="2"/>
  <c r="C35" i="2"/>
  <c r="C24" i="2"/>
  <c r="C11" i="2"/>
  <c r="C246" i="2"/>
  <c r="C3" i="2"/>
  <c r="C397" i="2"/>
  <c r="C291" i="2"/>
  <c r="C238" i="2"/>
  <c r="C121" i="2"/>
  <c r="C77" i="2"/>
  <c r="C417" i="2"/>
  <c r="C285" i="2"/>
  <c r="C135" i="2"/>
  <c r="C42" i="2"/>
  <c r="C29" i="2"/>
  <c r="C383" i="2"/>
  <c r="C243" i="2"/>
  <c r="C273" i="2"/>
  <c r="C369" i="2"/>
  <c r="C345" i="2"/>
  <c r="C420" i="2"/>
  <c r="C97" i="2"/>
  <c r="C349" i="2"/>
  <c r="C213" i="2"/>
  <c r="C163" i="2"/>
  <c r="C145" i="2"/>
  <c r="C139" i="2"/>
  <c r="C36" i="2"/>
  <c r="C15" i="2"/>
  <c r="C373" i="2"/>
  <c r="U32" i="1"/>
  <c r="AF41" i="1" s="1"/>
  <c r="T32" i="1"/>
  <c r="AF35" i="1" s="1"/>
  <c r="S32" i="1"/>
  <c r="W32" i="1"/>
  <c r="AF53" i="1" s="1"/>
  <c r="X32" i="1"/>
  <c r="AF59" i="1" s="1"/>
  <c r="V32" i="1"/>
  <c r="AF47" i="1" s="1"/>
  <c r="J81" i="3" s="1"/>
  <c r="J90" i="3"/>
  <c r="P410" i="2"/>
  <c r="P387" i="2"/>
  <c r="P443" i="2"/>
  <c r="P210" i="2"/>
  <c r="P212" i="2"/>
  <c r="P188" i="2"/>
  <c r="P65" i="2"/>
  <c r="P68" i="2"/>
  <c r="P241" i="2"/>
  <c r="P75" i="2"/>
  <c r="P237" i="2"/>
  <c r="P234" i="2"/>
  <c r="P418" i="2"/>
  <c r="P250" i="2"/>
  <c r="P103" i="2"/>
  <c r="P230" i="2"/>
  <c r="P50" i="2"/>
  <c r="P202" i="2"/>
  <c r="P178" i="2"/>
  <c r="P222" i="2"/>
  <c r="P94" i="2"/>
  <c r="P74" i="2"/>
  <c r="P45" i="2"/>
  <c r="P217" i="2"/>
  <c r="P464" i="2"/>
  <c r="P449" i="2"/>
  <c r="P243" i="2"/>
  <c r="P269" i="2"/>
  <c r="P288" i="2"/>
  <c r="P425" i="2"/>
  <c r="P491" i="2"/>
  <c r="P226" i="2"/>
  <c r="P261" i="2"/>
  <c r="P129" i="2"/>
  <c r="P101" i="2"/>
  <c r="P73" i="2"/>
  <c r="P233" i="2"/>
  <c r="P100" i="2"/>
  <c r="P127" i="2"/>
  <c r="P253" i="2"/>
  <c r="P214" i="2"/>
  <c r="P155" i="2"/>
  <c r="P268" i="2"/>
  <c r="P235" i="2"/>
  <c r="P207" i="2"/>
  <c r="P130" i="2"/>
  <c r="P98" i="2"/>
  <c r="P251" i="2"/>
  <c r="P1826" i="2"/>
  <c r="P1824" i="2"/>
  <c r="P1822" i="2"/>
  <c r="P1811" i="2"/>
  <c r="P1823" i="2"/>
  <c r="P1810" i="2"/>
  <c r="P1800" i="2"/>
  <c r="P1798" i="2"/>
  <c r="P1799" i="2"/>
  <c r="P1813" i="2"/>
  <c r="P1801" i="2"/>
  <c r="P1812" i="2"/>
  <c r="P1562" i="2"/>
  <c r="P1552" i="2"/>
  <c r="P1536" i="2"/>
  <c r="P1585" i="2"/>
  <c r="P1515" i="2"/>
  <c r="P1514" i="2"/>
  <c r="P1492" i="2"/>
  <c r="P1466" i="2"/>
  <c r="P1420" i="2"/>
  <c r="P1367" i="2"/>
  <c r="P1598" i="2"/>
  <c r="P1493" i="2"/>
  <c r="P1413" i="2"/>
  <c r="P1592" i="2"/>
  <c r="P1590" i="2"/>
  <c r="P1489" i="2"/>
  <c r="P1401" i="2"/>
  <c r="P1187" i="2"/>
  <c r="P1519" i="2"/>
  <c r="P1393" i="2"/>
  <c r="P1363" i="2"/>
  <c r="P1345" i="2"/>
  <c r="P1384" i="2"/>
  <c r="P1151" i="2"/>
  <c r="P1101" i="2"/>
  <c r="P1062" i="2"/>
  <c r="P1054" i="2"/>
  <c r="P1052" i="2"/>
  <c r="P1006" i="2"/>
  <c r="P993" i="2"/>
  <c r="P816" i="2"/>
  <c r="P760" i="2"/>
  <c r="P944" i="2"/>
  <c r="P774" i="2"/>
  <c r="P1005" i="2"/>
  <c r="P799" i="2"/>
  <c r="P1973" i="2"/>
  <c r="P1964" i="2"/>
  <c r="Q1964" i="2" s="1"/>
  <c r="P1972" i="2"/>
  <c r="P1969" i="2"/>
  <c r="P1971" i="2"/>
  <c r="P1957" i="2"/>
  <c r="P1956" i="2"/>
  <c r="P1944" i="2"/>
  <c r="P1942" i="2"/>
  <c r="P1940" i="2"/>
  <c r="P1938" i="2"/>
  <c r="P1955" i="2"/>
  <c r="P1962" i="2"/>
  <c r="P1941" i="2"/>
  <c r="P1958" i="2"/>
  <c r="P1943" i="2"/>
  <c r="P1945" i="2"/>
  <c r="P1937" i="2"/>
  <c r="P1953" i="2"/>
  <c r="P917" i="2"/>
  <c r="P852" i="2"/>
  <c r="P817" i="2"/>
  <c r="P664" i="2"/>
  <c r="P566" i="2"/>
  <c r="P554" i="2"/>
  <c r="P520" i="2"/>
  <c r="P635" i="2"/>
  <c r="P868" i="2"/>
  <c r="P519" i="2"/>
  <c r="P553" i="2"/>
  <c r="P599" i="2"/>
  <c r="P601" i="2"/>
  <c r="P567" i="2"/>
  <c r="P341" i="2"/>
  <c r="P305" i="2"/>
  <c r="P1960" i="2"/>
  <c r="P316" i="2"/>
  <c r="P287" i="2"/>
  <c r="P117" i="2"/>
  <c r="P113" i="2"/>
  <c r="P77" i="2"/>
  <c r="P146" i="2"/>
  <c r="P145" i="2"/>
  <c r="P168" i="2"/>
  <c r="P118" i="2"/>
  <c r="P110" i="2"/>
  <c r="P78" i="2"/>
  <c r="P193" i="2"/>
  <c r="P1064" i="2"/>
  <c r="P1030" i="2"/>
  <c r="P1085" i="2"/>
  <c r="P1115" i="2"/>
  <c r="P545" i="2"/>
  <c r="P828" i="2"/>
  <c r="P795" i="2"/>
  <c r="P524" i="2"/>
  <c r="P682" i="2"/>
  <c r="P758" i="2"/>
  <c r="P689" i="2"/>
  <c r="P558" i="2"/>
  <c r="P513" i="2"/>
  <c r="P484" i="2"/>
  <c r="P791" i="2"/>
  <c r="P637" i="2"/>
  <c r="P708" i="2"/>
  <c r="P658" i="2"/>
  <c r="P617" i="2"/>
  <c r="P495" i="2"/>
  <c r="P665" i="2"/>
  <c r="P651" i="2"/>
  <c r="P525" i="2"/>
  <c r="P512" i="2"/>
  <c r="P2120" i="2"/>
  <c r="P2114" i="2"/>
  <c r="P2104" i="2"/>
  <c r="Q2104" i="2" s="1"/>
  <c r="P2098" i="2"/>
  <c r="Q2098" i="2" s="1"/>
  <c r="P2101" i="2"/>
  <c r="Q2101" i="2" s="1"/>
  <c r="P2113" i="2"/>
  <c r="P2117" i="2"/>
  <c r="P2121" i="2"/>
  <c r="P2077" i="2"/>
  <c r="P2118" i="2"/>
  <c r="P2116" i="2"/>
  <c r="P2093" i="2"/>
  <c r="P2080" i="2"/>
  <c r="P2078" i="2"/>
  <c r="P2097" i="2"/>
  <c r="Q2097" i="2" s="1"/>
  <c r="P2079" i="2"/>
  <c r="P2081" i="2"/>
  <c r="P2107" i="2"/>
  <c r="Q2107" i="2" s="1"/>
  <c r="P2073" i="2"/>
  <c r="P2074" i="2"/>
  <c r="P2119" i="2"/>
  <c r="P2096" i="2"/>
  <c r="Q2096" i="2" s="1"/>
  <c r="P2076" i="2"/>
  <c r="P2095" i="2"/>
  <c r="Q2095" i="2" s="1"/>
  <c r="P1315" i="2"/>
  <c r="P1268" i="2"/>
  <c r="P1302" i="2"/>
  <c r="P1339" i="2"/>
  <c r="P1014" i="2"/>
  <c r="P943" i="2"/>
  <c r="P900" i="2"/>
  <c r="P879" i="2"/>
  <c r="P966" i="2"/>
  <c r="P936" i="2"/>
  <c r="P995" i="2"/>
  <c r="P643" i="2"/>
  <c r="P951" i="2"/>
  <c r="P632" i="2"/>
  <c r="P677" i="2"/>
  <c r="P598" i="2"/>
  <c r="P385" i="2"/>
  <c r="P379" i="2"/>
  <c r="P355" i="2"/>
  <c r="P349" i="2"/>
  <c r="P333" i="2"/>
  <c r="P364" i="2"/>
  <c r="P358" i="2"/>
  <c r="P324" i="2"/>
  <c r="P1866" i="2"/>
  <c r="P1864" i="2"/>
  <c r="P1862" i="2"/>
  <c r="P1852" i="2"/>
  <c r="P1850" i="2"/>
  <c r="Q1850" i="2" s="1"/>
  <c r="P1842" i="2"/>
  <c r="P1840" i="2"/>
  <c r="P1838" i="2"/>
  <c r="P1863" i="2"/>
  <c r="P1839" i="2"/>
  <c r="P1851" i="2"/>
  <c r="P1853" i="2"/>
  <c r="P1608" i="2"/>
  <c r="P1612" i="2"/>
  <c r="P1578" i="2"/>
  <c r="P1564" i="2"/>
  <c r="P1544" i="2"/>
  <c r="P1573" i="2"/>
  <c r="P1615" i="2"/>
  <c r="P1567" i="2"/>
  <c r="P1555" i="2"/>
  <c r="P1559" i="2"/>
  <c r="P1565" i="2"/>
  <c r="P1613" i="2"/>
  <c r="P1501" i="2"/>
  <c r="P1482" i="2"/>
  <c r="P1472" i="2"/>
  <c r="P1456" i="2"/>
  <c r="P1581" i="2"/>
  <c r="P1421" i="2"/>
  <c r="P1459" i="2"/>
  <c r="P1435" i="2"/>
  <c r="P1246" i="2"/>
  <c r="P1214" i="2"/>
  <c r="P1206" i="2"/>
  <c r="P1204" i="2"/>
  <c r="P1177" i="2"/>
  <c r="P1169" i="2"/>
  <c r="P1161" i="2"/>
  <c r="P1441" i="2"/>
  <c r="P1130" i="2"/>
  <c r="P1314" i="2"/>
  <c r="P1281" i="2"/>
  <c r="P1553" i="2"/>
  <c r="P979" i="2"/>
  <c r="P1019" i="2"/>
  <c r="P906" i="2"/>
  <c r="P954" i="2"/>
  <c r="P2132" i="2"/>
  <c r="P2129" i="2"/>
  <c r="P2145" i="2"/>
  <c r="P2131" i="2"/>
  <c r="P2155" i="2"/>
  <c r="P2141" i="2"/>
  <c r="P2157" i="2"/>
  <c r="P2143" i="2"/>
  <c r="P2144" i="2"/>
  <c r="P2153" i="2"/>
  <c r="P2133" i="2"/>
  <c r="P2156" i="2"/>
  <c r="P1597" i="2"/>
  <c r="P1591" i="2"/>
  <c r="P1589" i="2"/>
  <c r="P1570" i="2"/>
  <c r="P1533" i="2"/>
  <c r="P1512" i="2"/>
  <c r="P1510" i="2"/>
  <c r="P1478" i="2"/>
  <c r="P1460" i="2"/>
  <c r="P1438" i="2"/>
  <c r="P1563" i="2"/>
  <c r="P1399" i="2"/>
  <c r="P1383" i="2"/>
  <c r="P1366" i="2"/>
  <c r="P1505" i="2"/>
  <c r="P1419" i="2"/>
  <c r="P1487" i="2"/>
  <c r="P1485" i="2"/>
  <c r="P1423" i="2"/>
  <c r="P1190" i="2"/>
  <c r="P1362" i="2"/>
  <c r="P1223" i="2"/>
  <c r="P1584" i="2"/>
  <c r="P1344" i="2"/>
  <c r="P1050" i="2"/>
  <c r="P1040" i="2"/>
  <c r="P1032" i="2"/>
  <c r="P1095" i="2"/>
  <c r="P973" i="2"/>
  <c r="P989" i="2"/>
  <c r="P859" i="2"/>
  <c r="P921" i="2"/>
  <c r="P983" i="2"/>
  <c r="P812" i="2"/>
  <c r="P819" i="2"/>
  <c r="P772" i="2"/>
  <c r="J96" i="3"/>
  <c r="P1768" i="2"/>
  <c r="P1766" i="2"/>
  <c r="P1764" i="2"/>
  <c r="P1765" i="2"/>
  <c r="P391" i="2"/>
  <c r="P372" i="2"/>
  <c r="P362" i="2"/>
  <c r="P342" i="2"/>
  <c r="P219" i="2"/>
  <c r="P240" i="2"/>
  <c r="P221" i="2"/>
  <c r="P125" i="2"/>
  <c r="P81" i="2"/>
  <c r="P53" i="2"/>
  <c r="P71" i="2"/>
  <c r="P197" i="2"/>
  <c r="P160" i="2"/>
  <c r="P192" i="2"/>
  <c r="P185" i="2"/>
  <c r="P163" i="2"/>
  <c r="P139" i="2"/>
  <c r="P154" i="2"/>
  <c r="P46" i="2"/>
  <c r="P169" i="2"/>
  <c r="P1815" i="2"/>
  <c r="Q1815" i="2" s="1"/>
  <c r="P1837" i="2"/>
  <c r="P1835" i="2"/>
  <c r="P1803" i="2"/>
  <c r="P1831" i="2"/>
  <c r="P1817" i="2"/>
  <c r="P1805" i="2"/>
  <c r="P1833" i="2"/>
  <c r="P1807" i="2"/>
  <c r="P1821" i="2"/>
  <c r="P1809" i="2"/>
  <c r="P1819" i="2"/>
  <c r="P1594" i="2"/>
  <c r="P1558" i="2"/>
  <c r="P1588" i="2"/>
  <c r="P1587" i="2"/>
  <c r="P1583" i="2"/>
  <c r="P1549" i="2"/>
  <c r="P1521" i="2"/>
  <c r="P1476" i="2"/>
  <c r="P1498" i="2"/>
  <c r="P1407" i="2"/>
  <c r="P1398" i="2"/>
  <c r="P1351" i="2"/>
  <c r="P1469" i="2"/>
  <c r="P1415" i="2"/>
  <c r="P1388" i="2"/>
  <c r="P1495" i="2"/>
  <c r="P1369" i="2"/>
  <c r="P1347" i="2"/>
  <c r="P1477" i="2"/>
  <c r="P1175" i="2"/>
  <c r="P1068" i="2"/>
  <c r="P1453" i="2"/>
  <c r="P1139" i="2"/>
  <c r="P1322" i="2"/>
  <c r="P1026" i="2"/>
  <c r="P1012" i="2"/>
  <c r="P1504" i="2"/>
  <c r="P903" i="2"/>
  <c r="P970" i="2"/>
  <c r="P768" i="2"/>
  <c r="P786" i="2"/>
  <c r="P969" i="2"/>
  <c r="P807" i="2"/>
  <c r="P950" i="2"/>
  <c r="P750" i="2"/>
  <c r="P1015" i="2"/>
  <c r="P1335" i="2"/>
  <c r="P1481" i="2"/>
  <c r="P1457" i="2"/>
  <c r="P1471" i="2"/>
  <c r="P1354" i="2"/>
  <c r="P1238" i="2"/>
  <c r="P1228" i="2"/>
  <c r="P1218" i="2"/>
  <c r="P1249" i="2"/>
  <c r="P1195" i="2"/>
  <c r="P1497" i="2"/>
  <c r="P1271" i="2"/>
  <c r="P1076" i="2"/>
  <c r="P1294" i="2"/>
  <c r="P1263" i="2"/>
  <c r="P1313" i="2"/>
  <c r="P1042" i="2"/>
  <c r="P1023" i="2"/>
  <c r="P1063" i="2"/>
  <c r="P1045" i="2"/>
  <c r="P1001" i="2"/>
  <c r="P1031" i="2"/>
  <c r="P987" i="2"/>
  <c r="P1337" i="2"/>
  <c r="P1976" i="2"/>
  <c r="P1959" i="2"/>
  <c r="P1961" i="2"/>
  <c r="P1975" i="2"/>
  <c r="P1949" i="2"/>
  <c r="P1946" i="2"/>
  <c r="P1948" i="2"/>
  <c r="P1974" i="2"/>
  <c r="P1963" i="2"/>
  <c r="P1977" i="2"/>
  <c r="P1947" i="2"/>
  <c r="P1965" i="2"/>
  <c r="P940" i="2"/>
  <c r="P875" i="2"/>
  <c r="P985" i="2"/>
  <c r="P923" i="2"/>
  <c r="P611" i="2"/>
  <c r="P650" i="2"/>
  <c r="P608" i="2"/>
  <c r="P571" i="2"/>
  <c r="P688" i="2"/>
  <c r="P607" i="2"/>
  <c r="P612" i="2"/>
  <c r="P488" i="2"/>
  <c r="P652" i="2"/>
  <c r="P376" i="2"/>
  <c r="P352" i="2"/>
  <c r="P344" i="2"/>
  <c r="P457" i="2"/>
  <c r="P446" i="2"/>
  <c r="P320" i="2"/>
  <c r="P572" i="2"/>
  <c r="P415" i="2"/>
  <c r="P209" i="2"/>
  <c r="P187" i="2"/>
  <c r="P121" i="2"/>
  <c r="P157" i="2"/>
  <c r="P151" i="2"/>
  <c r="P648" i="2"/>
  <c r="P182" i="2"/>
  <c r="P156" i="2"/>
  <c r="P149" i="2"/>
  <c r="P27" i="2"/>
  <c r="P10" i="2"/>
  <c r="P179" i="2"/>
  <c r="P32" i="2"/>
  <c r="P122" i="2"/>
  <c r="P54" i="2"/>
  <c r="P1170" i="2"/>
  <c r="P1124" i="2"/>
  <c r="P1138" i="2"/>
  <c r="P1093" i="2"/>
  <c r="P730" i="2"/>
  <c r="P824" i="2"/>
  <c r="P784" i="2"/>
  <c r="P749" i="2"/>
  <c r="P711" i="2"/>
  <c r="P579" i="2"/>
  <c r="P684" i="2"/>
  <c r="P822" i="2"/>
  <c r="P704" i="2"/>
  <c r="P540" i="2"/>
  <c r="P862" i="2"/>
  <c r="P692" i="2"/>
  <c r="P548" i="2"/>
  <c r="P550" i="2"/>
  <c r="P517" i="2"/>
  <c r="P719" i="2"/>
  <c r="P662" i="2"/>
  <c r="P506" i="2"/>
  <c r="P574" i="2"/>
  <c r="P537" i="2"/>
  <c r="P2115" i="2"/>
  <c r="P2111" i="2"/>
  <c r="P2110" i="2"/>
  <c r="P2071" i="2"/>
  <c r="P2070" i="2"/>
  <c r="P2090" i="2"/>
  <c r="Q2090" i="2" s="1"/>
  <c r="P2075" i="2"/>
  <c r="P2094" i="2"/>
  <c r="Q2094" i="2" s="1"/>
  <c r="P2092" i="2"/>
  <c r="Q2092" i="2" s="1"/>
  <c r="P2072" i="2"/>
  <c r="P2112" i="2"/>
  <c r="P2091" i="2"/>
  <c r="Q2091" i="2" s="1"/>
  <c r="P1620" i="2"/>
  <c r="P1631" i="2"/>
  <c r="P1630" i="2"/>
  <c r="P1632" i="2"/>
  <c r="P1621" i="2"/>
  <c r="P1622" i="2"/>
  <c r="P1623" i="2"/>
  <c r="P1633" i="2"/>
  <c r="P1380" i="2"/>
  <c r="P1364" i="2"/>
  <c r="P1333" i="2"/>
  <c r="P1147" i="2"/>
  <c r="P1100" i="2"/>
  <c r="P1355" i="2"/>
  <c r="P1105" i="2"/>
  <c r="P1044" i="2"/>
  <c r="P1028" i="2"/>
  <c r="P981" i="2"/>
  <c r="P1003" i="2"/>
  <c r="P1053" i="2"/>
  <c r="P710" i="2"/>
  <c r="P698" i="2"/>
  <c r="P1083" i="2"/>
  <c r="P668" i="2"/>
  <c r="P735" i="2"/>
  <c r="P476" i="2"/>
  <c r="P1061" i="2"/>
  <c r="P445" i="2"/>
  <c r="P373" i="2"/>
  <c r="P430" i="2"/>
  <c r="P406" i="2"/>
  <c r="P411" i="2"/>
  <c r="P408" i="2"/>
  <c r="P396" i="2"/>
  <c r="P382" i="2"/>
  <c r="P439" i="2"/>
  <c r="P1872" i="2"/>
  <c r="P1870" i="2"/>
  <c r="P1848" i="2"/>
  <c r="P1846" i="2"/>
  <c r="P1861" i="2"/>
  <c r="P1847" i="2"/>
  <c r="P1859" i="2"/>
  <c r="P1849" i="2"/>
  <c r="P1873" i="2"/>
  <c r="P1857" i="2"/>
  <c r="P1871" i="2"/>
  <c r="P1855" i="2"/>
  <c r="P1609" i="2"/>
  <c r="P1560" i="2"/>
  <c r="P1550" i="2"/>
  <c r="P1548" i="2"/>
  <c r="P1546" i="2"/>
  <c r="P1534" i="2"/>
  <c r="P1568" i="2"/>
  <c r="P1611" i="2"/>
  <c r="P1604" i="2"/>
  <c r="P1579" i="2"/>
  <c r="P1561" i="2"/>
  <c r="P1575" i="2"/>
  <c r="P1557" i="2"/>
  <c r="P1448" i="2"/>
  <c r="P1491" i="2"/>
  <c r="P1443" i="2"/>
  <c r="P1614" i="2"/>
  <c r="P1405" i="2"/>
  <c r="P1298" i="2"/>
  <c r="P1473" i="2"/>
  <c r="P1266" i="2"/>
  <c r="P1216" i="2"/>
  <c r="P1186" i="2"/>
  <c r="P1422" i="2"/>
  <c r="P1137" i="2"/>
  <c r="P1134" i="2"/>
  <c r="P1465" i="2"/>
  <c r="P1427" i="2"/>
  <c r="P1004" i="2"/>
  <c r="P1096" i="2"/>
  <c r="P1181" i="2"/>
  <c r="P1173" i="2"/>
  <c r="P892" i="2"/>
  <c r="P960" i="2"/>
  <c r="P1144" i="2"/>
  <c r="P938" i="2"/>
  <c r="X68" i="1"/>
  <c r="P1769" i="2"/>
  <c r="P1767" i="2"/>
  <c r="P424" i="2"/>
  <c r="P407" i="2"/>
  <c r="P393" i="2"/>
  <c r="P374" i="2"/>
  <c r="P224" i="2"/>
  <c r="P228" i="2"/>
  <c r="P231" i="2"/>
  <c r="P69" i="2"/>
  <c r="P47" i="2"/>
  <c r="P96" i="2"/>
  <c r="P211" i="2"/>
  <c r="P186" i="2"/>
  <c r="P60" i="2"/>
  <c r="P162" i="2"/>
  <c r="P215" i="2"/>
  <c r="P247" i="2"/>
  <c r="P189" i="2"/>
  <c r="P203" i="2"/>
  <c r="P90" i="2"/>
  <c r="P66" i="2"/>
  <c r="P194" i="2"/>
  <c r="P170" i="2"/>
  <c r="P1464" i="2"/>
  <c r="P1458" i="2"/>
  <c r="P1442" i="2"/>
  <c r="P1350" i="2"/>
  <c r="P1483" i="2"/>
  <c r="P1301" i="2"/>
  <c r="P1240" i="2"/>
  <c r="P1234" i="2"/>
  <c r="P1224" i="2"/>
  <c r="P1210" i="2"/>
  <c r="P1192" i="2"/>
  <c r="P1163" i="2"/>
  <c r="P1325" i="2"/>
  <c r="P1267" i="2"/>
  <c r="P1330" i="2"/>
  <c r="P1058" i="2"/>
  <c r="P1034" i="2"/>
  <c r="P1018" i="2"/>
  <c r="P988" i="2"/>
  <c r="P1013" i="2"/>
  <c r="P1065" i="2"/>
  <c r="P1029" i="2"/>
  <c r="P977" i="2"/>
  <c r="P1199" i="2"/>
  <c r="P1970" i="2"/>
  <c r="P1967" i="2"/>
  <c r="P1966" i="2"/>
  <c r="P1952" i="2"/>
  <c r="P1936" i="2"/>
  <c r="P1934" i="2"/>
  <c r="P1939" i="2"/>
  <c r="P1950" i="2"/>
  <c r="P1954" i="2"/>
  <c r="P1951" i="2"/>
  <c r="P1968" i="2"/>
  <c r="P1935" i="2"/>
  <c r="P1020" i="2"/>
  <c r="P915" i="2"/>
  <c r="P980" i="2"/>
  <c r="P694" i="2"/>
  <c r="P595" i="2"/>
  <c r="P628" i="2"/>
  <c r="P641" i="2"/>
  <c r="P640" i="2"/>
  <c r="P661" i="2"/>
  <c r="P672" i="2"/>
  <c r="P468" i="2"/>
  <c r="P455" i="2"/>
  <c r="P675" i="2"/>
  <c r="P371" i="2"/>
  <c r="P361" i="2"/>
  <c r="P498" i="2"/>
  <c r="P630" i="2"/>
  <c r="P963" i="2"/>
  <c r="P388" i="2"/>
  <c r="P340" i="2"/>
  <c r="P596" i="2"/>
  <c r="P428" i="2"/>
  <c r="P218" i="2"/>
  <c r="P61" i="2"/>
  <c r="P175" i="2"/>
  <c r="P200" i="2"/>
  <c r="P144" i="2"/>
  <c r="P30" i="2"/>
  <c r="P14" i="2"/>
  <c r="P143" i="2"/>
  <c r="P176" i="2"/>
  <c r="P40" i="2"/>
  <c r="P167" i="2"/>
  <c r="P201" i="2"/>
  <c r="P191" i="2"/>
  <c r="P166" i="2"/>
  <c r="P1198" i="2"/>
  <c r="P1168" i="2"/>
  <c r="P1155" i="2"/>
  <c r="P797" i="2"/>
  <c r="P734" i="2"/>
  <c r="P831" i="2"/>
  <c r="P717" i="2"/>
  <c r="P1121" i="2"/>
  <c r="P743" i="2"/>
  <c r="P559" i="2"/>
  <c r="P777" i="2"/>
  <c r="P756" i="2"/>
  <c r="P526" i="2"/>
  <c r="P726" i="2"/>
  <c r="P561" i="2"/>
  <c r="P549" i="2"/>
  <c r="P586" i="2"/>
  <c r="P578" i="2"/>
  <c r="P869" i="2"/>
  <c r="P546" i="2"/>
  <c r="P706" i="2"/>
  <c r="P515" i="2"/>
  <c r="P834" i="2"/>
  <c r="P690" i="2"/>
  <c r="P2109" i="2"/>
  <c r="Q2109" i="2" s="1"/>
  <c r="P2106" i="2"/>
  <c r="Q2106" i="2" s="1"/>
  <c r="P2102" i="2"/>
  <c r="Q2102" i="2" s="1"/>
  <c r="P2100" i="2"/>
  <c r="P2123" i="2"/>
  <c r="P2122" i="2"/>
  <c r="P2089" i="2"/>
  <c r="P2088" i="2"/>
  <c r="P2103" i="2"/>
  <c r="Q2103" i="2" s="1"/>
  <c r="P2105" i="2"/>
  <c r="Q2105" i="2" s="1"/>
  <c r="P2087" i="2"/>
  <c r="P2086" i="2"/>
  <c r="P2099" i="2"/>
  <c r="Q2099" i="2" s="1"/>
  <c r="P2085" i="2"/>
  <c r="P2084" i="2"/>
  <c r="P2124" i="2"/>
  <c r="P2125" i="2"/>
  <c r="P2108" i="2"/>
  <c r="Q2108" i="2" s="1"/>
  <c r="P2082" i="2"/>
  <c r="P2083" i="2"/>
  <c r="P1635" i="2"/>
  <c r="P1625" i="2"/>
  <c r="P1634" i="2"/>
  <c r="P1624" i="2"/>
  <c r="P1342" i="2"/>
  <c r="P1365" i="2"/>
  <c r="P1348" i="2"/>
  <c r="P1317" i="2"/>
  <c r="P1072" i="2"/>
  <c r="P1056" i="2"/>
  <c r="P1010" i="2"/>
  <c r="P946" i="2"/>
  <c r="P997" i="2"/>
  <c r="P971" i="2"/>
  <c r="P1017" i="2"/>
  <c r="P1027" i="2"/>
  <c r="P715" i="2"/>
  <c r="P687" i="2"/>
  <c r="P645" i="2"/>
  <c r="P680" i="2"/>
  <c r="P395" i="2"/>
  <c r="P365" i="2"/>
  <c r="P357" i="2"/>
  <c r="P409" i="2"/>
  <c r="P416" i="2"/>
  <c r="P384" i="2"/>
  <c r="P380" i="2"/>
  <c r="P386" i="2"/>
  <c r="K750" i="2" l="1"/>
  <c r="U750" i="2" s="1"/>
  <c r="S750" i="2"/>
  <c r="T750" i="2" s="1"/>
  <c r="S1153" i="2"/>
  <c r="T1153" i="2" s="1"/>
  <c r="K1153" i="2"/>
  <c r="U1153" i="2" s="1"/>
  <c r="S67" i="2"/>
  <c r="T67" i="2" s="1"/>
  <c r="K67" i="2"/>
  <c r="U67" i="2" s="1"/>
  <c r="S1590" i="2"/>
  <c r="T1590" i="2" s="1"/>
  <c r="K1590" i="2"/>
  <c r="U1590" i="2" s="1"/>
  <c r="S902" i="2"/>
  <c r="T902" i="2" s="1"/>
  <c r="K902" i="2"/>
  <c r="U902" i="2" s="1"/>
  <c r="S71" i="2"/>
  <c r="T71" i="2" s="1"/>
  <c r="K71" i="2"/>
  <c r="U71" i="2" s="1"/>
  <c r="K1620" i="2"/>
  <c r="U1620" i="2" s="1"/>
  <c r="S1620" i="2"/>
  <c r="T1620" i="2" s="1"/>
  <c r="X1620" i="2" s="1"/>
  <c r="K515" i="2"/>
  <c r="U515" i="2" s="1"/>
  <c r="S515" i="2"/>
  <c r="T515" i="2" s="1"/>
  <c r="Q1819" i="2"/>
  <c r="S1902" i="2"/>
  <c r="T1902" i="2" s="1"/>
  <c r="X1902" i="2" s="1"/>
  <c r="K1902" i="2"/>
  <c r="U1902" i="2" s="1"/>
  <c r="S1345" i="2"/>
  <c r="T1345" i="2" s="1"/>
  <c r="K1345" i="2"/>
  <c r="U1345" i="2" s="1"/>
  <c r="S1367" i="2"/>
  <c r="T1367" i="2" s="1"/>
  <c r="K1367" i="2"/>
  <c r="U1367" i="2" s="1"/>
  <c r="Q938" i="2"/>
  <c r="K1853" i="2"/>
  <c r="U1853" i="2" s="1"/>
  <c r="S1853" i="2"/>
  <c r="T1853" i="2" s="1"/>
  <c r="X1853" i="2" s="1"/>
  <c r="S1170" i="2"/>
  <c r="T1170" i="2" s="1"/>
  <c r="K1170" i="2"/>
  <c r="U1170" i="2" s="1"/>
  <c r="S546" i="2"/>
  <c r="T546" i="2" s="1"/>
  <c r="K546" i="2"/>
  <c r="U546" i="2" s="1"/>
  <c r="S2108" i="2"/>
  <c r="T2108" i="2" s="1"/>
  <c r="X2108" i="2" s="1"/>
  <c r="K2108" i="2"/>
  <c r="U2108" i="2" s="1"/>
  <c r="K2094" i="2"/>
  <c r="U2094" i="2" s="1"/>
  <c r="S2094" i="2"/>
  <c r="T2094" i="2" s="1"/>
  <c r="X2094" i="2" s="1"/>
  <c r="K2096" i="2"/>
  <c r="U2096" i="2" s="1"/>
  <c r="S2096" i="2"/>
  <c r="T2096" i="2" s="1"/>
  <c r="X2096" i="2" s="1"/>
  <c r="K2022" i="2"/>
  <c r="U2022" i="2" s="1"/>
  <c r="S2022" i="2"/>
  <c r="T2022" i="2" s="1"/>
  <c r="X2022" i="2" s="1"/>
  <c r="S922" i="2"/>
  <c r="T922" i="2" s="1"/>
  <c r="K922" i="2"/>
  <c r="U922" i="2" s="1"/>
  <c r="S1541" i="2"/>
  <c r="T1541" i="2" s="1"/>
  <c r="K1541" i="2"/>
  <c r="U1541" i="2" s="1"/>
  <c r="Q1421" i="2"/>
  <c r="S1607" i="2"/>
  <c r="T1607" i="2" s="1"/>
  <c r="K1607" i="2"/>
  <c r="U1607" i="2" s="1"/>
  <c r="K677" i="2"/>
  <c r="U677" i="2" s="1"/>
  <c r="S677" i="2"/>
  <c r="T677" i="2" s="1"/>
  <c r="S1339" i="2"/>
  <c r="T1339" i="2" s="1"/>
  <c r="K1339" i="2"/>
  <c r="U1339" i="2" s="1"/>
  <c r="K920" i="2"/>
  <c r="U920" i="2" s="1"/>
  <c r="S920" i="2"/>
  <c r="T920" i="2" s="1"/>
  <c r="S2095" i="2"/>
  <c r="T2095" i="2" s="1"/>
  <c r="X2095" i="2" s="1"/>
  <c r="K2095" i="2"/>
  <c r="U2095" i="2" s="1"/>
  <c r="S1812" i="2"/>
  <c r="T1812" i="2" s="1"/>
  <c r="X1812" i="2" s="1"/>
  <c r="K1812" i="2"/>
  <c r="U1812" i="2" s="1"/>
  <c r="K2031" i="2"/>
  <c r="U2031" i="2" s="1"/>
  <c r="S2031" i="2"/>
  <c r="T2031" i="2" s="1"/>
  <c r="X2031" i="2" s="1"/>
  <c r="K2032" i="2"/>
  <c r="U2032" i="2" s="1"/>
  <c r="S2032" i="2"/>
  <c r="T2032" i="2" s="1"/>
  <c r="X2032" i="2" s="1"/>
  <c r="S428" i="2"/>
  <c r="T428" i="2" s="1"/>
  <c r="K428" i="2"/>
  <c r="U428" i="2" s="1"/>
  <c r="Q1322" i="2"/>
  <c r="K1855" i="2"/>
  <c r="U1855" i="2" s="1"/>
  <c r="S1855" i="2"/>
  <c r="T1855" i="2" s="1"/>
  <c r="X1855" i="2" s="1"/>
  <c r="S1115" i="2"/>
  <c r="T1115" i="2" s="1"/>
  <c r="K1115" i="2"/>
  <c r="U1115" i="2" s="1"/>
  <c r="Q714" i="2"/>
  <c r="S560" i="2"/>
  <c r="T560" i="2" s="1"/>
  <c r="K560" i="2"/>
  <c r="U560" i="2" s="1"/>
  <c r="S1114" i="2"/>
  <c r="T1114" i="2" s="1"/>
  <c r="K1114" i="2"/>
  <c r="U1114" i="2" s="1"/>
  <c r="S2092" i="2"/>
  <c r="T2092" i="2" s="1"/>
  <c r="X2092" i="2" s="1"/>
  <c r="K2092" i="2"/>
  <c r="U2092" i="2" s="1"/>
  <c r="S762" i="2"/>
  <c r="T762" i="2" s="1"/>
  <c r="K762" i="2"/>
  <c r="U762" i="2" s="1"/>
  <c r="S563" i="2"/>
  <c r="T563" i="2" s="1"/>
  <c r="K563" i="2"/>
  <c r="U563" i="2" s="1"/>
  <c r="S1815" i="2"/>
  <c r="T1815" i="2" s="1"/>
  <c r="X1815" i="2" s="1"/>
  <c r="K1815" i="2"/>
  <c r="U1815" i="2" s="1"/>
  <c r="K1037" i="2"/>
  <c r="U1037" i="2" s="1"/>
  <c r="S1037" i="2"/>
  <c r="T1037" i="2" s="1"/>
  <c r="K1502" i="2"/>
  <c r="U1502" i="2" s="1"/>
  <c r="S1502" i="2"/>
  <c r="T1502" i="2" s="1"/>
  <c r="K1790" i="2"/>
  <c r="U1790" i="2" s="1"/>
  <c r="S1790" i="2"/>
  <c r="T1790" i="2" s="1"/>
  <c r="X1790" i="2" s="1"/>
  <c r="K1443" i="2"/>
  <c r="U1443" i="2" s="1"/>
  <c r="S1443" i="2"/>
  <c r="T1443" i="2" s="1"/>
  <c r="K1614" i="2"/>
  <c r="U1614" i="2" s="1"/>
  <c r="S1614" i="2"/>
  <c r="T1614" i="2" s="1"/>
  <c r="K1913" i="2"/>
  <c r="U1913" i="2" s="1"/>
  <c r="S1913" i="2"/>
  <c r="T1913" i="2" s="1"/>
  <c r="X1913" i="2" s="1"/>
  <c r="S299" i="2"/>
  <c r="T299" i="2" s="1"/>
  <c r="K299" i="2"/>
  <c r="U299" i="2" s="1"/>
  <c r="S1457" i="2"/>
  <c r="T1457" i="2" s="1"/>
  <c r="K1457" i="2"/>
  <c r="U1457" i="2" s="1"/>
  <c r="S687" i="2"/>
  <c r="T687" i="2" s="1"/>
  <c r="K687" i="2"/>
  <c r="U687" i="2" s="1"/>
  <c r="S1355" i="2"/>
  <c r="T1355" i="2" s="1"/>
  <c r="K1355" i="2"/>
  <c r="U1355" i="2" s="1"/>
  <c r="K991" i="2"/>
  <c r="U991" i="2" s="1"/>
  <c r="S991" i="2"/>
  <c r="T991" i="2" s="1"/>
  <c r="S1478" i="2"/>
  <c r="T1478" i="2" s="1"/>
  <c r="K1478" i="2"/>
  <c r="K882" i="2"/>
  <c r="U882" i="2" s="1"/>
  <c r="S882" i="2"/>
  <c r="T882" i="2" s="1"/>
  <c r="S1894" i="2"/>
  <c r="T1894" i="2" s="1"/>
  <c r="X1894" i="2" s="1"/>
  <c r="K1894" i="2"/>
  <c r="U1894" i="2" s="1"/>
  <c r="K1025" i="2"/>
  <c r="U1025" i="2" s="1"/>
  <c r="S1025" i="2"/>
  <c r="T1025" i="2" s="1"/>
  <c r="O485" i="2"/>
  <c r="O435" i="2"/>
  <c r="O404" i="2"/>
  <c r="O414" i="2"/>
  <c r="O453" i="2"/>
  <c r="O423" i="2"/>
  <c r="O426" i="2"/>
  <c r="O402" i="2"/>
  <c r="O462" i="2"/>
  <c r="O442" i="2"/>
  <c r="Q442" i="2" s="1"/>
  <c r="O394" i="2"/>
  <c r="Q394" i="2" s="1"/>
  <c r="O370" i="2"/>
  <c r="S881" i="2"/>
  <c r="T881" i="2" s="1"/>
  <c r="K881" i="2"/>
  <c r="U881" i="2" s="1"/>
  <c r="K1670" i="2"/>
  <c r="U1670" i="2" s="1"/>
  <c r="S1670" i="2"/>
  <c r="T1670" i="2" s="1"/>
  <c r="X1670" i="2" s="1"/>
  <c r="K1660" i="2"/>
  <c r="U1660" i="2" s="1"/>
  <c r="S1660" i="2"/>
  <c r="T1660" i="2" s="1"/>
  <c r="X1660" i="2" s="1"/>
  <c r="Q325" i="2"/>
  <c r="S763" i="2"/>
  <c r="T763" i="2" s="1"/>
  <c r="K763" i="2"/>
  <c r="S1128" i="2"/>
  <c r="T1128" i="2" s="1"/>
  <c r="K1128" i="2"/>
  <c r="U1128" i="2" s="1"/>
  <c r="S1915" i="2"/>
  <c r="T1915" i="2" s="1"/>
  <c r="X1915" i="2" s="1"/>
  <c r="K1915" i="2"/>
  <c r="U1915" i="2" s="1"/>
  <c r="S745" i="2"/>
  <c r="T745" i="2" s="1"/>
  <c r="K745" i="2"/>
  <c r="K1792" i="2"/>
  <c r="U1792" i="2" s="1"/>
  <c r="S1792" i="2"/>
  <c r="T1792" i="2" s="1"/>
  <c r="X1792" i="2" s="1"/>
  <c r="S1488" i="2"/>
  <c r="T1488" i="2" s="1"/>
  <c r="K1488" i="2"/>
  <c r="S808" i="2"/>
  <c r="T808" i="2" s="1"/>
  <c r="K808" i="2"/>
  <c r="S2107" i="2"/>
  <c r="T2107" i="2" s="1"/>
  <c r="X2107" i="2" s="1"/>
  <c r="K2107" i="2"/>
  <c r="U2107" i="2" s="1"/>
  <c r="S2099" i="2"/>
  <c r="T2099" i="2" s="1"/>
  <c r="X2099" i="2" s="1"/>
  <c r="K2099" i="2"/>
  <c r="U2099" i="2" s="1"/>
  <c r="S2109" i="2"/>
  <c r="T2109" i="2" s="1"/>
  <c r="X2109" i="2" s="1"/>
  <c r="K2109" i="2"/>
  <c r="U2109" i="2" s="1"/>
  <c r="K2101" i="2"/>
  <c r="U2101" i="2" s="1"/>
  <c r="S2101" i="2"/>
  <c r="T2101" i="2" s="1"/>
  <c r="X2101" i="2" s="1"/>
  <c r="S1964" i="2"/>
  <c r="T1964" i="2" s="1"/>
  <c r="X1964" i="2" s="1"/>
  <c r="K1964" i="2"/>
  <c r="U1964" i="2" s="1"/>
  <c r="K1854" i="2"/>
  <c r="U1854" i="2" s="1"/>
  <c r="S1854" i="2"/>
  <c r="T1854" i="2" s="1"/>
  <c r="X1854" i="2" s="1"/>
  <c r="K2024" i="2"/>
  <c r="U2024" i="2" s="1"/>
  <c r="S2024" i="2"/>
  <c r="T2024" i="2" s="1"/>
  <c r="X2024" i="2" s="1"/>
  <c r="K2035" i="2"/>
  <c r="U2035" i="2" s="1"/>
  <c r="S2035" i="2"/>
  <c r="T2035" i="2" s="1"/>
  <c r="X2035" i="2" s="1"/>
  <c r="S271" i="2"/>
  <c r="T271" i="2" s="1"/>
  <c r="K271" i="2"/>
  <c r="U271" i="2" s="1"/>
  <c r="K889" i="2"/>
  <c r="U889" i="2" s="1"/>
  <c r="S889" i="2"/>
  <c r="T889" i="2" s="1"/>
  <c r="K955" i="2"/>
  <c r="U955" i="2" s="1"/>
  <c r="S955" i="2"/>
  <c r="T955" i="2" s="1"/>
  <c r="S1673" i="2"/>
  <c r="T1673" i="2" s="1"/>
  <c r="X1673" i="2" s="1"/>
  <c r="K1673" i="2"/>
  <c r="U1673" i="2" s="1"/>
  <c r="S1663" i="2"/>
  <c r="T1663" i="2" s="1"/>
  <c r="X1663" i="2" s="1"/>
  <c r="K1663" i="2"/>
  <c r="U1663" i="2" s="1"/>
  <c r="S128" i="2"/>
  <c r="T128" i="2" s="1"/>
  <c r="K128" i="2"/>
  <c r="U128" i="2" s="1"/>
  <c r="Q529" i="2"/>
  <c r="K1229" i="2"/>
  <c r="U1229" i="2" s="1"/>
  <c r="S1229" i="2"/>
  <c r="T1229" i="2" s="1"/>
  <c r="K2039" i="2"/>
  <c r="U2039" i="2" s="1"/>
  <c r="S2039" i="2"/>
  <c r="T2039" i="2" s="1"/>
  <c r="X2039" i="2" s="1"/>
  <c r="S741" i="2"/>
  <c r="T741" i="2" s="1"/>
  <c r="K741" i="2"/>
  <c r="O1779" i="2"/>
  <c r="O1777" i="2"/>
  <c r="Q1777" i="2" s="1"/>
  <c r="O1780" i="2"/>
  <c r="O1778" i="2"/>
  <c r="Q1778" i="2" s="1"/>
  <c r="O1776" i="2"/>
  <c r="O1781" i="2"/>
  <c r="O337" i="2"/>
  <c r="O297" i="2"/>
  <c r="Q297" i="2" s="1"/>
  <c r="O322" i="2"/>
  <c r="O313" i="2"/>
  <c r="O308" i="2"/>
  <c r="O334" i="2"/>
  <c r="S1287" i="2"/>
  <c r="T1287" i="2" s="1"/>
  <c r="K1287" i="2"/>
  <c r="U1287" i="2" s="1"/>
  <c r="S273" i="2"/>
  <c r="T273" i="2" s="1"/>
  <c r="K273" i="2"/>
  <c r="S1102" i="2"/>
  <c r="T1102" i="2" s="1"/>
  <c r="K1102" i="2"/>
  <c r="S2106" i="2"/>
  <c r="T2106" i="2" s="1"/>
  <c r="X2106" i="2" s="1"/>
  <c r="K2106" i="2"/>
  <c r="U2106" i="2" s="1"/>
  <c r="K2098" i="2"/>
  <c r="U2098" i="2" s="1"/>
  <c r="S2098" i="2"/>
  <c r="T2098" i="2" s="1"/>
  <c r="X2098" i="2" s="1"/>
  <c r="J69" i="3"/>
  <c r="J78" i="3"/>
  <c r="J68" i="3"/>
  <c r="J70" i="3"/>
  <c r="J77" i="3"/>
  <c r="J76" i="3"/>
  <c r="U1038" i="2"/>
  <c r="K1856" i="2"/>
  <c r="U1856" i="2" s="1"/>
  <c r="S1856" i="2"/>
  <c r="T1856" i="2" s="1"/>
  <c r="X1856" i="2" s="1"/>
  <c r="S1273" i="2"/>
  <c r="T1273" i="2" s="1"/>
  <c r="K1273" i="2"/>
  <c r="K24" i="2"/>
  <c r="U24" i="2" s="1"/>
  <c r="S24" i="2"/>
  <c r="T24" i="2" s="1"/>
  <c r="S568" i="2"/>
  <c r="T568" i="2" s="1"/>
  <c r="K568" i="2"/>
  <c r="K986" i="2"/>
  <c r="U986" i="2" s="1"/>
  <c r="S986" i="2"/>
  <c r="T986" i="2" s="1"/>
  <c r="S255" i="2"/>
  <c r="T255" i="2" s="1"/>
  <c r="K255" i="2"/>
  <c r="U255" i="2" s="1"/>
  <c r="S751" i="2"/>
  <c r="T751" i="2" s="1"/>
  <c r="K751" i="2"/>
  <c r="U751" i="2" s="1"/>
  <c r="S638" i="2"/>
  <c r="T638" i="2" s="1"/>
  <c r="K638" i="2"/>
  <c r="U638" i="2" s="1"/>
  <c r="Q1470" i="2"/>
  <c r="S107" i="2"/>
  <c r="T107" i="2" s="1"/>
  <c r="K107" i="2"/>
  <c r="U107" i="2" s="1"/>
  <c r="V107" i="2" s="1"/>
  <c r="S292" i="2"/>
  <c r="T292" i="2" s="1"/>
  <c r="K292" i="2"/>
  <c r="U292" i="2" s="1"/>
  <c r="S827" i="2"/>
  <c r="T827" i="2" s="1"/>
  <c r="K827" i="2"/>
  <c r="U827" i="2" s="1"/>
  <c r="K1905" i="2"/>
  <c r="U1905" i="2" s="1"/>
  <c r="S1905" i="2"/>
  <c r="T1905" i="2" s="1"/>
  <c r="X1905" i="2" s="1"/>
  <c r="Q57" i="2"/>
  <c r="S556" i="2"/>
  <c r="T556" i="2" s="1"/>
  <c r="K556" i="2"/>
  <c r="U556" i="2" s="1"/>
  <c r="S1232" i="2"/>
  <c r="T1232" i="2" s="1"/>
  <c r="K1232" i="2"/>
  <c r="U1232" i="2" s="1"/>
  <c r="K2044" i="2"/>
  <c r="U2044" i="2" s="1"/>
  <c r="S2044" i="2"/>
  <c r="T2044" i="2" s="1"/>
  <c r="X2044" i="2" s="1"/>
  <c r="S1481" i="2"/>
  <c r="T1481" i="2" s="1"/>
  <c r="K1481" i="2"/>
  <c r="U1481" i="2" s="1"/>
  <c r="S1253" i="2"/>
  <c r="T1253" i="2" s="1"/>
  <c r="K1253" i="2"/>
  <c r="U1253" i="2" s="1"/>
  <c r="S2097" i="2"/>
  <c r="T2097" i="2" s="1"/>
  <c r="X2097" i="2" s="1"/>
  <c r="K2097" i="2"/>
  <c r="U2097" i="2" s="1"/>
  <c r="K2104" i="2"/>
  <c r="U2104" i="2" s="1"/>
  <c r="S2104" i="2"/>
  <c r="T2104" i="2" s="1"/>
  <c r="X2104" i="2" s="1"/>
  <c r="J79" i="3"/>
  <c r="J80" i="3"/>
  <c r="J71" i="3"/>
  <c r="U291" i="2"/>
  <c r="U1527" i="2"/>
  <c r="U1478" i="2"/>
  <c r="S1858" i="2"/>
  <c r="T1858" i="2" s="1"/>
  <c r="X1858" i="2" s="1"/>
  <c r="K1858" i="2"/>
  <c r="U1858" i="2" s="1"/>
  <c r="J114" i="3"/>
  <c r="J105" i="3"/>
  <c r="J102" i="3"/>
  <c r="J113" i="3"/>
  <c r="J104" i="3"/>
  <c r="J115" i="3"/>
  <c r="J103" i="3"/>
  <c r="J112" i="3"/>
  <c r="J107" i="3"/>
  <c r="J106" i="3"/>
  <c r="S1300" i="2"/>
  <c r="T1300" i="2" s="1"/>
  <c r="K1300" i="2"/>
  <c r="S48" i="2"/>
  <c r="T48" i="2" s="1"/>
  <c r="K48" i="2"/>
  <c r="S441" i="2"/>
  <c r="T441" i="2" s="1"/>
  <c r="K441" i="2"/>
  <c r="U441" i="2" s="1"/>
  <c r="K1013" i="2"/>
  <c r="U1013" i="2" s="1"/>
  <c r="S1013" i="2"/>
  <c r="T1013" i="2" s="1"/>
  <c r="S227" i="2"/>
  <c r="T227" i="2" s="1"/>
  <c r="K227" i="2"/>
  <c r="U227" i="2" s="1"/>
  <c r="S767" i="2"/>
  <c r="T767" i="2" s="1"/>
  <c r="K767" i="2"/>
  <c r="U767" i="2" s="1"/>
  <c r="Q631" i="2"/>
  <c r="Q1480" i="2"/>
  <c r="S1362" i="2"/>
  <c r="T1362" i="2" s="1"/>
  <c r="K1362" i="2"/>
  <c r="U1362" i="2" s="1"/>
  <c r="S1591" i="2"/>
  <c r="T1591" i="2" s="1"/>
  <c r="K1591" i="2"/>
  <c r="U1591" i="2" s="1"/>
  <c r="S340" i="2"/>
  <c r="T340" i="2" s="1"/>
  <c r="K340" i="2"/>
  <c r="U340" i="2" s="1"/>
  <c r="S852" i="2"/>
  <c r="T852" i="2" s="1"/>
  <c r="K852" i="2"/>
  <c r="U852" i="2" s="1"/>
  <c r="S375" i="2"/>
  <c r="T375" i="2" s="1"/>
  <c r="K375" i="2"/>
  <c r="U375" i="2" s="1"/>
  <c r="S1735" i="2"/>
  <c r="T1735" i="2" s="1"/>
  <c r="X1735" i="2" s="1"/>
  <c r="K1735" i="2"/>
  <c r="U1735" i="2" s="1"/>
  <c r="K56" i="2"/>
  <c r="U56" i="2" s="1"/>
  <c r="V56" i="2" s="1"/>
  <c r="S56" i="2"/>
  <c r="T56" i="2" s="1"/>
  <c r="K2093" i="2"/>
  <c r="U2093" i="2" s="1"/>
  <c r="S2093" i="2"/>
  <c r="T2093" i="2" s="1"/>
  <c r="X2093" i="2" s="1"/>
  <c r="K1047" i="2"/>
  <c r="U1047" i="2" s="1"/>
  <c r="S1047" i="2"/>
  <c r="T1047" i="2" s="1"/>
  <c r="S2090" i="2"/>
  <c r="T2090" i="2" s="1"/>
  <c r="X2090" i="2" s="1"/>
  <c r="K2090" i="2"/>
  <c r="U2090" i="2" s="1"/>
  <c r="S323" i="2"/>
  <c r="T323" i="2" s="1"/>
  <c r="K323" i="2"/>
  <c r="U323" i="2" s="1"/>
  <c r="K2105" i="2"/>
  <c r="U2105" i="2" s="1"/>
  <c r="S2105" i="2"/>
  <c r="T2105" i="2" s="1"/>
  <c r="X2105" i="2" s="1"/>
  <c r="S2091" i="2"/>
  <c r="T2091" i="2" s="1"/>
  <c r="X2091" i="2" s="1"/>
  <c r="K2091" i="2"/>
  <c r="U2091" i="2" s="1"/>
  <c r="S1850" i="2"/>
  <c r="T1850" i="2" s="1"/>
  <c r="X1850" i="2" s="1"/>
  <c r="K1850" i="2"/>
  <c r="U1850" i="2" s="1"/>
  <c r="U273" i="2"/>
  <c r="U745" i="2"/>
  <c r="U1051" i="2"/>
  <c r="U1488" i="2"/>
  <c r="K1439" i="2"/>
  <c r="U1439" i="2" s="1"/>
  <c r="S1439" i="2"/>
  <c r="T1439" i="2" s="1"/>
  <c r="S1910" i="2"/>
  <c r="T1910" i="2" s="1"/>
  <c r="X1910" i="2" s="1"/>
  <c r="K1910" i="2"/>
  <c r="U1910" i="2" s="1"/>
  <c r="O1556" i="2"/>
  <c r="Q1556" i="2" s="1"/>
  <c r="O1537" i="2"/>
  <c r="Q1537" i="2" s="1"/>
  <c r="O1517" i="2"/>
  <c r="Q1517" i="2" s="1"/>
  <c r="O1551" i="2"/>
  <c r="Q1551" i="2" s="1"/>
  <c r="O1547" i="2"/>
  <c r="Q1547" i="2" s="1"/>
  <c r="O1528" i="2"/>
  <c r="Q1528" i="2" s="1"/>
  <c r="O1512" i="2"/>
  <c r="Q1512" i="2" s="1"/>
  <c r="O1533" i="2"/>
  <c r="Q1533" i="2" s="1"/>
  <c r="O1510" i="2"/>
  <c r="Q1510" i="2" s="1"/>
  <c r="O1543" i="2"/>
  <c r="Q1543" i="2" s="1"/>
  <c r="O1145" i="2"/>
  <c r="Q1145" i="2" s="1"/>
  <c r="O1136" i="2"/>
  <c r="Q1136" i="2" s="1"/>
  <c r="O1129" i="2"/>
  <c r="Q1129" i="2" s="1"/>
  <c r="O1103" i="2"/>
  <c r="Q1103" i="2" s="1"/>
  <c r="O1095" i="2"/>
  <c r="Q1095" i="2" s="1"/>
  <c r="O1535" i="2"/>
  <c r="Q1535" i="2" s="1"/>
  <c r="O1172" i="2"/>
  <c r="Q1172" i="2" s="1"/>
  <c r="O1087" i="2"/>
  <c r="Q1087" i="2" s="1"/>
  <c r="O1050" i="2"/>
  <c r="Q1050" i="2" s="1"/>
  <c r="O1040" i="2"/>
  <c r="Q1040" i="2" s="1"/>
  <c r="O1057" i="2"/>
  <c r="Q1057" i="2" s="1"/>
  <c r="O989" i="2"/>
  <c r="Q989" i="2" s="1"/>
  <c r="O1487" i="2"/>
  <c r="Q1487" i="2" s="1"/>
  <c r="O1097" i="2"/>
  <c r="Q1097" i="2" s="1"/>
  <c r="Q1344" i="2"/>
  <c r="Q1584" i="2"/>
  <c r="S344" i="2"/>
  <c r="T344" i="2" s="1"/>
  <c r="K344" i="2"/>
  <c r="U344" i="2" s="1"/>
  <c r="K917" i="2"/>
  <c r="U917" i="2" s="1"/>
  <c r="S917" i="2"/>
  <c r="T917" i="2" s="1"/>
  <c r="Q1744" i="2"/>
  <c r="S1736" i="2"/>
  <c r="T1736" i="2" s="1"/>
  <c r="X1736" i="2" s="1"/>
  <c r="K1736" i="2"/>
  <c r="U1736" i="2" s="1"/>
  <c r="K2026" i="2"/>
  <c r="U2026" i="2" s="1"/>
  <c r="S2026" i="2"/>
  <c r="T2026" i="2" s="1"/>
  <c r="X2026" i="2" s="1"/>
  <c r="S614" i="2"/>
  <c r="T614" i="2" s="1"/>
  <c r="K614" i="2"/>
  <c r="U614" i="2" s="1"/>
  <c r="S1320" i="2"/>
  <c r="T1320" i="2" s="1"/>
  <c r="K1320" i="2"/>
  <c r="U1320" i="2" s="1"/>
  <c r="S1036" i="2"/>
  <c r="T1036" i="2" s="1"/>
  <c r="K1036" i="2"/>
  <c r="U1036" i="2" s="1"/>
  <c r="S496" i="2"/>
  <c r="T496" i="2" s="1"/>
  <c r="K496" i="2"/>
  <c r="U496" i="2" s="1"/>
  <c r="S1180" i="2"/>
  <c r="T1180" i="2" s="1"/>
  <c r="K1180" i="2"/>
  <c r="U1180" i="2" s="1"/>
  <c r="S384" i="2"/>
  <c r="T384" i="2" s="1"/>
  <c r="K384" i="2"/>
  <c r="K997" i="2"/>
  <c r="S997" i="2"/>
  <c r="T997" i="2" s="1"/>
  <c r="K1952" i="2"/>
  <c r="U1952" i="2" s="1"/>
  <c r="S1952" i="2"/>
  <c r="T1952" i="2" s="1"/>
  <c r="X1952" i="2" s="1"/>
  <c r="S410" i="2"/>
  <c r="T410" i="2" s="1"/>
  <c r="K410" i="2"/>
  <c r="U410" i="2" s="1"/>
  <c r="S213" i="2"/>
  <c r="T213" i="2" s="1"/>
  <c r="K213" i="2"/>
  <c r="K2102" i="2"/>
  <c r="U2102" i="2" s="1"/>
  <c r="S2102" i="2"/>
  <c r="T2102" i="2" s="1"/>
  <c r="X2102" i="2" s="1"/>
  <c r="K2023" i="2"/>
  <c r="U2023" i="2" s="1"/>
  <c r="S2023" i="2"/>
  <c r="T2023" i="2" s="1"/>
  <c r="X2023" i="2" s="1"/>
  <c r="K2029" i="2"/>
  <c r="U2029" i="2" s="1"/>
  <c r="S2029" i="2"/>
  <c r="T2029" i="2" s="1"/>
  <c r="X2029" i="2" s="1"/>
  <c r="S243" i="2"/>
  <c r="T243" i="2" s="1"/>
  <c r="K243" i="2"/>
  <c r="S2103" i="2"/>
  <c r="T2103" i="2" s="1"/>
  <c r="X2103" i="2" s="1"/>
  <c r="K2103" i="2"/>
  <c r="U2103" i="2" s="1"/>
  <c r="S1410" i="2"/>
  <c r="T1410" i="2" s="1"/>
  <c r="K1410" i="2"/>
  <c r="U1410" i="2" s="1"/>
  <c r="K1895" i="2"/>
  <c r="U1895" i="2" s="1"/>
  <c r="S1895" i="2"/>
  <c r="T1895" i="2" s="1"/>
  <c r="X1895" i="2" s="1"/>
  <c r="S1245" i="2"/>
  <c r="T1245" i="2" s="1"/>
  <c r="K1245" i="2"/>
  <c r="U1245" i="2" s="1"/>
  <c r="S1906" i="2"/>
  <c r="T1906" i="2" s="1"/>
  <c r="X1906" i="2" s="1"/>
  <c r="K1906" i="2"/>
  <c r="U1906" i="2" s="1"/>
  <c r="K126" i="2"/>
  <c r="U126" i="2" s="1"/>
  <c r="S126" i="2"/>
  <c r="T126" i="2" s="1"/>
  <c r="S455" i="2"/>
  <c r="T455" i="2" s="1"/>
  <c r="K455" i="2"/>
  <c r="U455" i="2" s="1"/>
  <c r="K523" i="2"/>
  <c r="U523" i="2" s="1"/>
  <c r="S523" i="2"/>
  <c r="T523" i="2" s="1"/>
  <c r="S670" i="2"/>
  <c r="T670" i="2" s="1"/>
  <c r="K670" i="2"/>
  <c r="U670" i="2" s="1"/>
  <c r="Q46" i="2"/>
  <c r="K1630" i="2"/>
  <c r="U1630" i="2" s="1"/>
  <c r="S1630" i="2"/>
  <c r="T1630" i="2" s="1"/>
  <c r="X1630" i="2" s="1"/>
  <c r="K504" i="2"/>
  <c r="U504" i="2" s="1"/>
  <c r="S504" i="2"/>
  <c r="T504" i="2" s="1"/>
  <c r="S1179" i="2"/>
  <c r="T1179" i="2" s="1"/>
  <c r="K1179" i="2"/>
  <c r="U1179" i="2" s="1"/>
  <c r="S396" i="2"/>
  <c r="T396" i="2" s="1"/>
  <c r="K396" i="2"/>
  <c r="S879" i="2"/>
  <c r="T879" i="2" s="1"/>
  <c r="K879" i="2"/>
  <c r="U879" i="2" s="1"/>
  <c r="S1914" i="2"/>
  <c r="T1914" i="2" s="1"/>
  <c r="X1914" i="2" s="1"/>
  <c r="K1914" i="2"/>
  <c r="U1914" i="2" s="1"/>
  <c r="Q407" i="2"/>
  <c r="Q1098" i="2"/>
  <c r="K1951" i="2"/>
  <c r="U1951" i="2" s="1"/>
  <c r="S1951" i="2"/>
  <c r="T1951" i="2" s="1"/>
  <c r="X1951" i="2" s="1"/>
  <c r="S1409" i="2"/>
  <c r="T1409" i="2" s="1"/>
  <c r="K1409" i="2"/>
  <c r="U1409" i="2" s="1"/>
  <c r="S1962" i="2"/>
  <c r="T1962" i="2" s="1"/>
  <c r="X1962" i="2" s="1"/>
  <c r="K1962" i="2"/>
  <c r="U1962" i="2" s="1"/>
  <c r="K786" i="2"/>
  <c r="U786" i="2" s="1"/>
  <c r="S786" i="2"/>
  <c r="T786" i="2" s="1"/>
  <c r="S1821" i="2"/>
  <c r="T1821" i="2" s="1"/>
  <c r="X1821" i="2" s="1"/>
  <c r="K1821" i="2"/>
  <c r="U1821" i="2" s="1"/>
  <c r="S1305" i="2"/>
  <c r="T1305" i="2" s="1"/>
  <c r="K1305" i="2"/>
  <c r="Q119" i="2"/>
  <c r="S472" i="2"/>
  <c r="T472" i="2" s="1"/>
  <c r="K472" i="2"/>
  <c r="U472" i="2" s="1"/>
  <c r="K987" i="2"/>
  <c r="U987" i="2" s="1"/>
  <c r="S987" i="2"/>
  <c r="T987" i="2" s="1"/>
  <c r="K2100" i="2"/>
  <c r="U2100" i="2" s="1"/>
  <c r="S2100" i="2"/>
  <c r="T2100" i="2" s="1"/>
  <c r="X2100" i="2" s="1"/>
  <c r="S1275" i="2"/>
  <c r="T1275" i="2" s="1"/>
  <c r="K1275" i="2"/>
  <c r="U1275" i="2" s="1"/>
  <c r="K208" i="2"/>
  <c r="U208" i="2" s="1"/>
  <c r="S208" i="2"/>
  <c r="T208" i="2" s="1"/>
  <c r="S712" i="2"/>
  <c r="T712" i="2" s="1"/>
  <c r="K712" i="2"/>
  <c r="U712" i="2" s="1"/>
  <c r="K627" i="2"/>
  <c r="U627" i="2" s="1"/>
  <c r="S627" i="2"/>
  <c r="T627" i="2" s="1"/>
  <c r="S1484" i="2"/>
  <c r="T1484" i="2" s="1"/>
  <c r="K1484" i="2"/>
  <c r="U1484" i="2" s="1"/>
  <c r="Q1039" i="2"/>
  <c r="S1530" i="2"/>
  <c r="T1530" i="2" s="1"/>
  <c r="K1530" i="2"/>
  <c r="U1530" i="2" s="1"/>
  <c r="S1917" i="2"/>
  <c r="T1917" i="2" s="1"/>
  <c r="X1917" i="2" s="1"/>
  <c r="K1917" i="2"/>
  <c r="U1917" i="2" s="1"/>
  <c r="K1387" i="2"/>
  <c r="U1387" i="2" s="1"/>
  <c r="S1387" i="2"/>
  <c r="T1387" i="2" s="1"/>
  <c r="S1593" i="2"/>
  <c r="T1593" i="2" s="1"/>
  <c r="K1593" i="2"/>
  <c r="U1593" i="2" s="1"/>
  <c r="S352" i="2"/>
  <c r="T352" i="2" s="1"/>
  <c r="K352" i="2"/>
  <c r="U352" i="2" s="1"/>
  <c r="Q980" i="2"/>
  <c r="S1733" i="2"/>
  <c r="T1733" i="2" s="1"/>
  <c r="X1733" i="2" s="1"/>
  <c r="K1733" i="2"/>
  <c r="U1733" i="2" s="1"/>
  <c r="S1731" i="2"/>
  <c r="T1731" i="2" s="1"/>
  <c r="X1731" i="2" s="1"/>
  <c r="K1731" i="2"/>
  <c r="U1731" i="2" s="1"/>
  <c r="S80" i="2"/>
  <c r="T80" i="2" s="1"/>
  <c r="K80" i="2"/>
  <c r="U80" i="2" s="1"/>
  <c r="V80" i="2" s="1"/>
  <c r="K108" i="2"/>
  <c r="S108" i="2"/>
  <c r="T108" i="2" s="1"/>
  <c r="S272" i="2"/>
  <c r="T272" i="2" s="1"/>
  <c r="K272" i="2"/>
  <c r="U272" i="2" s="1"/>
  <c r="K830" i="2"/>
  <c r="U830" i="2" s="1"/>
  <c r="S830" i="2"/>
  <c r="T830" i="2" s="1"/>
  <c r="K1954" i="2"/>
  <c r="U1954" i="2" s="1"/>
  <c r="S1954" i="2"/>
  <c r="T1954" i="2" s="1"/>
  <c r="X1954" i="2" s="1"/>
  <c r="K929" i="2"/>
  <c r="U929" i="2" s="1"/>
  <c r="S929" i="2"/>
  <c r="T929" i="2" s="1"/>
  <c r="K1668" i="2"/>
  <c r="U1668" i="2" s="1"/>
  <c r="S1668" i="2"/>
  <c r="T1668" i="2" s="1"/>
  <c r="X1668" i="2" s="1"/>
  <c r="K1672" i="2"/>
  <c r="U1672" i="2" s="1"/>
  <c r="S1672" i="2"/>
  <c r="T1672" i="2" s="1"/>
  <c r="X1672" i="2" s="1"/>
  <c r="Q1989" i="2"/>
  <c r="S282" i="2"/>
  <c r="T282" i="2" s="1"/>
  <c r="K282" i="2"/>
  <c r="S843" i="2"/>
  <c r="T843" i="2" s="1"/>
  <c r="K843" i="2"/>
  <c r="S593" i="2"/>
  <c r="T593" i="2" s="1"/>
  <c r="K593" i="2"/>
  <c r="U593" i="2" s="1"/>
  <c r="S1336" i="2"/>
  <c r="T1336" i="2" s="1"/>
  <c r="K1336" i="2"/>
  <c r="U1336" i="2" s="1"/>
  <c r="Q1346" i="2"/>
  <c r="S1583" i="2"/>
  <c r="T1583" i="2" s="1"/>
  <c r="K1583" i="2"/>
  <c r="U1583" i="2" s="1"/>
  <c r="Q857" i="2"/>
  <c r="K1861" i="2"/>
  <c r="U1861" i="2" s="1"/>
  <c r="S1861" i="2"/>
  <c r="T1861" i="2" s="1"/>
  <c r="X1861" i="2" s="1"/>
  <c r="Q1198" i="2"/>
  <c r="K60" i="2"/>
  <c r="U60" i="2" s="1"/>
  <c r="S60" i="2"/>
  <c r="T60" i="2" s="1"/>
  <c r="S89" i="2"/>
  <c r="T89" i="2" s="1"/>
  <c r="K89" i="2"/>
  <c r="U89" i="2" s="1"/>
  <c r="Q539" i="2"/>
  <c r="K1794" i="2"/>
  <c r="U1794" i="2" s="1"/>
  <c r="S1794" i="2"/>
  <c r="T1794" i="2" s="1"/>
  <c r="X1794" i="2" s="1"/>
  <c r="S1416" i="2"/>
  <c r="T1416" i="2" s="1"/>
  <c r="K1416" i="2"/>
  <c r="U1416" i="2" s="1"/>
  <c r="Q1608" i="2"/>
  <c r="AO28" i="1"/>
  <c r="S1258" i="2"/>
  <c r="T1258" i="2" s="1"/>
  <c r="K1258" i="2"/>
  <c r="U1258" i="2" s="1"/>
  <c r="Q1957" i="2"/>
  <c r="S1046" i="2"/>
  <c r="T1046" i="2" s="1"/>
  <c r="K1046" i="2"/>
  <c r="U1046" i="2" s="1"/>
  <c r="Q610" i="2"/>
  <c r="S1255" i="2"/>
  <c r="T1255" i="2" s="1"/>
  <c r="K1255" i="2"/>
  <c r="U1255" i="2" s="1"/>
  <c r="Q406" i="2"/>
  <c r="Q943" i="2"/>
  <c r="S2041" i="2"/>
  <c r="T2041" i="2" s="1"/>
  <c r="X2041" i="2" s="1"/>
  <c r="K2041" i="2"/>
  <c r="U2041" i="2" s="1"/>
  <c r="S424" i="2"/>
  <c r="T424" i="2" s="1"/>
  <c r="K424" i="2"/>
  <c r="U424" i="2" s="1"/>
  <c r="S1158" i="2"/>
  <c r="T1158" i="2" s="1"/>
  <c r="K1158" i="2"/>
  <c r="S1226" i="2"/>
  <c r="T1226" i="2" s="1"/>
  <c r="K1226" i="2"/>
  <c r="U1226" i="2" s="1"/>
  <c r="Q348" i="2"/>
  <c r="Q1418" i="2"/>
  <c r="K528" i="2"/>
  <c r="U528" i="2" s="1"/>
  <c r="S528" i="2"/>
  <c r="T528" i="2" s="1"/>
  <c r="K512" i="2"/>
  <c r="U512" i="2" s="1"/>
  <c r="S512" i="2"/>
  <c r="T512" i="2" s="1"/>
  <c r="Q715" i="2"/>
  <c r="K1317" i="2"/>
  <c r="U1317" i="2" s="1"/>
  <c r="S1317" i="2"/>
  <c r="T1317" i="2" s="1"/>
  <c r="S463" i="2"/>
  <c r="T463" i="2" s="1"/>
  <c r="K463" i="2"/>
  <c r="U463" i="2" s="1"/>
  <c r="S1120" i="2"/>
  <c r="T1120" i="2" s="1"/>
  <c r="K1120" i="2"/>
  <c r="U1120" i="2" s="1"/>
  <c r="Q716" i="2"/>
  <c r="Q233" i="2"/>
  <c r="K1051" i="2"/>
  <c r="S1051" i="2"/>
  <c r="T1051" i="2" s="1"/>
  <c r="S1531" i="2"/>
  <c r="T1531" i="2" s="1"/>
  <c r="K1531" i="2"/>
  <c r="U1531" i="2" s="1"/>
  <c r="S886" i="2"/>
  <c r="T886" i="2" s="1"/>
  <c r="K886" i="2"/>
  <c r="U886" i="2" s="1"/>
  <c r="U243" i="2"/>
  <c r="V243" i="2" s="1"/>
  <c r="U108" i="2"/>
  <c r="U568" i="2"/>
  <c r="U741" i="2"/>
  <c r="U1273" i="2"/>
  <c r="U1305" i="2"/>
  <c r="O890" i="2"/>
  <c r="Q890" i="2" s="1"/>
  <c r="O937" i="2"/>
  <c r="Q937" i="2" s="1"/>
  <c r="O835" i="2"/>
  <c r="Q835" i="2" s="1"/>
  <c r="O829" i="2"/>
  <c r="Q829" i="2" s="1"/>
  <c r="O850" i="2"/>
  <c r="Q850" i="2" s="1"/>
  <c r="O800" i="2"/>
  <c r="Q800" i="2" s="1"/>
  <c r="O783" i="2"/>
  <c r="Q783" i="2" s="1"/>
  <c r="O838" i="2"/>
  <c r="Q838" i="2" s="1"/>
  <c r="O870" i="2"/>
  <c r="Q870" i="2" s="1"/>
  <c r="O802" i="2"/>
  <c r="Q802" i="2" s="1"/>
  <c r="O897" i="2"/>
  <c r="Q897" i="2" s="1"/>
  <c r="O748" i="2"/>
  <c r="Q748" i="2" s="1"/>
  <c r="O331" i="2"/>
  <c r="Q331" i="2" s="1"/>
  <c r="O327" i="2"/>
  <c r="Q327" i="2" s="1"/>
  <c r="O304" i="2"/>
  <c r="Q304" i="2" s="1"/>
  <c r="O298" i="2"/>
  <c r="Q298" i="2" s="1"/>
  <c r="O270" i="2"/>
  <c r="Q270" i="2" s="1"/>
  <c r="O317" i="2"/>
  <c r="Q317" i="2" s="1"/>
  <c r="O300" i="2"/>
  <c r="Q300" i="2" s="1"/>
  <c r="O280" i="2"/>
  <c r="Q280" i="2" s="1"/>
  <c r="O350" i="2"/>
  <c r="Q350" i="2" s="1"/>
  <c r="O252" i="2"/>
  <c r="Q252" i="2" s="1"/>
  <c r="O293" i="2"/>
  <c r="Q293" i="2" s="1"/>
  <c r="O279" i="2"/>
  <c r="Q279" i="2" s="1"/>
  <c r="S1463" i="2"/>
  <c r="T1463" i="2" s="1"/>
  <c r="K1463" i="2"/>
  <c r="U1463" i="2" s="1"/>
  <c r="Q799" i="2"/>
  <c r="Q1811" i="2"/>
  <c r="Q1230" i="2"/>
  <c r="Q52" i="2"/>
  <c r="Q521" i="2"/>
  <c r="Q1023" i="2"/>
  <c r="Q1171" i="2"/>
  <c r="O1762" i="2"/>
  <c r="Q1762" i="2" s="1"/>
  <c r="O1757" i="2"/>
  <c r="Q1757" i="2" s="1"/>
  <c r="O1755" i="2"/>
  <c r="Q1755" i="2" s="1"/>
  <c r="O1753" i="2"/>
  <c r="Q1753" i="2" s="1"/>
  <c r="O1754" i="2"/>
  <c r="Q1754" i="2" s="1"/>
  <c r="O1759" i="2"/>
  <c r="Q1759" i="2" s="1"/>
  <c r="O1763" i="2"/>
  <c r="Q1763" i="2" s="1"/>
  <c r="O1751" i="2"/>
  <c r="Q1751" i="2" s="1"/>
  <c r="O1756" i="2"/>
  <c r="Q1756" i="2" s="1"/>
  <c r="O1750" i="2"/>
  <c r="Q1750" i="2" s="1"/>
  <c r="O1749" i="2"/>
  <c r="Q1749" i="2" s="1"/>
  <c r="O1748" i="2"/>
  <c r="Q1748" i="2" s="1"/>
  <c r="O1760" i="2"/>
  <c r="Q1760" i="2" s="1"/>
  <c r="O1758" i="2"/>
  <c r="Q1758" i="2" s="1"/>
  <c r="O1761" i="2"/>
  <c r="Q1761" i="2" s="1"/>
  <c r="O1752" i="2"/>
  <c r="Q1752" i="2" s="1"/>
  <c r="O636" i="2"/>
  <c r="Q636" i="2" s="1"/>
  <c r="O642" i="2"/>
  <c r="Q642" i="2" s="1"/>
  <c r="O609" i="2"/>
  <c r="Q609" i="2" s="1"/>
  <c r="O602" i="2"/>
  <c r="Q602" i="2" s="1"/>
  <c r="O153" i="2"/>
  <c r="Q153" i="2" s="1"/>
  <c r="O177" i="2"/>
  <c r="Q177" i="2" s="1"/>
  <c r="O147" i="2"/>
  <c r="Q147" i="2" s="1"/>
  <c r="O171" i="2"/>
  <c r="Q171" i="2" s="1"/>
  <c r="Q249" i="2"/>
  <c r="Q720" i="2"/>
  <c r="Q667" i="2"/>
  <c r="Q1496" i="2"/>
  <c r="Q1055" i="2"/>
  <c r="Q1507" i="2"/>
  <c r="K1395" i="2"/>
  <c r="U1395" i="2" s="1"/>
  <c r="S1395" i="2"/>
  <c r="T1395" i="2" s="1"/>
  <c r="S1596" i="2"/>
  <c r="T1596" i="2" s="1"/>
  <c r="K1596" i="2"/>
  <c r="U1596" i="2" s="1"/>
  <c r="Q376" i="2"/>
  <c r="Q915" i="2"/>
  <c r="Q1742" i="2"/>
  <c r="Q1737" i="2"/>
  <c r="Q84" i="2"/>
  <c r="Q135" i="2"/>
  <c r="Q309" i="2"/>
  <c r="S839" i="2"/>
  <c r="T839" i="2" s="1"/>
  <c r="K839" i="2"/>
  <c r="U839" i="2" s="1"/>
  <c r="Q1961" i="2"/>
  <c r="K912" i="2"/>
  <c r="U912" i="2" s="1"/>
  <c r="S912" i="2"/>
  <c r="T912" i="2" s="1"/>
  <c r="Q1667" i="2"/>
  <c r="S1675" i="2"/>
  <c r="T1675" i="2" s="1"/>
  <c r="X1675" i="2" s="1"/>
  <c r="K1675" i="2"/>
  <c r="U1675" i="2" s="1"/>
  <c r="Q1904" i="2"/>
  <c r="Q283" i="2"/>
  <c r="Q855" i="2"/>
  <c r="S570" i="2"/>
  <c r="T570" i="2" s="1"/>
  <c r="K570" i="2"/>
  <c r="U570" i="2" s="1"/>
  <c r="K1235" i="2"/>
  <c r="U1235" i="2" s="1"/>
  <c r="S1235" i="2"/>
  <c r="T1235" i="2" s="1"/>
  <c r="Q1582" i="2"/>
  <c r="Q1587" i="2"/>
  <c r="Q892" i="2"/>
  <c r="Q1851" i="2"/>
  <c r="Q1168" i="2"/>
  <c r="Q68" i="2"/>
  <c r="Q28" i="2"/>
  <c r="Q532" i="2"/>
  <c r="Q34" i="2"/>
  <c r="Q1422" i="2"/>
  <c r="Q1615" i="2"/>
  <c r="Q1264" i="2"/>
  <c r="Q1817" i="2"/>
  <c r="Q1079" i="2"/>
  <c r="K551" i="2"/>
  <c r="U551" i="2" s="1"/>
  <c r="S551" i="2"/>
  <c r="T551" i="2" s="1"/>
  <c r="Q1201" i="2"/>
  <c r="Q409" i="2"/>
  <c r="Q946" i="2"/>
  <c r="Q342" i="2"/>
  <c r="S1188" i="2"/>
  <c r="T1188" i="2" s="1"/>
  <c r="K1188" i="2"/>
  <c r="Q1244" i="2"/>
  <c r="Q360" i="2"/>
  <c r="Q1432" i="2"/>
  <c r="Q1955" i="2"/>
  <c r="Q588" i="2"/>
  <c r="Q484" i="2"/>
  <c r="Q451" i="2"/>
  <c r="Q632" i="2"/>
  <c r="Q1342" i="2"/>
  <c r="Q429" i="2"/>
  <c r="Q1154" i="2"/>
  <c r="Q718" i="2"/>
  <c r="Q232" i="2"/>
  <c r="S1092" i="2"/>
  <c r="T1092" i="2" s="1"/>
  <c r="K1092" i="2"/>
  <c r="S1527" i="2"/>
  <c r="T1527" i="2" s="1"/>
  <c r="K1527" i="2"/>
  <c r="Q866" i="2"/>
  <c r="U384" i="2"/>
  <c r="O473" i="2"/>
  <c r="Q473" i="2" s="1"/>
  <c r="O449" i="2"/>
  <c r="Q449" i="2" s="1"/>
  <c r="O444" i="2"/>
  <c r="Q444" i="2" s="1"/>
  <c r="O491" i="2"/>
  <c r="Q491" i="2" s="1"/>
  <c r="O447" i="2"/>
  <c r="Q447" i="2" s="1"/>
  <c r="O464" i="2"/>
  <c r="Q464" i="2" s="1"/>
  <c r="O412" i="2"/>
  <c r="Q412" i="2" s="1"/>
  <c r="O425" i="2"/>
  <c r="Q425" i="2" s="1"/>
  <c r="O518" i="2"/>
  <c r="Q518" i="2" s="1"/>
  <c r="O422" i="2"/>
  <c r="Q422" i="2" s="1"/>
  <c r="O487" i="2"/>
  <c r="Q487" i="2" s="1"/>
  <c r="O390" i="2"/>
  <c r="Q390" i="2" s="1"/>
  <c r="S1909" i="2"/>
  <c r="T1909" i="2" s="1"/>
  <c r="X1909" i="2" s="1"/>
  <c r="K1909" i="2"/>
  <c r="U1909" i="2" s="1"/>
  <c r="S480" i="2"/>
  <c r="T480" i="2" s="1"/>
  <c r="K480" i="2"/>
  <c r="U480" i="2" s="1"/>
  <c r="S254" i="2"/>
  <c r="T254" i="2" s="1"/>
  <c r="K254" i="2"/>
  <c r="U254" i="2" s="1"/>
  <c r="S744" i="2"/>
  <c r="T744" i="2" s="1"/>
  <c r="K744" i="2"/>
  <c r="U744" i="2" s="1"/>
  <c r="S693" i="2"/>
  <c r="T693" i="2" s="1"/>
  <c r="K693" i="2"/>
  <c r="U693" i="2" s="1"/>
  <c r="S1499" i="2"/>
  <c r="T1499" i="2" s="1"/>
  <c r="K1499" i="2"/>
  <c r="U1499" i="2" s="1"/>
  <c r="Q1024" i="2"/>
  <c r="Q1509" i="2"/>
  <c r="K2033" i="2"/>
  <c r="U2033" i="2" s="1"/>
  <c r="S2033" i="2"/>
  <c r="T2033" i="2" s="1"/>
  <c r="X2033" i="2" s="1"/>
  <c r="Q1732" i="2"/>
  <c r="S1738" i="2"/>
  <c r="T1738" i="2" s="1"/>
  <c r="X1738" i="2" s="1"/>
  <c r="K1738" i="2"/>
  <c r="U1738" i="2" s="1"/>
  <c r="K100" i="2"/>
  <c r="U100" i="2" s="1"/>
  <c r="V100" i="2" s="1"/>
  <c r="S100" i="2"/>
  <c r="T100" i="2" s="1"/>
  <c r="X100" i="2" s="1"/>
  <c r="S137" i="2"/>
  <c r="T137" i="2" s="1"/>
  <c r="K137" i="2"/>
  <c r="S315" i="2"/>
  <c r="T315" i="2" s="1"/>
  <c r="K315" i="2"/>
  <c r="U315" i="2" s="1"/>
  <c r="S865" i="2"/>
  <c r="T865" i="2" s="1"/>
  <c r="K865" i="2"/>
  <c r="U865" i="2" s="1"/>
  <c r="Q1965" i="2"/>
  <c r="Q842" i="2"/>
  <c r="K1666" i="2"/>
  <c r="U1666" i="2" s="1"/>
  <c r="S1666" i="2"/>
  <c r="T1666" i="2" s="1"/>
  <c r="X1666" i="2" s="1"/>
  <c r="K1676" i="2"/>
  <c r="U1676" i="2" s="1"/>
  <c r="S1676" i="2"/>
  <c r="T1676" i="2" s="1"/>
  <c r="X1676" i="2" s="1"/>
  <c r="S291" i="2"/>
  <c r="T291" i="2" s="1"/>
  <c r="K291" i="2"/>
  <c r="S887" i="2"/>
  <c r="T887" i="2" s="1"/>
  <c r="K887" i="2"/>
  <c r="K557" i="2"/>
  <c r="U557" i="2" s="1"/>
  <c r="S557" i="2"/>
  <c r="T557" i="2" s="1"/>
  <c r="S1265" i="2"/>
  <c r="T1265" i="2" s="1"/>
  <c r="K1265" i="2"/>
  <c r="U1265" i="2" s="1"/>
  <c r="K1907" i="2"/>
  <c r="U1907" i="2" s="1"/>
  <c r="S1907" i="2"/>
  <c r="T1907" i="2" s="1"/>
  <c r="X1907" i="2" s="1"/>
  <c r="Q1321" i="2"/>
  <c r="S1598" i="2"/>
  <c r="T1598" i="2" s="1"/>
  <c r="K1598" i="2"/>
  <c r="U1598" i="2" s="1"/>
  <c r="S906" i="2"/>
  <c r="T906" i="2" s="1"/>
  <c r="K906" i="2"/>
  <c r="U906" i="2" s="1"/>
  <c r="Q1859" i="2"/>
  <c r="K1121" i="2"/>
  <c r="U1121" i="2" s="1"/>
  <c r="S1121" i="2"/>
  <c r="T1121" i="2" s="1"/>
  <c r="S45" i="2"/>
  <c r="T45" i="2" s="1"/>
  <c r="K45" i="2"/>
  <c r="U45" i="2" s="1"/>
  <c r="K82" i="2"/>
  <c r="U82" i="2" s="1"/>
  <c r="S82" i="2"/>
  <c r="T82" i="2" s="1"/>
  <c r="Q148" i="2"/>
  <c r="K2028" i="2"/>
  <c r="U2028" i="2" s="1"/>
  <c r="S2028" i="2"/>
  <c r="T2028" i="2" s="1"/>
  <c r="X2028" i="2" s="1"/>
  <c r="Q38" i="2"/>
  <c r="Q1459" i="2"/>
  <c r="S1611" i="2"/>
  <c r="T1611" i="2" s="1"/>
  <c r="K1611" i="2"/>
  <c r="U1611" i="2" s="1"/>
  <c r="S1307" i="2"/>
  <c r="T1307" i="2" s="1"/>
  <c r="K1307" i="2"/>
  <c r="U1307" i="2" s="1"/>
  <c r="Q2025" i="2"/>
  <c r="S1069" i="2"/>
  <c r="T1069" i="2" s="1"/>
  <c r="K1069" i="2"/>
  <c r="U1069" i="2" s="1"/>
  <c r="S541" i="2"/>
  <c r="T541" i="2" s="1"/>
  <c r="K541" i="2"/>
  <c r="U541" i="2" s="1"/>
  <c r="K1243" i="2"/>
  <c r="U1243" i="2" s="1"/>
  <c r="S1243" i="2"/>
  <c r="T1243" i="2" s="1"/>
  <c r="S349" i="2"/>
  <c r="T349" i="2" s="1"/>
  <c r="K349" i="2"/>
  <c r="K995" i="2"/>
  <c r="U995" i="2" s="1"/>
  <c r="S995" i="2"/>
  <c r="T995" i="2" s="1"/>
  <c r="Q443" i="2"/>
  <c r="S1140" i="2"/>
  <c r="T1140" i="2" s="1"/>
  <c r="K1140" i="2"/>
  <c r="Q1277" i="2"/>
  <c r="S399" i="2"/>
  <c r="T399" i="2" s="1"/>
  <c r="K399" i="2"/>
  <c r="U399" i="2" s="1"/>
  <c r="S1440" i="2"/>
  <c r="T1440" i="2" s="1"/>
  <c r="K1440" i="2"/>
  <c r="U1440" i="2" s="1"/>
  <c r="Q1956" i="2"/>
  <c r="K589" i="2"/>
  <c r="U589" i="2" s="1"/>
  <c r="S589" i="2"/>
  <c r="T589" i="2" s="1"/>
  <c r="Q513" i="2"/>
  <c r="Q413" i="2"/>
  <c r="O1375" i="2"/>
  <c r="Q1375" i="2" s="1"/>
  <c r="O1389" i="2"/>
  <c r="Q1389" i="2" s="1"/>
  <c r="O1357" i="2"/>
  <c r="Q1357" i="2" s="1"/>
  <c r="O1370" i="2"/>
  <c r="Q1370" i="2" s="1"/>
  <c r="O1353" i="2"/>
  <c r="Q1353" i="2" s="1"/>
  <c r="O1360" i="2"/>
  <c r="Q1360" i="2" s="1"/>
  <c r="O1379" i="2"/>
  <c r="Q1379" i="2" s="1"/>
  <c r="O1359" i="2"/>
  <c r="Q1359" i="2" s="1"/>
  <c r="O1376" i="2"/>
  <c r="Q1376" i="2" s="1"/>
  <c r="O1371" i="2"/>
  <c r="Q1371" i="2" s="1"/>
  <c r="O1343" i="2"/>
  <c r="Q1343" i="2" s="1"/>
  <c r="O1394" i="2"/>
  <c r="Q1394" i="2" s="1"/>
  <c r="K643" i="2"/>
  <c r="U643" i="2" s="1"/>
  <c r="S643" i="2"/>
  <c r="T643" i="2" s="1"/>
  <c r="Q1302" i="2"/>
  <c r="S433" i="2"/>
  <c r="T433" i="2" s="1"/>
  <c r="K433" i="2"/>
  <c r="U433" i="2" s="1"/>
  <c r="Q1135" i="2"/>
  <c r="S773" i="2"/>
  <c r="T773" i="2" s="1"/>
  <c r="K773" i="2"/>
  <c r="Q214" i="2"/>
  <c r="K1032" i="2"/>
  <c r="U1032" i="2" s="1"/>
  <c r="S1032" i="2"/>
  <c r="T1032" i="2" s="1"/>
  <c r="S1503" i="2"/>
  <c r="T1503" i="2" s="1"/>
  <c r="K1503" i="2"/>
  <c r="U1503" i="2" s="1"/>
  <c r="K933" i="2"/>
  <c r="U933" i="2" s="1"/>
  <c r="S933" i="2"/>
  <c r="T933" i="2" s="1"/>
  <c r="U282" i="2"/>
  <c r="U396" i="2"/>
  <c r="U1066" i="2"/>
  <c r="U1300" i="2"/>
  <c r="Q1433" i="2"/>
  <c r="Q760" i="2"/>
  <c r="Q1810" i="2"/>
  <c r="Q1260" i="2"/>
  <c r="Q88" i="2"/>
  <c r="Q486" i="2"/>
  <c r="Q1063" i="2"/>
  <c r="S1241" i="2"/>
  <c r="T1241" i="2" s="1"/>
  <c r="K1241" i="2"/>
  <c r="U1241" i="2" s="1"/>
  <c r="K1908" i="2"/>
  <c r="U1908" i="2" s="1"/>
  <c r="S1908" i="2"/>
  <c r="T1908" i="2" s="1"/>
  <c r="X1908" i="2" s="1"/>
  <c r="Q267" i="2"/>
  <c r="Q752" i="2"/>
  <c r="S603" i="2"/>
  <c r="T603" i="2" s="1"/>
  <c r="K603" i="2"/>
  <c r="U603" i="2" s="1"/>
  <c r="Q1525" i="2"/>
  <c r="Q1091" i="2"/>
  <c r="Q1523" i="2"/>
  <c r="Q1950" i="2"/>
  <c r="Q1366" i="2"/>
  <c r="K1605" i="2"/>
  <c r="U1605" i="2" s="1"/>
  <c r="S1605" i="2"/>
  <c r="T1605" i="2" s="1"/>
  <c r="Q868" i="2"/>
  <c r="Q963" i="2"/>
  <c r="Q1745" i="2"/>
  <c r="Q1729" i="2"/>
  <c r="Q73" i="2"/>
  <c r="Q161" i="2"/>
  <c r="Q343" i="2"/>
  <c r="Q919" i="2"/>
  <c r="Q1960" i="2"/>
  <c r="Q927" i="2"/>
  <c r="Q1662" i="2"/>
  <c r="Q1679" i="2"/>
  <c r="Q302" i="2"/>
  <c r="Q826" i="2"/>
  <c r="S647" i="2"/>
  <c r="T647" i="2" s="1"/>
  <c r="K647" i="2"/>
  <c r="U647" i="2" s="1"/>
  <c r="Q1296" i="2"/>
  <c r="Q1898" i="2"/>
  <c r="Q1384" i="2"/>
  <c r="Q1580" i="2"/>
  <c r="Q1437" i="2"/>
  <c r="Q1138" i="2"/>
  <c r="K2043" i="2"/>
  <c r="U2043" i="2" s="1"/>
  <c r="S2043" i="2"/>
  <c r="T2043" i="2" s="1"/>
  <c r="X2043" i="2" s="1"/>
  <c r="Q65" i="2"/>
  <c r="S569" i="2"/>
  <c r="T569" i="2" s="1"/>
  <c r="K569" i="2"/>
  <c r="U569" i="2" s="1"/>
  <c r="Q577" i="2"/>
  <c r="Q1987" i="2"/>
  <c r="Q9" i="2"/>
  <c r="Q1427" i="2"/>
  <c r="Q1613" i="2"/>
  <c r="Q1292" i="2"/>
  <c r="Q1078" i="2"/>
  <c r="Q542" i="2"/>
  <c r="Q1279" i="2"/>
  <c r="Q355" i="2"/>
  <c r="Q1010" i="2"/>
  <c r="Q374" i="2"/>
  <c r="S1156" i="2"/>
  <c r="T1156" i="2" s="1"/>
  <c r="K1156" i="2"/>
  <c r="U1156" i="2" s="1"/>
  <c r="S1283" i="2"/>
  <c r="T1283" i="2" s="1"/>
  <c r="K1283" i="2"/>
  <c r="U1283" i="2" s="1"/>
  <c r="Q329" i="2"/>
  <c r="Q1442" i="2"/>
  <c r="Q1916" i="2"/>
  <c r="Q613" i="2"/>
  <c r="Q578" i="2"/>
  <c r="O1574" i="2"/>
  <c r="Q1574" i="2" s="1"/>
  <c r="O1570" i="2"/>
  <c r="Q1570" i="2" s="1"/>
  <c r="O1569" i="2"/>
  <c r="Q1569" i="2" s="1"/>
  <c r="O1566" i="2"/>
  <c r="Q1566" i="2" s="1"/>
  <c r="O1572" i="2"/>
  <c r="Q1572" i="2" s="1"/>
  <c r="O1563" i="2"/>
  <c r="Q1563" i="2" s="1"/>
  <c r="O1252" i="2"/>
  <c r="Q1252" i="2" s="1"/>
  <c r="O1242" i="2"/>
  <c r="Q1242" i="2" s="1"/>
  <c r="O1220" i="2"/>
  <c r="Q1220" i="2" s="1"/>
  <c r="O1208" i="2"/>
  <c r="Q1208" i="2" s="1"/>
  <c r="O1223" i="2"/>
  <c r="Q1223" i="2" s="1"/>
  <c r="O1190" i="2"/>
  <c r="Q1190" i="2" s="1"/>
  <c r="O2152" i="2"/>
  <c r="Q2152" i="2" s="1"/>
  <c r="O2150" i="2"/>
  <c r="Q2150" i="2" s="1"/>
  <c r="O2159" i="2"/>
  <c r="Q2159" i="2" s="1"/>
  <c r="O2161" i="2"/>
  <c r="Q2161" i="2" s="1"/>
  <c r="O2157" i="2"/>
  <c r="Q2157" i="2" s="1"/>
  <c r="O2160" i="2"/>
  <c r="Q2160" i="2" s="1"/>
  <c r="O2153" i="2"/>
  <c r="Q2153" i="2" s="1"/>
  <c r="O2154" i="2"/>
  <c r="Q2154" i="2" s="1"/>
  <c r="O2155" i="2"/>
  <c r="Q2155" i="2" s="1"/>
  <c r="O2158" i="2"/>
  <c r="Q2158" i="2" s="1"/>
  <c r="O2156" i="2"/>
  <c r="Q2156" i="2" s="1"/>
  <c r="O2151" i="2"/>
  <c r="Q2151" i="2" s="1"/>
  <c r="Q598" i="2"/>
  <c r="Q1268" i="2"/>
  <c r="Q452" i="2"/>
  <c r="Q1162" i="2"/>
  <c r="S742" i="2"/>
  <c r="T742" i="2" s="1"/>
  <c r="K742" i="2"/>
  <c r="Q261" i="2"/>
  <c r="S1038" i="2"/>
  <c r="T1038" i="2" s="1"/>
  <c r="K1038" i="2"/>
  <c r="Q1505" i="2"/>
  <c r="Q957" i="2"/>
  <c r="U887" i="2"/>
  <c r="S727" i="2"/>
  <c r="T727" i="2" s="1"/>
  <c r="K727" i="2"/>
  <c r="U727" i="2" s="1"/>
  <c r="S76" i="2"/>
  <c r="T76" i="2" s="1"/>
  <c r="K76" i="2"/>
  <c r="K923" i="2"/>
  <c r="U923" i="2" s="1"/>
  <c r="S923" i="2"/>
  <c r="T923" i="2" s="1"/>
  <c r="S1393" i="2"/>
  <c r="T1393" i="2" s="1"/>
  <c r="K1393" i="2"/>
  <c r="U1393" i="2" s="1"/>
  <c r="S555" i="2"/>
  <c r="T555" i="2" s="1"/>
  <c r="K555" i="2"/>
  <c r="U555" i="2" s="1"/>
  <c r="Q1896" i="2"/>
  <c r="S984" i="2"/>
  <c r="T984" i="2" s="1"/>
  <c r="K984" i="2"/>
  <c r="U984" i="2" s="1"/>
  <c r="S1382" i="2"/>
  <c r="T1382" i="2" s="1"/>
  <c r="K1382" i="2"/>
  <c r="U1382" i="2" s="1"/>
  <c r="S1741" i="2"/>
  <c r="T1741" i="2" s="1"/>
  <c r="X1741" i="2" s="1"/>
  <c r="K1741" i="2"/>
  <c r="U1741" i="2" s="1"/>
  <c r="S10" i="2"/>
  <c r="T10" i="2" s="1"/>
  <c r="K10" i="2"/>
  <c r="U10" i="2" s="1"/>
  <c r="K1911" i="2"/>
  <c r="U1911" i="2" s="1"/>
  <c r="S1911" i="2"/>
  <c r="T1911" i="2" s="1"/>
  <c r="X1911" i="2" s="1"/>
  <c r="S1465" i="2"/>
  <c r="T1465" i="2" s="1"/>
  <c r="K1465" i="2"/>
  <c r="U1465" i="2" s="1"/>
  <c r="K1768" i="2"/>
  <c r="U1768" i="2" s="1"/>
  <c r="S1768" i="2"/>
  <c r="T1768" i="2" s="1"/>
  <c r="X1768" i="2" s="1"/>
  <c r="S18" i="2"/>
  <c r="T18" i="2" s="1"/>
  <c r="K18" i="2"/>
  <c r="U18" i="2" s="1"/>
  <c r="S1332" i="2"/>
  <c r="T1332" i="2" s="1"/>
  <c r="K1332" i="2"/>
  <c r="U1332" i="2" s="1"/>
  <c r="Q357" i="2"/>
  <c r="S1912" i="2"/>
  <c r="T1912" i="2" s="1"/>
  <c r="X1912" i="2" s="1"/>
  <c r="K1912" i="2"/>
  <c r="U1912" i="2" s="1"/>
  <c r="S552" i="2"/>
  <c r="T552" i="2" s="1"/>
  <c r="K552" i="2"/>
  <c r="U552" i="2" s="1"/>
  <c r="Q440" i="2"/>
  <c r="Q668" i="2"/>
  <c r="K907" i="2"/>
  <c r="U907" i="2" s="1"/>
  <c r="S907" i="2"/>
  <c r="T907" i="2" s="1"/>
  <c r="O1434" i="2"/>
  <c r="Q1434" i="2" s="1"/>
  <c r="O1414" i="2"/>
  <c r="Q1414" i="2" s="1"/>
  <c r="O1399" i="2"/>
  <c r="Q1399" i="2" s="1"/>
  <c r="O1419" i="2"/>
  <c r="Q1419" i="2" s="1"/>
  <c r="O1417" i="2"/>
  <c r="Q1417" i="2" s="1"/>
  <c r="O1429" i="2"/>
  <c r="Q1429" i="2" s="1"/>
  <c r="O849" i="2"/>
  <c r="Q849" i="2" s="1"/>
  <c r="O811" i="2"/>
  <c r="Q811" i="2" s="1"/>
  <c r="O836" i="2"/>
  <c r="Q836" i="2" s="1"/>
  <c r="O812" i="2"/>
  <c r="Q812" i="2" s="1"/>
  <c r="O772" i="2"/>
  <c r="Q772" i="2" s="1"/>
  <c r="O801" i="2"/>
  <c r="Q801" i="2" s="1"/>
  <c r="O2149" i="2"/>
  <c r="Q2149" i="2" s="1"/>
  <c r="O2138" i="2"/>
  <c r="Q2138" i="2" s="1"/>
  <c r="O2147" i="2"/>
  <c r="Q2147" i="2" s="1"/>
  <c r="O2148" i="2"/>
  <c r="Q2148" i="2" s="1"/>
  <c r="O2143" i="2"/>
  <c r="Q2143" i="2" s="1"/>
  <c r="O2139" i="2"/>
  <c r="Q2139" i="2" s="1"/>
  <c r="O2140" i="2"/>
  <c r="Q2140" i="2" s="1"/>
  <c r="O2145" i="2"/>
  <c r="Q2145" i="2" s="1"/>
  <c r="O2146" i="2"/>
  <c r="Q2146" i="2" s="1"/>
  <c r="O2142" i="2"/>
  <c r="Q2142" i="2" s="1"/>
  <c r="O2141" i="2"/>
  <c r="Q2141" i="2" s="1"/>
  <c r="O2144" i="2"/>
  <c r="Q2144" i="2" s="1"/>
  <c r="U808" i="2"/>
  <c r="U997" i="2"/>
  <c r="U1188" i="2"/>
  <c r="S1426" i="2"/>
  <c r="T1426" i="2" s="1"/>
  <c r="K1426" i="2"/>
  <c r="U1426" i="2" s="1"/>
  <c r="Q1413" i="2"/>
  <c r="Q1820" i="2"/>
  <c r="S1326" i="2"/>
  <c r="T1326" i="2" s="1"/>
  <c r="K1326" i="2"/>
  <c r="Q79" i="2"/>
  <c r="S544" i="2"/>
  <c r="T544" i="2" s="1"/>
  <c r="K544" i="2"/>
  <c r="U544" i="2" s="1"/>
  <c r="Q1022" i="2"/>
  <c r="Q1197" i="2"/>
  <c r="Q277" i="2"/>
  <c r="S723" i="2"/>
  <c r="T723" i="2" s="1"/>
  <c r="K723" i="2"/>
  <c r="U723" i="2" s="1"/>
  <c r="Q666" i="2"/>
  <c r="Q1511" i="2"/>
  <c r="U5" i="3"/>
  <c r="Q968" i="2"/>
  <c r="Q1516" i="2"/>
  <c r="Q2042" i="2"/>
  <c r="Q1383" i="2"/>
  <c r="K1610" i="2"/>
  <c r="U1610" i="2" s="1"/>
  <c r="S1610" i="2"/>
  <c r="T1610" i="2" s="1"/>
  <c r="Q341" i="2"/>
  <c r="Q940" i="2"/>
  <c r="S1743" i="2"/>
  <c r="T1743" i="2" s="1"/>
  <c r="X1743" i="2" s="1"/>
  <c r="K1743" i="2"/>
  <c r="U1743" i="2" s="1"/>
  <c r="S1740" i="2"/>
  <c r="T1740" i="2" s="1"/>
  <c r="X1740" i="2" s="1"/>
  <c r="K1740" i="2"/>
  <c r="U1740" i="2" s="1"/>
  <c r="Q111" i="2"/>
  <c r="Q165" i="2"/>
  <c r="S326" i="2"/>
  <c r="T326" i="2" s="1"/>
  <c r="K326" i="2"/>
  <c r="U326" i="2" s="1"/>
  <c r="Q788" i="2"/>
  <c r="Q415" i="2"/>
  <c r="O853" i="2"/>
  <c r="Q853" i="2" s="1"/>
  <c r="O803" i="2"/>
  <c r="Q803" i="2" s="1"/>
  <c r="O771" i="2"/>
  <c r="Q771" i="2" s="1"/>
  <c r="O823" i="2"/>
  <c r="Q823" i="2" s="1"/>
  <c r="O724" i="2"/>
  <c r="Q724" i="2" s="1"/>
  <c r="O770" i="2"/>
  <c r="Q770" i="2" s="1"/>
  <c r="O818" i="2"/>
  <c r="Q818" i="2" s="1"/>
  <c r="O733" i="2"/>
  <c r="Q733" i="2" s="1"/>
  <c r="O736" i="2"/>
  <c r="Q736" i="2" s="1"/>
  <c r="O695" i="2"/>
  <c r="Q695" i="2" s="1"/>
  <c r="O769" i="2"/>
  <c r="Q769" i="2" s="1"/>
  <c r="O782" i="2"/>
  <c r="Q782" i="2" s="1"/>
  <c r="Q909" i="2"/>
  <c r="S1669" i="2"/>
  <c r="T1669" i="2" s="1"/>
  <c r="X1669" i="2" s="1"/>
  <c r="K1669" i="2"/>
  <c r="U1669" i="2" s="1"/>
  <c r="Q1681" i="2"/>
  <c r="Q262" i="2"/>
  <c r="Q766" i="2"/>
  <c r="S1285" i="2"/>
  <c r="T1285" i="2" s="1"/>
  <c r="K1285" i="2"/>
  <c r="U1285" i="2" s="1"/>
  <c r="Q1311" i="2"/>
  <c r="Q1903" i="2"/>
  <c r="Q1347" i="2"/>
  <c r="Q1585" i="2"/>
  <c r="Q1448" i="2"/>
  <c r="Q1093" i="2"/>
  <c r="Q713" i="2"/>
  <c r="Q2030" i="2"/>
  <c r="Q1769" i="2"/>
  <c r="Q87" i="2"/>
  <c r="Q493" i="2"/>
  <c r="Q20" i="2"/>
  <c r="Q1435" i="2"/>
  <c r="Q1595" i="2"/>
  <c r="Q1211" i="2"/>
  <c r="O265" i="2"/>
  <c r="Q265" i="2" s="1"/>
  <c r="O253" i="2"/>
  <c r="Q253" i="2" s="1"/>
  <c r="O198" i="2"/>
  <c r="Q198" i="2" s="1"/>
  <c r="O235" i="2"/>
  <c r="Q235" i="2" s="1"/>
  <c r="O206" i="2"/>
  <c r="Q206" i="2" s="1"/>
  <c r="O248" i="2"/>
  <c r="Q248" i="2" s="1"/>
  <c r="O223" i="2"/>
  <c r="Q223" i="2" s="1"/>
  <c r="O244" i="2"/>
  <c r="Q244" i="2" s="1"/>
  <c r="O207" i="2"/>
  <c r="Q207" i="2" s="1"/>
  <c r="O226" i="2"/>
  <c r="Q226" i="2" s="1"/>
  <c r="O225" i="2"/>
  <c r="Q225" i="2" s="1"/>
  <c r="O173" i="2"/>
  <c r="Q173" i="2" s="1"/>
  <c r="Q1104" i="2"/>
  <c r="O1100" i="2"/>
  <c r="Q1100" i="2" s="1"/>
  <c r="O1014" i="2"/>
  <c r="Q1014" i="2" s="1"/>
  <c r="O1061" i="2"/>
  <c r="Q1061" i="2" s="1"/>
  <c r="O1053" i="2"/>
  <c r="Q1053" i="2" s="1"/>
  <c r="O1027" i="2"/>
  <c r="Q1027" i="2" s="1"/>
  <c r="O1003" i="2"/>
  <c r="Q1003" i="2" s="1"/>
  <c r="O1072" i="2"/>
  <c r="Q1072" i="2" s="1"/>
  <c r="O900" i="2"/>
  <c r="Q900" i="2" s="1"/>
  <c r="O971" i="2"/>
  <c r="Q971" i="2" s="1"/>
  <c r="O1017" i="2"/>
  <c r="Q1017" i="2" s="1"/>
  <c r="O966" i="2"/>
  <c r="Q966" i="2" s="1"/>
  <c r="O951" i="2"/>
  <c r="Q951" i="2" s="1"/>
  <c r="O411" i="2"/>
  <c r="Q411" i="2" s="1"/>
  <c r="O395" i="2"/>
  <c r="Q395" i="2" s="1"/>
  <c r="O385" i="2"/>
  <c r="Q385" i="2" s="1"/>
  <c r="O365" i="2"/>
  <c r="Q365" i="2" s="1"/>
  <c r="O333" i="2"/>
  <c r="Q333" i="2" s="1"/>
  <c r="O416" i="2"/>
  <c r="Q416" i="2" s="1"/>
  <c r="O408" i="2"/>
  <c r="Q408" i="2" s="1"/>
  <c r="O364" i="2"/>
  <c r="Q364" i="2" s="1"/>
  <c r="O386" i="2"/>
  <c r="Q386" i="2" s="1"/>
  <c r="O382" i="2"/>
  <c r="Q382" i="2" s="1"/>
  <c r="O439" i="2"/>
  <c r="Q439" i="2" s="1"/>
  <c r="O358" i="2"/>
  <c r="Q358" i="2" s="1"/>
  <c r="Q584" i="2"/>
  <c r="Q1212" i="2"/>
  <c r="Q373" i="2"/>
  <c r="Q1044" i="2"/>
  <c r="Q418" i="2"/>
  <c r="S1106" i="2"/>
  <c r="T1106" i="2" s="1"/>
  <c r="K1106" i="2"/>
  <c r="U1106" i="2" s="1"/>
  <c r="Q1318" i="2"/>
  <c r="Q367" i="2"/>
  <c r="Q1458" i="2"/>
  <c r="O1624" i="2"/>
  <c r="Q1624" i="2" s="1"/>
  <c r="O1635" i="2"/>
  <c r="Q1635" i="2" s="1"/>
  <c r="O1625" i="2"/>
  <c r="Q1625" i="2" s="1"/>
  <c r="O1634" i="2"/>
  <c r="Q1634" i="2" s="1"/>
  <c r="O1147" i="2"/>
  <c r="Q1147" i="2" s="1"/>
  <c r="O1105" i="2"/>
  <c r="Q1105" i="2" s="1"/>
  <c r="O476" i="2"/>
  <c r="Q476" i="2" s="1"/>
  <c r="O445" i="2"/>
  <c r="Q445" i="2" s="1"/>
  <c r="O2122" i="2"/>
  <c r="Q2122" i="2" s="1"/>
  <c r="O2113" i="2"/>
  <c r="Q2113" i="2" s="1"/>
  <c r="O2115" i="2"/>
  <c r="Q2115" i="2" s="1"/>
  <c r="O2110" i="2"/>
  <c r="Q2110" i="2" s="1"/>
  <c r="O2114" i="2"/>
  <c r="Q2114" i="2" s="1"/>
  <c r="O2124" i="2"/>
  <c r="Q2124" i="2" s="1"/>
  <c r="O2118" i="2"/>
  <c r="Q2118" i="2" s="1"/>
  <c r="O2116" i="2"/>
  <c r="Q2116" i="2" s="1"/>
  <c r="O2120" i="2"/>
  <c r="Q2120" i="2" s="1"/>
  <c r="O2111" i="2"/>
  <c r="Q2111" i="2" s="1"/>
  <c r="O2125" i="2"/>
  <c r="Q2125" i="2" s="1"/>
  <c r="O2121" i="2"/>
  <c r="Q2121" i="2" s="1"/>
  <c r="O2119" i="2"/>
  <c r="Q2119" i="2" s="1"/>
  <c r="O2117" i="2"/>
  <c r="Q2117" i="2" s="1"/>
  <c r="O2123" i="2"/>
  <c r="Q2123" i="2" s="1"/>
  <c r="O2112" i="2"/>
  <c r="Q2112" i="2" s="1"/>
  <c r="S619" i="2"/>
  <c r="T619" i="2" s="1"/>
  <c r="K619" i="2"/>
  <c r="U619" i="2" s="1"/>
  <c r="Q537" i="2"/>
  <c r="Q680" i="2"/>
  <c r="Q1348" i="2"/>
  <c r="Q479" i="2"/>
  <c r="Q1090" i="2"/>
  <c r="S790" i="2"/>
  <c r="T790" i="2" s="1"/>
  <c r="K790" i="2"/>
  <c r="Q229" i="2"/>
  <c r="S1508" i="2"/>
  <c r="T1508" i="2" s="1"/>
  <c r="K1508" i="2"/>
  <c r="U1508" i="2" s="1"/>
  <c r="S1520" i="2"/>
  <c r="T1520" i="2" s="1"/>
  <c r="K1520" i="2"/>
  <c r="U1520" i="2" s="1"/>
  <c r="Q913" i="2"/>
  <c r="S43" i="2"/>
  <c r="T43" i="2" s="1"/>
  <c r="K43" i="2"/>
  <c r="S1852" i="2"/>
  <c r="T1852" i="2" s="1"/>
  <c r="X1852" i="2" s="1"/>
  <c r="K1852" i="2"/>
  <c r="U1852" i="2" s="1"/>
  <c r="J27" i="3"/>
  <c r="J23" i="3"/>
  <c r="J32" i="3"/>
  <c r="J33" i="3"/>
  <c r="J24" i="3"/>
  <c r="J25" i="3"/>
  <c r="J22" i="3"/>
  <c r="J34" i="3"/>
  <c r="J35" i="3"/>
  <c r="J26" i="3"/>
  <c r="O655" i="2"/>
  <c r="Q655" i="2" s="1"/>
  <c r="O626" i="2"/>
  <c r="Q626" i="2" s="1"/>
  <c r="O616" i="2"/>
  <c r="Q616" i="2" s="1"/>
  <c r="O592" i="2"/>
  <c r="Q592" i="2" s="1"/>
  <c r="O649" i="2"/>
  <c r="Q649" i="2" s="1"/>
  <c r="O597" i="2"/>
  <c r="Q597" i="2" s="1"/>
  <c r="O620" i="2"/>
  <c r="Q620" i="2" s="1"/>
  <c r="O565" i="2"/>
  <c r="Q565" i="2" s="1"/>
  <c r="O585" i="2"/>
  <c r="Q585" i="2" s="1"/>
  <c r="O594" i="2"/>
  <c r="Q594" i="2" s="1"/>
  <c r="O624" i="2"/>
  <c r="Q624" i="2" s="1"/>
  <c r="O618" i="2"/>
  <c r="Q618" i="2" s="1"/>
  <c r="U48" i="2"/>
  <c r="U721" i="2"/>
  <c r="Q1428" i="2"/>
  <c r="W56" i="2"/>
  <c r="W107" i="2"/>
  <c r="Q1388" i="2"/>
  <c r="Q1816" i="2"/>
  <c r="Q1209" i="2"/>
  <c r="K2040" i="2"/>
  <c r="U2040" i="2" s="1"/>
  <c r="S2040" i="2"/>
  <c r="T2040" i="2" s="1"/>
  <c r="X2040" i="2" s="1"/>
  <c r="S99" i="2"/>
  <c r="T99" i="2" s="1"/>
  <c r="K99" i="2"/>
  <c r="U99" i="2" s="1"/>
  <c r="Q587" i="2"/>
  <c r="Q1058" i="2"/>
  <c r="S1231" i="2"/>
  <c r="T1231" i="2" s="1"/>
  <c r="K1231" i="2"/>
  <c r="U1231" i="2" s="1"/>
  <c r="Q295" i="2"/>
  <c r="Q779" i="2"/>
  <c r="Q686" i="2"/>
  <c r="S1538" i="2"/>
  <c r="T1538" i="2" s="1"/>
  <c r="K1538" i="2"/>
  <c r="U1538" i="2" s="1"/>
  <c r="AO27" i="1"/>
  <c r="Q1125" i="2"/>
  <c r="Q1475" i="2"/>
  <c r="K2038" i="2"/>
  <c r="U2038" i="2" s="1"/>
  <c r="S2038" i="2"/>
  <c r="T2038" i="2" s="1"/>
  <c r="X2038" i="2" s="1"/>
  <c r="S1412" i="2"/>
  <c r="T1412" i="2" s="1"/>
  <c r="K1412" i="2"/>
  <c r="U1412" i="2" s="1"/>
  <c r="K1606" i="2"/>
  <c r="U1606" i="2" s="1"/>
  <c r="S1606" i="2"/>
  <c r="T1606" i="2" s="1"/>
  <c r="Q361" i="2"/>
  <c r="Q1020" i="2"/>
  <c r="Q1746" i="2"/>
  <c r="K1730" i="2"/>
  <c r="U1730" i="2" s="1"/>
  <c r="S1730" i="2"/>
  <c r="T1730" i="2" s="1"/>
  <c r="X1730" i="2" s="1"/>
  <c r="Q127" i="2"/>
  <c r="Q142" i="2"/>
  <c r="Q294" i="2"/>
  <c r="Q738" i="2"/>
  <c r="Q27" i="2"/>
  <c r="S932" i="2"/>
  <c r="T932" i="2" s="1"/>
  <c r="K932" i="2"/>
  <c r="U932" i="2" s="1"/>
  <c r="Q1677" i="2"/>
  <c r="K1680" i="2"/>
  <c r="U1680" i="2" s="1"/>
  <c r="S1680" i="2"/>
  <c r="T1680" i="2" s="1"/>
  <c r="X1680" i="2" s="1"/>
  <c r="Q285" i="2"/>
  <c r="Q754" i="2"/>
  <c r="K605" i="2"/>
  <c r="U605" i="2" s="1"/>
  <c r="S605" i="2"/>
  <c r="T605" i="2" s="1"/>
  <c r="S1227" i="2"/>
  <c r="T1227" i="2" s="1"/>
  <c r="K1227" i="2"/>
  <c r="U1227" i="2" s="1"/>
  <c r="Q1897" i="2"/>
  <c r="Q1369" i="2"/>
  <c r="Q1576" i="2"/>
  <c r="Q1452" i="2"/>
  <c r="Q1124" i="2"/>
  <c r="Q1766" i="2"/>
  <c r="S51" i="2"/>
  <c r="T51" i="2" s="1"/>
  <c r="K51" i="2"/>
  <c r="U51" i="2" s="1"/>
  <c r="Q448" i="2"/>
  <c r="Q26" i="2"/>
  <c r="Q1441" i="2"/>
  <c r="Q1609" i="2"/>
  <c r="Q1261" i="2"/>
  <c r="O1796" i="2"/>
  <c r="Q1796" i="2" s="1"/>
  <c r="O1797" i="2"/>
  <c r="Q1797" i="2" s="1"/>
  <c r="O220" i="2"/>
  <c r="Q220" i="2" s="1"/>
  <c r="O204" i="2"/>
  <c r="Q204" i="2" s="1"/>
  <c r="O196" i="2"/>
  <c r="Q196" i="2" s="1"/>
  <c r="O190" i="2"/>
  <c r="Q190" i="2" s="1"/>
  <c r="O180" i="2"/>
  <c r="Q180" i="2" s="1"/>
  <c r="O174" i="2"/>
  <c r="Q174" i="2" s="1"/>
  <c r="O172" i="2"/>
  <c r="Q172" i="2" s="1"/>
  <c r="O199" i="2"/>
  <c r="Q199" i="2" s="1"/>
  <c r="O216" i="2"/>
  <c r="Q216" i="2" s="1"/>
  <c r="O195" i="2"/>
  <c r="Q195" i="2" s="1"/>
  <c r="Q1067" i="2"/>
  <c r="Q1207" i="2"/>
  <c r="S1222" i="2"/>
  <c r="T1222" i="2" s="1"/>
  <c r="K1222" i="2"/>
  <c r="U1222" i="2" s="1"/>
  <c r="Q379" i="2"/>
  <c r="Q1056" i="2"/>
  <c r="Q372" i="2"/>
  <c r="Q1074" i="2"/>
  <c r="K1259" i="2"/>
  <c r="U1259" i="2" s="1"/>
  <c r="S1259" i="2"/>
  <c r="T1259" i="2" s="1"/>
  <c r="Q381" i="2"/>
  <c r="Q1464" i="2"/>
  <c r="Q562" i="2"/>
  <c r="Q549" i="2"/>
  <c r="Q698" i="2"/>
  <c r="Q1364" i="2"/>
  <c r="Q454" i="2"/>
  <c r="Q1132" i="2"/>
  <c r="Q793" i="2"/>
  <c r="Q275" i="2"/>
  <c r="S1080" i="2"/>
  <c r="T1080" i="2" s="1"/>
  <c r="K1080" i="2"/>
  <c r="U1080" i="2" s="1"/>
  <c r="S1540" i="2"/>
  <c r="T1540" i="2" s="1"/>
  <c r="K1540" i="2"/>
  <c r="U1540" i="2" s="1"/>
  <c r="Q928" i="2"/>
  <c r="U825" i="2"/>
  <c r="Q1818" i="2"/>
  <c r="K1603" i="2"/>
  <c r="U1603" i="2" s="1"/>
  <c r="S1603" i="2"/>
  <c r="T1603" i="2" s="1"/>
  <c r="U509" i="2"/>
  <c r="U1158" i="2"/>
  <c r="Q2034" i="2"/>
  <c r="Q1018" i="2"/>
  <c r="S654" i="2"/>
  <c r="T654" i="2" s="1"/>
  <c r="K654" i="2"/>
  <c r="U654" i="2" s="1"/>
  <c r="S105" i="2"/>
  <c r="T105" i="2" s="1"/>
  <c r="K105" i="2"/>
  <c r="U105" i="2" s="1"/>
  <c r="V105" i="2" s="1"/>
  <c r="Q245" i="2"/>
  <c r="K1678" i="2"/>
  <c r="U1678" i="2" s="1"/>
  <c r="S1678" i="2"/>
  <c r="T1678" i="2" s="1"/>
  <c r="X1678" i="2" s="1"/>
  <c r="S573" i="2"/>
  <c r="T573" i="2" s="1"/>
  <c r="K573" i="2"/>
  <c r="U573" i="2" s="1"/>
  <c r="S1586" i="2"/>
  <c r="T1586" i="2" s="1"/>
  <c r="K1586" i="2"/>
  <c r="U1586" i="2" s="1"/>
  <c r="Q787" i="2"/>
  <c r="O1323" i="2"/>
  <c r="Q1323" i="2" s="1"/>
  <c r="O1319" i="2"/>
  <c r="Q1319" i="2" s="1"/>
  <c r="O1349" i="2"/>
  <c r="Q1349" i="2" s="1"/>
  <c r="O1286" i="2"/>
  <c r="Q1286" i="2" s="1"/>
  <c r="O1254" i="2"/>
  <c r="Q1254" i="2" s="1"/>
  <c r="O1205" i="2"/>
  <c r="Q1205" i="2" s="1"/>
  <c r="O1327" i="2"/>
  <c r="Q1327" i="2" s="1"/>
  <c r="O1247" i="2"/>
  <c r="Q1247" i="2" s="1"/>
  <c r="O1291" i="2"/>
  <c r="Q1291" i="2" s="1"/>
  <c r="O1237" i="2"/>
  <c r="Q1237" i="2" s="1"/>
  <c r="O1297" i="2"/>
  <c r="Q1297" i="2" s="1"/>
  <c r="O1284" i="2"/>
  <c r="Q1284" i="2" s="1"/>
  <c r="S576" i="2"/>
  <c r="T576" i="2" s="1"/>
  <c r="K576" i="2"/>
  <c r="U576" i="2" s="1"/>
  <c r="S362" i="2"/>
  <c r="T362" i="2" s="1"/>
  <c r="K362" i="2"/>
  <c r="U362" i="2" s="1"/>
  <c r="Q1454" i="2"/>
  <c r="Q545" i="2"/>
  <c r="Q1082" i="2"/>
  <c r="S1066" i="2"/>
  <c r="T1066" i="2" s="1"/>
  <c r="K1066" i="2"/>
  <c r="U213" i="2"/>
  <c r="V213" i="2" s="1"/>
  <c r="U43" i="2"/>
  <c r="U349" i="2"/>
  <c r="U742" i="2"/>
  <c r="U790" i="2"/>
  <c r="O2068" i="2"/>
  <c r="Q2068" i="2" s="1"/>
  <c r="O2067" i="2"/>
  <c r="Q2067" i="2" s="1"/>
  <c r="O2054" i="2"/>
  <c r="Q2054" i="2" s="1"/>
  <c r="O2052" i="2"/>
  <c r="Q2052" i="2" s="1"/>
  <c r="O2062" i="2"/>
  <c r="Q2062" i="2" s="1"/>
  <c r="O2064" i="2"/>
  <c r="Q2064" i="2" s="1"/>
  <c r="O2049" i="2"/>
  <c r="Q2049" i="2" s="1"/>
  <c r="O2060" i="2"/>
  <c r="Q2060" i="2" s="1"/>
  <c r="O2069" i="2"/>
  <c r="Q2069" i="2" s="1"/>
  <c r="O2058" i="2"/>
  <c r="Q2058" i="2" s="1"/>
  <c r="O2066" i="2"/>
  <c r="Q2066" i="2" s="1"/>
  <c r="O2050" i="2"/>
  <c r="Q2050" i="2" s="1"/>
  <c r="O2056" i="2"/>
  <c r="Q2056" i="2" s="1"/>
  <c r="O2059" i="2"/>
  <c r="Q2059" i="2" s="1"/>
  <c r="O2061" i="2"/>
  <c r="Q2061" i="2" s="1"/>
  <c r="O2048" i="2"/>
  <c r="Q2048" i="2" s="1"/>
  <c r="O2065" i="2"/>
  <c r="Q2065" i="2" s="1"/>
  <c r="O2047" i="2"/>
  <c r="Q2047" i="2" s="1"/>
  <c r="O2055" i="2"/>
  <c r="Q2055" i="2" s="1"/>
  <c r="O2053" i="2"/>
  <c r="Q2053" i="2" s="1"/>
  <c r="O2046" i="2"/>
  <c r="Q2046" i="2" s="1"/>
  <c r="O2063" i="2"/>
  <c r="Q2063" i="2" s="1"/>
  <c r="O2057" i="2"/>
  <c r="Q2057" i="2" s="1"/>
  <c r="O2051" i="2"/>
  <c r="Q2051" i="2" s="1"/>
  <c r="Q1444" i="2"/>
  <c r="W80" i="2"/>
  <c r="K2045" i="2"/>
  <c r="U2045" i="2" s="1"/>
  <c r="S2045" i="2"/>
  <c r="T2045" i="2" s="1"/>
  <c r="X2045" i="2" s="1"/>
  <c r="Q1396" i="2"/>
  <c r="Q1814" i="2"/>
  <c r="Q1225" i="2"/>
  <c r="Q70" i="2"/>
  <c r="K140" i="2"/>
  <c r="U140" i="2" s="1"/>
  <c r="S140" i="2"/>
  <c r="T140" i="2" s="1"/>
  <c r="Q977" i="2"/>
  <c r="Q1117" i="2"/>
  <c r="Q281" i="2"/>
  <c r="S685" i="2"/>
  <c r="T685" i="2" s="1"/>
  <c r="K685" i="2"/>
  <c r="U685" i="2" s="1"/>
  <c r="K653" i="2"/>
  <c r="U653" i="2" s="1"/>
  <c r="S653" i="2"/>
  <c r="T653" i="2" s="1"/>
  <c r="Q1518" i="2"/>
  <c r="Q1094" i="2"/>
  <c r="Q1486" i="2"/>
  <c r="S1403" i="2"/>
  <c r="T1403" i="2" s="1"/>
  <c r="K1403" i="2"/>
  <c r="U1403" i="2" s="1"/>
  <c r="S1599" i="2"/>
  <c r="T1599" i="2" s="1"/>
  <c r="K1599" i="2"/>
  <c r="U1599" i="2" s="1"/>
  <c r="Q320" i="2"/>
  <c r="Q371" i="2"/>
  <c r="S398" i="2"/>
  <c r="T398" i="2" s="1"/>
  <c r="K398" i="2"/>
  <c r="U398" i="2" s="1"/>
  <c r="Q1728" i="2"/>
  <c r="Q132" i="2"/>
  <c r="Q152" i="2"/>
  <c r="Q266" i="2"/>
  <c r="S785" i="2"/>
  <c r="T785" i="2" s="1"/>
  <c r="K785" i="2"/>
  <c r="U785" i="2" s="1"/>
  <c r="Q14" i="2"/>
  <c r="S884" i="2"/>
  <c r="T884" i="2" s="1"/>
  <c r="K884" i="2"/>
  <c r="U884" i="2" s="1"/>
  <c r="K1674" i="2"/>
  <c r="U1674" i="2" s="1"/>
  <c r="S1674" i="2"/>
  <c r="T1674" i="2" s="1"/>
  <c r="X1674" i="2" s="1"/>
  <c r="S1683" i="2"/>
  <c r="T1683" i="2" s="1"/>
  <c r="X1683" i="2" s="1"/>
  <c r="K1683" i="2"/>
  <c r="U1683" i="2" s="1"/>
  <c r="Q238" i="2"/>
  <c r="Q789" i="2"/>
  <c r="S625" i="2"/>
  <c r="T625" i="2" s="1"/>
  <c r="K625" i="2"/>
  <c r="U625" i="2" s="1"/>
  <c r="S1236" i="2"/>
  <c r="T1236" i="2" s="1"/>
  <c r="K1236" i="2"/>
  <c r="U1236" i="2" s="1"/>
  <c r="Q1900" i="2"/>
  <c r="Q1351" i="2"/>
  <c r="Q1588" i="2"/>
  <c r="Q1456" i="2"/>
  <c r="Q1030" i="2"/>
  <c r="O164" i="2"/>
  <c r="Q164" i="2" s="1"/>
  <c r="O158" i="2"/>
  <c r="Q158" i="2" s="1"/>
  <c r="O150" i="2"/>
  <c r="Q150" i="2" s="1"/>
  <c r="O133" i="2"/>
  <c r="Q133" i="2" s="1"/>
  <c r="O63" i="2"/>
  <c r="Q63" i="2" s="1"/>
  <c r="O141" i="2"/>
  <c r="Q141" i="2" s="1"/>
  <c r="O104" i="2"/>
  <c r="Q104" i="2" s="1"/>
  <c r="O92" i="2"/>
  <c r="Q92" i="2" s="1"/>
  <c r="O131" i="2"/>
  <c r="Q131" i="2" s="1"/>
  <c r="O181" i="2"/>
  <c r="Q181" i="2" s="1"/>
  <c r="O123" i="2"/>
  <c r="Q123" i="2" s="1"/>
  <c r="O102" i="2"/>
  <c r="Q102" i="2" s="1"/>
  <c r="Q1767" i="2"/>
  <c r="S115" i="2"/>
  <c r="T115" i="2" s="1"/>
  <c r="K115" i="2"/>
  <c r="U115" i="2" s="1"/>
  <c r="Q483" i="2"/>
  <c r="Q1795" i="2"/>
  <c r="Q1373" i="2"/>
  <c r="Q1600" i="2"/>
  <c r="J42" i="3"/>
  <c r="J53" i="3"/>
  <c r="J44" i="3"/>
  <c r="J55" i="3"/>
  <c r="J46" i="3"/>
  <c r="J52" i="3"/>
  <c r="J45" i="3"/>
  <c r="J54" i="3"/>
  <c r="J43" i="3"/>
  <c r="J47" i="3"/>
  <c r="Q1184" i="2"/>
  <c r="O260" i="2"/>
  <c r="Q260" i="2" s="1"/>
  <c r="O258" i="2"/>
  <c r="Q258" i="2" s="1"/>
  <c r="O276" i="2"/>
  <c r="Q276" i="2" s="1"/>
  <c r="O290" i="2"/>
  <c r="Q290" i="2" s="1"/>
  <c r="O269" i="2"/>
  <c r="Q269" i="2" s="1"/>
  <c r="O259" i="2"/>
  <c r="Q259" i="2" s="1"/>
  <c r="O278" i="2"/>
  <c r="Q278" i="2" s="1"/>
  <c r="O274" i="2"/>
  <c r="Q274" i="2" s="1"/>
  <c r="O251" i="2"/>
  <c r="Q251" i="2" s="1"/>
  <c r="O242" i="2"/>
  <c r="Q242" i="2" s="1"/>
  <c r="O268" i="2"/>
  <c r="Q268" i="2" s="1"/>
  <c r="O288" i="2"/>
  <c r="Q288" i="2" s="1"/>
  <c r="S1081" i="2"/>
  <c r="T1081" i="2" s="1"/>
  <c r="K1081" i="2"/>
  <c r="U1081" i="2" s="1"/>
  <c r="Q505" i="2"/>
  <c r="Q564" i="2"/>
  <c r="Q430" i="2"/>
  <c r="Q936" i="2"/>
  <c r="P1784" i="2"/>
  <c r="P1774" i="2"/>
  <c r="P1775" i="2"/>
  <c r="P1779" i="2"/>
  <c r="P1785" i="2"/>
  <c r="P1781" i="2"/>
  <c r="P737" i="2"/>
  <c r="Q737" i="2" s="1"/>
  <c r="P753" i="2"/>
  <c r="Q753" i="2" s="1"/>
  <c r="P787" i="2"/>
  <c r="P534" i="2"/>
  <c r="P713" i="2"/>
  <c r="P462" i="2"/>
  <c r="P461" i="2"/>
  <c r="Q461" i="2" s="1"/>
  <c r="P434" i="2"/>
  <c r="Q434" i="2" s="1"/>
  <c r="P307" i="2"/>
  <c r="P420" i="2"/>
  <c r="Q420" i="2" s="1"/>
  <c r="P500" i="2"/>
  <c r="P402" i="2"/>
  <c r="P423" i="2"/>
  <c r="P435" i="2"/>
  <c r="P332" i="2"/>
  <c r="P401" i="2"/>
  <c r="Q401" i="2" s="1"/>
  <c r="P334" i="2"/>
  <c r="P308" i="2"/>
  <c r="Q387" i="2"/>
  <c r="S1071" i="2"/>
  <c r="T1071" i="2" s="1"/>
  <c r="K1071" i="2"/>
  <c r="U1071" i="2" s="1"/>
  <c r="Q1282" i="2"/>
  <c r="Q330" i="2"/>
  <c r="Q1471" i="2"/>
  <c r="Q582" i="2"/>
  <c r="Q540" i="2"/>
  <c r="Q710" i="2"/>
  <c r="Q1365" i="2"/>
  <c r="Q467" i="2"/>
  <c r="Q1127" i="2"/>
  <c r="Q761" i="2"/>
  <c r="Q205" i="2"/>
  <c r="Q921" i="2"/>
  <c r="S1119" i="2"/>
  <c r="T1119" i="2" s="1"/>
  <c r="K1119" i="2"/>
  <c r="U1119" i="2" s="1"/>
  <c r="Q967" i="2"/>
  <c r="U1092" i="2"/>
  <c r="U1326" i="2"/>
  <c r="S1404" i="2"/>
  <c r="T1404" i="2" s="1"/>
  <c r="K1404" i="2"/>
  <c r="U1404" i="2" s="1"/>
  <c r="S1256" i="2"/>
  <c r="T1256" i="2" s="1"/>
  <c r="K1256" i="2"/>
  <c r="U1256" i="2" s="1"/>
  <c r="Q1203" i="2"/>
  <c r="S1408" i="2"/>
  <c r="T1408" i="2" s="1"/>
  <c r="K1408" i="2"/>
  <c r="U1408" i="2" s="1"/>
  <c r="S1424" i="2"/>
  <c r="T1424" i="2" s="1"/>
  <c r="K1424" i="2"/>
  <c r="U1424" i="2" s="1"/>
  <c r="S1289" i="2"/>
  <c r="T1289" i="2" s="1"/>
  <c r="K1289" i="2"/>
  <c r="U1289" i="2" s="1"/>
  <c r="S792" i="2"/>
  <c r="T792" i="2" s="1"/>
  <c r="K792" i="2"/>
  <c r="U792" i="2" s="1"/>
  <c r="Q1461" i="2"/>
  <c r="K2036" i="2"/>
  <c r="U2036" i="2" s="1"/>
  <c r="S2036" i="2"/>
  <c r="T2036" i="2" s="1"/>
  <c r="X2036" i="2" s="1"/>
  <c r="Q1739" i="2"/>
  <c r="S778" i="2"/>
  <c r="T778" i="2" s="1"/>
  <c r="K778" i="2"/>
  <c r="U778" i="2" s="1"/>
  <c r="Q1665" i="2"/>
  <c r="K721" i="2"/>
  <c r="S721" i="2"/>
  <c r="T721" i="2" s="1"/>
  <c r="K1193" i="2"/>
  <c r="U1193" i="2" s="1"/>
  <c r="S1193" i="2"/>
  <c r="T1193" i="2" s="1"/>
  <c r="Q1274" i="2"/>
  <c r="Q1085" i="2"/>
  <c r="Q59" i="2"/>
  <c r="Q1400" i="2"/>
  <c r="S1133" i="2"/>
  <c r="T1133" i="2" s="1"/>
  <c r="K1133" i="2"/>
  <c r="U1133" i="2" s="1"/>
  <c r="Q1309" i="2"/>
  <c r="Q1953" i="2"/>
  <c r="Q1333" i="2"/>
  <c r="Q246" i="2"/>
  <c r="U137" i="2"/>
  <c r="U773" i="2"/>
  <c r="U763" i="2"/>
  <c r="U843" i="2"/>
  <c r="U1140" i="2"/>
  <c r="S1385" i="2"/>
  <c r="T1385" i="2" s="1"/>
  <c r="K1385" i="2"/>
  <c r="U1385" i="2" s="1"/>
  <c r="Q1959" i="2"/>
  <c r="Q1374" i="2"/>
  <c r="S1257" i="2"/>
  <c r="T1257" i="2" s="1"/>
  <c r="K1257" i="2"/>
  <c r="U1257" i="2" s="1"/>
  <c r="S114" i="2"/>
  <c r="T114" i="2" s="1"/>
  <c r="K114" i="2"/>
  <c r="U114" i="2" s="1"/>
  <c r="K509" i="2"/>
  <c r="S509" i="2"/>
  <c r="T509" i="2" s="1"/>
  <c r="K941" i="2"/>
  <c r="U941" i="2" s="1"/>
  <c r="S941" i="2"/>
  <c r="T941" i="2" s="1"/>
  <c r="S1166" i="2"/>
  <c r="T1166" i="2" s="1"/>
  <c r="K1166" i="2"/>
  <c r="U1166" i="2" s="1"/>
  <c r="S236" i="2"/>
  <c r="T236" i="2" s="1"/>
  <c r="K236" i="2"/>
  <c r="U236" i="2" s="1"/>
  <c r="Q832" i="2"/>
  <c r="Q657" i="2"/>
  <c r="Q1500" i="2"/>
  <c r="Q1070" i="2"/>
  <c r="Q1490" i="2"/>
  <c r="S1368" i="2"/>
  <c r="T1368" i="2" s="1"/>
  <c r="K1368" i="2"/>
  <c r="U1368" i="2" s="1"/>
  <c r="Q1597" i="2"/>
  <c r="Q287" i="2"/>
  <c r="Q985" i="2"/>
  <c r="Q2" i="2"/>
  <c r="S1734" i="2"/>
  <c r="T1734" i="2" s="1"/>
  <c r="X1734" i="2" s="1"/>
  <c r="K1734" i="2"/>
  <c r="U1734" i="2" s="1"/>
  <c r="Q98" i="2"/>
  <c r="Q184" i="2"/>
  <c r="Q286" i="2"/>
  <c r="Q814" i="2"/>
  <c r="Q30" i="2"/>
  <c r="S867" i="2"/>
  <c r="T867" i="2" s="1"/>
  <c r="K867" i="2"/>
  <c r="U867" i="2" s="1"/>
  <c r="K1664" i="2"/>
  <c r="U1664" i="2" s="1"/>
  <c r="S1664" i="2"/>
  <c r="T1664" i="2" s="1"/>
  <c r="X1664" i="2" s="1"/>
  <c r="S1661" i="2"/>
  <c r="T1661" i="2" s="1"/>
  <c r="X1661" i="2" s="1"/>
  <c r="K1661" i="2"/>
  <c r="U1661" i="2" s="1"/>
  <c r="Q306" i="2"/>
  <c r="Q805" i="2"/>
  <c r="Q639" i="2"/>
  <c r="S1270" i="2"/>
  <c r="T1270" i="2" s="1"/>
  <c r="K1270" i="2"/>
  <c r="U1270" i="2" s="1"/>
  <c r="Q1899" i="2"/>
  <c r="O1782" i="2"/>
  <c r="Q1782" i="2" s="1"/>
  <c r="O1783" i="2"/>
  <c r="O538" i="2"/>
  <c r="O534" i="2"/>
  <c r="Q534" i="2" s="1"/>
  <c r="O514" i="2"/>
  <c r="O507" i="2"/>
  <c r="Q507" i="2" s="1"/>
  <c r="O481" i="2"/>
  <c r="Q481" i="2" s="1"/>
  <c r="O475" i="2"/>
  <c r="Q475" i="2" s="1"/>
  <c r="O503" i="2"/>
  <c r="Q503" i="2" s="1"/>
  <c r="O500" i="2"/>
  <c r="Q500" i="2" s="1"/>
  <c r="O1785" i="2"/>
  <c r="Q1785" i="2" s="1"/>
  <c r="O1784" i="2"/>
  <c r="Q1784" i="2" s="1"/>
  <c r="Q1592" i="2"/>
  <c r="Q1594" i="2"/>
  <c r="Q1472" i="2"/>
  <c r="Q1064" i="2"/>
  <c r="Q90" i="2"/>
  <c r="Q95" i="2"/>
  <c r="K522" i="2"/>
  <c r="U522" i="2" s="1"/>
  <c r="S522" i="2"/>
  <c r="T522" i="2" s="1"/>
  <c r="Q1791" i="2"/>
  <c r="Q1405" i="2"/>
  <c r="Q1602" i="2"/>
  <c r="Q1278" i="2"/>
  <c r="Q1621" i="2"/>
  <c r="Q1002" i="2"/>
  <c r="Q465" i="2"/>
  <c r="Q1233" i="2"/>
  <c r="Q324" i="2"/>
  <c r="Q1083" i="2"/>
  <c r="P1776" i="2"/>
  <c r="P1770" i="2"/>
  <c r="P1777" i="2"/>
  <c r="P1771" i="2"/>
  <c r="P776" i="2"/>
  <c r="Q776" i="2" s="1"/>
  <c r="P765" i="2"/>
  <c r="Q765" i="2" s="1"/>
  <c r="P732" i="2"/>
  <c r="Q732" i="2" s="1"/>
  <c r="P538" i="2"/>
  <c r="P507" i="2"/>
  <c r="P478" i="2"/>
  <c r="Q478" i="2" s="1"/>
  <c r="P414" i="2"/>
  <c r="P815" i="2"/>
  <c r="Q815" i="2" s="1"/>
  <c r="P337" i="2"/>
  <c r="P313" i="2"/>
  <c r="P413" i="2"/>
  <c r="P503" i="2"/>
  <c r="P485" i="2"/>
  <c r="P453" i="2"/>
  <c r="P440" i="2"/>
  <c r="P336" i="2"/>
  <c r="P475" i="2"/>
  <c r="P451" i="2"/>
  <c r="P442" i="2"/>
  <c r="P312" i="2"/>
  <c r="Q391" i="2"/>
  <c r="K1016" i="2"/>
  <c r="U1016" i="2" s="1"/>
  <c r="S1016" i="2"/>
  <c r="T1016" i="2" s="1"/>
  <c r="S1290" i="2"/>
  <c r="T1290" i="2" s="1"/>
  <c r="K1290" i="2"/>
  <c r="U1290" i="2" s="1"/>
  <c r="Q354" i="2"/>
  <c r="Q1483" i="2"/>
  <c r="S590" i="2"/>
  <c r="T590" i="2" s="1"/>
  <c r="K590" i="2"/>
  <c r="U590" i="2" s="1"/>
  <c r="Q574" i="2"/>
  <c r="O1152" i="2"/>
  <c r="Q1152" i="2" s="1"/>
  <c r="O1148" i="2"/>
  <c r="Q1148" i="2" s="1"/>
  <c r="O1221" i="2"/>
  <c r="Q1221" i="2" s="1"/>
  <c r="O1191" i="2"/>
  <c r="Q1191" i="2" s="1"/>
  <c r="O1159" i="2"/>
  <c r="Q1159" i="2" s="1"/>
  <c r="O1108" i="2"/>
  <c r="Q1108" i="2" s="1"/>
  <c r="O1111" i="2"/>
  <c r="Q1111" i="2" s="1"/>
  <c r="O1143" i="2"/>
  <c r="Q1143" i="2" s="1"/>
  <c r="O1196" i="2"/>
  <c r="Q1196" i="2" s="1"/>
  <c r="O1060" i="2"/>
  <c r="Q1060" i="2" s="1"/>
  <c r="O1178" i="2"/>
  <c r="Q1178" i="2" s="1"/>
  <c r="O1099" i="2"/>
  <c r="Q1099" i="2" s="1"/>
  <c r="Q735" i="2"/>
  <c r="Q1380" i="2"/>
  <c r="Q438" i="2"/>
  <c r="Q1986" i="2"/>
  <c r="Q681" i="2"/>
  <c r="Q256" i="2"/>
  <c r="Q973" i="2"/>
  <c r="Q1485" i="2"/>
  <c r="S844" i="2"/>
  <c r="T844" i="2" s="1"/>
  <c r="K844" i="2"/>
  <c r="U844" i="2" s="1"/>
  <c r="U1102" i="2"/>
  <c r="K1031" i="2"/>
  <c r="U1031" i="2" s="1"/>
  <c r="S1031" i="2"/>
  <c r="T1031" i="2" s="1"/>
  <c r="Q388" i="2"/>
  <c r="K1813" i="2"/>
  <c r="U1813" i="2" s="1"/>
  <c r="S1813" i="2"/>
  <c r="T1813" i="2" s="1"/>
  <c r="X1813" i="2" s="1"/>
  <c r="S1215" i="2"/>
  <c r="T1215" i="2" s="1"/>
  <c r="K1215" i="2"/>
  <c r="U1215" i="2" s="1"/>
  <c r="S264" i="2"/>
  <c r="T264" i="2" s="1"/>
  <c r="K264" i="2"/>
  <c r="U264" i="2" s="1"/>
  <c r="K1522" i="2"/>
  <c r="U1522" i="2" s="1"/>
  <c r="S1522" i="2"/>
  <c r="T1522" i="2" s="1"/>
  <c r="S1601" i="2"/>
  <c r="T1601" i="2" s="1"/>
  <c r="K1601" i="2"/>
  <c r="U1601" i="2" s="1"/>
  <c r="Q316" i="2"/>
  <c r="S875" i="2"/>
  <c r="T875" i="2" s="1"/>
  <c r="K875" i="2"/>
  <c r="U875" i="2" s="1"/>
  <c r="Q97" i="2"/>
  <c r="S974" i="2"/>
  <c r="T974" i="2" s="1"/>
  <c r="K974" i="2"/>
  <c r="U974" i="2" s="1"/>
  <c r="S257" i="2"/>
  <c r="T257" i="2" s="1"/>
  <c r="K257" i="2"/>
  <c r="U257" i="2" s="1"/>
  <c r="Q1963" i="2"/>
  <c r="S604" i="2"/>
  <c r="T604" i="2" s="1"/>
  <c r="K604" i="2"/>
  <c r="U604" i="2" s="1"/>
  <c r="K1612" i="2"/>
  <c r="U1612" i="2" s="1"/>
  <c r="S1612" i="2"/>
  <c r="T1612" i="2" s="1"/>
  <c r="S1113" i="2"/>
  <c r="T1113" i="2" s="1"/>
  <c r="K1113" i="2"/>
  <c r="U1113" i="2" s="1"/>
  <c r="K1028" i="2"/>
  <c r="U1028" i="2" s="1"/>
  <c r="S1028" i="2"/>
  <c r="T1028" i="2" s="1"/>
  <c r="K1059" i="2"/>
  <c r="U1059" i="2" s="1"/>
  <c r="S1059" i="2"/>
  <c r="T1059" i="2" s="1"/>
  <c r="S353" i="2"/>
  <c r="T353" i="2" s="1"/>
  <c r="K353" i="2"/>
  <c r="U353" i="2" s="1"/>
  <c r="K1860" i="2"/>
  <c r="U1860" i="2" s="1"/>
  <c r="S1860" i="2"/>
  <c r="T1860" i="2" s="1"/>
  <c r="X1860" i="2" s="1"/>
  <c r="S459" i="2"/>
  <c r="T459" i="2" s="1"/>
  <c r="K459" i="2"/>
  <c r="U459" i="2" s="1"/>
  <c r="S825" i="2"/>
  <c r="T825" i="2" s="1"/>
  <c r="K825" i="2"/>
  <c r="S1513" i="2"/>
  <c r="T1513" i="2" s="1"/>
  <c r="K1513" i="2"/>
  <c r="U1513" i="2" s="1"/>
  <c r="AL29" i="1"/>
  <c r="AK29" i="1"/>
  <c r="AJ29" i="1"/>
  <c r="AN29" i="1"/>
  <c r="AI29" i="1"/>
  <c r="W5" i="3" s="1"/>
  <c r="AM29" i="1"/>
  <c r="AF29" i="1"/>
  <c r="U76" i="2"/>
  <c r="U813" i="2"/>
  <c r="Q1447" i="2"/>
  <c r="W100" i="2"/>
  <c r="Q2027" i="2"/>
  <c r="K2037" i="2"/>
  <c r="U2037" i="2" s="1"/>
  <c r="S2037" i="2"/>
  <c r="T2037" i="2" s="1"/>
  <c r="X2037" i="2" s="1"/>
  <c r="Q1958" i="2"/>
  <c r="Q1407" i="2"/>
  <c r="Q1182" i="2"/>
  <c r="Q530" i="2"/>
  <c r="K516" i="2"/>
  <c r="U516" i="2" s="1"/>
  <c r="S516" i="2"/>
  <c r="T516" i="2" s="1"/>
  <c r="Q982" i="2"/>
  <c r="S1200" i="2"/>
  <c r="T1200" i="2" s="1"/>
  <c r="K1200" i="2"/>
  <c r="U1200" i="2" s="1"/>
  <c r="S239" i="2"/>
  <c r="T239" i="2" s="1"/>
  <c r="K239" i="2"/>
  <c r="U239" i="2" s="1"/>
  <c r="S804" i="2"/>
  <c r="T804" i="2" s="1"/>
  <c r="K804" i="2"/>
  <c r="U804" i="2" s="1"/>
  <c r="S623" i="2"/>
  <c r="T623" i="2" s="1"/>
  <c r="K623" i="2"/>
  <c r="U623" i="2" s="1"/>
  <c r="Q1455" i="2"/>
  <c r="Q996" i="2"/>
  <c r="Q1532" i="2"/>
  <c r="S1425" i="2"/>
  <c r="T1425" i="2" s="1"/>
  <c r="K1425" i="2"/>
  <c r="U1425" i="2" s="1"/>
  <c r="Q1589" i="2"/>
  <c r="Q305" i="2"/>
  <c r="Q817" i="2"/>
  <c r="Q4" i="2"/>
  <c r="Q1747" i="2"/>
  <c r="Q83" i="2"/>
  <c r="Q106" i="2"/>
  <c r="Q1988" i="2"/>
  <c r="S301" i="2"/>
  <c r="T301" i="2" s="1"/>
  <c r="K301" i="2"/>
  <c r="U301" i="2" s="1"/>
  <c r="Q860" i="2"/>
  <c r="Q446" i="2"/>
  <c r="Q877" i="2"/>
  <c r="S1671" i="2"/>
  <c r="T1671" i="2" s="1"/>
  <c r="X1671" i="2" s="1"/>
  <c r="K1671" i="2"/>
  <c r="U1671" i="2" s="1"/>
  <c r="K1682" i="2"/>
  <c r="U1682" i="2" s="1"/>
  <c r="S1682" i="2"/>
  <c r="T1682" i="2" s="1"/>
  <c r="X1682" i="2" s="1"/>
  <c r="Q263" i="2"/>
  <c r="S813" i="2"/>
  <c r="T813" i="2" s="1"/>
  <c r="K813" i="2"/>
  <c r="S606" i="2"/>
  <c r="T606" i="2" s="1"/>
  <c r="K606" i="2"/>
  <c r="U606" i="2" s="1"/>
  <c r="S1272" i="2"/>
  <c r="T1272" i="2" s="1"/>
  <c r="K1272" i="2"/>
  <c r="U1272" i="2" s="1"/>
  <c r="S1901" i="2"/>
  <c r="T1901" i="2" s="1"/>
  <c r="X1901" i="2" s="1"/>
  <c r="K1901" i="2"/>
  <c r="U1901" i="2" s="1"/>
  <c r="Q1363" i="2"/>
  <c r="Q1306" i="2"/>
  <c r="Q954" i="2"/>
  <c r="Q1857" i="2"/>
  <c r="Q1155" i="2"/>
  <c r="Q94" i="2"/>
  <c r="Q120" i="2"/>
  <c r="Q490" i="2"/>
  <c r="Q1793" i="2"/>
  <c r="Q1391" i="2"/>
  <c r="Q1604" i="2"/>
  <c r="Q1310" i="2"/>
  <c r="Q1631" i="2"/>
  <c r="Q1043" i="2"/>
  <c r="Q531" i="2"/>
  <c r="Q1164" i="2"/>
  <c r="Q380" i="2"/>
  <c r="Q981" i="2"/>
  <c r="P1782" i="2"/>
  <c r="P1780" i="2"/>
  <c r="P1778" i="2"/>
  <c r="P1772" i="2"/>
  <c r="P1773" i="2"/>
  <c r="P1783" i="2"/>
  <c r="P739" i="2"/>
  <c r="Q739" i="2" s="1"/>
  <c r="P676" i="2"/>
  <c r="Q676" i="2" s="1"/>
  <c r="P421" i="2"/>
  <c r="Q421" i="2" s="1"/>
  <c r="P514" i="2"/>
  <c r="P714" i="2"/>
  <c r="P389" i="2"/>
  <c r="Q389" i="2" s="1"/>
  <c r="P369" i="2"/>
  <c r="Q369" i="2" s="1"/>
  <c r="P321" i="2"/>
  <c r="P297" i="2"/>
  <c r="P481" i="2"/>
  <c r="P403" i="2"/>
  <c r="Q403" i="2" s="1"/>
  <c r="P426" i="2"/>
  <c r="P322" i="2"/>
  <c r="P394" i="2"/>
  <c r="P370" i="2"/>
  <c r="P296" i="2"/>
  <c r="P702" i="2"/>
  <c r="Q702" i="2" s="1"/>
  <c r="P404" i="2"/>
  <c r="Q393" i="2"/>
  <c r="Q1109" i="2"/>
  <c r="Q1251" i="2"/>
  <c r="Q378" i="2"/>
  <c r="Q1497" i="2"/>
  <c r="Q583" i="2"/>
  <c r="Q506" i="2"/>
  <c r="Q645" i="2"/>
  <c r="Q1315" i="2"/>
  <c r="Q494" i="2"/>
  <c r="Z68" i="1"/>
  <c r="Q703" i="2"/>
  <c r="Q183" i="2"/>
  <c r="Q983" i="2"/>
  <c r="Q1460" i="2"/>
  <c r="Q876" i="2"/>
  <c r="S389" i="2" l="1"/>
  <c r="T389" i="2" s="1"/>
  <c r="K389" i="2"/>
  <c r="U389" i="2" s="1"/>
  <c r="V1508" i="2"/>
  <c r="W1508" i="2"/>
  <c r="V544" i="2"/>
  <c r="W544" i="2"/>
  <c r="X544" i="2" s="1"/>
  <c r="V1128" i="2"/>
  <c r="W1128" i="2"/>
  <c r="X1128" i="2" s="1"/>
  <c r="S702" i="2"/>
  <c r="T702" i="2" s="1"/>
  <c r="K702" i="2"/>
  <c r="U702" i="2" s="1"/>
  <c r="S401" i="2"/>
  <c r="T401" i="2" s="1"/>
  <c r="K401" i="2"/>
  <c r="U401" i="2" s="1"/>
  <c r="V879" i="2"/>
  <c r="W879" i="2"/>
  <c r="V257" i="2"/>
  <c r="W257" i="2"/>
  <c r="S765" i="2"/>
  <c r="T765" i="2" s="1"/>
  <c r="K765" i="2"/>
  <c r="U765" i="2" s="1"/>
  <c r="V1106" i="2"/>
  <c r="W1106" i="2"/>
  <c r="S676" i="2"/>
  <c r="T676" i="2" s="1"/>
  <c r="K676" i="2"/>
  <c r="U676" i="2" s="1"/>
  <c r="K776" i="2"/>
  <c r="U776" i="2" s="1"/>
  <c r="S776" i="2"/>
  <c r="T776" i="2" s="1"/>
  <c r="S753" i="2"/>
  <c r="T753" i="2" s="1"/>
  <c r="K753" i="2"/>
  <c r="U753" i="2" s="1"/>
  <c r="V555" i="2"/>
  <c r="W555" i="2"/>
  <c r="S739" i="2"/>
  <c r="T739" i="2" s="1"/>
  <c r="K739" i="2"/>
  <c r="U739" i="2" s="1"/>
  <c r="V1059" i="2"/>
  <c r="W1059" i="2"/>
  <c r="V114" i="2"/>
  <c r="W114" i="2"/>
  <c r="X114" i="2" s="1"/>
  <c r="V1289" i="2"/>
  <c r="W1289" i="2"/>
  <c r="X1289" i="2" s="1"/>
  <c r="K737" i="2"/>
  <c r="U737" i="2" s="1"/>
  <c r="S737" i="2"/>
  <c r="T737" i="2" s="1"/>
  <c r="V1080" i="2"/>
  <c r="W1080" i="2"/>
  <c r="V1513" i="2"/>
  <c r="W1513" i="2"/>
  <c r="V1503" i="2"/>
  <c r="W1503" i="2"/>
  <c r="V441" i="2"/>
  <c r="W441" i="2"/>
  <c r="V67" i="2"/>
  <c r="W67" i="2"/>
  <c r="X67" i="2" s="1"/>
  <c r="V1256" i="2"/>
  <c r="W1256" i="2"/>
  <c r="S732" i="2"/>
  <c r="T732" i="2" s="1"/>
  <c r="K732" i="2"/>
  <c r="U732" i="2" s="1"/>
  <c r="K421" i="2"/>
  <c r="U421" i="2" s="1"/>
  <c r="S421" i="2"/>
  <c r="T421" i="2" s="1"/>
  <c r="V1540" i="2"/>
  <c r="W1540" i="2"/>
  <c r="V1531" i="2"/>
  <c r="W1531" i="2"/>
  <c r="X1531" i="2" s="1"/>
  <c r="V24" i="2"/>
  <c r="W24" i="2"/>
  <c r="X24" i="2" s="1"/>
  <c r="V1257" i="2"/>
  <c r="W1257" i="2"/>
  <c r="V1119" i="2"/>
  <c r="W1119" i="2"/>
  <c r="V140" i="2"/>
  <c r="W140" i="2"/>
  <c r="V99" i="2"/>
  <c r="W99" i="2"/>
  <c r="V480" i="2"/>
  <c r="W480" i="2"/>
  <c r="V472" i="2"/>
  <c r="W472" i="2"/>
  <c r="X472" i="2" s="1"/>
  <c r="S403" i="2"/>
  <c r="T403" i="2" s="1"/>
  <c r="K403" i="2"/>
  <c r="U403" i="2" s="1"/>
  <c r="V1028" i="2"/>
  <c r="W1028" i="2"/>
  <c r="V1016" i="2"/>
  <c r="W1016" i="2"/>
  <c r="X1016" i="2" s="1"/>
  <c r="S420" i="2"/>
  <c r="T420" i="2" s="1"/>
  <c r="K420" i="2"/>
  <c r="U420" i="2" s="1"/>
  <c r="V126" i="2"/>
  <c r="W126" i="2"/>
  <c r="X126" i="2" s="1"/>
  <c r="V991" i="2"/>
  <c r="W991" i="2"/>
  <c r="X991" i="2" s="1"/>
  <c r="S815" i="2"/>
  <c r="T815" i="2" s="1"/>
  <c r="K815" i="2"/>
  <c r="U815" i="2" s="1"/>
  <c r="V1071" i="2"/>
  <c r="W1071" i="2"/>
  <c r="V1156" i="2"/>
  <c r="W1156" i="2"/>
  <c r="X1156" i="2" s="1"/>
  <c r="V1032" i="2"/>
  <c r="W1032" i="2"/>
  <c r="X1032" i="2" s="1"/>
  <c r="V995" i="2"/>
  <c r="W995" i="2"/>
  <c r="X995" i="2" s="1"/>
  <c r="V1025" i="2"/>
  <c r="W1025" i="2"/>
  <c r="X1025" i="2" s="1"/>
  <c r="S434" i="2"/>
  <c r="T434" i="2" s="1"/>
  <c r="K434" i="2"/>
  <c r="U434" i="2" s="1"/>
  <c r="V1520" i="2"/>
  <c r="W1520" i="2"/>
  <c r="S369" i="2"/>
  <c r="T369" i="2" s="1"/>
  <c r="K369" i="2"/>
  <c r="U369" i="2" s="1"/>
  <c r="V516" i="2"/>
  <c r="W516" i="2"/>
  <c r="X516" i="2" s="1"/>
  <c r="S478" i="2"/>
  <c r="T478" i="2" s="1"/>
  <c r="K478" i="2"/>
  <c r="U478" i="2" s="1"/>
  <c r="S461" i="2"/>
  <c r="T461" i="2" s="1"/>
  <c r="K461" i="2"/>
  <c r="U461" i="2" s="1"/>
  <c r="V1671" i="2"/>
  <c r="W1671" i="2"/>
  <c r="K1782" i="2"/>
  <c r="U1782" i="2" s="1"/>
  <c r="S1782" i="2"/>
  <c r="T1782" i="2" s="1"/>
  <c r="X1782" i="2" s="1"/>
  <c r="K2047" i="2"/>
  <c r="U2047" i="2" s="1"/>
  <c r="S2047" i="2"/>
  <c r="T2047" i="2" s="1"/>
  <c r="X2047" i="2" s="1"/>
  <c r="S1105" i="2"/>
  <c r="T1105" i="2" s="1"/>
  <c r="K1105" i="2"/>
  <c r="U1105" i="2" s="1"/>
  <c r="S2146" i="2"/>
  <c r="T2146" i="2" s="1"/>
  <c r="X2146" i="2" s="1"/>
  <c r="K2146" i="2"/>
  <c r="U2146" i="2" s="1"/>
  <c r="V433" i="2"/>
  <c r="W433" i="2"/>
  <c r="K1758" i="2"/>
  <c r="U1758" i="2" s="1"/>
  <c r="S1758" i="2"/>
  <c r="T1758" i="2" s="1"/>
  <c r="X1758" i="2" s="1"/>
  <c r="S233" i="2"/>
  <c r="T233" i="2" s="1"/>
  <c r="K233" i="2"/>
  <c r="U233" i="2" s="1"/>
  <c r="X528" i="2"/>
  <c r="K943" i="2"/>
  <c r="U943" i="2" s="1"/>
  <c r="S943" i="2"/>
  <c r="T943" i="2" s="1"/>
  <c r="V1861" i="2"/>
  <c r="W1861" i="2"/>
  <c r="V1895" i="2"/>
  <c r="W1895" i="2"/>
  <c r="V496" i="2"/>
  <c r="W496" i="2"/>
  <c r="S1744" i="2"/>
  <c r="T1744" i="2" s="1"/>
  <c r="X1744" i="2" s="1"/>
  <c r="K1744" i="2"/>
  <c r="U1744" i="2" s="1"/>
  <c r="S1512" i="2"/>
  <c r="T1512" i="2" s="1"/>
  <c r="K1512" i="2"/>
  <c r="U1512" i="2" s="1"/>
  <c r="V1051" i="2"/>
  <c r="W1051" i="2"/>
  <c r="X1051" i="2" s="1"/>
  <c r="V1850" i="2"/>
  <c r="W1850" i="2"/>
  <c r="V375" i="2"/>
  <c r="W375" i="2"/>
  <c r="V767" i="2"/>
  <c r="W767" i="2"/>
  <c r="S1470" i="2"/>
  <c r="T1470" i="2" s="1"/>
  <c r="K1470" i="2"/>
  <c r="U1470" i="2" s="1"/>
  <c r="O911" i="2"/>
  <c r="Q911" i="2" s="1"/>
  <c r="O931" i="2"/>
  <c r="Q931" i="2" s="1"/>
  <c r="O916" i="2"/>
  <c r="Q916" i="2" s="1"/>
  <c r="O885" i="2"/>
  <c r="Q885" i="2" s="1"/>
  <c r="O871" i="2"/>
  <c r="Q871" i="2" s="1"/>
  <c r="O972" i="2"/>
  <c r="Q972" i="2" s="1"/>
  <c r="O846" i="2"/>
  <c r="Q846" i="2" s="1"/>
  <c r="O926" i="2"/>
  <c r="Q926" i="2" s="1"/>
  <c r="O888" i="2"/>
  <c r="Q888" i="2" s="1"/>
  <c r="O959" i="2"/>
  <c r="Q959" i="2" s="1"/>
  <c r="O935" i="2"/>
  <c r="Q935" i="2" s="1"/>
  <c r="O880" i="2"/>
  <c r="Q880" i="2" s="1"/>
  <c r="V2039" i="2"/>
  <c r="W2039" i="2"/>
  <c r="S394" i="2"/>
  <c r="T394" i="2" s="1"/>
  <c r="K394" i="2"/>
  <c r="U394" i="2" s="1"/>
  <c r="V1614" i="2"/>
  <c r="W1614" i="2"/>
  <c r="V1114" i="2"/>
  <c r="W1114" i="2"/>
  <c r="V2096" i="2"/>
  <c r="W2096" i="2"/>
  <c r="S938" i="2"/>
  <c r="T938" i="2" s="1"/>
  <c r="K938" i="2"/>
  <c r="U938" i="2" s="1"/>
  <c r="K876" i="2"/>
  <c r="U876" i="2" s="1"/>
  <c r="S876" i="2"/>
  <c r="T876" i="2" s="1"/>
  <c r="V1901" i="2"/>
  <c r="W1901" i="2"/>
  <c r="K2027" i="2"/>
  <c r="U2027" i="2" s="1"/>
  <c r="S2027" i="2"/>
  <c r="T2027" i="2" s="1"/>
  <c r="X2027" i="2" s="1"/>
  <c r="S1108" i="2"/>
  <c r="T1108" i="2" s="1"/>
  <c r="K1108" i="2"/>
  <c r="U1108" i="2" s="1"/>
  <c r="K1784" i="2"/>
  <c r="U1784" i="2" s="1"/>
  <c r="S1784" i="2"/>
  <c r="T1784" i="2" s="1"/>
  <c r="X1784" i="2" s="1"/>
  <c r="S1899" i="2"/>
  <c r="T1899" i="2" s="1"/>
  <c r="X1899" i="2" s="1"/>
  <c r="K1899" i="2"/>
  <c r="U1899" i="2" s="1"/>
  <c r="X509" i="2"/>
  <c r="V137" i="2"/>
  <c r="W137" i="2"/>
  <c r="V2036" i="2"/>
  <c r="W2036" i="2"/>
  <c r="K967" i="2"/>
  <c r="U967" i="2" s="1"/>
  <c r="S967" i="2"/>
  <c r="T967" i="2" s="1"/>
  <c r="S582" i="2"/>
  <c r="T582" i="2" s="1"/>
  <c r="K582" i="2"/>
  <c r="U582" i="2" s="1"/>
  <c r="S260" i="2"/>
  <c r="T260" i="2" s="1"/>
  <c r="K260" i="2"/>
  <c r="U260" i="2" s="1"/>
  <c r="K1600" i="2"/>
  <c r="U1600" i="2" s="1"/>
  <c r="S1600" i="2"/>
  <c r="T1600" i="2" s="1"/>
  <c r="K1900" i="2"/>
  <c r="U1900" i="2" s="1"/>
  <c r="S1900" i="2"/>
  <c r="T1900" i="2" s="1"/>
  <c r="X1900" i="2" s="1"/>
  <c r="V1599" i="2"/>
  <c r="W1599" i="2"/>
  <c r="S1117" i="2"/>
  <c r="T1117" i="2" s="1"/>
  <c r="K1117" i="2"/>
  <c r="U1117" i="2" s="1"/>
  <c r="K2062" i="2"/>
  <c r="U2062" i="2" s="1"/>
  <c r="S2062" i="2"/>
  <c r="T2062" i="2" s="1"/>
  <c r="X2062" i="2" s="1"/>
  <c r="K195" i="2"/>
  <c r="U195" i="2" s="1"/>
  <c r="S195" i="2"/>
  <c r="T195" i="2" s="1"/>
  <c r="K1369" i="2"/>
  <c r="U1369" i="2" s="1"/>
  <c r="S1369" i="2"/>
  <c r="T1369" i="2" s="1"/>
  <c r="V1606" i="2"/>
  <c r="W1606" i="2"/>
  <c r="S295" i="2"/>
  <c r="T295" i="2" s="1"/>
  <c r="K295" i="2"/>
  <c r="U295" i="2" s="1"/>
  <c r="V48" i="2"/>
  <c r="W48" i="2"/>
  <c r="V1852" i="2"/>
  <c r="W1852" i="2"/>
  <c r="S2120" i="2"/>
  <c r="T2120" i="2" s="1"/>
  <c r="X2120" i="2" s="1"/>
  <c r="K2120" i="2"/>
  <c r="U2120" i="2" s="1"/>
  <c r="S385" i="2"/>
  <c r="T385" i="2" s="1"/>
  <c r="K385" i="2"/>
  <c r="U385" i="2" s="1"/>
  <c r="S235" i="2"/>
  <c r="T235" i="2" s="1"/>
  <c r="K235" i="2"/>
  <c r="U235" i="2" s="1"/>
  <c r="S713" i="2"/>
  <c r="T713" i="2" s="1"/>
  <c r="K713" i="2"/>
  <c r="U713" i="2" s="1"/>
  <c r="V1669" i="2"/>
  <c r="W1669" i="2"/>
  <c r="V723" i="2"/>
  <c r="W723" i="2"/>
  <c r="X723" i="2" s="1"/>
  <c r="S2145" i="2"/>
  <c r="T2145" i="2" s="1"/>
  <c r="X2145" i="2" s="1"/>
  <c r="K2145" i="2"/>
  <c r="U2145" i="2" s="1"/>
  <c r="V552" i="2"/>
  <c r="W552" i="2"/>
  <c r="V727" i="2"/>
  <c r="W727" i="2"/>
  <c r="S261" i="2"/>
  <c r="T261" i="2" s="1"/>
  <c r="K261" i="2"/>
  <c r="U261" i="2" s="1"/>
  <c r="S1252" i="2"/>
  <c r="T1252" i="2" s="1"/>
  <c r="K1252" i="2"/>
  <c r="U1252" i="2" s="1"/>
  <c r="S1613" i="2"/>
  <c r="T1613" i="2" s="1"/>
  <c r="K1613" i="2"/>
  <c r="U1613" i="2" s="1"/>
  <c r="S1437" i="2"/>
  <c r="T1437" i="2" s="1"/>
  <c r="K1437" i="2"/>
  <c r="U1437" i="2" s="1"/>
  <c r="K1960" i="2"/>
  <c r="U1960" i="2" s="1"/>
  <c r="S1960" i="2"/>
  <c r="T1960" i="2" s="1"/>
  <c r="X1960" i="2" s="1"/>
  <c r="K1950" i="2"/>
  <c r="U1950" i="2" s="1"/>
  <c r="S1950" i="2"/>
  <c r="T1950" i="2" s="1"/>
  <c r="X1950" i="2" s="1"/>
  <c r="K1063" i="2"/>
  <c r="U1063" i="2" s="1"/>
  <c r="S1063" i="2"/>
  <c r="T1063" i="2" s="1"/>
  <c r="S1433" i="2"/>
  <c r="T1433" i="2" s="1"/>
  <c r="K1433" i="2"/>
  <c r="U1433" i="2" s="1"/>
  <c r="X433" i="2"/>
  <c r="X399" i="2"/>
  <c r="X1598" i="2"/>
  <c r="K518" i="2"/>
  <c r="U518" i="2" s="1"/>
  <c r="S518" i="2"/>
  <c r="T518" i="2" s="1"/>
  <c r="V1675" i="2"/>
  <c r="W1675" i="2"/>
  <c r="K1742" i="2"/>
  <c r="U1742" i="2" s="1"/>
  <c r="S1742" i="2"/>
  <c r="T1742" i="2" s="1"/>
  <c r="X1742" i="2" s="1"/>
  <c r="S249" i="2"/>
  <c r="T249" i="2" s="1"/>
  <c r="K249" i="2"/>
  <c r="U249" i="2" s="1"/>
  <c r="S1762" i="2"/>
  <c r="T1762" i="2" s="1"/>
  <c r="X1762" i="2" s="1"/>
  <c r="K1762" i="2"/>
  <c r="U1762" i="2" s="1"/>
  <c r="S829" i="2"/>
  <c r="T829" i="2" s="1"/>
  <c r="K829" i="2"/>
  <c r="U829" i="2" s="1"/>
  <c r="S716" i="2"/>
  <c r="T716" i="2" s="1"/>
  <c r="K716" i="2"/>
  <c r="U716" i="2" s="1"/>
  <c r="K1989" i="2"/>
  <c r="U1989" i="2" s="1"/>
  <c r="S1989" i="2"/>
  <c r="T1989" i="2" s="1"/>
  <c r="X1989" i="2" s="1"/>
  <c r="V627" i="2"/>
  <c r="W627" i="2"/>
  <c r="X917" i="2"/>
  <c r="S1087" i="2"/>
  <c r="T1087" i="2" s="1"/>
  <c r="K1087" i="2"/>
  <c r="U1087" i="2" s="1"/>
  <c r="O1406" i="2"/>
  <c r="Q1406" i="2" s="1"/>
  <c r="O1390" i="2"/>
  <c r="Q1390" i="2" s="1"/>
  <c r="O1397" i="2"/>
  <c r="Q1397" i="2" s="1"/>
  <c r="O1372" i="2"/>
  <c r="Q1372" i="2" s="1"/>
  <c r="O1392" i="2"/>
  <c r="Q1392" i="2" s="1"/>
  <c r="O1411" i="2"/>
  <c r="Q1411" i="2" s="1"/>
  <c r="O1377" i="2"/>
  <c r="Q1377" i="2" s="1"/>
  <c r="O1386" i="2"/>
  <c r="Q1386" i="2" s="1"/>
  <c r="O755" i="2"/>
  <c r="Q755" i="2" s="1"/>
  <c r="O747" i="2"/>
  <c r="Q747" i="2" s="1"/>
  <c r="O725" i="2"/>
  <c r="Q725" i="2" s="1"/>
  <c r="O781" i="2"/>
  <c r="Q781" i="2" s="1"/>
  <c r="O759" i="2"/>
  <c r="Q759" i="2" s="1"/>
  <c r="O764" i="2"/>
  <c r="Q764" i="2" s="1"/>
  <c r="O728" i="2"/>
  <c r="Q728" i="2" s="1"/>
  <c r="O798" i="2"/>
  <c r="Q798" i="2" s="1"/>
  <c r="O1997" i="2"/>
  <c r="Q1997" i="2" s="1"/>
  <c r="O1991" i="2"/>
  <c r="Q1991" i="2" s="1"/>
  <c r="O1995" i="2"/>
  <c r="Q1995" i="2" s="1"/>
  <c r="O1993" i="2"/>
  <c r="Q1993" i="2" s="1"/>
  <c r="O1996" i="2"/>
  <c r="Q1996" i="2" s="1"/>
  <c r="O1994" i="2"/>
  <c r="Q1994" i="2" s="1"/>
  <c r="O1990" i="2"/>
  <c r="Q1990" i="2" s="1"/>
  <c r="O1992" i="2"/>
  <c r="Q1992" i="2" s="1"/>
  <c r="V1253" i="2"/>
  <c r="W1253" i="2"/>
  <c r="V556" i="2"/>
  <c r="W556" i="2"/>
  <c r="O1446" i="2"/>
  <c r="Q1446" i="2" s="1"/>
  <c r="O1438" i="2"/>
  <c r="Q1438" i="2" s="1"/>
  <c r="O1436" i="2"/>
  <c r="Q1436" i="2" s="1"/>
  <c r="O1423" i="2"/>
  <c r="Q1423" i="2" s="1"/>
  <c r="O1431" i="2"/>
  <c r="Q1431" i="2" s="1"/>
  <c r="O1451" i="2"/>
  <c r="Q1451" i="2" s="1"/>
  <c r="O859" i="2"/>
  <c r="Q859" i="2" s="1"/>
  <c r="O845" i="2"/>
  <c r="Q845" i="2" s="1"/>
  <c r="O819" i="2"/>
  <c r="Q819" i="2" s="1"/>
  <c r="O891" i="2"/>
  <c r="Q891" i="2" s="1"/>
  <c r="O856" i="2"/>
  <c r="Q856" i="2" s="1"/>
  <c r="O901" i="2"/>
  <c r="Q901" i="2" s="1"/>
  <c r="O2128" i="2"/>
  <c r="Q2128" i="2" s="1"/>
  <c r="O2126" i="2"/>
  <c r="Q2126" i="2" s="1"/>
  <c r="O2137" i="2"/>
  <c r="Q2137" i="2" s="1"/>
  <c r="O2129" i="2"/>
  <c r="Q2129" i="2" s="1"/>
  <c r="O2127" i="2"/>
  <c r="Q2127" i="2" s="1"/>
  <c r="O2135" i="2"/>
  <c r="Q2135" i="2" s="1"/>
  <c r="O2136" i="2"/>
  <c r="Q2136" i="2" s="1"/>
  <c r="O2132" i="2"/>
  <c r="Q2132" i="2" s="1"/>
  <c r="O2133" i="2"/>
  <c r="Q2133" i="2" s="1"/>
  <c r="O2131" i="2"/>
  <c r="Q2131" i="2" s="1"/>
  <c r="O2134" i="2"/>
  <c r="Q2134" i="2" s="1"/>
  <c r="O2130" i="2"/>
  <c r="Q2130" i="2" s="1"/>
  <c r="V1287" i="2"/>
  <c r="W1287" i="2"/>
  <c r="Q337" i="2"/>
  <c r="V889" i="2"/>
  <c r="W889" i="2"/>
  <c r="V2101" i="2"/>
  <c r="W2101" i="2"/>
  <c r="V1792" i="2"/>
  <c r="W1792" i="2"/>
  <c r="S442" i="2"/>
  <c r="T442" i="2" s="1"/>
  <c r="K442" i="2"/>
  <c r="U442" i="2" s="1"/>
  <c r="X1114" i="2"/>
  <c r="V2032" i="2"/>
  <c r="W2032" i="2"/>
  <c r="V677" i="2"/>
  <c r="W677" i="2"/>
  <c r="X677" i="2" s="1"/>
  <c r="V1367" i="2"/>
  <c r="W1367" i="2"/>
  <c r="X1367" i="2" s="1"/>
  <c r="S1460" i="2"/>
  <c r="T1460" i="2" s="1"/>
  <c r="K1460" i="2"/>
  <c r="U1460" i="2" s="1"/>
  <c r="S378" i="2"/>
  <c r="T378" i="2" s="1"/>
  <c r="K378" i="2"/>
  <c r="U378" i="2" s="1"/>
  <c r="K1391" i="2"/>
  <c r="U1391" i="2" s="1"/>
  <c r="S1391" i="2"/>
  <c r="T1391" i="2" s="1"/>
  <c r="S877" i="2"/>
  <c r="T877" i="2" s="1"/>
  <c r="K877" i="2"/>
  <c r="U877" i="2" s="1"/>
  <c r="K1589" i="2"/>
  <c r="U1589" i="2" s="1"/>
  <c r="S1589" i="2"/>
  <c r="T1589" i="2" s="1"/>
  <c r="V1200" i="2"/>
  <c r="W1200" i="2"/>
  <c r="AO29" i="1"/>
  <c r="V353" i="2"/>
  <c r="W353" i="2"/>
  <c r="K1963" i="2"/>
  <c r="U1963" i="2" s="1"/>
  <c r="S1963" i="2"/>
  <c r="T1963" i="2" s="1"/>
  <c r="X1963" i="2" s="1"/>
  <c r="V1522" i="2"/>
  <c r="W1522" i="2"/>
  <c r="V1031" i="2"/>
  <c r="W1031" i="2"/>
  <c r="X1031" i="2" s="1"/>
  <c r="S681" i="2"/>
  <c r="T681" i="2" s="1"/>
  <c r="K681" i="2"/>
  <c r="U681" i="2" s="1"/>
  <c r="K1159" i="2"/>
  <c r="U1159" i="2" s="1"/>
  <c r="S1159" i="2"/>
  <c r="T1159" i="2" s="1"/>
  <c r="K1405" i="2"/>
  <c r="U1405" i="2" s="1"/>
  <c r="S1405" i="2"/>
  <c r="T1405" i="2" s="1"/>
  <c r="S1785" i="2"/>
  <c r="T1785" i="2" s="1"/>
  <c r="X1785" i="2" s="1"/>
  <c r="K1785" i="2"/>
  <c r="U1785" i="2" s="1"/>
  <c r="V1270" i="2"/>
  <c r="W1270" i="2"/>
  <c r="X1270" i="2" s="1"/>
  <c r="S814" i="2"/>
  <c r="T814" i="2" s="1"/>
  <c r="K814" i="2"/>
  <c r="U814" i="2" s="1"/>
  <c r="S1490" i="2"/>
  <c r="T1490" i="2" s="1"/>
  <c r="K1490" i="2"/>
  <c r="U1490" i="2" s="1"/>
  <c r="S1085" i="2"/>
  <c r="T1085" i="2" s="1"/>
  <c r="K1085" i="2"/>
  <c r="U1085" i="2" s="1"/>
  <c r="S1461" i="2"/>
  <c r="T1461" i="2" s="1"/>
  <c r="K1461" i="2"/>
  <c r="U1461" i="2" s="1"/>
  <c r="S1203" i="2"/>
  <c r="T1203" i="2" s="1"/>
  <c r="K1203" i="2"/>
  <c r="U1203" i="2" s="1"/>
  <c r="S1471" i="2"/>
  <c r="T1471" i="2" s="1"/>
  <c r="K1471" i="2"/>
  <c r="U1471" i="2" s="1"/>
  <c r="S288" i="2"/>
  <c r="T288" i="2" s="1"/>
  <c r="K288" i="2"/>
  <c r="U288" i="2" s="1"/>
  <c r="S1184" i="2"/>
  <c r="T1184" i="2" s="1"/>
  <c r="K1184" i="2"/>
  <c r="U1184" i="2" s="1"/>
  <c r="K1373" i="2"/>
  <c r="U1373" i="2" s="1"/>
  <c r="S1373" i="2"/>
  <c r="T1373" i="2" s="1"/>
  <c r="S141" i="2"/>
  <c r="T141" i="2" s="1"/>
  <c r="K141" i="2"/>
  <c r="U141" i="2" s="1"/>
  <c r="V1236" i="2"/>
  <c r="W1236" i="2"/>
  <c r="K14" i="2"/>
  <c r="U14" i="2" s="1"/>
  <c r="S14" i="2"/>
  <c r="T14" i="2" s="1"/>
  <c r="X1599" i="2"/>
  <c r="K977" i="2"/>
  <c r="U977" i="2" s="1"/>
  <c r="S977" i="2"/>
  <c r="T977" i="2" s="1"/>
  <c r="S2048" i="2"/>
  <c r="T2048" i="2" s="1"/>
  <c r="X2048" i="2" s="1"/>
  <c r="K2048" i="2"/>
  <c r="U2048" i="2" s="1"/>
  <c r="S2052" i="2"/>
  <c r="T2052" i="2" s="1"/>
  <c r="X2052" i="2" s="1"/>
  <c r="K2052" i="2"/>
  <c r="U2052" i="2" s="1"/>
  <c r="V742" i="2"/>
  <c r="W742" i="2"/>
  <c r="V576" i="2"/>
  <c r="W576" i="2"/>
  <c r="X576" i="2" s="1"/>
  <c r="K1319" i="2"/>
  <c r="U1319" i="2" s="1"/>
  <c r="S1319" i="2"/>
  <c r="T1319" i="2" s="1"/>
  <c r="V654" i="2"/>
  <c r="W654" i="2"/>
  <c r="X654" i="2" s="1"/>
  <c r="S381" i="2"/>
  <c r="T381" i="2" s="1"/>
  <c r="K381" i="2"/>
  <c r="U381" i="2" s="1"/>
  <c r="S216" i="2"/>
  <c r="T216" i="2" s="1"/>
  <c r="K216" i="2"/>
  <c r="U216" i="2" s="1"/>
  <c r="K1609" i="2"/>
  <c r="U1609" i="2" s="1"/>
  <c r="S1609" i="2"/>
  <c r="T1609" i="2" s="1"/>
  <c r="K1897" i="2"/>
  <c r="U1897" i="2" s="1"/>
  <c r="S1897" i="2"/>
  <c r="T1897" i="2" s="1"/>
  <c r="X1897" i="2" s="1"/>
  <c r="S27" i="2"/>
  <c r="T27" i="2" s="1"/>
  <c r="K27" i="2"/>
  <c r="U27" i="2" s="1"/>
  <c r="V1412" i="2"/>
  <c r="W1412" i="2"/>
  <c r="X1412" i="2" s="1"/>
  <c r="V1231" i="2"/>
  <c r="W1231" i="2"/>
  <c r="S655" i="2"/>
  <c r="T655" i="2" s="1"/>
  <c r="K655" i="2"/>
  <c r="U655" i="2" s="1"/>
  <c r="K913" i="2"/>
  <c r="U913" i="2" s="1"/>
  <c r="S913" i="2"/>
  <c r="T913" i="2" s="1"/>
  <c r="S2116" i="2"/>
  <c r="T2116" i="2" s="1"/>
  <c r="X2116" i="2" s="1"/>
  <c r="K2116" i="2"/>
  <c r="U2116" i="2" s="1"/>
  <c r="K1634" i="2"/>
  <c r="U1634" i="2" s="1"/>
  <c r="S1634" i="2"/>
  <c r="T1634" i="2" s="1"/>
  <c r="X1634" i="2" s="1"/>
  <c r="S1212" i="2"/>
  <c r="T1212" i="2" s="1"/>
  <c r="K1212" i="2"/>
  <c r="U1212" i="2" s="1"/>
  <c r="S395" i="2"/>
  <c r="T395" i="2" s="1"/>
  <c r="K395" i="2"/>
  <c r="U395" i="2" s="1"/>
  <c r="K1014" i="2"/>
  <c r="U1014" i="2" s="1"/>
  <c r="S1014" i="2"/>
  <c r="T1014" i="2" s="1"/>
  <c r="K198" i="2"/>
  <c r="U198" i="2" s="1"/>
  <c r="S198" i="2"/>
  <c r="T198" i="2" s="1"/>
  <c r="S1093" i="2"/>
  <c r="T1093" i="2" s="1"/>
  <c r="K1093" i="2"/>
  <c r="U1093" i="2" s="1"/>
  <c r="S803" i="2"/>
  <c r="T803" i="2" s="1"/>
  <c r="K803" i="2"/>
  <c r="U803" i="2" s="1"/>
  <c r="S940" i="2"/>
  <c r="T940" i="2" s="1"/>
  <c r="K940" i="2"/>
  <c r="U940" i="2" s="1"/>
  <c r="S2140" i="2"/>
  <c r="T2140" i="2" s="1"/>
  <c r="X2140" i="2" s="1"/>
  <c r="K2140" i="2"/>
  <c r="U2140" i="2" s="1"/>
  <c r="S849" i="2"/>
  <c r="T849" i="2" s="1"/>
  <c r="K849" i="2"/>
  <c r="U849" i="2" s="1"/>
  <c r="X552" i="2"/>
  <c r="X555" i="2"/>
  <c r="X727" i="2"/>
  <c r="S2160" i="2"/>
  <c r="T2160" i="2" s="1"/>
  <c r="X2160" i="2" s="1"/>
  <c r="K2160" i="2"/>
  <c r="U2160" i="2" s="1"/>
  <c r="S1563" i="2"/>
  <c r="T1563" i="2" s="1"/>
  <c r="K1563" i="2"/>
  <c r="U1563" i="2" s="1"/>
  <c r="V1283" i="2"/>
  <c r="W1283" i="2"/>
  <c r="K1427" i="2"/>
  <c r="U1427" i="2" s="1"/>
  <c r="S1427" i="2"/>
  <c r="T1427" i="2" s="1"/>
  <c r="S1580" i="2"/>
  <c r="T1580" i="2" s="1"/>
  <c r="K1580" i="2"/>
  <c r="U1580" i="2" s="1"/>
  <c r="K919" i="2"/>
  <c r="U919" i="2" s="1"/>
  <c r="S919" i="2"/>
  <c r="T919" i="2" s="1"/>
  <c r="S1523" i="2"/>
  <c r="T1523" i="2" s="1"/>
  <c r="K1523" i="2"/>
  <c r="U1523" i="2" s="1"/>
  <c r="K486" i="2"/>
  <c r="U486" i="2" s="1"/>
  <c r="S486" i="2"/>
  <c r="T486" i="2" s="1"/>
  <c r="V396" i="2"/>
  <c r="W396" i="2"/>
  <c r="S1302" i="2"/>
  <c r="T1302" i="2" s="1"/>
  <c r="K1302" i="2"/>
  <c r="U1302" i="2" s="1"/>
  <c r="S1357" i="2"/>
  <c r="T1357" i="2" s="1"/>
  <c r="K1357" i="2"/>
  <c r="U1357" i="2" s="1"/>
  <c r="S1277" i="2"/>
  <c r="T1277" i="2" s="1"/>
  <c r="K1277" i="2"/>
  <c r="U1277" i="2" s="1"/>
  <c r="V1069" i="2"/>
  <c r="W1069" i="2"/>
  <c r="X1069" i="2" s="1"/>
  <c r="X82" i="2"/>
  <c r="K1321" i="2"/>
  <c r="U1321" i="2" s="1"/>
  <c r="S1321" i="2"/>
  <c r="T1321" i="2" s="1"/>
  <c r="V1676" i="2"/>
  <c r="W1676" i="2"/>
  <c r="V744" i="2"/>
  <c r="W744" i="2"/>
  <c r="K425" i="2"/>
  <c r="U425" i="2" s="1"/>
  <c r="S425" i="2"/>
  <c r="T425" i="2" s="1"/>
  <c r="S588" i="2"/>
  <c r="T588" i="2" s="1"/>
  <c r="K588" i="2"/>
  <c r="U588" i="2" s="1"/>
  <c r="V551" i="2"/>
  <c r="W551" i="2"/>
  <c r="X551" i="2" s="1"/>
  <c r="K1851" i="2"/>
  <c r="U1851" i="2" s="1"/>
  <c r="S1851" i="2"/>
  <c r="T1851" i="2" s="1"/>
  <c r="X1851" i="2" s="1"/>
  <c r="K915" i="2"/>
  <c r="U915" i="2" s="1"/>
  <c r="S915" i="2"/>
  <c r="T915" i="2" s="1"/>
  <c r="S171" i="2"/>
  <c r="T171" i="2" s="1"/>
  <c r="K171" i="2"/>
  <c r="U171" i="2" s="1"/>
  <c r="K1748" i="2"/>
  <c r="U1748" i="2" s="1"/>
  <c r="S1748" i="2"/>
  <c r="T1748" i="2" s="1"/>
  <c r="X1748" i="2" s="1"/>
  <c r="K1171" i="2"/>
  <c r="U1171" i="2" s="1"/>
  <c r="S1171" i="2"/>
  <c r="T1171" i="2" s="1"/>
  <c r="S304" i="2"/>
  <c r="T304" i="2" s="1"/>
  <c r="K304" i="2"/>
  <c r="U304" i="2" s="1"/>
  <c r="S835" i="2"/>
  <c r="T835" i="2" s="1"/>
  <c r="K835" i="2"/>
  <c r="U835" i="2" s="1"/>
  <c r="V1120" i="2"/>
  <c r="W1120" i="2"/>
  <c r="S1418" i="2"/>
  <c r="T1418" i="2" s="1"/>
  <c r="K1418" i="2"/>
  <c r="U1418" i="2" s="1"/>
  <c r="V1255" i="2"/>
  <c r="W1255" i="2"/>
  <c r="V1583" i="2"/>
  <c r="W1583" i="2"/>
  <c r="X1583" i="2" s="1"/>
  <c r="X108" i="2"/>
  <c r="X1593" i="2"/>
  <c r="V712" i="2"/>
  <c r="W712" i="2"/>
  <c r="S119" i="2"/>
  <c r="T119" i="2" s="1"/>
  <c r="K119" i="2"/>
  <c r="U119" i="2" s="1"/>
  <c r="V523" i="2"/>
  <c r="W523" i="2"/>
  <c r="X523" i="2" s="1"/>
  <c r="V2029" i="2"/>
  <c r="W2029" i="2"/>
  <c r="V410" i="2"/>
  <c r="W410" i="2"/>
  <c r="X410" i="2" s="1"/>
  <c r="V1036" i="2"/>
  <c r="W1036" i="2"/>
  <c r="X1036" i="2" s="1"/>
  <c r="V917" i="2"/>
  <c r="W917" i="2"/>
  <c r="S1172" i="2"/>
  <c r="T1172" i="2" s="1"/>
  <c r="K1172" i="2"/>
  <c r="U1172" i="2" s="1"/>
  <c r="S1547" i="2"/>
  <c r="T1547" i="2" s="1"/>
  <c r="K1547" i="2"/>
  <c r="U1547" i="2" s="1"/>
  <c r="V2091" i="2"/>
  <c r="W2091" i="2"/>
  <c r="V2090" i="2"/>
  <c r="W2090" i="2"/>
  <c r="V852" i="2"/>
  <c r="W852" i="2"/>
  <c r="X852" i="2" s="1"/>
  <c r="V227" i="2"/>
  <c r="W227" i="2"/>
  <c r="O1313" i="2"/>
  <c r="Q1313" i="2" s="1"/>
  <c r="O1301" i="2"/>
  <c r="Q1301" i="2" s="1"/>
  <c r="O1280" i="2"/>
  <c r="Q1280" i="2" s="1"/>
  <c r="O1354" i="2"/>
  <c r="Q1354" i="2" s="1"/>
  <c r="O1308" i="2"/>
  <c r="Q1308" i="2" s="1"/>
  <c r="O1334" i="2"/>
  <c r="Q1334" i="2" s="1"/>
  <c r="O1337" i="2"/>
  <c r="Q1337" i="2" s="1"/>
  <c r="O1350" i="2"/>
  <c r="Q1350" i="2" s="1"/>
  <c r="O1335" i="2"/>
  <c r="Q1335" i="2" s="1"/>
  <c r="O1325" i="2"/>
  <c r="Q1325" i="2" s="1"/>
  <c r="O1312" i="2"/>
  <c r="Q1312" i="2" s="1"/>
  <c r="O1330" i="2"/>
  <c r="Q1330" i="2" s="1"/>
  <c r="X1253" i="2"/>
  <c r="X556" i="2"/>
  <c r="O2015" i="2"/>
  <c r="Q2015" i="2" s="1"/>
  <c r="O2016" i="2"/>
  <c r="Q2016" i="2" s="1"/>
  <c r="O1998" i="2"/>
  <c r="Q1998" i="2" s="1"/>
  <c r="O2007" i="2"/>
  <c r="Q2007" i="2" s="1"/>
  <c r="O2008" i="2"/>
  <c r="Q2008" i="2" s="1"/>
  <c r="O2020" i="2"/>
  <c r="Q2020" i="2" s="1"/>
  <c r="O2021" i="2"/>
  <c r="Q2021" i="2" s="1"/>
  <c r="O2000" i="2"/>
  <c r="Q2000" i="2" s="1"/>
  <c r="O2013" i="2"/>
  <c r="Q2013" i="2" s="1"/>
  <c r="O2005" i="2"/>
  <c r="Q2005" i="2" s="1"/>
  <c r="O2019" i="2"/>
  <c r="Q2019" i="2" s="1"/>
  <c r="O2014" i="2"/>
  <c r="Q2014" i="2" s="1"/>
  <c r="O2018" i="2"/>
  <c r="Q2018" i="2" s="1"/>
  <c r="O2003" i="2"/>
  <c r="Q2003" i="2" s="1"/>
  <c r="O2010" i="2"/>
  <c r="Q2010" i="2" s="1"/>
  <c r="O2002" i="2"/>
  <c r="Q2002" i="2" s="1"/>
  <c r="O2009" i="2"/>
  <c r="Q2009" i="2" s="1"/>
  <c r="O2006" i="2"/>
  <c r="Q2006" i="2" s="1"/>
  <c r="O2004" i="2"/>
  <c r="Q2004" i="2" s="1"/>
  <c r="O2017" i="2"/>
  <c r="Q2017" i="2" s="1"/>
  <c r="O2011" i="2"/>
  <c r="Q2011" i="2" s="1"/>
  <c r="O2001" i="2"/>
  <c r="Q2001" i="2" s="1"/>
  <c r="O1999" i="2"/>
  <c r="Q1999" i="2" s="1"/>
  <c r="O2012" i="2"/>
  <c r="Q2012" i="2" s="1"/>
  <c r="X1287" i="2"/>
  <c r="Q1781" i="2"/>
  <c r="V1229" i="2"/>
  <c r="W1229" i="2"/>
  <c r="X1229" i="2" s="1"/>
  <c r="V271" i="2"/>
  <c r="W271" i="2"/>
  <c r="V2109" i="2"/>
  <c r="W2109" i="2"/>
  <c r="Q462" i="2"/>
  <c r="V1443" i="2"/>
  <c r="W1443" i="2"/>
  <c r="X1443" i="2" s="1"/>
  <c r="V560" i="2"/>
  <c r="W560" i="2"/>
  <c r="V1607" i="2"/>
  <c r="W1607" i="2"/>
  <c r="X1607" i="2" s="1"/>
  <c r="V2094" i="2"/>
  <c r="W2094" i="2"/>
  <c r="V902" i="2"/>
  <c r="W902" i="2"/>
  <c r="S1278" i="2"/>
  <c r="T1278" i="2" s="1"/>
  <c r="K1278" i="2"/>
  <c r="U1278" i="2" s="1"/>
  <c r="V1081" i="2"/>
  <c r="W1081" i="2"/>
  <c r="K1796" i="2"/>
  <c r="U1796" i="2" s="1"/>
  <c r="S1796" i="2"/>
  <c r="T1796" i="2" s="1"/>
  <c r="X1796" i="2" s="1"/>
  <c r="S1388" i="2"/>
  <c r="T1388" i="2" s="1"/>
  <c r="K1388" i="2"/>
  <c r="U1388" i="2" s="1"/>
  <c r="S365" i="2"/>
  <c r="T365" i="2" s="1"/>
  <c r="K365" i="2"/>
  <c r="U365" i="2" s="1"/>
  <c r="S1413" i="2"/>
  <c r="T1413" i="2" s="1"/>
  <c r="K1413" i="2"/>
  <c r="U1413" i="2" s="1"/>
  <c r="S440" i="2"/>
  <c r="T440" i="2" s="1"/>
  <c r="K440" i="2"/>
  <c r="U440" i="2" s="1"/>
  <c r="K1757" i="2"/>
  <c r="U1757" i="2" s="1"/>
  <c r="S1757" i="2"/>
  <c r="T1757" i="2" s="1"/>
  <c r="X1757" i="2" s="1"/>
  <c r="V108" i="2"/>
  <c r="W108" i="2"/>
  <c r="V1416" i="2"/>
  <c r="W1416" i="2"/>
  <c r="X1416" i="2" s="1"/>
  <c r="V272" i="2"/>
  <c r="W272" i="2"/>
  <c r="X272" i="2" s="1"/>
  <c r="X627" i="2"/>
  <c r="K1050" i="2"/>
  <c r="U1050" i="2" s="1"/>
  <c r="S1050" i="2"/>
  <c r="T1050" i="2" s="1"/>
  <c r="O1966" i="2"/>
  <c r="Q1966" i="2" s="1"/>
  <c r="O1975" i="2"/>
  <c r="Q1975" i="2" s="1"/>
  <c r="O1968" i="2"/>
  <c r="Q1968" i="2" s="1"/>
  <c r="O694" i="2"/>
  <c r="Q694" i="2" s="1"/>
  <c r="O688" i="2"/>
  <c r="Q688" i="2" s="1"/>
  <c r="O664" i="2"/>
  <c r="Q664" i="2" s="1"/>
  <c r="O652" i="2"/>
  <c r="Q652" i="2" s="1"/>
  <c r="O635" i="2"/>
  <c r="Q635" i="2" s="1"/>
  <c r="O661" i="2"/>
  <c r="Q661" i="2" s="1"/>
  <c r="O168" i="2"/>
  <c r="Q168" i="2" s="1"/>
  <c r="O218" i="2"/>
  <c r="Q218" i="2" s="1"/>
  <c r="O187" i="2"/>
  <c r="Q187" i="2" s="1"/>
  <c r="O193" i="2"/>
  <c r="Q193" i="2" s="1"/>
  <c r="O191" i="2"/>
  <c r="Q191" i="2" s="1"/>
  <c r="O209" i="2"/>
  <c r="Q209" i="2" s="1"/>
  <c r="O1977" i="2"/>
  <c r="Q1977" i="2" s="1"/>
  <c r="O1974" i="2"/>
  <c r="Q1974" i="2" s="1"/>
  <c r="O1969" i="2"/>
  <c r="Q1969" i="2" s="1"/>
  <c r="O1972" i="2"/>
  <c r="Q1972" i="2" s="1"/>
  <c r="O1976" i="2"/>
  <c r="Q1976" i="2" s="1"/>
  <c r="O1971" i="2"/>
  <c r="Q1971" i="2" s="1"/>
  <c r="O1970" i="2"/>
  <c r="Q1970" i="2" s="1"/>
  <c r="O1967" i="2"/>
  <c r="Q1967" i="2" s="1"/>
  <c r="O1973" i="2"/>
  <c r="Q1973" i="2" s="1"/>
  <c r="X1232" i="2"/>
  <c r="S297" i="2"/>
  <c r="T297" i="2" s="1"/>
  <c r="K297" i="2"/>
  <c r="U297" i="2" s="1"/>
  <c r="X889" i="2"/>
  <c r="V71" i="2"/>
  <c r="W71" i="2"/>
  <c r="X71" i="2" s="1"/>
  <c r="S1497" i="2"/>
  <c r="T1497" i="2" s="1"/>
  <c r="K1497" i="2"/>
  <c r="U1497" i="2" s="1"/>
  <c r="K1604" i="2"/>
  <c r="U1604" i="2" s="1"/>
  <c r="S1604" i="2"/>
  <c r="T1604" i="2" s="1"/>
  <c r="S305" i="2"/>
  <c r="T305" i="2" s="1"/>
  <c r="K305" i="2"/>
  <c r="U305" i="2" s="1"/>
  <c r="V1860" i="2"/>
  <c r="W1860" i="2"/>
  <c r="X1522" i="2"/>
  <c r="S256" i="2"/>
  <c r="T256" i="2" s="1"/>
  <c r="K256" i="2"/>
  <c r="U256" i="2" s="1"/>
  <c r="V1290" i="2"/>
  <c r="W1290" i="2"/>
  <c r="X1290" i="2" s="1"/>
  <c r="K1602" i="2"/>
  <c r="U1602" i="2" s="1"/>
  <c r="S1602" i="2"/>
  <c r="T1602" i="2" s="1"/>
  <c r="K30" i="2"/>
  <c r="U30" i="2" s="1"/>
  <c r="S30" i="2"/>
  <c r="T30" i="2" s="1"/>
  <c r="V763" i="2"/>
  <c r="W763" i="2"/>
  <c r="S59" i="2"/>
  <c r="T59" i="2" s="1"/>
  <c r="K59" i="2"/>
  <c r="U59" i="2" s="1"/>
  <c r="X1408" i="2"/>
  <c r="X1081" i="2"/>
  <c r="K104" i="2"/>
  <c r="U104" i="2" s="1"/>
  <c r="S104" i="2"/>
  <c r="T104" i="2" s="1"/>
  <c r="S2065" i="2"/>
  <c r="T2065" i="2" s="1"/>
  <c r="X2065" i="2" s="1"/>
  <c r="K2065" i="2"/>
  <c r="U2065" i="2" s="1"/>
  <c r="S1349" i="2"/>
  <c r="T1349" i="2" s="1"/>
  <c r="K1349" i="2"/>
  <c r="U1349" i="2" s="1"/>
  <c r="V1158" i="2"/>
  <c r="W1158" i="2"/>
  <c r="X1158" i="2" s="1"/>
  <c r="X1540" i="2"/>
  <c r="S1464" i="2"/>
  <c r="T1464" i="2" s="1"/>
  <c r="K1464" i="2"/>
  <c r="U1464" i="2" s="1"/>
  <c r="K1261" i="2"/>
  <c r="U1261" i="2" s="1"/>
  <c r="S1261" i="2"/>
  <c r="T1261" i="2" s="1"/>
  <c r="S626" i="2"/>
  <c r="T626" i="2" s="1"/>
  <c r="K626" i="2"/>
  <c r="U626" i="2" s="1"/>
  <c r="S680" i="2"/>
  <c r="T680" i="2" s="1"/>
  <c r="K680" i="2"/>
  <c r="U680" i="2" s="1"/>
  <c r="S1147" i="2"/>
  <c r="T1147" i="2" s="1"/>
  <c r="K1147" i="2"/>
  <c r="U1147" i="2" s="1"/>
  <c r="S373" i="2"/>
  <c r="T373" i="2" s="1"/>
  <c r="K373" i="2"/>
  <c r="U373" i="2" s="1"/>
  <c r="K1061" i="2"/>
  <c r="U1061" i="2" s="1"/>
  <c r="S1061" i="2"/>
  <c r="T1061" i="2" s="1"/>
  <c r="S771" i="2"/>
  <c r="T771" i="2" s="1"/>
  <c r="K771" i="2"/>
  <c r="U771" i="2" s="1"/>
  <c r="S811" i="2"/>
  <c r="T811" i="2" s="1"/>
  <c r="K811" i="2"/>
  <c r="U811" i="2" s="1"/>
  <c r="K2153" i="2"/>
  <c r="U2153" i="2" s="1"/>
  <c r="S2153" i="2"/>
  <c r="T2153" i="2" s="1"/>
  <c r="X2153" i="2" s="1"/>
  <c r="S329" i="2"/>
  <c r="T329" i="2" s="1"/>
  <c r="K329" i="2"/>
  <c r="U329" i="2" s="1"/>
  <c r="S1370" i="2"/>
  <c r="T1370" i="2" s="1"/>
  <c r="K1370" i="2"/>
  <c r="U1370" i="2" s="1"/>
  <c r="K148" i="2"/>
  <c r="U148" i="2" s="1"/>
  <c r="S148" i="2"/>
  <c r="T148" i="2" s="1"/>
  <c r="S866" i="2"/>
  <c r="T866" i="2" s="1"/>
  <c r="K866" i="2"/>
  <c r="U866" i="2" s="1"/>
  <c r="S484" i="2"/>
  <c r="T484" i="2" s="1"/>
  <c r="K484" i="2"/>
  <c r="U484" i="2" s="1"/>
  <c r="S1168" i="2"/>
  <c r="T1168" i="2" s="1"/>
  <c r="K1168" i="2"/>
  <c r="U1168" i="2" s="1"/>
  <c r="S1760" i="2"/>
  <c r="T1760" i="2" s="1"/>
  <c r="X1760" i="2" s="1"/>
  <c r="K1760" i="2"/>
  <c r="U1760" i="2" s="1"/>
  <c r="S298" i="2"/>
  <c r="T298" i="2" s="1"/>
  <c r="K298" i="2"/>
  <c r="U298" i="2" s="1"/>
  <c r="V528" i="2"/>
  <c r="W528" i="2"/>
  <c r="S406" i="2"/>
  <c r="T406" i="2" s="1"/>
  <c r="K406" i="2"/>
  <c r="U406" i="2" s="1"/>
  <c r="S857" i="2"/>
  <c r="T857" i="2" s="1"/>
  <c r="K857" i="2"/>
  <c r="U857" i="2" s="1"/>
  <c r="V1593" i="2"/>
  <c r="W1593" i="2"/>
  <c r="X879" i="2"/>
  <c r="X496" i="2"/>
  <c r="K1528" i="2"/>
  <c r="U1528" i="2" s="1"/>
  <c r="S1528" i="2"/>
  <c r="T1528" i="2" s="1"/>
  <c r="X375" i="2"/>
  <c r="X767" i="2"/>
  <c r="V1478" i="2"/>
  <c r="W1478" i="2"/>
  <c r="V638" i="2"/>
  <c r="W638" i="2"/>
  <c r="X638" i="2" s="1"/>
  <c r="V1355" i="2"/>
  <c r="W1355" i="2"/>
  <c r="X1355" i="2" s="1"/>
  <c r="K983" i="2"/>
  <c r="U983" i="2" s="1"/>
  <c r="S983" i="2"/>
  <c r="T983" i="2" s="1"/>
  <c r="S1251" i="2"/>
  <c r="T1251" i="2" s="1"/>
  <c r="K1251" i="2"/>
  <c r="U1251" i="2" s="1"/>
  <c r="S1793" i="2"/>
  <c r="T1793" i="2" s="1"/>
  <c r="X1793" i="2" s="1"/>
  <c r="K1793" i="2"/>
  <c r="U1793" i="2" s="1"/>
  <c r="V1272" i="2"/>
  <c r="W1272" i="2"/>
  <c r="S446" i="2"/>
  <c r="T446" i="2" s="1"/>
  <c r="K446" i="2"/>
  <c r="U446" i="2" s="1"/>
  <c r="V1425" i="2"/>
  <c r="W1425" i="2"/>
  <c r="X1425" i="2" s="1"/>
  <c r="X1200" i="2"/>
  <c r="X353" i="2"/>
  <c r="V264" i="2"/>
  <c r="W264" i="2"/>
  <c r="K1986" i="2"/>
  <c r="U1986" i="2" s="1"/>
  <c r="S1986" i="2"/>
  <c r="T1986" i="2" s="1"/>
  <c r="X1986" i="2" s="1"/>
  <c r="S1191" i="2"/>
  <c r="T1191" i="2" s="1"/>
  <c r="K1191" i="2"/>
  <c r="U1191" i="2" s="1"/>
  <c r="K1791" i="2"/>
  <c r="U1791" i="2" s="1"/>
  <c r="S1791" i="2"/>
  <c r="T1791" i="2" s="1"/>
  <c r="X1791" i="2" s="1"/>
  <c r="S500" i="2"/>
  <c r="T500" i="2" s="1"/>
  <c r="K500" i="2"/>
  <c r="U500" i="2" s="1"/>
  <c r="S286" i="2"/>
  <c r="T286" i="2" s="1"/>
  <c r="K286" i="2"/>
  <c r="U286" i="2" s="1"/>
  <c r="K1070" i="2"/>
  <c r="U1070" i="2" s="1"/>
  <c r="S1070" i="2"/>
  <c r="T1070" i="2" s="1"/>
  <c r="V1385" i="2"/>
  <c r="W1385" i="2"/>
  <c r="V773" i="2"/>
  <c r="W773" i="2"/>
  <c r="X773" i="2" s="1"/>
  <c r="S1274" i="2"/>
  <c r="T1274" i="2" s="1"/>
  <c r="K1274" i="2"/>
  <c r="U1274" i="2" s="1"/>
  <c r="V792" i="2"/>
  <c r="W792" i="2"/>
  <c r="V1326" i="2"/>
  <c r="W1326" i="2"/>
  <c r="X1119" i="2"/>
  <c r="S330" i="2"/>
  <c r="T330" i="2" s="1"/>
  <c r="K330" i="2"/>
  <c r="U330" i="2" s="1"/>
  <c r="S268" i="2"/>
  <c r="T268" i="2" s="1"/>
  <c r="K268" i="2"/>
  <c r="U268" i="2" s="1"/>
  <c r="O1340" i="2"/>
  <c r="Q1340" i="2" s="1"/>
  <c r="O1324" i="2"/>
  <c r="Q1324" i="2" s="1"/>
  <c r="O1378" i="2"/>
  <c r="Q1378" i="2" s="1"/>
  <c r="O1331" i="2"/>
  <c r="Q1331" i="2" s="1"/>
  <c r="O1358" i="2"/>
  <c r="Q1358" i="2" s="1"/>
  <c r="O1248" i="2"/>
  <c r="Q1248" i="2" s="1"/>
  <c r="O1288" i="2"/>
  <c r="Q1288" i="2" s="1"/>
  <c r="O1352" i="2"/>
  <c r="Q1352" i="2" s="1"/>
  <c r="O1361" i="2"/>
  <c r="Q1361" i="2" s="1"/>
  <c r="O1329" i="2"/>
  <c r="Q1329" i="2" s="1"/>
  <c r="O1293" i="2"/>
  <c r="Q1293" i="2" s="1"/>
  <c r="O1303" i="2"/>
  <c r="Q1303" i="2" s="1"/>
  <c r="O678" i="2"/>
  <c r="Q678" i="2" s="1"/>
  <c r="O660" i="2"/>
  <c r="Q660" i="2" s="1"/>
  <c r="O656" i="2"/>
  <c r="Q656" i="2" s="1"/>
  <c r="O729" i="2"/>
  <c r="Q729" i="2" s="1"/>
  <c r="O633" i="2"/>
  <c r="Q633" i="2" s="1"/>
  <c r="O705" i="2"/>
  <c r="Q705" i="2" s="1"/>
  <c r="O663" i="2"/>
  <c r="Q663" i="2" s="1"/>
  <c r="O621" i="2"/>
  <c r="Q621" i="2" s="1"/>
  <c r="O701" i="2"/>
  <c r="Q701" i="2" s="1"/>
  <c r="O580" i="2"/>
  <c r="Q580" i="2" s="1"/>
  <c r="O615" i="2"/>
  <c r="Q615" i="2" s="1"/>
  <c r="O691" i="2"/>
  <c r="Q691" i="2" s="1"/>
  <c r="S1795" i="2"/>
  <c r="T1795" i="2" s="1"/>
  <c r="X1795" i="2" s="1"/>
  <c r="K1795" i="2"/>
  <c r="U1795" i="2" s="1"/>
  <c r="S63" i="2"/>
  <c r="T63" i="2" s="1"/>
  <c r="K63" i="2"/>
  <c r="U63" i="2" s="1"/>
  <c r="X1236" i="2"/>
  <c r="V785" i="2"/>
  <c r="W785" i="2"/>
  <c r="V1403" i="2"/>
  <c r="W1403" i="2"/>
  <c r="X140" i="2"/>
  <c r="K2061" i="2"/>
  <c r="U2061" i="2" s="1"/>
  <c r="S2061" i="2"/>
  <c r="T2061" i="2" s="1"/>
  <c r="X2061" i="2" s="1"/>
  <c r="K2054" i="2"/>
  <c r="U2054" i="2" s="1"/>
  <c r="S2054" i="2"/>
  <c r="T2054" i="2" s="1"/>
  <c r="X2054" i="2" s="1"/>
  <c r="V349" i="2"/>
  <c r="W349" i="2"/>
  <c r="X349" i="2" s="1"/>
  <c r="S1323" i="2"/>
  <c r="T1323" i="2" s="1"/>
  <c r="K1323" i="2"/>
  <c r="U1323" i="2" s="1"/>
  <c r="X1080" i="2"/>
  <c r="X1259" i="2"/>
  <c r="S199" i="2"/>
  <c r="T199" i="2" s="1"/>
  <c r="K199" i="2"/>
  <c r="U199" i="2" s="1"/>
  <c r="S1441" i="2"/>
  <c r="T1441" i="2" s="1"/>
  <c r="K1441" i="2"/>
  <c r="U1441" i="2" s="1"/>
  <c r="V1227" i="2"/>
  <c r="W1227" i="2"/>
  <c r="X1227" i="2" s="1"/>
  <c r="S738" i="2"/>
  <c r="T738" i="2" s="1"/>
  <c r="K738" i="2"/>
  <c r="U738" i="2" s="1"/>
  <c r="X1231" i="2"/>
  <c r="S618" i="2"/>
  <c r="T618" i="2" s="1"/>
  <c r="K618" i="2"/>
  <c r="U618" i="2" s="1"/>
  <c r="O672" i="2"/>
  <c r="Q672" i="2" s="1"/>
  <c r="O640" i="2"/>
  <c r="Q640" i="2" s="1"/>
  <c r="O611" i="2"/>
  <c r="Q611" i="2" s="1"/>
  <c r="O595" i="2"/>
  <c r="Q595" i="2" s="1"/>
  <c r="O571" i="2"/>
  <c r="Q571" i="2" s="1"/>
  <c r="O566" i="2"/>
  <c r="Q566" i="2" s="1"/>
  <c r="O648" i="2"/>
  <c r="Q648" i="2" s="1"/>
  <c r="O607" i="2"/>
  <c r="Q607" i="2" s="1"/>
  <c r="O553" i="2"/>
  <c r="Q553" i="2" s="1"/>
  <c r="O628" i="2"/>
  <c r="Q628" i="2" s="1"/>
  <c r="O599" i="2"/>
  <c r="Q599" i="2" s="1"/>
  <c r="O519" i="2"/>
  <c r="Q519" i="2" s="1"/>
  <c r="O200" i="2"/>
  <c r="Q200" i="2" s="1"/>
  <c r="O166" i="2"/>
  <c r="Q166" i="2" s="1"/>
  <c r="O156" i="2"/>
  <c r="Q156" i="2" s="1"/>
  <c r="O145" i="2"/>
  <c r="Q145" i="2" s="1"/>
  <c r="O121" i="2"/>
  <c r="Q121" i="2" s="1"/>
  <c r="O117" i="2"/>
  <c r="Q117" i="2" s="1"/>
  <c r="O77" i="2"/>
  <c r="Q77" i="2" s="1"/>
  <c r="O149" i="2"/>
  <c r="Q149" i="2" s="1"/>
  <c r="O175" i="2"/>
  <c r="Q175" i="2" s="1"/>
  <c r="O179" i="2"/>
  <c r="Q179" i="2" s="1"/>
  <c r="O143" i="2"/>
  <c r="Q143" i="2" s="1"/>
  <c r="O110" i="2"/>
  <c r="Q110" i="2" s="1"/>
  <c r="K537" i="2"/>
  <c r="U537" i="2" s="1"/>
  <c r="S537" i="2"/>
  <c r="T537" i="2" s="1"/>
  <c r="S2118" i="2"/>
  <c r="T2118" i="2" s="1"/>
  <c r="X2118" i="2" s="1"/>
  <c r="K2118" i="2"/>
  <c r="U2118" i="2" s="1"/>
  <c r="S1625" i="2"/>
  <c r="T1625" i="2" s="1"/>
  <c r="X1625" i="2" s="1"/>
  <c r="K1625" i="2"/>
  <c r="U1625" i="2" s="1"/>
  <c r="S584" i="2"/>
  <c r="T584" i="2" s="1"/>
  <c r="K584" i="2"/>
  <c r="U584" i="2" s="1"/>
  <c r="S411" i="2"/>
  <c r="T411" i="2" s="1"/>
  <c r="K411" i="2"/>
  <c r="U411" i="2" s="1"/>
  <c r="S1100" i="2"/>
  <c r="T1100" i="2" s="1"/>
  <c r="K1100" i="2"/>
  <c r="U1100" i="2" s="1"/>
  <c r="S253" i="2"/>
  <c r="T253" i="2" s="1"/>
  <c r="K253" i="2"/>
  <c r="U253" i="2" s="1"/>
  <c r="S1448" i="2"/>
  <c r="T1448" i="2" s="1"/>
  <c r="K1448" i="2"/>
  <c r="U1448" i="2" s="1"/>
  <c r="K909" i="2"/>
  <c r="U909" i="2" s="1"/>
  <c r="S909" i="2"/>
  <c r="T909" i="2" s="1"/>
  <c r="S853" i="2"/>
  <c r="T853" i="2" s="1"/>
  <c r="K853" i="2"/>
  <c r="U853" i="2" s="1"/>
  <c r="S341" i="2"/>
  <c r="T341" i="2" s="1"/>
  <c r="K341" i="2"/>
  <c r="U341" i="2" s="1"/>
  <c r="S277" i="2"/>
  <c r="T277" i="2" s="1"/>
  <c r="K277" i="2"/>
  <c r="U277" i="2" s="1"/>
  <c r="K2139" i="2"/>
  <c r="U2139" i="2" s="1"/>
  <c r="S2139" i="2"/>
  <c r="T2139" i="2" s="1"/>
  <c r="X2139" i="2" s="1"/>
  <c r="S1429" i="2"/>
  <c r="T1429" i="2" s="1"/>
  <c r="K1429" i="2"/>
  <c r="U1429" i="2" s="1"/>
  <c r="V1912" i="2"/>
  <c r="W1912" i="2"/>
  <c r="V1911" i="2"/>
  <c r="W1911" i="2"/>
  <c r="V1393" i="2"/>
  <c r="W1393" i="2"/>
  <c r="W213" i="2"/>
  <c r="X213" i="2" s="1"/>
  <c r="X742" i="2"/>
  <c r="S2157" i="2"/>
  <c r="T2157" i="2" s="1"/>
  <c r="X2157" i="2" s="1"/>
  <c r="K2157" i="2"/>
  <c r="U2157" i="2" s="1"/>
  <c r="S1572" i="2"/>
  <c r="T1572" i="2" s="1"/>
  <c r="K1572" i="2"/>
  <c r="U1572" i="2" s="1"/>
  <c r="X1283" i="2"/>
  <c r="S9" i="2"/>
  <c r="T9" i="2" s="1"/>
  <c r="K9" i="2"/>
  <c r="U9" i="2" s="1"/>
  <c r="S1384" i="2"/>
  <c r="T1384" i="2" s="1"/>
  <c r="K1384" i="2"/>
  <c r="U1384" i="2" s="1"/>
  <c r="S343" i="2"/>
  <c r="T343" i="2" s="1"/>
  <c r="K343" i="2"/>
  <c r="U343" i="2" s="1"/>
  <c r="K1091" i="2"/>
  <c r="U1091" i="2" s="1"/>
  <c r="S1091" i="2"/>
  <c r="T1091" i="2" s="1"/>
  <c r="S88" i="2"/>
  <c r="T88" i="2" s="1"/>
  <c r="K88" i="2"/>
  <c r="U88" i="2" s="1"/>
  <c r="V282" i="2"/>
  <c r="W282" i="2"/>
  <c r="X282" i="2" s="1"/>
  <c r="V933" i="2"/>
  <c r="W933" i="2"/>
  <c r="X933" i="2" s="1"/>
  <c r="S1389" i="2"/>
  <c r="T1389" i="2" s="1"/>
  <c r="K1389" i="2"/>
  <c r="U1389" i="2" s="1"/>
  <c r="V82" i="2"/>
  <c r="W82" i="2"/>
  <c r="V1738" i="2"/>
  <c r="W1738" i="2"/>
  <c r="X744" i="2"/>
  <c r="S412" i="2"/>
  <c r="T412" i="2" s="1"/>
  <c r="K412" i="2"/>
  <c r="U412" i="2" s="1"/>
  <c r="S1955" i="2"/>
  <c r="T1955" i="2" s="1"/>
  <c r="X1955" i="2" s="1"/>
  <c r="K1955" i="2"/>
  <c r="U1955" i="2" s="1"/>
  <c r="K1079" i="2"/>
  <c r="U1079" i="2" s="1"/>
  <c r="S1079" i="2"/>
  <c r="T1079" i="2" s="1"/>
  <c r="S892" i="2"/>
  <c r="T892" i="2" s="1"/>
  <c r="K892" i="2"/>
  <c r="U892" i="2" s="1"/>
  <c r="S1667" i="2"/>
  <c r="T1667" i="2" s="1"/>
  <c r="X1667" i="2" s="1"/>
  <c r="K1667" i="2"/>
  <c r="U1667" i="2" s="1"/>
  <c r="S376" i="2"/>
  <c r="T376" i="2" s="1"/>
  <c r="K376" i="2"/>
  <c r="U376" i="2" s="1"/>
  <c r="S147" i="2"/>
  <c r="T147" i="2" s="1"/>
  <c r="K147" i="2"/>
  <c r="U147" i="2" s="1"/>
  <c r="S1749" i="2"/>
  <c r="T1749" i="2" s="1"/>
  <c r="X1749" i="2" s="1"/>
  <c r="K1749" i="2"/>
  <c r="U1749" i="2" s="1"/>
  <c r="K1023" i="2"/>
  <c r="U1023" i="2" s="1"/>
  <c r="S1023" i="2"/>
  <c r="T1023" i="2" s="1"/>
  <c r="V1463" i="2"/>
  <c r="W1463" i="2"/>
  <c r="S327" i="2"/>
  <c r="T327" i="2" s="1"/>
  <c r="K327" i="2"/>
  <c r="U327" i="2" s="1"/>
  <c r="K937" i="2"/>
  <c r="U937" i="2" s="1"/>
  <c r="S937" i="2"/>
  <c r="T937" i="2" s="1"/>
  <c r="V568" i="2"/>
  <c r="W568" i="2"/>
  <c r="X1120" i="2"/>
  <c r="S348" i="2"/>
  <c r="T348" i="2" s="1"/>
  <c r="K348" i="2"/>
  <c r="U348" i="2" s="1"/>
  <c r="X1255" i="2"/>
  <c r="V1794" i="2"/>
  <c r="W1794" i="2"/>
  <c r="V1672" i="2"/>
  <c r="W1672" i="2"/>
  <c r="X1387" i="2"/>
  <c r="X712" i="2"/>
  <c r="X396" i="2"/>
  <c r="V455" i="2"/>
  <c r="W455" i="2"/>
  <c r="V344" i="2"/>
  <c r="W344" i="2"/>
  <c r="S1535" i="2"/>
  <c r="T1535" i="2" s="1"/>
  <c r="K1535" i="2"/>
  <c r="U1535" i="2" s="1"/>
  <c r="S1551" i="2"/>
  <c r="T1551" i="2" s="1"/>
  <c r="K1551" i="2"/>
  <c r="U1551" i="2" s="1"/>
  <c r="X1439" i="2"/>
  <c r="X227" i="2"/>
  <c r="O1833" i="2"/>
  <c r="Q1833" i="2" s="1"/>
  <c r="O1824" i="2"/>
  <c r="Q1824" i="2" s="1"/>
  <c r="O1826" i="2"/>
  <c r="Q1826" i="2" s="1"/>
  <c r="O1835" i="2"/>
  <c r="Q1835" i="2" s="1"/>
  <c r="O1827" i="2"/>
  <c r="Q1827" i="2" s="1"/>
  <c r="O1829" i="2"/>
  <c r="Q1829" i="2" s="1"/>
  <c r="O1831" i="2"/>
  <c r="Q1831" i="2" s="1"/>
  <c r="O1822" i="2"/>
  <c r="Q1822" i="2" s="1"/>
  <c r="O1837" i="2"/>
  <c r="Q1837" i="2" s="1"/>
  <c r="O1562" i="2"/>
  <c r="Q1562" i="2" s="1"/>
  <c r="O1558" i="2"/>
  <c r="Q1558" i="2" s="1"/>
  <c r="O1552" i="2"/>
  <c r="Q1552" i="2" s="1"/>
  <c r="O1549" i="2"/>
  <c r="Q1549" i="2" s="1"/>
  <c r="O1175" i="2"/>
  <c r="Q1175" i="2" s="1"/>
  <c r="O1151" i="2"/>
  <c r="Q1151" i="2" s="1"/>
  <c r="O1139" i="2"/>
  <c r="Q1139" i="2" s="1"/>
  <c r="O1187" i="2"/>
  <c r="Q1187" i="2" s="1"/>
  <c r="O1830" i="2"/>
  <c r="Q1830" i="2" s="1"/>
  <c r="O1828" i="2"/>
  <c r="Q1828" i="2" s="1"/>
  <c r="O1823" i="2"/>
  <c r="Q1823" i="2" s="1"/>
  <c r="O1834" i="2"/>
  <c r="Q1834" i="2" s="1"/>
  <c r="O1825" i="2"/>
  <c r="Q1825" i="2" s="1"/>
  <c r="O1832" i="2"/>
  <c r="Q1832" i="2" s="1"/>
  <c r="O1836" i="2"/>
  <c r="Q1836" i="2" s="1"/>
  <c r="V1481" i="2"/>
  <c r="W1481" i="2"/>
  <c r="K57" i="2"/>
  <c r="U57" i="2" s="1"/>
  <c r="S57" i="2"/>
  <c r="T57" i="2" s="1"/>
  <c r="V751" i="2"/>
  <c r="W751" i="2"/>
  <c r="O1157" i="2"/>
  <c r="Q1157" i="2" s="1"/>
  <c r="O1123" i="2"/>
  <c r="Q1123" i="2" s="1"/>
  <c r="O1086" i="2"/>
  <c r="Q1086" i="2" s="1"/>
  <c r="O1084" i="2"/>
  <c r="Q1084" i="2" s="1"/>
  <c r="O1118" i="2"/>
  <c r="Q1118" i="2" s="1"/>
  <c r="O1110" i="2"/>
  <c r="Q1110" i="2" s="1"/>
  <c r="O1122" i="2"/>
  <c r="Q1122" i="2" s="1"/>
  <c r="O1089" i="2"/>
  <c r="Q1089" i="2" s="1"/>
  <c r="O1075" i="2"/>
  <c r="Q1075" i="2" s="1"/>
  <c r="O1146" i="2"/>
  <c r="Q1146" i="2" s="1"/>
  <c r="O1107" i="2"/>
  <c r="Q1107" i="2" s="1"/>
  <c r="O1049" i="2"/>
  <c r="Q1049" i="2" s="1"/>
  <c r="Q1776" i="2"/>
  <c r="S529" i="2"/>
  <c r="T529" i="2" s="1"/>
  <c r="K529" i="2"/>
  <c r="U529" i="2" s="1"/>
  <c r="X271" i="2"/>
  <c r="X763" i="2"/>
  <c r="Q402" i="2"/>
  <c r="V687" i="2"/>
  <c r="W687" i="2"/>
  <c r="X560" i="2"/>
  <c r="V2031" i="2"/>
  <c r="W2031" i="2"/>
  <c r="V2108" i="2"/>
  <c r="W2108" i="2"/>
  <c r="V1345" i="2"/>
  <c r="W1345" i="2"/>
  <c r="X1345" i="2" s="1"/>
  <c r="X902" i="2"/>
  <c r="V2037" i="2"/>
  <c r="W2037" i="2"/>
  <c r="V941" i="2"/>
  <c r="W941" i="2"/>
  <c r="X941" i="2" s="1"/>
  <c r="S258" i="2"/>
  <c r="T258" i="2" s="1"/>
  <c r="K258" i="2"/>
  <c r="U258" i="2" s="1"/>
  <c r="K1351" i="2"/>
  <c r="U1351" i="2" s="1"/>
  <c r="S1351" i="2"/>
  <c r="T1351" i="2" s="1"/>
  <c r="V362" i="2"/>
  <c r="W362" i="2"/>
  <c r="X362" i="2" s="1"/>
  <c r="O1356" i="2"/>
  <c r="Q1356" i="2" s="1"/>
  <c r="O1341" i="2"/>
  <c r="Q1341" i="2" s="1"/>
  <c r="O1295" i="2"/>
  <c r="Q1295" i="2" s="1"/>
  <c r="O1262" i="2"/>
  <c r="Q1262" i="2" s="1"/>
  <c r="O1250" i="2"/>
  <c r="Q1250" i="2" s="1"/>
  <c r="O1328" i="2"/>
  <c r="Q1328" i="2" s="1"/>
  <c r="O1299" i="2"/>
  <c r="Q1299" i="2" s="1"/>
  <c r="O1338" i="2"/>
  <c r="Q1338" i="2" s="1"/>
  <c r="O1316" i="2"/>
  <c r="Q1316" i="2" s="1"/>
  <c r="O1269" i="2"/>
  <c r="Q1269" i="2" s="1"/>
  <c r="O1304" i="2"/>
  <c r="Q1304" i="2" s="1"/>
  <c r="O1217" i="2"/>
  <c r="Q1217" i="2" s="1"/>
  <c r="O700" i="2"/>
  <c r="Q700" i="2" s="1"/>
  <c r="O679" i="2"/>
  <c r="Q679" i="2" s="1"/>
  <c r="O629" i="2"/>
  <c r="Q629" i="2" s="1"/>
  <c r="O659" i="2"/>
  <c r="Q659" i="2" s="1"/>
  <c r="O622" i="2"/>
  <c r="Q622" i="2" s="1"/>
  <c r="O600" i="2"/>
  <c r="Q600" i="2" s="1"/>
  <c r="O547" i="2"/>
  <c r="Q547" i="2" s="1"/>
  <c r="O673" i="2"/>
  <c r="Q673" i="2" s="1"/>
  <c r="O581" i="2"/>
  <c r="Q581" i="2" s="1"/>
  <c r="O634" i="2"/>
  <c r="Q634" i="2" s="1"/>
  <c r="O644" i="2"/>
  <c r="Q644" i="2" s="1"/>
  <c r="O591" i="2"/>
  <c r="Q591" i="2" s="1"/>
  <c r="S823" i="2"/>
  <c r="T823" i="2" s="1"/>
  <c r="K823" i="2"/>
  <c r="U823" i="2" s="1"/>
  <c r="S1353" i="2"/>
  <c r="T1353" i="2" s="1"/>
  <c r="K1353" i="2"/>
  <c r="U1353" i="2" s="1"/>
  <c r="V693" i="2"/>
  <c r="W693" i="2"/>
  <c r="X693" i="2" s="1"/>
  <c r="S720" i="2"/>
  <c r="T720" i="2" s="1"/>
  <c r="K720" i="2"/>
  <c r="U720" i="2" s="1"/>
  <c r="S1109" i="2"/>
  <c r="T1109" i="2" s="1"/>
  <c r="K1109" i="2"/>
  <c r="U1109" i="2" s="1"/>
  <c r="S490" i="2"/>
  <c r="T490" i="2" s="1"/>
  <c r="K490" i="2"/>
  <c r="U490" i="2" s="1"/>
  <c r="X257" i="2"/>
  <c r="V1140" i="2"/>
  <c r="W1140" i="2"/>
  <c r="K2059" i="2"/>
  <c r="U2059" i="2" s="1"/>
  <c r="S2059" i="2"/>
  <c r="T2059" i="2" s="1"/>
  <c r="X2059" i="2" s="1"/>
  <c r="S275" i="2"/>
  <c r="T275" i="2" s="1"/>
  <c r="K275" i="2"/>
  <c r="U275" i="2" s="1"/>
  <c r="S624" i="2"/>
  <c r="T624" i="2" s="1"/>
  <c r="K624" i="2"/>
  <c r="U624" i="2" s="1"/>
  <c r="S1635" i="2"/>
  <c r="T1635" i="2" s="1"/>
  <c r="X1635" i="2" s="1"/>
  <c r="K1635" i="2"/>
  <c r="U1635" i="2" s="1"/>
  <c r="S1104" i="2"/>
  <c r="T1104" i="2" s="1"/>
  <c r="K1104" i="2"/>
  <c r="U1104" i="2" s="1"/>
  <c r="V10" i="2"/>
  <c r="W10" i="2"/>
  <c r="S1525" i="2"/>
  <c r="T1525" i="2" s="1"/>
  <c r="K1525" i="2"/>
  <c r="U1525" i="2" s="1"/>
  <c r="X1140" i="2"/>
  <c r="S177" i="2"/>
  <c r="T177" i="2" s="1"/>
  <c r="K177" i="2"/>
  <c r="U177" i="2" s="1"/>
  <c r="S521" i="2"/>
  <c r="T521" i="2" s="1"/>
  <c r="K521" i="2"/>
  <c r="U521" i="2" s="1"/>
  <c r="V463" i="2"/>
  <c r="W463" i="2"/>
  <c r="S610" i="2"/>
  <c r="T610" i="2" s="1"/>
  <c r="K610" i="2"/>
  <c r="U610" i="2" s="1"/>
  <c r="S1346" i="2"/>
  <c r="T1346" i="2" s="1"/>
  <c r="K1346" i="2"/>
  <c r="U1346" i="2" s="1"/>
  <c r="O1048" i="2"/>
  <c r="Q1048" i="2" s="1"/>
  <c r="O1033" i="2"/>
  <c r="Q1033" i="2" s="1"/>
  <c r="O1007" i="2"/>
  <c r="Q1007" i="2" s="1"/>
  <c r="O998" i="2"/>
  <c r="Q998" i="2" s="1"/>
  <c r="O994" i="2"/>
  <c r="Q994" i="2" s="1"/>
  <c r="O990" i="2"/>
  <c r="Q990" i="2" s="1"/>
  <c r="O952" i="2"/>
  <c r="Q952" i="2" s="1"/>
  <c r="O908" i="2"/>
  <c r="Q908" i="2" s="1"/>
  <c r="O948" i="2"/>
  <c r="Q948" i="2" s="1"/>
  <c r="O965" i="2"/>
  <c r="Q965" i="2" s="1"/>
  <c r="O1009" i="2"/>
  <c r="Q1009" i="2" s="1"/>
  <c r="O953" i="2"/>
  <c r="Q953" i="2" s="1"/>
  <c r="X1481" i="2"/>
  <c r="X751" i="2"/>
  <c r="V2099" i="2"/>
  <c r="W2099" i="2"/>
  <c r="V1815" i="2"/>
  <c r="W1815" i="2"/>
  <c r="V606" i="2"/>
  <c r="W606" i="2"/>
  <c r="S1148" i="2"/>
  <c r="T1148" i="2" s="1"/>
  <c r="K1148" i="2"/>
  <c r="U1148" i="2" s="1"/>
  <c r="S391" i="2"/>
  <c r="T391" i="2" s="1"/>
  <c r="K391" i="2"/>
  <c r="U391" i="2" s="1"/>
  <c r="V1193" i="2"/>
  <c r="W1193" i="2"/>
  <c r="X1193" i="2" s="1"/>
  <c r="K2068" i="2"/>
  <c r="U2068" i="2" s="1"/>
  <c r="S2068" i="2"/>
  <c r="T2068" i="2" s="1"/>
  <c r="X2068" i="2" s="1"/>
  <c r="V43" i="2"/>
  <c r="W43" i="2"/>
  <c r="S448" i="2"/>
  <c r="T448" i="2" s="1"/>
  <c r="K448" i="2"/>
  <c r="U448" i="2" s="1"/>
  <c r="S594" i="2"/>
  <c r="T594" i="2" s="1"/>
  <c r="K594" i="2"/>
  <c r="U594" i="2" s="1"/>
  <c r="S173" i="2"/>
  <c r="T173" i="2" s="1"/>
  <c r="K173" i="2"/>
  <c r="U173" i="2" s="1"/>
  <c r="S2148" i="2"/>
  <c r="T2148" i="2" s="1"/>
  <c r="X2148" i="2" s="1"/>
  <c r="K2148" i="2"/>
  <c r="U2148" i="2" s="1"/>
  <c r="S1394" i="2"/>
  <c r="T1394" i="2" s="1"/>
  <c r="K1394" i="2"/>
  <c r="U1394" i="2" s="1"/>
  <c r="S443" i="2"/>
  <c r="T443" i="2" s="1"/>
  <c r="K443" i="2"/>
  <c r="U443" i="2" s="1"/>
  <c r="V912" i="2"/>
  <c r="W912" i="2"/>
  <c r="X912" i="2" s="1"/>
  <c r="S279" i="2"/>
  <c r="T279" i="2" s="1"/>
  <c r="K279" i="2"/>
  <c r="U279" i="2" s="1"/>
  <c r="V1273" i="2"/>
  <c r="W1273" i="2"/>
  <c r="X1273" i="2" s="1"/>
  <c r="V1336" i="2"/>
  <c r="W1336" i="2"/>
  <c r="X1336" i="2" s="1"/>
  <c r="V208" i="2"/>
  <c r="W208" i="2"/>
  <c r="O1871" i="2"/>
  <c r="Q1871" i="2" s="1"/>
  <c r="O1867" i="2"/>
  <c r="Q1867" i="2" s="1"/>
  <c r="O1579" i="2"/>
  <c r="Q1579" i="2" s="1"/>
  <c r="O1578" i="2"/>
  <c r="Q1578" i="2" s="1"/>
  <c r="O1577" i="2"/>
  <c r="Q1577" i="2" s="1"/>
  <c r="O1571" i="2"/>
  <c r="Q1571" i="2" s="1"/>
  <c r="O1581" i="2"/>
  <c r="Q1581" i="2" s="1"/>
  <c r="O1575" i="2"/>
  <c r="Q1575" i="2" s="1"/>
  <c r="O1298" i="2"/>
  <c r="Q1298" i="2" s="1"/>
  <c r="O1266" i="2"/>
  <c r="Q1266" i="2" s="1"/>
  <c r="O1276" i="2"/>
  <c r="Q1276" i="2" s="1"/>
  <c r="O1239" i="2"/>
  <c r="Q1239" i="2" s="1"/>
  <c r="O1314" i="2"/>
  <c r="Q1314" i="2" s="1"/>
  <c r="O1281" i="2"/>
  <c r="Q1281" i="2" s="1"/>
  <c r="O1866" i="2"/>
  <c r="Q1866" i="2" s="1"/>
  <c r="O1865" i="2"/>
  <c r="Q1865" i="2" s="1"/>
  <c r="O1872" i="2"/>
  <c r="Q1872" i="2" s="1"/>
  <c r="O1868" i="2"/>
  <c r="Q1868" i="2" s="1"/>
  <c r="O1873" i="2"/>
  <c r="Q1873" i="2" s="1"/>
  <c r="O1870" i="2"/>
  <c r="Q1870" i="2" s="1"/>
  <c r="O1869" i="2"/>
  <c r="Q1869" i="2" s="1"/>
  <c r="O1863" i="2"/>
  <c r="Q1863" i="2" s="1"/>
  <c r="O1862" i="2"/>
  <c r="Q1862" i="2" s="1"/>
  <c r="O1864" i="2"/>
  <c r="Q1864" i="2" s="1"/>
  <c r="Q423" i="2"/>
  <c r="V1115" i="2"/>
  <c r="W1115" i="2"/>
  <c r="X606" i="2"/>
  <c r="X1028" i="2"/>
  <c r="X1257" i="2"/>
  <c r="S246" i="2"/>
  <c r="T246" i="2" s="1"/>
  <c r="K246" i="2"/>
  <c r="U246" i="2" s="1"/>
  <c r="O535" i="2"/>
  <c r="Q535" i="2" s="1"/>
  <c r="O499" i="2"/>
  <c r="Q499" i="2" s="1"/>
  <c r="O510" i="2"/>
  <c r="Q510" i="2" s="1"/>
  <c r="O466" i="2"/>
  <c r="Q466" i="2" s="1"/>
  <c r="O427" i="2"/>
  <c r="Q427" i="2" s="1"/>
  <c r="O489" i="2"/>
  <c r="Q489" i="2" s="1"/>
  <c r="O474" i="2"/>
  <c r="Q474" i="2" s="1"/>
  <c r="O456" i="2"/>
  <c r="Q456" i="2" s="1"/>
  <c r="O436" i="2"/>
  <c r="Q436" i="2" s="1"/>
  <c r="O405" i="2"/>
  <c r="Q405" i="2" s="1"/>
  <c r="O39" i="2"/>
  <c r="Q39" i="2" s="1"/>
  <c r="O31" i="2"/>
  <c r="Q31" i="2" s="1"/>
  <c r="O44" i="2"/>
  <c r="Q44" i="2" s="1"/>
  <c r="O72" i="2"/>
  <c r="Q72" i="2" s="1"/>
  <c r="O437" i="2"/>
  <c r="Q437" i="2" s="1"/>
  <c r="O55" i="2"/>
  <c r="Q55" i="2" s="1"/>
  <c r="O41" i="2"/>
  <c r="Q41" i="2" s="1"/>
  <c r="O91" i="2"/>
  <c r="Q91" i="2" s="1"/>
  <c r="O22" i="2"/>
  <c r="Q22" i="2" s="1"/>
  <c r="O6" i="2"/>
  <c r="Q6" i="2" s="1"/>
  <c r="O13" i="2"/>
  <c r="Q13" i="2" s="1"/>
  <c r="O469" i="2"/>
  <c r="Q469" i="2" s="1"/>
  <c r="O62" i="2"/>
  <c r="Q62" i="2" s="1"/>
  <c r="O21" i="2"/>
  <c r="Q21" i="2" s="1"/>
  <c r="S789" i="2"/>
  <c r="T789" i="2" s="1"/>
  <c r="K789" i="2"/>
  <c r="U789" i="2" s="1"/>
  <c r="S180" i="2"/>
  <c r="T180" i="2" s="1"/>
  <c r="K180" i="2"/>
  <c r="U180" i="2" s="1"/>
  <c r="S585" i="2"/>
  <c r="T585" i="2" s="1"/>
  <c r="K585" i="2"/>
  <c r="U585" i="2" s="1"/>
  <c r="S225" i="2"/>
  <c r="T225" i="2" s="1"/>
  <c r="K225" i="2"/>
  <c r="U225" i="2" s="1"/>
  <c r="S1595" i="2"/>
  <c r="T1595" i="2" s="1"/>
  <c r="K1595" i="2"/>
  <c r="U1595" i="2" s="1"/>
  <c r="S1903" i="2"/>
  <c r="T1903" i="2" s="1"/>
  <c r="X1903" i="2" s="1"/>
  <c r="K1903" i="2"/>
  <c r="U1903" i="2" s="1"/>
  <c r="K1383" i="2"/>
  <c r="U1383" i="2" s="1"/>
  <c r="S1383" i="2"/>
  <c r="T1383" i="2" s="1"/>
  <c r="V1332" i="2"/>
  <c r="W1332" i="2"/>
  <c r="K1343" i="2"/>
  <c r="U1343" i="2" s="1"/>
  <c r="S1343" i="2"/>
  <c r="T1343" i="2" s="1"/>
  <c r="S1751" i="2"/>
  <c r="T1751" i="2" s="1"/>
  <c r="X1751" i="2" s="1"/>
  <c r="K1751" i="2"/>
  <c r="U1751" i="2" s="1"/>
  <c r="X504" i="2"/>
  <c r="V614" i="2"/>
  <c r="W614" i="2"/>
  <c r="S1344" i="2"/>
  <c r="T1344" i="2" s="1"/>
  <c r="K1344" i="2"/>
  <c r="U1344" i="2" s="1"/>
  <c r="V1488" i="2"/>
  <c r="W1488" i="2"/>
  <c r="V1591" i="2"/>
  <c r="W1591" i="2"/>
  <c r="V827" i="2"/>
  <c r="W827" i="2"/>
  <c r="V1663" i="2"/>
  <c r="W1663" i="2"/>
  <c r="V1660" i="2"/>
  <c r="W1660" i="2"/>
  <c r="V563" i="2"/>
  <c r="W563" i="2"/>
  <c r="S494" i="2"/>
  <c r="T494" i="2" s="1"/>
  <c r="K494" i="2"/>
  <c r="U494" i="2" s="1"/>
  <c r="S380" i="2"/>
  <c r="T380" i="2" s="1"/>
  <c r="K380" i="2"/>
  <c r="U380" i="2" s="1"/>
  <c r="K1988" i="2"/>
  <c r="U1988" i="2" s="1"/>
  <c r="S1988" i="2"/>
  <c r="T1988" i="2" s="1"/>
  <c r="X1988" i="2" s="1"/>
  <c r="K1455" i="2"/>
  <c r="U1455" i="2" s="1"/>
  <c r="S1455" i="2"/>
  <c r="T1455" i="2" s="1"/>
  <c r="K530" i="2"/>
  <c r="U530" i="2" s="1"/>
  <c r="S530" i="2"/>
  <c r="T530" i="2" s="1"/>
  <c r="X1513" i="2"/>
  <c r="S97" i="2"/>
  <c r="T97" i="2" s="1"/>
  <c r="K97" i="2"/>
  <c r="U97" i="2" s="1"/>
  <c r="K1099" i="2"/>
  <c r="U1099" i="2" s="1"/>
  <c r="S1099" i="2"/>
  <c r="T1099" i="2" s="1"/>
  <c r="S324" i="2"/>
  <c r="T324" i="2" s="1"/>
  <c r="K324" i="2"/>
  <c r="U324" i="2" s="1"/>
  <c r="S90" i="2"/>
  <c r="T90" i="2" s="1"/>
  <c r="K90" i="2"/>
  <c r="U90" i="2" s="1"/>
  <c r="K507" i="2"/>
  <c r="U507" i="2" s="1"/>
  <c r="S507" i="2"/>
  <c r="T507" i="2" s="1"/>
  <c r="V1661" i="2"/>
  <c r="W1661" i="2"/>
  <c r="V236" i="2"/>
  <c r="W236" i="2"/>
  <c r="S1374" i="2"/>
  <c r="T1374" i="2" s="1"/>
  <c r="K1374" i="2"/>
  <c r="U1374" i="2" s="1"/>
  <c r="S1333" i="2"/>
  <c r="T1333" i="2" s="1"/>
  <c r="K1333" i="2"/>
  <c r="U1333" i="2" s="1"/>
  <c r="V1404" i="2"/>
  <c r="W1404" i="2"/>
  <c r="S1127" i="2"/>
  <c r="T1127" i="2" s="1"/>
  <c r="K1127" i="2"/>
  <c r="U1127" i="2" s="1"/>
  <c r="S387" i="2"/>
  <c r="T387" i="2" s="1"/>
  <c r="K387" i="2"/>
  <c r="U387" i="2" s="1"/>
  <c r="S278" i="2"/>
  <c r="T278" i="2" s="1"/>
  <c r="K278" i="2"/>
  <c r="U278" i="2" s="1"/>
  <c r="O1234" i="2"/>
  <c r="Q1234" i="2" s="1"/>
  <c r="O1224" i="2"/>
  <c r="Q1224" i="2" s="1"/>
  <c r="O1218" i="2"/>
  <c r="Q1218" i="2" s="1"/>
  <c r="O1141" i="2"/>
  <c r="Q1141" i="2" s="1"/>
  <c r="O1249" i="2"/>
  <c r="Q1249" i="2" s="1"/>
  <c r="O1267" i="2"/>
  <c r="Q1267" i="2" s="1"/>
  <c r="O1219" i="2"/>
  <c r="Q1219" i="2" s="1"/>
  <c r="O1192" i="2"/>
  <c r="Q1192" i="2" s="1"/>
  <c r="O1174" i="2"/>
  <c r="Q1174" i="2" s="1"/>
  <c r="O1294" i="2"/>
  <c r="Q1294" i="2" s="1"/>
  <c r="O1189" i="2"/>
  <c r="Q1189" i="2" s="1"/>
  <c r="O1263" i="2"/>
  <c r="Q1263" i="2" s="1"/>
  <c r="S1767" i="2"/>
  <c r="T1767" i="2" s="1"/>
  <c r="X1767" i="2" s="1"/>
  <c r="K1767" i="2"/>
  <c r="U1767" i="2" s="1"/>
  <c r="K164" i="2"/>
  <c r="U164" i="2" s="1"/>
  <c r="S164" i="2"/>
  <c r="T164" i="2" s="1"/>
  <c r="S238" i="2"/>
  <c r="T238" i="2" s="1"/>
  <c r="K238" i="2"/>
  <c r="U238" i="2" s="1"/>
  <c r="S132" i="2"/>
  <c r="T132" i="2" s="1"/>
  <c r="K132" i="2"/>
  <c r="U132" i="2" s="1"/>
  <c r="K1518" i="2"/>
  <c r="U1518" i="2" s="1"/>
  <c r="S1518" i="2"/>
  <c r="T1518" i="2" s="1"/>
  <c r="S1814" i="2"/>
  <c r="T1814" i="2" s="1"/>
  <c r="X1814" i="2" s="1"/>
  <c r="K1814" i="2"/>
  <c r="U1814" i="2" s="1"/>
  <c r="K2057" i="2"/>
  <c r="U2057" i="2" s="1"/>
  <c r="S2057" i="2"/>
  <c r="T2057" i="2" s="1"/>
  <c r="X2057" i="2" s="1"/>
  <c r="K2066" i="2"/>
  <c r="U2066" i="2" s="1"/>
  <c r="S2066" i="2"/>
  <c r="T2066" i="2" s="1"/>
  <c r="X2066" i="2" s="1"/>
  <c r="S1291" i="2"/>
  <c r="T1291" i="2" s="1"/>
  <c r="K1291" i="2"/>
  <c r="U1291" i="2" s="1"/>
  <c r="V573" i="2"/>
  <c r="W573" i="2"/>
  <c r="X573" i="2" s="1"/>
  <c r="X1603" i="2"/>
  <c r="S454" i="2"/>
  <c r="T454" i="2" s="1"/>
  <c r="K454" i="2"/>
  <c r="U454" i="2" s="1"/>
  <c r="K1056" i="2"/>
  <c r="U1056" i="2" s="1"/>
  <c r="S1056" i="2"/>
  <c r="T1056" i="2" s="1"/>
  <c r="S190" i="2"/>
  <c r="T190" i="2" s="1"/>
  <c r="K190" i="2"/>
  <c r="U190" i="2" s="1"/>
  <c r="X51" i="2"/>
  <c r="K754" i="2"/>
  <c r="U754" i="2" s="1"/>
  <c r="S754" i="2"/>
  <c r="T754" i="2" s="1"/>
  <c r="S1125" i="2"/>
  <c r="T1125" i="2" s="1"/>
  <c r="K1125" i="2"/>
  <c r="U1125" i="2" s="1"/>
  <c r="X99" i="2"/>
  <c r="S1428" i="2"/>
  <c r="T1428" i="2" s="1"/>
  <c r="K1428" i="2"/>
  <c r="U1428" i="2" s="1"/>
  <c r="S565" i="2"/>
  <c r="T565" i="2" s="1"/>
  <c r="K565" i="2"/>
  <c r="U565" i="2" s="1"/>
  <c r="O527" i="2"/>
  <c r="Q527" i="2" s="1"/>
  <c r="O492" i="2"/>
  <c r="Q492" i="2" s="1"/>
  <c r="O482" i="2"/>
  <c r="Q482" i="2" s="1"/>
  <c r="O431" i="2"/>
  <c r="Q431" i="2" s="1"/>
  <c r="O460" i="2"/>
  <c r="Q460" i="2" s="1"/>
  <c r="O417" i="2"/>
  <c r="Q417" i="2" s="1"/>
  <c r="O397" i="2"/>
  <c r="Q397" i="2" s="1"/>
  <c r="O501" i="2"/>
  <c r="Q501" i="2" s="1"/>
  <c r="O470" i="2"/>
  <c r="Q470" i="2" s="1"/>
  <c r="O458" i="2"/>
  <c r="Q458" i="2" s="1"/>
  <c r="O450" i="2"/>
  <c r="Q450" i="2" s="1"/>
  <c r="O432" i="2"/>
  <c r="Q432" i="2" s="1"/>
  <c r="O15" i="2"/>
  <c r="Q15" i="2" s="1"/>
  <c r="O36" i="2"/>
  <c r="Q36" i="2" s="1"/>
  <c r="O29" i="2"/>
  <c r="Q29" i="2" s="1"/>
  <c r="O64" i="2"/>
  <c r="Q64" i="2" s="1"/>
  <c r="O35" i="2"/>
  <c r="Q35" i="2" s="1"/>
  <c r="O11" i="2"/>
  <c r="Q11" i="2" s="1"/>
  <c r="O3" i="2"/>
  <c r="Q3" i="2" s="1"/>
  <c r="O42" i="2"/>
  <c r="Q42" i="2" s="1"/>
  <c r="O49" i="2"/>
  <c r="Q49" i="2" s="1"/>
  <c r="O16" i="2"/>
  <c r="Q16" i="2" s="1"/>
  <c r="O86" i="2"/>
  <c r="Q86" i="2" s="1"/>
  <c r="O58" i="2"/>
  <c r="Q58" i="2" s="1"/>
  <c r="S229" i="2"/>
  <c r="T229" i="2" s="1"/>
  <c r="K229" i="2"/>
  <c r="U229" i="2" s="1"/>
  <c r="S2123" i="2"/>
  <c r="T2123" i="2" s="1"/>
  <c r="X2123" i="2" s="1"/>
  <c r="K2123" i="2"/>
  <c r="U2123" i="2" s="1"/>
  <c r="S2115" i="2"/>
  <c r="T2115" i="2" s="1"/>
  <c r="X2115" i="2" s="1"/>
  <c r="K2115" i="2"/>
  <c r="U2115" i="2" s="1"/>
  <c r="S367" i="2"/>
  <c r="T367" i="2" s="1"/>
  <c r="K367" i="2"/>
  <c r="U367" i="2" s="1"/>
  <c r="S386" i="2"/>
  <c r="T386" i="2" s="1"/>
  <c r="K386" i="2"/>
  <c r="U386" i="2" s="1"/>
  <c r="K971" i="2"/>
  <c r="U971" i="2" s="1"/>
  <c r="S971" i="2"/>
  <c r="T971" i="2" s="1"/>
  <c r="S226" i="2"/>
  <c r="T226" i="2" s="1"/>
  <c r="K226" i="2"/>
  <c r="U226" i="2" s="1"/>
  <c r="S1435" i="2"/>
  <c r="T1435" i="2" s="1"/>
  <c r="K1435" i="2"/>
  <c r="U1435" i="2" s="1"/>
  <c r="S1311" i="2"/>
  <c r="T1311" i="2" s="1"/>
  <c r="K1311" i="2"/>
  <c r="U1311" i="2" s="1"/>
  <c r="S736" i="2"/>
  <c r="T736" i="2" s="1"/>
  <c r="K736" i="2"/>
  <c r="U736" i="2" s="1"/>
  <c r="X326" i="2"/>
  <c r="S2042" i="2"/>
  <c r="T2042" i="2" s="1"/>
  <c r="X2042" i="2" s="1"/>
  <c r="K2042" i="2"/>
  <c r="U2042" i="2" s="1"/>
  <c r="V1426" i="2"/>
  <c r="W1426" i="2"/>
  <c r="S2138" i="2"/>
  <c r="T2138" i="2" s="1"/>
  <c r="X2138" i="2" s="1"/>
  <c r="K2138" i="2"/>
  <c r="U2138" i="2" s="1"/>
  <c r="S1414" i="2"/>
  <c r="T1414" i="2" s="1"/>
  <c r="K1414" i="2"/>
  <c r="U1414" i="2" s="1"/>
  <c r="X1332" i="2"/>
  <c r="S598" i="2"/>
  <c r="T598" i="2" s="1"/>
  <c r="K598" i="2"/>
  <c r="U598" i="2" s="1"/>
  <c r="S2152" i="2"/>
  <c r="T2152" i="2" s="1"/>
  <c r="X2152" i="2" s="1"/>
  <c r="K2152" i="2"/>
  <c r="U2152" i="2" s="1"/>
  <c r="S1574" i="2"/>
  <c r="T1574" i="2" s="1"/>
  <c r="K1574" i="2"/>
  <c r="U1574" i="2" s="1"/>
  <c r="S1010" i="2"/>
  <c r="T1010" i="2" s="1"/>
  <c r="K1010" i="2"/>
  <c r="U1010" i="2" s="1"/>
  <c r="S1745" i="2"/>
  <c r="T1745" i="2" s="1"/>
  <c r="X1745" i="2" s="1"/>
  <c r="K1745" i="2"/>
  <c r="U1745" i="2" s="1"/>
  <c r="S752" i="2"/>
  <c r="T752" i="2" s="1"/>
  <c r="K752" i="2"/>
  <c r="U752" i="2" s="1"/>
  <c r="S1371" i="2"/>
  <c r="T1371" i="2" s="1"/>
  <c r="K1371" i="2"/>
  <c r="U1371" i="2" s="1"/>
  <c r="V1611" i="2"/>
  <c r="W1611" i="2"/>
  <c r="X1611" i="2" s="1"/>
  <c r="X1121" i="2"/>
  <c r="V865" i="2"/>
  <c r="W865" i="2"/>
  <c r="X865" i="2" s="1"/>
  <c r="V2033" i="2"/>
  <c r="W2033" i="2"/>
  <c r="X480" i="2"/>
  <c r="S444" i="2"/>
  <c r="T444" i="2" s="1"/>
  <c r="K444" i="2"/>
  <c r="U444" i="2" s="1"/>
  <c r="V384" i="2"/>
  <c r="W384" i="2"/>
  <c r="S718" i="2"/>
  <c r="T718" i="2" s="1"/>
  <c r="K718" i="2"/>
  <c r="U718" i="2" s="1"/>
  <c r="S1422" i="2"/>
  <c r="T1422" i="2" s="1"/>
  <c r="K1422" i="2"/>
  <c r="U1422" i="2" s="1"/>
  <c r="V1235" i="2"/>
  <c r="W1235" i="2"/>
  <c r="X1235" i="2" s="1"/>
  <c r="V839" i="2"/>
  <c r="W839" i="2"/>
  <c r="X839" i="2" s="1"/>
  <c r="V1395" i="2"/>
  <c r="W1395" i="2"/>
  <c r="S609" i="2"/>
  <c r="T609" i="2" s="1"/>
  <c r="K609" i="2"/>
  <c r="U609" i="2" s="1"/>
  <c r="S1763" i="2"/>
  <c r="T1763" i="2" s="1"/>
  <c r="X1763" i="2" s="1"/>
  <c r="K1763" i="2"/>
  <c r="U1763" i="2" s="1"/>
  <c r="K1811" i="2"/>
  <c r="U1811" i="2" s="1"/>
  <c r="S1811" i="2"/>
  <c r="T1811" i="2" s="1"/>
  <c r="X1811" i="2" s="1"/>
  <c r="S252" i="2"/>
  <c r="T252" i="2" s="1"/>
  <c r="K252" i="2"/>
  <c r="U252" i="2" s="1"/>
  <c r="K802" i="2"/>
  <c r="U802" i="2" s="1"/>
  <c r="S802" i="2"/>
  <c r="T802" i="2" s="1"/>
  <c r="V1317" i="2"/>
  <c r="W1317" i="2"/>
  <c r="S1957" i="2"/>
  <c r="T1957" i="2" s="1"/>
  <c r="X1957" i="2" s="1"/>
  <c r="K1957" i="2"/>
  <c r="U1957" i="2" s="1"/>
  <c r="V593" i="2"/>
  <c r="W593" i="2"/>
  <c r="X593" i="2" s="1"/>
  <c r="V929" i="2"/>
  <c r="W929" i="2"/>
  <c r="X929" i="2" s="1"/>
  <c r="V1530" i="2"/>
  <c r="W1530" i="2"/>
  <c r="V1951" i="2"/>
  <c r="W1951" i="2"/>
  <c r="V504" i="2"/>
  <c r="W504" i="2"/>
  <c r="V1906" i="2"/>
  <c r="W1906" i="2"/>
  <c r="V1410" i="2"/>
  <c r="W1410" i="2"/>
  <c r="X1410" i="2" s="1"/>
  <c r="X614" i="2"/>
  <c r="S1097" i="2"/>
  <c r="T1097" i="2" s="1"/>
  <c r="K1097" i="2"/>
  <c r="U1097" i="2" s="1"/>
  <c r="S1136" i="2"/>
  <c r="T1136" i="2" s="1"/>
  <c r="K1136" i="2"/>
  <c r="U1136" i="2" s="1"/>
  <c r="V1910" i="2"/>
  <c r="W1910" i="2"/>
  <c r="V2093" i="2"/>
  <c r="W2093" i="2"/>
  <c r="X1591" i="2"/>
  <c r="X441" i="2"/>
  <c r="O1707" i="2"/>
  <c r="Q1707" i="2" s="1"/>
  <c r="O1705" i="2"/>
  <c r="Q1705" i="2" s="1"/>
  <c r="O1703" i="2"/>
  <c r="Q1703" i="2" s="1"/>
  <c r="O1701" i="2"/>
  <c r="Q1701" i="2" s="1"/>
  <c r="O1699" i="2"/>
  <c r="Q1699" i="2" s="1"/>
  <c r="O1697" i="2"/>
  <c r="Q1697" i="2" s="1"/>
  <c r="O1695" i="2"/>
  <c r="Q1695" i="2" s="1"/>
  <c r="O1693" i="2"/>
  <c r="Q1693" i="2" s="1"/>
  <c r="O1691" i="2"/>
  <c r="Q1691" i="2" s="1"/>
  <c r="O1689" i="2"/>
  <c r="Q1689" i="2" s="1"/>
  <c r="O1687" i="2"/>
  <c r="Q1687" i="2" s="1"/>
  <c r="O1706" i="2"/>
  <c r="Q1706" i="2" s="1"/>
  <c r="O1704" i="2"/>
  <c r="Q1704" i="2" s="1"/>
  <c r="O1702" i="2"/>
  <c r="Q1702" i="2" s="1"/>
  <c r="O1700" i="2"/>
  <c r="Q1700" i="2" s="1"/>
  <c r="O1698" i="2"/>
  <c r="Q1698" i="2" s="1"/>
  <c r="O1696" i="2"/>
  <c r="Q1696" i="2" s="1"/>
  <c r="O1694" i="2"/>
  <c r="Q1694" i="2" s="1"/>
  <c r="O1692" i="2"/>
  <c r="Q1692" i="2" s="1"/>
  <c r="O1690" i="2"/>
  <c r="Q1690" i="2" s="1"/>
  <c r="O1684" i="2"/>
  <c r="Q1684" i="2" s="1"/>
  <c r="O1685" i="2"/>
  <c r="Q1685" i="2" s="1"/>
  <c r="O1686" i="2"/>
  <c r="Q1686" i="2" s="1"/>
  <c r="O1688" i="2"/>
  <c r="Q1688" i="2" s="1"/>
  <c r="O138" i="2"/>
  <c r="Q138" i="2" s="1"/>
  <c r="O136" i="2"/>
  <c r="Q136" i="2" s="1"/>
  <c r="O134" i="2"/>
  <c r="Q134" i="2" s="1"/>
  <c r="O155" i="2"/>
  <c r="Q155" i="2" s="1"/>
  <c r="O129" i="2"/>
  <c r="Q129" i="2" s="1"/>
  <c r="O109" i="2"/>
  <c r="Q109" i="2" s="1"/>
  <c r="O101" i="2"/>
  <c r="Q101" i="2" s="1"/>
  <c r="O85" i="2"/>
  <c r="Q85" i="2" s="1"/>
  <c r="O116" i="2"/>
  <c r="Q116" i="2" s="1"/>
  <c r="O112" i="2"/>
  <c r="Q112" i="2" s="1"/>
  <c r="O159" i="2"/>
  <c r="Q159" i="2" s="1"/>
  <c r="O130" i="2"/>
  <c r="Q130" i="2" s="1"/>
  <c r="X827" i="2"/>
  <c r="V2106" i="2"/>
  <c r="W2106" i="2"/>
  <c r="Q1779" i="2"/>
  <c r="V2024" i="2"/>
  <c r="W2024" i="2"/>
  <c r="Q414" i="2"/>
  <c r="V299" i="2"/>
  <c r="W299" i="2"/>
  <c r="X299" i="2" s="1"/>
  <c r="X1037" i="2"/>
  <c r="X563" i="2"/>
  <c r="V922" i="2"/>
  <c r="W922" i="2"/>
  <c r="K1819" i="2"/>
  <c r="U1819" i="2" s="1"/>
  <c r="S1819" i="2"/>
  <c r="T1819" i="2" s="1"/>
  <c r="X1819" i="2" s="1"/>
  <c r="K1363" i="2"/>
  <c r="U1363" i="2" s="1"/>
  <c r="S1363" i="2"/>
  <c r="T1363" i="2" s="1"/>
  <c r="S1111" i="2"/>
  <c r="T1111" i="2" s="1"/>
  <c r="K1111" i="2"/>
  <c r="U1111" i="2" s="1"/>
  <c r="V1368" i="2"/>
  <c r="W1368" i="2"/>
  <c r="X1368" i="2" s="1"/>
  <c r="S2064" i="2"/>
  <c r="T2064" i="2" s="1"/>
  <c r="X2064" i="2" s="1"/>
  <c r="K2064" i="2"/>
  <c r="U2064" i="2" s="1"/>
  <c r="S562" i="2"/>
  <c r="T562" i="2" s="1"/>
  <c r="K562" i="2"/>
  <c r="U562" i="2" s="1"/>
  <c r="S2111" i="2"/>
  <c r="T2111" i="2" s="1"/>
  <c r="X2111" i="2" s="1"/>
  <c r="K2111" i="2"/>
  <c r="U2111" i="2" s="1"/>
  <c r="V1743" i="2"/>
  <c r="W1743" i="2"/>
  <c r="S2154" i="2"/>
  <c r="T2154" i="2" s="1"/>
  <c r="X2154" i="2" s="1"/>
  <c r="K2154" i="2"/>
  <c r="U2154" i="2" s="1"/>
  <c r="S1292" i="2"/>
  <c r="T1292" i="2" s="1"/>
  <c r="K1292" i="2"/>
  <c r="U1292" i="2" s="1"/>
  <c r="S1366" i="2"/>
  <c r="T1366" i="2" s="1"/>
  <c r="K1366" i="2"/>
  <c r="U1366" i="2" s="1"/>
  <c r="V1598" i="2"/>
  <c r="W1598" i="2"/>
  <c r="S860" i="2"/>
  <c r="T860" i="2" s="1"/>
  <c r="K860" i="2"/>
  <c r="U860" i="2" s="1"/>
  <c r="X1059" i="2"/>
  <c r="X1385" i="2"/>
  <c r="S242" i="2"/>
  <c r="T242" i="2" s="1"/>
  <c r="K242" i="2"/>
  <c r="U242" i="2" s="1"/>
  <c r="S483" i="2"/>
  <c r="T483" i="2" s="1"/>
  <c r="K483" i="2"/>
  <c r="U483" i="2" s="1"/>
  <c r="X1403" i="2"/>
  <c r="S172" i="2"/>
  <c r="T172" i="2" s="1"/>
  <c r="K172" i="2"/>
  <c r="U172" i="2" s="1"/>
  <c r="V619" i="2"/>
  <c r="W619" i="2"/>
  <c r="X619" i="2" s="1"/>
  <c r="S265" i="2"/>
  <c r="T265" i="2" s="1"/>
  <c r="K265" i="2"/>
  <c r="U265" i="2" s="1"/>
  <c r="W105" i="2"/>
  <c r="X105" i="2" s="1"/>
  <c r="K2161" i="2"/>
  <c r="U2161" i="2" s="1"/>
  <c r="S2161" i="2"/>
  <c r="T2161" i="2" s="1"/>
  <c r="X2161" i="2" s="1"/>
  <c r="S1898" i="2"/>
  <c r="T1898" i="2" s="1"/>
  <c r="X1898" i="2" s="1"/>
  <c r="K1898" i="2"/>
  <c r="U1898" i="2" s="1"/>
  <c r="V643" i="2"/>
  <c r="W643" i="2"/>
  <c r="X643" i="2" s="1"/>
  <c r="V1666" i="2"/>
  <c r="W1666" i="2"/>
  <c r="K1817" i="2"/>
  <c r="U1817" i="2" s="1"/>
  <c r="S1817" i="2"/>
  <c r="T1817" i="2" s="1"/>
  <c r="X1817" i="2" s="1"/>
  <c r="S1587" i="2"/>
  <c r="T1587" i="2" s="1"/>
  <c r="K1587" i="2"/>
  <c r="U1587" i="2" s="1"/>
  <c r="S890" i="2"/>
  <c r="T890" i="2" s="1"/>
  <c r="K890" i="2"/>
  <c r="U890" i="2" s="1"/>
  <c r="V1226" i="2"/>
  <c r="W1226" i="2"/>
  <c r="X1226" i="2" s="1"/>
  <c r="S539" i="2"/>
  <c r="T539" i="2" s="1"/>
  <c r="K539" i="2"/>
  <c r="U539" i="2" s="1"/>
  <c r="X208" i="2"/>
  <c r="X455" i="2"/>
  <c r="X344" i="2"/>
  <c r="O1623" i="2"/>
  <c r="Q1623" i="2" s="1"/>
  <c r="O1622" i="2"/>
  <c r="Q1622" i="2" s="1"/>
  <c r="O1632" i="2"/>
  <c r="Q1632" i="2" s="1"/>
  <c r="O1633" i="2"/>
  <c r="Q1633" i="2" s="1"/>
  <c r="O2075" i="2"/>
  <c r="Q2075" i="2" s="1"/>
  <c r="O2089" i="2"/>
  <c r="Q2089" i="2" s="1"/>
  <c r="O2088" i="2"/>
  <c r="Q2088" i="2" s="1"/>
  <c r="O2077" i="2"/>
  <c r="Q2077" i="2" s="1"/>
  <c r="O2078" i="2"/>
  <c r="Q2078" i="2" s="1"/>
  <c r="O2072" i="2"/>
  <c r="Q2072" i="2" s="1"/>
  <c r="O2087" i="2"/>
  <c r="Q2087" i="2" s="1"/>
  <c r="O2071" i="2"/>
  <c r="Q2071" i="2" s="1"/>
  <c r="O2085" i="2"/>
  <c r="Q2085" i="2" s="1"/>
  <c r="O2081" i="2"/>
  <c r="Q2081" i="2" s="1"/>
  <c r="O2076" i="2"/>
  <c r="Q2076" i="2" s="1"/>
  <c r="O2083" i="2"/>
  <c r="Q2083" i="2" s="1"/>
  <c r="O2084" i="2"/>
  <c r="Q2084" i="2" s="1"/>
  <c r="O2070" i="2"/>
  <c r="Q2070" i="2" s="1"/>
  <c r="O2074" i="2"/>
  <c r="Q2074" i="2" s="1"/>
  <c r="O2082" i="2"/>
  <c r="Q2082" i="2" s="1"/>
  <c r="O2079" i="2"/>
  <c r="Q2079" i="2" s="1"/>
  <c r="O2073" i="2"/>
  <c r="Q2073" i="2" s="1"/>
  <c r="O2086" i="2"/>
  <c r="Q2086" i="2" s="1"/>
  <c r="O2080" i="2"/>
  <c r="Q2080" i="2" s="1"/>
  <c r="X687" i="2"/>
  <c r="K1532" i="2"/>
  <c r="U1532" i="2" s="1"/>
  <c r="S1532" i="2"/>
  <c r="T1532" i="2" s="1"/>
  <c r="S251" i="2"/>
  <c r="T251" i="2" s="1"/>
  <c r="K251" i="2"/>
  <c r="U251" i="2" s="1"/>
  <c r="V115" i="2"/>
  <c r="W115" i="2"/>
  <c r="X115" i="2" s="1"/>
  <c r="S1486" i="2"/>
  <c r="T1486" i="2" s="1"/>
  <c r="K1486" i="2"/>
  <c r="U1486" i="2" s="1"/>
  <c r="S1297" i="2"/>
  <c r="T1297" i="2" s="1"/>
  <c r="K1297" i="2"/>
  <c r="U1297" i="2" s="1"/>
  <c r="S1074" i="2"/>
  <c r="T1074" i="2" s="1"/>
  <c r="K1074" i="2"/>
  <c r="U1074" i="2" s="1"/>
  <c r="X605" i="2"/>
  <c r="S587" i="2"/>
  <c r="T587" i="2" s="1"/>
  <c r="K587" i="2"/>
  <c r="U587" i="2" s="1"/>
  <c r="K1624" i="2"/>
  <c r="U1624" i="2" s="1"/>
  <c r="S1624" i="2"/>
  <c r="T1624" i="2" s="1"/>
  <c r="X1624" i="2" s="1"/>
  <c r="K1347" i="2"/>
  <c r="U1347" i="2" s="1"/>
  <c r="S1347" i="2"/>
  <c r="T1347" i="2" s="1"/>
  <c r="S1419" i="2"/>
  <c r="T1419" i="2" s="1"/>
  <c r="K1419" i="2"/>
  <c r="U1419" i="2" s="1"/>
  <c r="S357" i="2"/>
  <c r="T357" i="2" s="1"/>
  <c r="K357" i="2"/>
  <c r="U357" i="2" s="1"/>
  <c r="S73" i="2"/>
  <c r="T73" i="2" s="1"/>
  <c r="K73" i="2"/>
  <c r="U73" i="2" s="1"/>
  <c r="V1265" i="2"/>
  <c r="W1265" i="2"/>
  <c r="S842" i="2"/>
  <c r="T842" i="2" s="1"/>
  <c r="K842" i="2"/>
  <c r="U842" i="2" s="1"/>
  <c r="K1732" i="2"/>
  <c r="U1732" i="2" s="1"/>
  <c r="S1732" i="2"/>
  <c r="T1732" i="2" s="1"/>
  <c r="X1732" i="2" s="1"/>
  <c r="K1582" i="2"/>
  <c r="U1582" i="2" s="1"/>
  <c r="S1582" i="2"/>
  <c r="T1582" i="2" s="1"/>
  <c r="S748" i="2"/>
  <c r="T748" i="2" s="1"/>
  <c r="K748" i="2"/>
  <c r="U748" i="2" s="1"/>
  <c r="X463" i="2"/>
  <c r="X80" i="2"/>
  <c r="S1537" i="2"/>
  <c r="T1537" i="2" s="1"/>
  <c r="K1537" i="2"/>
  <c r="U1537" i="2" s="1"/>
  <c r="V255" i="2"/>
  <c r="W255" i="2"/>
  <c r="S481" i="2"/>
  <c r="T481" i="2" s="1"/>
  <c r="K481" i="2"/>
  <c r="U481" i="2" s="1"/>
  <c r="X721" i="2"/>
  <c r="X1071" i="2"/>
  <c r="K2051" i="2"/>
  <c r="U2051" i="2" s="1"/>
  <c r="S2051" i="2"/>
  <c r="T2051" i="2" s="1"/>
  <c r="X2051" i="2" s="1"/>
  <c r="V825" i="2"/>
  <c r="W825" i="2"/>
  <c r="X825" i="2" s="1"/>
  <c r="S2110" i="2"/>
  <c r="T2110" i="2" s="1"/>
  <c r="X2110" i="2" s="1"/>
  <c r="K2110" i="2"/>
  <c r="U2110" i="2" s="1"/>
  <c r="S1458" i="2"/>
  <c r="T1458" i="2" s="1"/>
  <c r="K1458" i="2"/>
  <c r="U1458" i="2" s="1"/>
  <c r="K2147" i="2"/>
  <c r="U2147" i="2" s="1"/>
  <c r="S2147" i="2"/>
  <c r="T2147" i="2" s="1"/>
  <c r="X2147" i="2" s="1"/>
  <c r="V1741" i="2"/>
  <c r="W1741" i="2"/>
  <c r="V569" i="2"/>
  <c r="W569" i="2"/>
  <c r="X569" i="2" s="1"/>
  <c r="S602" i="2"/>
  <c r="T602" i="2" s="1"/>
  <c r="K602" i="2"/>
  <c r="U602" i="2" s="1"/>
  <c r="V886" i="2"/>
  <c r="W886" i="2"/>
  <c r="X886" i="2" s="1"/>
  <c r="O1727" i="2"/>
  <c r="Q1727" i="2" s="1"/>
  <c r="O1725" i="2"/>
  <c r="Q1725" i="2" s="1"/>
  <c r="O1723" i="2"/>
  <c r="Q1723" i="2" s="1"/>
  <c r="O1721" i="2"/>
  <c r="Q1721" i="2" s="1"/>
  <c r="O1719" i="2"/>
  <c r="Q1719" i="2" s="1"/>
  <c r="O1717" i="2"/>
  <c r="Q1717" i="2" s="1"/>
  <c r="O1715" i="2"/>
  <c r="Q1715" i="2" s="1"/>
  <c r="O1713" i="2"/>
  <c r="Q1713" i="2" s="1"/>
  <c r="O1711" i="2"/>
  <c r="Q1711" i="2" s="1"/>
  <c r="O1709" i="2"/>
  <c r="Q1709" i="2" s="1"/>
  <c r="O1726" i="2"/>
  <c r="Q1726" i="2" s="1"/>
  <c r="O1724" i="2"/>
  <c r="Q1724" i="2" s="1"/>
  <c r="O1722" i="2"/>
  <c r="Q1722" i="2" s="1"/>
  <c r="O1720" i="2"/>
  <c r="Q1720" i="2" s="1"/>
  <c r="O1718" i="2"/>
  <c r="Q1718" i="2" s="1"/>
  <c r="O1716" i="2"/>
  <c r="Q1716" i="2" s="1"/>
  <c r="O1714" i="2"/>
  <c r="Q1714" i="2" s="1"/>
  <c r="O1712" i="2"/>
  <c r="Q1712" i="2" s="1"/>
  <c r="O1710" i="2"/>
  <c r="Q1710" i="2" s="1"/>
  <c r="O1708" i="2"/>
  <c r="Q1708" i="2" s="1"/>
  <c r="O400" i="2"/>
  <c r="Q400" i="2" s="1"/>
  <c r="O419" i="2"/>
  <c r="Q419" i="2" s="1"/>
  <c r="O12" i="2"/>
  <c r="Q12" i="2" s="1"/>
  <c r="O5" i="2"/>
  <c r="Q5" i="2" s="1"/>
  <c r="V2098" i="2"/>
  <c r="W2098" i="2"/>
  <c r="V2095" i="2"/>
  <c r="W2095" i="2"/>
  <c r="K1315" i="2"/>
  <c r="U1315" i="2" s="1"/>
  <c r="S1315" i="2"/>
  <c r="T1315" i="2" s="1"/>
  <c r="S1447" i="2"/>
  <c r="T1447" i="2" s="1"/>
  <c r="K1447" i="2"/>
  <c r="U1447" i="2" s="1"/>
  <c r="V875" i="2"/>
  <c r="W875" i="2"/>
  <c r="S1178" i="2"/>
  <c r="T1178" i="2" s="1"/>
  <c r="K1178" i="2"/>
  <c r="U1178" i="2" s="1"/>
  <c r="S574" i="2"/>
  <c r="T574" i="2" s="1"/>
  <c r="K574" i="2"/>
  <c r="U574" i="2" s="1"/>
  <c r="K1233" i="2"/>
  <c r="U1233" i="2" s="1"/>
  <c r="S1233" i="2"/>
  <c r="T1233" i="2" s="1"/>
  <c r="S2" i="2"/>
  <c r="T2" i="2" s="1"/>
  <c r="K2" i="2"/>
  <c r="U2" i="2" s="1"/>
  <c r="X236" i="2"/>
  <c r="K1959" i="2"/>
  <c r="U1959" i="2" s="1"/>
  <c r="S1959" i="2"/>
  <c r="T1959" i="2" s="1"/>
  <c r="X1959" i="2" s="1"/>
  <c r="S1953" i="2"/>
  <c r="T1953" i="2" s="1"/>
  <c r="X1953" i="2" s="1"/>
  <c r="K1953" i="2"/>
  <c r="U1953" i="2" s="1"/>
  <c r="K1665" i="2"/>
  <c r="U1665" i="2" s="1"/>
  <c r="S1665" i="2"/>
  <c r="T1665" i="2" s="1"/>
  <c r="X1665" i="2" s="1"/>
  <c r="X1404" i="2"/>
  <c r="S467" i="2"/>
  <c r="T467" i="2" s="1"/>
  <c r="K467" i="2"/>
  <c r="U467" i="2" s="1"/>
  <c r="K936" i="2"/>
  <c r="U936" i="2" s="1"/>
  <c r="S936" i="2"/>
  <c r="T936" i="2" s="1"/>
  <c r="S259" i="2"/>
  <c r="T259" i="2" s="1"/>
  <c r="K259" i="2"/>
  <c r="U259" i="2" s="1"/>
  <c r="O650" i="2"/>
  <c r="Q650" i="2" s="1"/>
  <c r="O608" i="2"/>
  <c r="Q608" i="2" s="1"/>
  <c r="O554" i="2"/>
  <c r="Q554" i="2" s="1"/>
  <c r="O675" i="2"/>
  <c r="Q675" i="2" s="1"/>
  <c r="O641" i="2"/>
  <c r="Q641" i="2" s="1"/>
  <c r="O612" i="2"/>
  <c r="Q612" i="2" s="1"/>
  <c r="O601" i="2"/>
  <c r="Q601" i="2" s="1"/>
  <c r="O630" i="2"/>
  <c r="Q630" i="2" s="1"/>
  <c r="O567" i="2"/>
  <c r="Q567" i="2" s="1"/>
  <c r="O572" i="2"/>
  <c r="Q572" i="2" s="1"/>
  <c r="O182" i="2"/>
  <c r="Q182" i="2" s="1"/>
  <c r="O176" i="2"/>
  <c r="Q176" i="2" s="1"/>
  <c r="O146" i="2"/>
  <c r="Q146" i="2" s="1"/>
  <c r="O144" i="2"/>
  <c r="Q144" i="2" s="1"/>
  <c r="O520" i="2"/>
  <c r="Q520" i="2" s="1"/>
  <c r="O596" i="2"/>
  <c r="Q596" i="2" s="1"/>
  <c r="O113" i="2"/>
  <c r="Q113" i="2" s="1"/>
  <c r="O151" i="2"/>
  <c r="Q151" i="2" s="1"/>
  <c r="O157" i="2"/>
  <c r="Q157" i="2" s="1"/>
  <c r="O201" i="2"/>
  <c r="Q201" i="2" s="1"/>
  <c r="O167" i="2"/>
  <c r="Q167" i="2" s="1"/>
  <c r="O122" i="2"/>
  <c r="Q122" i="2" s="1"/>
  <c r="O118" i="2"/>
  <c r="Q118" i="2" s="1"/>
  <c r="O78" i="2"/>
  <c r="Q78" i="2" s="1"/>
  <c r="S102" i="2"/>
  <c r="T102" i="2" s="1"/>
  <c r="K102" i="2"/>
  <c r="U102" i="2" s="1"/>
  <c r="V1683" i="2"/>
  <c r="W1683" i="2"/>
  <c r="K1728" i="2"/>
  <c r="U1728" i="2" s="1"/>
  <c r="S1728" i="2"/>
  <c r="T1728" i="2" s="1"/>
  <c r="X1728" i="2" s="1"/>
  <c r="S1396" i="2"/>
  <c r="T1396" i="2" s="1"/>
  <c r="K1396" i="2"/>
  <c r="U1396" i="2" s="1"/>
  <c r="K2063" i="2"/>
  <c r="U2063" i="2" s="1"/>
  <c r="S2063" i="2"/>
  <c r="T2063" i="2" s="1"/>
  <c r="X2063" i="2" s="1"/>
  <c r="S2058" i="2"/>
  <c r="T2058" i="2" s="1"/>
  <c r="X2058" i="2" s="1"/>
  <c r="K2058" i="2"/>
  <c r="U2058" i="2" s="1"/>
  <c r="S1247" i="2"/>
  <c r="T1247" i="2" s="1"/>
  <c r="K1247" i="2"/>
  <c r="U1247" i="2" s="1"/>
  <c r="V1603" i="2"/>
  <c r="W1603" i="2"/>
  <c r="S1364" i="2"/>
  <c r="T1364" i="2" s="1"/>
  <c r="K1364" i="2"/>
  <c r="U1364" i="2" s="1"/>
  <c r="S379" i="2"/>
  <c r="T379" i="2" s="1"/>
  <c r="K379" i="2"/>
  <c r="U379" i="2" s="1"/>
  <c r="K196" i="2"/>
  <c r="U196" i="2" s="1"/>
  <c r="S196" i="2"/>
  <c r="T196" i="2" s="1"/>
  <c r="S1766" i="2"/>
  <c r="T1766" i="2" s="1"/>
  <c r="X1766" i="2" s="1"/>
  <c r="K1766" i="2"/>
  <c r="U1766" i="2" s="1"/>
  <c r="S285" i="2"/>
  <c r="T285" i="2" s="1"/>
  <c r="K285" i="2"/>
  <c r="U285" i="2" s="1"/>
  <c r="V1730" i="2"/>
  <c r="W1730" i="2"/>
  <c r="S620" i="2"/>
  <c r="T620" i="2" s="1"/>
  <c r="K620" i="2"/>
  <c r="U620" i="2" s="1"/>
  <c r="O1560" i="2"/>
  <c r="Q1560" i="2" s="1"/>
  <c r="O1550" i="2"/>
  <c r="Q1550" i="2" s="1"/>
  <c r="O1546" i="2"/>
  <c r="Q1546" i="2" s="1"/>
  <c r="O1544" i="2"/>
  <c r="Q1544" i="2" s="1"/>
  <c r="O1542" i="2"/>
  <c r="Q1542" i="2" s="1"/>
  <c r="O1524" i="2"/>
  <c r="Q1524" i="2" s="1"/>
  <c r="O1534" i="2"/>
  <c r="Q1534" i="2" s="1"/>
  <c r="O1529" i="2"/>
  <c r="Q1529" i="2" s="1"/>
  <c r="O1559" i="2"/>
  <c r="Q1559" i="2" s="1"/>
  <c r="O1565" i="2"/>
  <c r="Q1565" i="2" s="1"/>
  <c r="O1506" i="2"/>
  <c r="Q1506" i="2" s="1"/>
  <c r="O1553" i="2"/>
  <c r="Q1553" i="2" s="1"/>
  <c r="O1206" i="2"/>
  <c r="Q1206" i="2" s="1"/>
  <c r="O1144" i="2"/>
  <c r="Q1144" i="2" s="1"/>
  <c r="O1177" i="2"/>
  <c r="Q1177" i="2" s="1"/>
  <c r="O1161" i="2"/>
  <c r="Q1161" i="2" s="1"/>
  <c r="O1134" i="2"/>
  <c r="Q1134" i="2" s="1"/>
  <c r="O1088" i="2"/>
  <c r="Q1088" i="2" s="1"/>
  <c r="O1130" i="2"/>
  <c r="Q1130" i="2" s="1"/>
  <c r="O1035" i="2"/>
  <c r="Q1035" i="2" s="1"/>
  <c r="O1073" i="2"/>
  <c r="Q1073" i="2" s="1"/>
  <c r="O1096" i="2"/>
  <c r="Q1096" i="2" s="1"/>
  <c r="O1126" i="2"/>
  <c r="Q1126" i="2" s="1"/>
  <c r="O1181" i="2"/>
  <c r="Q1181" i="2" s="1"/>
  <c r="S2117" i="2"/>
  <c r="T2117" i="2" s="1"/>
  <c r="X2117" i="2" s="1"/>
  <c r="K2117" i="2"/>
  <c r="U2117" i="2" s="1"/>
  <c r="S2113" i="2"/>
  <c r="T2113" i="2" s="1"/>
  <c r="X2113" i="2" s="1"/>
  <c r="K2113" i="2"/>
  <c r="U2113" i="2" s="1"/>
  <c r="S1318" i="2"/>
  <c r="T1318" i="2" s="1"/>
  <c r="K1318" i="2"/>
  <c r="U1318" i="2" s="1"/>
  <c r="S364" i="2"/>
  <c r="T364" i="2" s="1"/>
  <c r="K364" i="2"/>
  <c r="U364" i="2" s="1"/>
  <c r="S900" i="2"/>
  <c r="T900" i="2" s="1"/>
  <c r="K900" i="2"/>
  <c r="U900" i="2" s="1"/>
  <c r="S207" i="2"/>
  <c r="T207" i="2" s="1"/>
  <c r="K207" i="2"/>
  <c r="U207" i="2" s="1"/>
  <c r="S20" i="2"/>
  <c r="T20" i="2" s="1"/>
  <c r="K20" i="2"/>
  <c r="U20" i="2" s="1"/>
  <c r="V1285" i="2"/>
  <c r="W1285" i="2"/>
  <c r="S733" i="2"/>
  <c r="T733" i="2" s="1"/>
  <c r="K733" i="2"/>
  <c r="U733" i="2" s="1"/>
  <c r="S165" i="2"/>
  <c r="T165" i="2" s="1"/>
  <c r="K165" i="2"/>
  <c r="U165" i="2" s="1"/>
  <c r="S1516" i="2"/>
  <c r="T1516" i="2" s="1"/>
  <c r="K1516" i="2"/>
  <c r="U1516" i="2" s="1"/>
  <c r="S79" i="2"/>
  <c r="T79" i="2" s="1"/>
  <c r="K79" i="2"/>
  <c r="U79" i="2" s="1"/>
  <c r="X1426" i="2"/>
  <c r="S2149" i="2"/>
  <c r="T2149" i="2" s="1"/>
  <c r="X2149" i="2" s="1"/>
  <c r="K2149" i="2"/>
  <c r="U2149" i="2" s="1"/>
  <c r="S1434" i="2"/>
  <c r="T1434" i="2" s="1"/>
  <c r="K1434" i="2"/>
  <c r="U1434" i="2" s="1"/>
  <c r="V18" i="2"/>
  <c r="W18" i="2"/>
  <c r="V1382" i="2"/>
  <c r="W1382" i="2"/>
  <c r="X1382" i="2" s="1"/>
  <c r="S2151" i="2"/>
  <c r="T2151" i="2" s="1"/>
  <c r="X2151" i="2" s="1"/>
  <c r="K2151" i="2"/>
  <c r="U2151" i="2" s="1"/>
  <c r="S1190" i="2"/>
  <c r="T1190" i="2" s="1"/>
  <c r="K1190" i="2"/>
  <c r="U1190" i="2" s="1"/>
  <c r="S355" i="2"/>
  <c r="T355" i="2" s="1"/>
  <c r="K355" i="2"/>
  <c r="U355" i="2" s="1"/>
  <c r="S65" i="2"/>
  <c r="T65" i="2" s="1"/>
  <c r="K65" i="2"/>
  <c r="U65" i="2" s="1"/>
  <c r="K826" i="2"/>
  <c r="U826" i="2" s="1"/>
  <c r="S826" i="2"/>
  <c r="T826" i="2" s="1"/>
  <c r="K963" i="2"/>
  <c r="U963" i="2" s="1"/>
  <c r="S963" i="2"/>
  <c r="T963" i="2" s="1"/>
  <c r="S267" i="2"/>
  <c r="T267" i="2" s="1"/>
  <c r="K267" i="2"/>
  <c r="U267" i="2" s="1"/>
  <c r="S214" i="2"/>
  <c r="T214" i="2" s="1"/>
  <c r="K214" i="2"/>
  <c r="U214" i="2" s="1"/>
  <c r="S1376" i="2"/>
  <c r="T1376" i="2" s="1"/>
  <c r="K1376" i="2"/>
  <c r="U1376" i="2" s="1"/>
  <c r="V589" i="2"/>
  <c r="W589" i="2"/>
  <c r="X589" i="2" s="1"/>
  <c r="V1121" i="2"/>
  <c r="W1121" i="2"/>
  <c r="V557" i="2"/>
  <c r="W557" i="2"/>
  <c r="X557" i="2" s="1"/>
  <c r="S1509" i="2"/>
  <c r="T1509" i="2" s="1"/>
  <c r="K1509" i="2"/>
  <c r="U1509" i="2" s="1"/>
  <c r="V1909" i="2"/>
  <c r="W1909" i="2"/>
  <c r="S449" i="2"/>
  <c r="T449" i="2" s="1"/>
  <c r="K449" i="2"/>
  <c r="U449" i="2" s="1"/>
  <c r="S1154" i="2"/>
  <c r="T1154" i="2" s="1"/>
  <c r="K1154" i="2"/>
  <c r="U1154" i="2" s="1"/>
  <c r="S34" i="2"/>
  <c r="T34" i="2" s="1"/>
  <c r="K34" i="2"/>
  <c r="U34" i="2" s="1"/>
  <c r="V570" i="2"/>
  <c r="W570" i="2"/>
  <c r="X570" i="2" s="1"/>
  <c r="S1507" i="2"/>
  <c r="T1507" i="2" s="1"/>
  <c r="K1507" i="2"/>
  <c r="U1507" i="2" s="1"/>
  <c r="S642" i="2"/>
  <c r="T642" i="2" s="1"/>
  <c r="K642" i="2"/>
  <c r="U642" i="2" s="1"/>
  <c r="S1759" i="2"/>
  <c r="T1759" i="2" s="1"/>
  <c r="X1759" i="2" s="1"/>
  <c r="K1759" i="2"/>
  <c r="U1759" i="2" s="1"/>
  <c r="S799" i="2"/>
  <c r="T799" i="2" s="1"/>
  <c r="K799" i="2"/>
  <c r="U799" i="2" s="1"/>
  <c r="S350" i="2"/>
  <c r="T350" i="2" s="1"/>
  <c r="K350" i="2"/>
  <c r="U350" i="2" s="1"/>
  <c r="S870" i="2"/>
  <c r="T870" i="2" s="1"/>
  <c r="K870" i="2"/>
  <c r="U870" i="2" s="1"/>
  <c r="S715" i="2"/>
  <c r="T715" i="2" s="1"/>
  <c r="K715" i="2"/>
  <c r="U715" i="2" s="1"/>
  <c r="V424" i="2"/>
  <c r="W424" i="2"/>
  <c r="V1258" i="2"/>
  <c r="W1258" i="2"/>
  <c r="V60" i="2"/>
  <c r="W60" i="2"/>
  <c r="X60" i="2" s="1"/>
  <c r="V1733" i="2"/>
  <c r="W1733" i="2"/>
  <c r="X1530" i="2"/>
  <c r="V786" i="2"/>
  <c r="W786" i="2"/>
  <c r="X786" i="2" s="1"/>
  <c r="S1098" i="2"/>
  <c r="T1098" i="2" s="1"/>
  <c r="K1098" i="2"/>
  <c r="U1098" i="2" s="1"/>
  <c r="S1487" i="2"/>
  <c r="T1487" i="2" s="1"/>
  <c r="K1487" i="2"/>
  <c r="U1487" i="2" s="1"/>
  <c r="S1145" i="2"/>
  <c r="T1145" i="2" s="1"/>
  <c r="K1145" i="2"/>
  <c r="U1145" i="2" s="1"/>
  <c r="X56" i="2"/>
  <c r="V1362" i="2"/>
  <c r="W1362" i="2"/>
  <c r="O1931" i="2"/>
  <c r="Q1931" i="2" s="1"/>
  <c r="O1927" i="2"/>
  <c r="Q1927" i="2" s="1"/>
  <c r="O1628" i="2"/>
  <c r="Q1628" i="2" s="1"/>
  <c r="O1619" i="2"/>
  <c r="Q1619" i="2" s="1"/>
  <c r="O1925" i="2"/>
  <c r="Q1925" i="2" s="1"/>
  <c r="O1618" i="2"/>
  <c r="Q1618" i="2" s="1"/>
  <c r="O1629" i="2"/>
  <c r="Q1629" i="2" s="1"/>
  <c r="O536" i="2"/>
  <c r="Q536" i="2" s="1"/>
  <c r="O575" i="2"/>
  <c r="Q575" i="2" s="1"/>
  <c r="O93" i="2"/>
  <c r="Q93" i="2" s="1"/>
  <c r="O124" i="2"/>
  <c r="Q124" i="2" s="1"/>
  <c r="O1924" i="2"/>
  <c r="Q1924" i="2" s="1"/>
  <c r="O1932" i="2"/>
  <c r="Q1932" i="2" s="1"/>
  <c r="O1929" i="2"/>
  <c r="Q1929" i="2" s="1"/>
  <c r="O1930" i="2"/>
  <c r="Q1930" i="2" s="1"/>
  <c r="O1928" i="2"/>
  <c r="Q1928" i="2" s="1"/>
  <c r="O1919" i="2"/>
  <c r="Q1919" i="2" s="1"/>
  <c r="O1926" i="2"/>
  <c r="Q1926" i="2" s="1"/>
  <c r="O1921" i="2"/>
  <c r="Q1921" i="2" s="1"/>
  <c r="O1922" i="2"/>
  <c r="Q1922" i="2" s="1"/>
  <c r="O1920" i="2"/>
  <c r="Q1920" i="2" s="1"/>
  <c r="O1918" i="2"/>
  <c r="Q1918" i="2" s="1"/>
  <c r="O1933" i="2"/>
  <c r="Q1933" i="2" s="1"/>
  <c r="O1923" i="2"/>
  <c r="Q1923" i="2" s="1"/>
  <c r="O1789" i="2"/>
  <c r="Q1789" i="2" s="1"/>
  <c r="O1788" i="2"/>
  <c r="Q1788" i="2" s="1"/>
  <c r="O1787" i="2"/>
  <c r="Q1787" i="2" s="1"/>
  <c r="O1786" i="2"/>
  <c r="Q1786" i="2" s="1"/>
  <c r="O23" i="2"/>
  <c r="Q23" i="2" s="1"/>
  <c r="O7" i="2"/>
  <c r="Q7" i="2" s="1"/>
  <c r="O19" i="2"/>
  <c r="Q19" i="2" s="1"/>
  <c r="O33" i="2"/>
  <c r="Q33" i="2" s="1"/>
  <c r="O25" i="2"/>
  <c r="Q25" i="2" s="1"/>
  <c r="O17" i="2"/>
  <c r="Q17" i="2" s="1"/>
  <c r="O8" i="2"/>
  <c r="Q8" i="2" s="1"/>
  <c r="O37" i="2"/>
  <c r="Q37" i="2" s="1"/>
  <c r="V292" i="2"/>
  <c r="W292" i="2"/>
  <c r="V986" i="2"/>
  <c r="W986" i="2"/>
  <c r="X986" i="2" s="1"/>
  <c r="Q334" i="2"/>
  <c r="V1673" i="2"/>
  <c r="W1673" i="2"/>
  <c r="V1670" i="2"/>
  <c r="W1670" i="2"/>
  <c r="Q404" i="2"/>
  <c r="V882" i="2"/>
  <c r="W882" i="2"/>
  <c r="X882" i="2" s="1"/>
  <c r="V1037" i="2"/>
  <c r="W1037" i="2"/>
  <c r="V762" i="2"/>
  <c r="W762" i="2"/>
  <c r="V1855" i="2"/>
  <c r="W1855" i="2"/>
  <c r="X920" i="2"/>
  <c r="X922" i="2"/>
  <c r="V1170" i="2"/>
  <c r="W1170" i="2"/>
  <c r="X1170" i="2" s="1"/>
  <c r="X515" i="2"/>
  <c r="V1153" i="2"/>
  <c r="W1153" i="2"/>
  <c r="S583" i="2"/>
  <c r="T583" i="2" s="1"/>
  <c r="K583" i="2"/>
  <c r="U583" i="2" s="1"/>
  <c r="V239" i="2"/>
  <c r="W239" i="2"/>
  <c r="X239" i="2" s="1"/>
  <c r="S1592" i="2"/>
  <c r="T1592" i="2" s="1"/>
  <c r="K1592" i="2"/>
  <c r="U1592" i="2" s="1"/>
  <c r="S1400" i="2"/>
  <c r="T1400" i="2" s="1"/>
  <c r="K1400" i="2"/>
  <c r="U1400" i="2" s="1"/>
  <c r="O1021" i="2"/>
  <c r="Q1021" i="2" s="1"/>
  <c r="O964" i="2"/>
  <c r="Q964" i="2" s="1"/>
  <c r="O934" i="2"/>
  <c r="Q934" i="2" s="1"/>
  <c r="O873" i="2"/>
  <c r="Q873" i="2" s="1"/>
  <c r="O939" i="2"/>
  <c r="Q939" i="2" s="1"/>
  <c r="O864" i="2"/>
  <c r="Q864" i="2" s="1"/>
  <c r="O910" i="2"/>
  <c r="Q910" i="2" s="1"/>
  <c r="O992" i="2"/>
  <c r="Q992" i="2" s="1"/>
  <c r="O821" i="2"/>
  <c r="Q821" i="2" s="1"/>
  <c r="O874" i="2"/>
  <c r="Q874" i="2" s="1"/>
  <c r="O930" i="2"/>
  <c r="Q930" i="2" s="1"/>
  <c r="O978" i="2"/>
  <c r="Q978" i="2" s="1"/>
  <c r="O377" i="2"/>
  <c r="Q377" i="2" s="1"/>
  <c r="O363" i="2"/>
  <c r="Q363" i="2" s="1"/>
  <c r="O351" i="2"/>
  <c r="Q351" i="2" s="1"/>
  <c r="O347" i="2"/>
  <c r="Q347" i="2" s="1"/>
  <c r="O339" i="2"/>
  <c r="Q339" i="2" s="1"/>
  <c r="O392" i="2"/>
  <c r="Q392" i="2" s="1"/>
  <c r="O368" i="2"/>
  <c r="Q368" i="2" s="1"/>
  <c r="O319" i="2"/>
  <c r="Q319" i="2" s="1"/>
  <c r="O318" i="2"/>
  <c r="Q318" i="2" s="1"/>
  <c r="O346" i="2"/>
  <c r="Q346" i="2" s="1"/>
  <c r="O289" i="2"/>
  <c r="Q289" i="2" s="1"/>
  <c r="O314" i="2"/>
  <c r="Q314" i="2" s="1"/>
  <c r="S281" i="2"/>
  <c r="T281" i="2" s="1"/>
  <c r="K281" i="2"/>
  <c r="U281" i="2" s="1"/>
  <c r="S1067" i="2"/>
  <c r="T1067" i="2" s="1"/>
  <c r="K1067" i="2"/>
  <c r="U1067" i="2" s="1"/>
  <c r="S616" i="2"/>
  <c r="T616" i="2" s="1"/>
  <c r="K616" i="2"/>
  <c r="U616" i="2" s="1"/>
  <c r="S1348" i="2"/>
  <c r="T1348" i="2" s="1"/>
  <c r="K1348" i="2"/>
  <c r="U1348" i="2" s="1"/>
  <c r="S1044" i="2"/>
  <c r="T1044" i="2" s="1"/>
  <c r="K1044" i="2"/>
  <c r="U1044" i="2" s="1"/>
  <c r="S836" i="2"/>
  <c r="T836" i="2" s="1"/>
  <c r="K836" i="2"/>
  <c r="U836" i="2" s="1"/>
  <c r="X76" i="2"/>
  <c r="V399" i="2"/>
  <c r="W399" i="2"/>
  <c r="S422" i="2"/>
  <c r="T422" i="2" s="1"/>
  <c r="K422" i="2"/>
  <c r="U422" i="2" s="1"/>
  <c r="K451" i="2"/>
  <c r="U451" i="2" s="1"/>
  <c r="S451" i="2"/>
  <c r="T451" i="2" s="1"/>
  <c r="S1737" i="2"/>
  <c r="T1737" i="2" s="1"/>
  <c r="X1737" i="2" s="1"/>
  <c r="K1737" i="2"/>
  <c r="U1737" i="2" s="1"/>
  <c r="X1272" i="2"/>
  <c r="K503" i="2"/>
  <c r="U503" i="2" s="1"/>
  <c r="S503" i="2"/>
  <c r="T503" i="2" s="1"/>
  <c r="S1500" i="2"/>
  <c r="T1500" i="2" s="1"/>
  <c r="K1500" i="2"/>
  <c r="U1500" i="2" s="1"/>
  <c r="X792" i="2"/>
  <c r="V1092" i="2"/>
  <c r="W1092" i="2"/>
  <c r="X1092" i="2" s="1"/>
  <c r="S1282" i="2"/>
  <c r="T1282" i="2" s="1"/>
  <c r="K1282" i="2"/>
  <c r="U1282" i="2" s="1"/>
  <c r="S133" i="2"/>
  <c r="T133" i="2" s="1"/>
  <c r="K133" i="2"/>
  <c r="U133" i="2" s="1"/>
  <c r="X785" i="2"/>
  <c r="S1284" i="2"/>
  <c r="T1284" i="2" s="1"/>
  <c r="K1284" i="2"/>
  <c r="U1284" i="2" s="1"/>
  <c r="V509" i="2"/>
  <c r="W509" i="2"/>
  <c r="V1259" i="2"/>
  <c r="W1259" i="2"/>
  <c r="S26" i="2"/>
  <c r="T26" i="2" s="1"/>
  <c r="K26" i="2"/>
  <c r="U26" i="2" s="1"/>
  <c r="S294" i="2"/>
  <c r="T294" i="2" s="1"/>
  <c r="K294" i="2"/>
  <c r="U294" i="2" s="1"/>
  <c r="K1058" i="2"/>
  <c r="U1058" i="2" s="1"/>
  <c r="S1058" i="2"/>
  <c r="T1058" i="2" s="1"/>
  <c r="X43" i="2"/>
  <c r="S358" i="2"/>
  <c r="T358" i="2" s="1"/>
  <c r="K358" i="2"/>
  <c r="U358" i="2" s="1"/>
  <c r="S2143" i="2"/>
  <c r="T2143" i="2" s="1"/>
  <c r="X2143" i="2" s="1"/>
  <c r="K2143" i="2"/>
  <c r="U2143" i="2" s="1"/>
  <c r="X1393" i="2"/>
  <c r="S1162" i="2"/>
  <c r="T1162" i="2" s="1"/>
  <c r="K1162" i="2"/>
  <c r="U1162" i="2" s="1"/>
  <c r="K1987" i="2"/>
  <c r="U1987" i="2" s="1"/>
  <c r="S1987" i="2"/>
  <c r="T1987" i="2" s="1"/>
  <c r="X1987" i="2" s="1"/>
  <c r="V1907" i="2"/>
  <c r="W1907" i="2"/>
  <c r="K464" i="2"/>
  <c r="U464" i="2" s="1"/>
  <c r="S464" i="2"/>
  <c r="T464" i="2" s="1"/>
  <c r="S1432" i="2"/>
  <c r="T1432" i="2" s="1"/>
  <c r="K1432" i="2"/>
  <c r="U1432" i="2" s="1"/>
  <c r="X1463" i="2"/>
  <c r="V1387" i="2"/>
  <c r="W1387" i="2"/>
  <c r="V2023" i="2"/>
  <c r="W2023" i="2"/>
  <c r="S1517" i="2"/>
  <c r="T1517" i="2" s="1"/>
  <c r="K1517" i="2"/>
  <c r="U1517" i="2" s="1"/>
  <c r="X1047" i="2"/>
  <c r="V1527" i="2"/>
  <c r="W1527" i="2"/>
  <c r="X1527" i="2" s="1"/>
  <c r="V1856" i="2"/>
  <c r="W1856" i="2"/>
  <c r="Q426" i="2"/>
  <c r="V1812" i="2"/>
  <c r="W1812" i="2"/>
  <c r="S120" i="2"/>
  <c r="T120" i="2" s="1"/>
  <c r="K120" i="2"/>
  <c r="U120" i="2" s="1"/>
  <c r="V76" i="2"/>
  <c r="W76" i="2"/>
  <c r="V1215" i="2"/>
  <c r="W1215" i="2"/>
  <c r="X1215" i="2" s="1"/>
  <c r="S805" i="2"/>
  <c r="T805" i="2" s="1"/>
  <c r="K805" i="2"/>
  <c r="U805" i="2" s="1"/>
  <c r="O749" i="2"/>
  <c r="Q749" i="2" s="1"/>
  <c r="O708" i="2"/>
  <c r="Q708" i="2" s="1"/>
  <c r="O706" i="2"/>
  <c r="Q706" i="2" s="1"/>
  <c r="O684" i="2"/>
  <c r="Q684" i="2" s="1"/>
  <c r="O682" i="2"/>
  <c r="Q682" i="2" s="1"/>
  <c r="O665" i="2"/>
  <c r="Q665" i="2" s="1"/>
  <c r="O711" i="2"/>
  <c r="Q711" i="2" s="1"/>
  <c r="O743" i="2"/>
  <c r="Q743" i="2" s="1"/>
  <c r="O777" i="2"/>
  <c r="Q777" i="2" s="1"/>
  <c r="O719" i="2"/>
  <c r="Q719" i="2" s="1"/>
  <c r="O734" i="2"/>
  <c r="Q734" i="2" s="1"/>
  <c r="O637" i="2"/>
  <c r="Q637" i="2" s="1"/>
  <c r="K174" i="2"/>
  <c r="U174" i="2" s="1"/>
  <c r="S174" i="2"/>
  <c r="T174" i="2" s="1"/>
  <c r="S142" i="2"/>
  <c r="T142" i="2" s="1"/>
  <c r="K142" i="2"/>
  <c r="U142" i="2" s="1"/>
  <c r="S2114" i="2"/>
  <c r="T2114" i="2" s="1"/>
  <c r="X2114" i="2" s="1"/>
  <c r="K2114" i="2"/>
  <c r="U2114" i="2" s="1"/>
  <c r="S769" i="2"/>
  <c r="T769" i="2" s="1"/>
  <c r="K769" i="2"/>
  <c r="U769" i="2" s="1"/>
  <c r="S1569" i="2"/>
  <c r="T1569" i="2" s="1"/>
  <c r="K1569" i="2"/>
  <c r="U1569" i="2" s="1"/>
  <c r="S1296" i="2"/>
  <c r="T1296" i="2" s="1"/>
  <c r="K1296" i="2"/>
  <c r="U1296" i="2" s="1"/>
  <c r="X1503" i="2"/>
  <c r="S447" i="2"/>
  <c r="T447" i="2" s="1"/>
  <c r="K447" i="2"/>
  <c r="U447" i="2" s="1"/>
  <c r="S360" i="2"/>
  <c r="T360" i="2" s="1"/>
  <c r="K360" i="2"/>
  <c r="U360" i="2" s="1"/>
  <c r="S1264" i="2"/>
  <c r="T1264" i="2" s="1"/>
  <c r="K1264" i="2"/>
  <c r="U1264" i="2" s="1"/>
  <c r="X1596" i="2"/>
  <c r="K52" i="2"/>
  <c r="U52" i="2" s="1"/>
  <c r="S52" i="2"/>
  <c r="T52" i="2" s="1"/>
  <c r="V1046" i="2"/>
  <c r="W1046" i="2"/>
  <c r="V1409" i="2"/>
  <c r="W1409" i="2"/>
  <c r="X1409" i="2" s="1"/>
  <c r="S1103" i="2"/>
  <c r="T1103" i="2" s="1"/>
  <c r="K1103" i="2"/>
  <c r="U1103" i="2" s="1"/>
  <c r="V1047" i="2"/>
  <c r="W1047" i="2"/>
  <c r="V1905" i="2"/>
  <c r="W1905" i="2"/>
  <c r="X1502" i="2"/>
  <c r="V546" i="2"/>
  <c r="W546" i="2"/>
  <c r="K981" i="2"/>
  <c r="U981" i="2" s="1"/>
  <c r="S981" i="2"/>
  <c r="T981" i="2" s="1"/>
  <c r="S94" i="2"/>
  <c r="T94" i="2" s="1"/>
  <c r="K94" i="2"/>
  <c r="U94" i="2" s="1"/>
  <c r="S996" i="2"/>
  <c r="T996" i="2" s="1"/>
  <c r="K996" i="2"/>
  <c r="U996" i="2" s="1"/>
  <c r="V813" i="2"/>
  <c r="W813" i="2"/>
  <c r="X813" i="2" s="1"/>
  <c r="S735" i="2"/>
  <c r="T735" i="2" s="1"/>
  <c r="K735" i="2"/>
  <c r="U735" i="2" s="1"/>
  <c r="V1734" i="2"/>
  <c r="W1734" i="2"/>
  <c r="S2050" i="2"/>
  <c r="T2050" i="2" s="1"/>
  <c r="X2050" i="2" s="1"/>
  <c r="K2050" i="2"/>
  <c r="U2050" i="2" s="1"/>
  <c r="S1132" i="2"/>
  <c r="T1132" i="2" s="1"/>
  <c r="K1132" i="2"/>
  <c r="U1132" i="2" s="1"/>
  <c r="S372" i="2"/>
  <c r="T372" i="2" s="1"/>
  <c r="K372" i="2"/>
  <c r="U372" i="2" s="1"/>
  <c r="S127" i="2"/>
  <c r="T127" i="2" s="1"/>
  <c r="K127" i="2"/>
  <c r="U127" i="2" s="1"/>
  <c r="O1008" i="2"/>
  <c r="Q1008" i="2" s="1"/>
  <c r="O976" i="2"/>
  <c r="Q976" i="2" s="1"/>
  <c r="O958" i="2"/>
  <c r="Q958" i="2" s="1"/>
  <c r="O863" i="2"/>
  <c r="Q863" i="2" s="1"/>
  <c r="O861" i="2"/>
  <c r="Q861" i="2" s="1"/>
  <c r="O847" i="2"/>
  <c r="Q847" i="2" s="1"/>
  <c r="O924" i="2"/>
  <c r="Q924" i="2" s="1"/>
  <c r="O893" i="2"/>
  <c r="Q893" i="2" s="1"/>
  <c r="O904" i="2"/>
  <c r="Q904" i="2" s="1"/>
  <c r="O905" i="2"/>
  <c r="Q905" i="2" s="1"/>
  <c r="O809" i="2"/>
  <c r="Q809" i="2" s="1"/>
  <c r="O945" i="2"/>
  <c r="Q945" i="2" s="1"/>
  <c r="O383" i="2"/>
  <c r="Q383" i="2" s="1"/>
  <c r="O359" i="2"/>
  <c r="Q359" i="2" s="1"/>
  <c r="O345" i="2"/>
  <c r="Q345" i="2" s="1"/>
  <c r="O335" i="2"/>
  <c r="Q335" i="2" s="1"/>
  <c r="O303" i="2"/>
  <c r="Q303" i="2" s="1"/>
  <c r="O284" i="2"/>
  <c r="Q284" i="2" s="1"/>
  <c r="O310" i="2"/>
  <c r="Q310" i="2" s="1"/>
  <c r="O356" i="2"/>
  <c r="Q356" i="2" s="1"/>
  <c r="O328" i="2"/>
  <c r="Q328" i="2" s="1"/>
  <c r="O311" i="2"/>
  <c r="Q311" i="2" s="1"/>
  <c r="O338" i="2"/>
  <c r="Q338" i="2" s="1"/>
  <c r="O366" i="2"/>
  <c r="Q366" i="2" s="1"/>
  <c r="S382" i="2"/>
  <c r="T382" i="2" s="1"/>
  <c r="K382" i="2"/>
  <c r="U382" i="2" s="1"/>
  <c r="V326" i="2"/>
  <c r="W326" i="2"/>
  <c r="V808" i="2"/>
  <c r="W808" i="2"/>
  <c r="X808" i="2" s="1"/>
  <c r="S1570" i="2"/>
  <c r="T1570" i="2" s="1"/>
  <c r="K1570" i="2"/>
  <c r="U1570" i="2" s="1"/>
  <c r="X603" i="2"/>
  <c r="K1965" i="2"/>
  <c r="U1965" i="2" s="1"/>
  <c r="S1965" i="2"/>
  <c r="T1965" i="2" s="1"/>
  <c r="X1965" i="2" s="1"/>
  <c r="S1244" i="2"/>
  <c r="T1244" i="2" s="1"/>
  <c r="K1244" i="2"/>
  <c r="U1244" i="2" s="1"/>
  <c r="X1395" i="2"/>
  <c r="S1230" i="2"/>
  <c r="T1230" i="2" s="1"/>
  <c r="K1230" i="2"/>
  <c r="U1230" i="2" s="1"/>
  <c r="X1317" i="2"/>
  <c r="V1731" i="2"/>
  <c r="W1731" i="2"/>
  <c r="V2102" i="2"/>
  <c r="W2102" i="2"/>
  <c r="O234" i="2"/>
  <c r="Q234" i="2" s="1"/>
  <c r="O237" i="2"/>
  <c r="Q237" i="2" s="1"/>
  <c r="O250" i="2"/>
  <c r="Q250" i="2" s="1"/>
  <c r="O217" i="2"/>
  <c r="Q217" i="2" s="1"/>
  <c r="O247" i="2"/>
  <c r="Q247" i="2" s="1"/>
  <c r="O228" i="2"/>
  <c r="Q228" i="2" s="1"/>
  <c r="O211" i="2"/>
  <c r="Q211" i="2" s="1"/>
  <c r="O231" i="2"/>
  <c r="Q231" i="2" s="1"/>
  <c r="O219" i="2"/>
  <c r="Q219" i="2" s="1"/>
  <c r="O240" i="2"/>
  <c r="Q240" i="2" s="1"/>
  <c r="O197" i="2"/>
  <c r="Q197" i="2" s="1"/>
  <c r="O221" i="2"/>
  <c r="Q221" i="2" s="1"/>
  <c r="V2107" i="2"/>
  <c r="W2107" i="2"/>
  <c r="V623" i="2"/>
  <c r="W623" i="2"/>
  <c r="X623" i="2" s="1"/>
  <c r="V1813" i="2"/>
  <c r="W1813" i="2"/>
  <c r="Q514" i="2"/>
  <c r="S645" i="2"/>
  <c r="T645" i="2" s="1"/>
  <c r="K645" i="2"/>
  <c r="U645" i="2" s="1"/>
  <c r="S531" i="2"/>
  <c r="T531" i="2" s="1"/>
  <c r="K531" i="2"/>
  <c r="U531" i="2" s="1"/>
  <c r="K1857" i="2"/>
  <c r="U1857" i="2" s="1"/>
  <c r="S1857" i="2"/>
  <c r="T1857" i="2" s="1"/>
  <c r="X1857" i="2" s="1"/>
  <c r="S263" i="2"/>
  <c r="T263" i="2" s="1"/>
  <c r="K263" i="2"/>
  <c r="U263" i="2" s="1"/>
  <c r="S83" i="2"/>
  <c r="T83" i="2" s="1"/>
  <c r="K83" i="2"/>
  <c r="U83" i="2" s="1"/>
  <c r="S1407" i="2"/>
  <c r="T1407" i="2" s="1"/>
  <c r="K1407" i="2"/>
  <c r="U1407" i="2" s="1"/>
  <c r="X1113" i="2"/>
  <c r="X875" i="2"/>
  <c r="V844" i="2"/>
  <c r="W844" i="2"/>
  <c r="S1060" i="2"/>
  <c r="T1060" i="2" s="1"/>
  <c r="K1060" i="2"/>
  <c r="U1060" i="2" s="1"/>
  <c r="V590" i="2"/>
  <c r="W590" i="2"/>
  <c r="X590" i="2" s="1"/>
  <c r="S465" i="2"/>
  <c r="T465" i="2" s="1"/>
  <c r="K465" i="2"/>
  <c r="U465" i="2" s="1"/>
  <c r="K1064" i="2"/>
  <c r="U1064" i="2" s="1"/>
  <c r="S1064" i="2"/>
  <c r="T1064" i="2" s="1"/>
  <c r="K534" i="2"/>
  <c r="U534" i="2" s="1"/>
  <c r="S534" i="2"/>
  <c r="T534" i="2" s="1"/>
  <c r="K985" i="2"/>
  <c r="U985" i="2" s="1"/>
  <c r="S985" i="2"/>
  <c r="T985" i="2" s="1"/>
  <c r="V1166" i="2"/>
  <c r="W1166" i="2"/>
  <c r="X1166" i="2" s="1"/>
  <c r="S1309" i="2"/>
  <c r="T1309" i="2" s="1"/>
  <c r="K1309" i="2"/>
  <c r="U1309" i="2" s="1"/>
  <c r="V778" i="2"/>
  <c r="W778" i="2"/>
  <c r="X778" i="2" s="1"/>
  <c r="V1424" i="2"/>
  <c r="W1424" i="2"/>
  <c r="X1424" i="2" s="1"/>
  <c r="K1365" i="2"/>
  <c r="U1365" i="2" s="1"/>
  <c r="S1365" i="2"/>
  <c r="T1365" i="2" s="1"/>
  <c r="S430" i="2"/>
  <c r="T430" i="2" s="1"/>
  <c r="K430" i="2"/>
  <c r="U430" i="2" s="1"/>
  <c r="S269" i="2"/>
  <c r="T269" i="2" s="1"/>
  <c r="K269" i="2"/>
  <c r="U269" i="2" s="1"/>
  <c r="O914" i="2"/>
  <c r="Q914" i="2" s="1"/>
  <c r="O961" i="2"/>
  <c r="Q961" i="2" s="1"/>
  <c r="O851" i="2"/>
  <c r="Q851" i="2" s="1"/>
  <c r="O854" i="2"/>
  <c r="Q854" i="2" s="1"/>
  <c r="O872" i="2"/>
  <c r="Q872" i="2" s="1"/>
  <c r="O894" i="2"/>
  <c r="Q894" i="2" s="1"/>
  <c r="O757" i="2"/>
  <c r="Q757" i="2" s="1"/>
  <c r="O918" i="2"/>
  <c r="Q918" i="2" s="1"/>
  <c r="O820" i="2"/>
  <c r="Q820" i="2" s="1"/>
  <c r="O794" i="2"/>
  <c r="Q794" i="2" s="1"/>
  <c r="O848" i="2"/>
  <c r="Q848" i="2" s="1"/>
  <c r="O810" i="2"/>
  <c r="Q810" i="2" s="1"/>
  <c r="S123" i="2"/>
  <c r="T123" i="2" s="1"/>
  <c r="K123" i="2"/>
  <c r="U123" i="2" s="1"/>
  <c r="K1030" i="2"/>
  <c r="U1030" i="2" s="1"/>
  <c r="S1030" i="2"/>
  <c r="T1030" i="2" s="1"/>
  <c r="V398" i="2"/>
  <c r="W398" i="2"/>
  <c r="X398" i="2" s="1"/>
  <c r="V653" i="2"/>
  <c r="W653" i="2"/>
  <c r="X653" i="2" s="1"/>
  <c r="S2046" i="2"/>
  <c r="T2046" i="2" s="1"/>
  <c r="X2046" i="2" s="1"/>
  <c r="K2046" i="2"/>
  <c r="U2046" i="2" s="1"/>
  <c r="S2069" i="2"/>
  <c r="T2069" i="2" s="1"/>
  <c r="X2069" i="2" s="1"/>
  <c r="K2069" i="2"/>
  <c r="U2069" i="2" s="1"/>
  <c r="S1082" i="2"/>
  <c r="T1082" i="2" s="1"/>
  <c r="K1082" i="2"/>
  <c r="U1082" i="2" s="1"/>
  <c r="S1327" i="2"/>
  <c r="T1327" i="2" s="1"/>
  <c r="K1327" i="2"/>
  <c r="U1327" i="2" s="1"/>
  <c r="S1818" i="2"/>
  <c r="T1818" i="2" s="1"/>
  <c r="X1818" i="2" s="1"/>
  <c r="K1818" i="2"/>
  <c r="U1818" i="2" s="1"/>
  <c r="S698" i="2"/>
  <c r="T698" i="2" s="1"/>
  <c r="K698" i="2"/>
  <c r="U698" i="2" s="1"/>
  <c r="V1222" i="2"/>
  <c r="W1222" i="2"/>
  <c r="K204" i="2"/>
  <c r="U204" i="2" s="1"/>
  <c r="S204" i="2"/>
  <c r="T204" i="2" s="1"/>
  <c r="K1746" i="2"/>
  <c r="U1746" i="2" s="1"/>
  <c r="S1746" i="2"/>
  <c r="T1746" i="2" s="1"/>
  <c r="X1746" i="2" s="1"/>
  <c r="V1538" i="2"/>
  <c r="W1538" i="2"/>
  <c r="X1538" i="2" s="1"/>
  <c r="V2040" i="2"/>
  <c r="W2040" i="2"/>
  <c r="S597" i="2"/>
  <c r="T597" i="2" s="1"/>
  <c r="K597" i="2"/>
  <c r="U597" i="2" s="1"/>
  <c r="O194" i="2"/>
  <c r="Q194" i="2" s="1"/>
  <c r="O192" i="2"/>
  <c r="Q192" i="2" s="1"/>
  <c r="O188" i="2"/>
  <c r="Q188" i="2" s="1"/>
  <c r="O170" i="2"/>
  <c r="Q170" i="2" s="1"/>
  <c r="O241" i="2"/>
  <c r="Q241" i="2" s="1"/>
  <c r="O222" i="2"/>
  <c r="Q222" i="2" s="1"/>
  <c r="O212" i="2"/>
  <c r="Q212" i="2" s="1"/>
  <c r="O139" i="2"/>
  <c r="Q139" i="2" s="1"/>
  <c r="O169" i="2"/>
  <c r="Q169" i="2" s="1"/>
  <c r="O163" i="2"/>
  <c r="Q163" i="2" s="1"/>
  <c r="O224" i="2"/>
  <c r="Q224" i="2" s="1"/>
  <c r="O203" i="2"/>
  <c r="Q203" i="2" s="1"/>
  <c r="S2119" i="2"/>
  <c r="T2119" i="2" s="1"/>
  <c r="X2119" i="2" s="1"/>
  <c r="K2119" i="2"/>
  <c r="U2119" i="2" s="1"/>
  <c r="K2122" i="2"/>
  <c r="U2122" i="2" s="1"/>
  <c r="S2122" i="2"/>
  <c r="T2122" i="2" s="1"/>
  <c r="X2122" i="2" s="1"/>
  <c r="K408" i="2"/>
  <c r="U408" i="2" s="1"/>
  <c r="S408" i="2"/>
  <c r="T408" i="2" s="1"/>
  <c r="S1072" i="2"/>
  <c r="T1072" i="2" s="1"/>
  <c r="K1072" i="2"/>
  <c r="U1072" i="2" s="1"/>
  <c r="S244" i="2"/>
  <c r="T244" i="2" s="1"/>
  <c r="K244" i="2"/>
  <c r="U244" i="2" s="1"/>
  <c r="S493" i="2"/>
  <c r="T493" i="2" s="1"/>
  <c r="K493" i="2"/>
  <c r="U493" i="2" s="1"/>
  <c r="X1285" i="2"/>
  <c r="S818" i="2"/>
  <c r="T818" i="2" s="1"/>
  <c r="K818" i="2"/>
  <c r="U818" i="2" s="1"/>
  <c r="S111" i="2"/>
  <c r="T111" i="2" s="1"/>
  <c r="K111" i="2"/>
  <c r="U111" i="2" s="1"/>
  <c r="S968" i="2"/>
  <c r="T968" i="2" s="1"/>
  <c r="K968" i="2"/>
  <c r="U968" i="2" s="1"/>
  <c r="V1188" i="2"/>
  <c r="W1188" i="2"/>
  <c r="X1188" i="2" s="1"/>
  <c r="S2144" i="2"/>
  <c r="T2144" i="2" s="1"/>
  <c r="X2144" i="2" s="1"/>
  <c r="K2144" i="2"/>
  <c r="U2144" i="2" s="1"/>
  <c r="S801" i="2"/>
  <c r="T801" i="2" s="1"/>
  <c r="K801" i="2"/>
  <c r="U801" i="2" s="1"/>
  <c r="X18" i="2"/>
  <c r="X923" i="2"/>
  <c r="K957" i="2"/>
  <c r="U957" i="2" s="1"/>
  <c r="S957" i="2"/>
  <c r="T957" i="2" s="1"/>
  <c r="S2156" i="2"/>
  <c r="T2156" i="2" s="1"/>
  <c r="X2156" i="2" s="1"/>
  <c r="K2156" i="2"/>
  <c r="U2156" i="2" s="1"/>
  <c r="S1223" i="2"/>
  <c r="T1223" i="2" s="1"/>
  <c r="K1223" i="2"/>
  <c r="U1223" i="2" s="1"/>
  <c r="S578" i="2"/>
  <c r="T578" i="2" s="1"/>
  <c r="K578" i="2"/>
  <c r="U578" i="2" s="1"/>
  <c r="S1279" i="2"/>
  <c r="T1279" i="2" s="1"/>
  <c r="K1279" i="2"/>
  <c r="U1279" i="2" s="1"/>
  <c r="S302" i="2"/>
  <c r="T302" i="2" s="1"/>
  <c r="K302" i="2"/>
  <c r="U302" i="2" s="1"/>
  <c r="S868" i="2"/>
  <c r="T868" i="2" s="1"/>
  <c r="K868" i="2"/>
  <c r="U868" i="2" s="1"/>
  <c r="S1359" i="2"/>
  <c r="T1359" i="2" s="1"/>
  <c r="K1359" i="2"/>
  <c r="U1359" i="2" s="1"/>
  <c r="K1956" i="2"/>
  <c r="U1956" i="2" s="1"/>
  <c r="S1956" i="2"/>
  <c r="T1956" i="2" s="1"/>
  <c r="X1956" i="2" s="1"/>
  <c r="S1459" i="2"/>
  <c r="T1459" i="2" s="1"/>
  <c r="K1459" i="2"/>
  <c r="U1459" i="2" s="1"/>
  <c r="K1859" i="2"/>
  <c r="U1859" i="2" s="1"/>
  <c r="S1859" i="2"/>
  <c r="T1859" i="2" s="1"/>
  <c r="X1859" i="2" s="1"/>
  <c r="V315" i="2"/>
  <c r="W315" i="2"/>
  <c r="S1024" i="2"/>
  <c r="T1024" i="2" s="1"/>
  <c r="K1024" i="2"/>
  <c r="U1024" i="2" s="1"/>
  <c r="S473" i="2"/>
  <c r="T473" i="2" s="1"/>
  <c r="K473" i="2"/>
  <c r="U473" i="2" s="1"/>
  <c r="S429" i="2"/>
  <c r="T429" i="2" s="1"/>
  <c r="K429" i="2"/>
  <c r="U429" i="2" s="1"/>
  <c r="S342" i="2"/>
  <c r="T342" i="2" s="1"/>
  <c r="K342" i="2"/>
  <c r="U342" i="2" s="1"/>
  <c r="K532" i="2"/>
  <c r="U532" i="2" s="1"/>
  <c r="S532" i="2"/>
  <c r="T532" i="2" s="1"/>
  <c r="S309" i="2"/>
  <c r="T309" i="2" s="1"/>
  <c r="K309" i="2"/>
  <c r="U309" i="2" s="1"/>
  <c r="K1055" i="2"/>
  <c r="U1055" i="2" s="1"/>
  <c r="S1055" i="2"/>
  <c r="T1055" i="2" s="1"/>
  <c r="S636" i="2"/>
  <c r="T636" i="2" s="1"/>
  <c r="K636" i="2"/>
  <c r="U636" i="2" s="1"/>
  <c r="K1754" i="2"/>
  <c r="U1754" i="2" s="1"/>
  <c r="S1754" i="2"/>
  <c r="T1754" i="2" s="1"/>
  <c r="X1754" i="2" s="1"/>
  <c r="S280" i="2"/>
  <c r="T280" i="2" s="1"/>
  <c r="K280" i="2"/>
  <c r="U280" i="2" s="1"/>
  <c r="K838" i="2"/>
  <c r="U838" i="2" s="1"/>
  <c r="S838" i="2"/>
  <c r="T838" i="2" s="1"/>
  <c r="V741" i="2"/>
  <c r="W741" i="2"/>
  <c r="X741" i="2" s="1"/>
  <c r="X424" i="2"/>
  <c r="X1258" i="2"/>
  <c r="V1954" i="2"/>
  <c r="W1954" i="2"/>
  <c r="K1039" i="2"/>
  <c r="U1039" i="2" s="1"/>
  <c r="S1039" i="2"/>
  <c r="T1039" i="2" s="1"/>
  <c r="V2100" i="2"/>
  <c r="W2100" i="2"/>
  <c r="V1962" i="2"/>
  <c r="W1962" i="2"/>
  <c r="S407" i="2"/>
  <c r="T407" i="2" s="1"/>
  <c r="K407" i="2"/>
  <c r="U407" i="2" s="1"/>
  <c r="V1630" i="2"/>
  <c r="W1630" i="2"/>
  <c r="V1245" i="2"/>
  <c r="W1245" i="2"/>
  <c r="V2103" i="2"/>
  <c r="W2103" i="2"/>
  <c r="X384" i="2"/>
  <c r="V2026" i="2"/>
  <c r="W2026" i="2"/>
  <c r="K989" i="2"/>
  <c r="U989" i="2" s="1"/>
  <c r="S989" i="2"/>
  <c r="T989" i="2" s="1"/>
  <c r="S1543" i="2"/>
  <c r="T1543" i="2" s="1"/>
  <c r="K1543" i="2"/>
  <c r="U1543" i="2" s="1"/>
  <c r="X1362" i="2"/>
  <c r="X48" i="2"/>
  <c r="O869" i="2"/>
  <c r="Q869" i="2" s="1"/>
  <c r="O831" i="2"/>
  <c r="Q831" i="2" s="1"/>
  <c r="O795" i="2"/>
  <c r="Q795" i="2" s="1"/>
  <c r="O824" i="2"/>
  <c r="Q824" i="2" s="1"/>
  <c r="O784" i="2"/>
  <c r="Q784" i="2" s="1"/>
  <c r="O797" i="2"/>
  <c r="Q797" i="2" s="1"/>
  <c r="O791" i="2"/>
  <c r="Q791" i="2" s="1"/>
  <c r="O862" i="2"/>
  <c r="Q862" i="2" s="1"/>
  <c r="O828" i="2"/>
  <c r="Q828" i="2" s="1"/>
  <c r="O822" i="2"/>
  <c r="Q822" i="2" s="1"/>
  <c r="O758" i="2"/>
  <c r="Q758" i="2" s="1"/>
  <c r="O834" i="2"/>
  <c r="Q834" i="2" s="1"/>
  <c r="X292" i="2"/>
  <c r="Q308" i="2"/>
  <c r="V1854" i="2"/>
  <c r="W1854" i="2"/>
  <c r="V881" i="2"/>
  <c r="W881" i="2"/>
  <c r="X881" i="2" s="1"/>
  <c r="Q435" i="2"/>
  <c r="X762" i="2"/>
  <c r="S1322" i="2"/>
  <c r="T1322" i="2" s="1"/>
  <c r="K1322" i="2"/>
  <c r="U1322" i="2" s="1"/>
  <c r="V920" i="2"/>
  <c r="W920" i="2"/>
  <c r="V515" i="2"/>
  <c r="W515" i="2"/>
  <c r="X1153" i="2"/>
  <c r="K1310" i="2"/>
  <c r="U1310" i="2" s="1"/>
  <c r="S1310" i="2"/>
  <c r="T1310" i="2" s="1"/>
  <c r="V604" i="2"/>
  <c r="W604" i="2"/>
  <c r="X604" i="2" s="1"/>
  <c r="S388" i="2"/>
  <c r="T388" i="2" s="1"/>
  <c r="K388" i="2"/>
  <c r="U388" i="2" s="1"/>
  <c r="K973" i="2"/>
  <c r="U973" i="2" s="1"/>
  <c r="S973" i="2"/>
  <c r="T973" i="2" s="1"/>
  <c r="S354" i="2"/>
  <c r="T354" i="2" s="1"/>
  <c r="K354" i="2"/>
  <c r="U354" i="2" s="1"/>
  <c r="X867" i="2"/>
  <c r="K540" i="2"/>
  <c r="U540" i="2" s="1"/>
  <c r="S540" i="2"/>
  <c r="T540" i="2" s="1"/>
  <c r="S92" i="2"/>
  <c r="T92" i="2" s="1"/>
  <c r="K92" i="2"/>
  <c r="U92" i="2" s="1"/>
  <c r="S320" i="2"/>
  <c r="T320" i="2" s="1"/>
  <c r="K320" i="2"/>
  <c r="U320" i="2" s="1"/>
  <c r="V790" i="2"/>
  <c r="W790" i="2"/>
  <c r="X790" i="2" s="1"/>
  <c r="S1576" i="2"/>
  <c r="T1576" i="2" s="1"/>
  <c r="K1576" i="2"/>
  <c r="U1576" i="2" s="1"/>
  <c r="X1606" i="2"/>
  <c r="S206" i="2"/>
  <c r="T206" i="2" s="1"/>
  <c r="K206" i="2"/>
  <c r="U206" i="2" s="1"/>
  <c r="S666" i="2"/>
  <c r="T666" i="2" s="1"/>
  <c r="K666" i="2"/>
  <c r="U666" i="2" s="1"/>
  <c r="S1242" i="2"/>
  <c r="T1242" i="2" s="1"/>
  <c r="K1242" i="2"/>
  <c r="U1242" i="2" s="1"/>
  <c r="S1138" i="2"/>
  <c r="T1138" i="2" s="1"/>
  <c r="K1138" i="2"/>
  <c r="U1138" i="2" s="1"/>
  <c r="V541" i="2"/>
  <c r="W541" i="2"/>
  <c r="X541" i="2" s="1"/>
  <c r="S1904" i="2"/>
  <c r="T1904" i="2" s="1"/>
  <c r="X1904" i="2" s="1"/>
  <c r="K1904" i="2"/>
  <c r="U1904" i="2" s="1"/>
  <c r="S850" i="2"/>
  <c r="T850" i="2" s="1"/>
  <c r="K850" i="2"/>
  <c r="U850" i="2" s="1"/>
  <c r="K982" i="2"/>
  <c r="U982" i="2" s="1"/>
  <c r="S982" i="2"/>
  <c r="T982" i="2" s="1"/>
  <c r="X264" i="2"/>
  <c r="S438" i="2"/>
  <c r="T438" i="2" s="1"/>
  <c r="K438" i="2"/>
  <c r="U438" i="2" s="1"/>
  <c r="S639" i="2"/>
  <c r="T639" i="2" s="1"/>
  <c r="K639" i="2"/>
  <c r="U639" i="2" s="1"/>
  <c r="O1536" i="2"/>
  <c r="Q1536" i="2" s="1"/>
  <c r="O1519" i="2"/>
  <c r="Q1519" i="2" s="1"/>
  <c r="O1515" i="2"/>
  <c r="Q1515" i="2" s="1"/>
  <c r="O1521" i="2"/>
  <c r="Q1521" i="2" s="1"/>
  <c r="O1494" i="2"/>
  <c r="Q1494" i="2" s="1"/>
  <c r="O1474" i="2"/>
  <c r="Q1474" i="2" s="1"/>
  <c r="O1468" i="2"/>
  <c r="Q1468" i="2" s="1"/>
  <c r="O1450" i="2"/>
  <c r="Q1450" i="2" s="1"/>
  <c r="O1493" i="2"/>
  <c r="Q1493" i="2" s="1"/>
  <c r="O1498" i="2"/>
  <c r="Q1498" i="2" s="1"/>
  <c r="O1477" i="2"/>
  <c r="Q1477" i="2" s="1"/>
  <c r="O1504" i="2"/>
  <c r="Q1504" i="2" s="1"/>
  <c r="O1062" i="2"/>
  <c r="Q1062" i="2" s="1"/>
  <c r="O1054" i="2"/>
  <c r="Q1054" i="2" s="1"/>
  <c r="O1026" i="2"/>
  <c r="Q1026" i="2" s="1"/>
  <c r="O1006" i="2"/>
  <c r="Q1006" i="2" s="1"/>
  <c r="O1068" i="2"/>
  <c r="Q1068" i="2" s="1"/>
  <c r="O1101" i="2"/>
  <c r="Q1101" i="2" s="1"/>
  <c r="O970" i="2"/>
  <c r="Q970" i="2" s="1"/>
  <c r="O949" i="2"/>
  <c r="Q949" i="2" s="1"/>
  <c r="O1015" i="2"/>
  <c r="Q1015" i="2" s="1"/>
  <c r="O1011" i="2"/>
  <c r="Q1011" i="2" s="1"/>
  <c r="O962" i="2"/>
  <c r="Q962" i="2" s="1"/>
  <c r="O896" i="2"/>
  <c r="Q896" i="2" s="1"/>
  <c r="V625" i="2"/>
  <c r="W625" i="2"/>
  <c r="X625" i="2" s="1"/>
  <c r="K1018" i="2"/>
  <c r="U1018" i="2" s="1"/>
  <c r="S1018" i="2"/>
  <c r="T1018" i="2" s="1"/>
  <c r="O898" i="2"/>
  <c r="Q898" i="2" s="1"/>
  <c r="O841" i="2"/>
  <c r="Q841" i="2" s="1"/>
  <c r="O833" i="2"/>
  <c r="Q833" i="2" s="1"/>
  <c r="O878" i="2"/>
  <c r="Q878" i="2" s="1"/>
  <c r="O840" i="2"/>
  <c r="Q840" i="2" s="1"/>
  <c r="O942" i="2"/>
  <c r="Q942" i="2" s="1"/>
  <c r="O796" i="2"/>
  <c r="Q796" i="2" s="1"/>
  <c r="O806" i="2"/>
  <c r="Q806" i="2" s="1"/>
  <c r="O899" i="2"/>
  <c r="Q899" i="2" s="1"/>
  <c r="O746" i="2"/>
  <c r="Q746" i="2" s="1"/>
  <c r="O858" i="2"/>
  <c r="Q858" i="2" s="1"/>
  <c r="O780" i="2"/>
  <c r="Q780" i="2" s="1"/>
  <c r="X1520" i="2"/>
  <c r="K782" i="2"/>
  <c r="U782" i="2" s="1"/>
  <c r="S782" i="2"/>
  <c r="T782" i="2" s="1"/>
  <c r="S1417" i="2"/>
  <c r="T1417" i="2" s="1"/>
  <c r="K1417" i="2"/>
  <c r="U1417" i="2" s="1"/>
  <c r="S1375" i="2"/>
  <c r="T1375" i="2" s="1"/>
  <c r="K1375" i="2"/>
  <c r="U1375" i="2" s="1"/>
  <c r="K2025" i="2"/>
  <c r="U2025" i="2" s="1"/>
  <c r="S2025" i="2"/>
  <c r="T2025" i="2" s="1"/>
  <c r="X2025" i="2" s="1"/>
  <c r="V254" i="2"/>
  <c r="W254" i="2"/>
  <c r="X254" i="2" s="1"/>
  <c r="V1596" i="2"/>
  <c r="W1596" i="2"/>
  <c r="S331" i="2"/>
  <c r="T331" i="2" s="1"/>
  <c r="K331" i="2"/>
  <c r="U331" i="2" s="1"/>
  <c r="V1179" i="2"/>
  <c r="W1179" i="2"/>
  <c r="X1179" i="2" s="1"/>
  <c r="S1095" i="2"/>
  <c r="T1095" i="2" s="1"/>
  <c r="K1095" i="2"/>
  <c r="U1095" i="2" s="1"/>
  <c r="V340" i="2"/>
  <c r="W340" i="2"/>
  <c r="X340" i="2" s="1"/>
  <c r="K1778" i="2"/>
  <c r="U1778" i="2" s="1"/>
  <c r="S1778" i="2"/>
  <c r="T1778" i="2" s="1"/>
  <c r="X1778" i="2" s="1"/>
  <c r="V1790" i="2"/>
  <c r="W1790" i="2"/>
  <c r="V1590" i="2"/>
  <c r="W1590" i="2"/>
  <c r="X1590" i="2" s="1"/>
  <c r="K703" i="2"/>
  <c r="U703" i="2" s="1"/>
  <c r="S703" i="2"/>
  <c r="T703" i="2" s="1"/>
  <c r="S393" i="2"/>
  <c r="T393" i="2" s="1"/>
  <c r="K393" i="2"/>
  <c r="U393" i="2" s="1"/>
  <c r="V974" i="2"/>
  <c r="W974" i="2"/>
  <c r="X974" i="2" s="1"/>
  <c r="S1380" i="2"/>
  <c r="T1380" i="2" s="1"/>
  <c r="K1380" i="2"/>
  <c r="U1380" i="2" s="1"/>
  <c r="V522" i="2"/>
  <c r="W522" i="2"/>
  <c r="X522" i="2" s="1"/>
  <c r="K657" i="2"/>
  <c r="U657" i="2" s="1"/>
  <c r="S657" i="2"/>
  <c r="T657" i="2" s="1"/>
  <c r="K205" i="2"/>
  <c r="U205" i="2" s="1"/>
  <c r="S205" i="2"/>
  <c r="T205" i="2" s="1"/>
  <c r="S150" i="2"/>
  <c r="T150" i="2" s="1"/>
  <c r="K150" i="2"/>
  <c r="U150" i="2" s="1"/>
  <c r="S266" i="2"/>
  <c r="T266" i="2" s="1"/>
  <c r="K266" i="2"/>
  <c r="U266" i="2" s="1"/>
  <c r="S70" i="2"/>
  <c r="T70" i="2" s="1"/>
  <c r="K70" i="2"/>
  <c r="U70" i="2" s="1"/>
  <c r="S1444" i="2"/>
  <c r="T1444" i="2" s="1"/>
  <c r="K1444" i="2"/>
  <c r="U1444" i="2" s="1"/>
  <c r="V1586" i="2"/>
  <c r="W1586" i="2"/>
  <c r="X1586" i="2" s="1"/>
  <c r="S793" i="2"/>
  <c r="T793" i="2" s="1"/>
  <c r="K793" i="2"/>
  <c r="U793" i="2" s="1"/>
  <c r="V2038" i="2"/>
  <c r="W2038" i="2"/>
  <c r="V721" i="2"/>
  <c r="W721" i="2"/>
  <c r="S439" i="2"/>
  <c r="T439" i="2" s="1"/>
  <c r="K439" i="2"/>
  <c r="U439" i="2" s="1"/>
  <c r="V1610" i="2"/>
  <c r="W1610" i="2"/>
  <c r="X1610" i="2" s="1"/>
  <c r="S1022" i="2"/>
  <c r="T1022" i="2" s="1"/>
  <c r="K1022" i="2"/>
  <c r="U1022" i="2" s="1"/>
  <c r="X10" i="2"/>
  <c r="K452" i="2"/>
  <c r="U452" i="2" s="1"/>
  <c r="S452" i="2"/>
  <c r="T452" i="2" s="1"/>
  <c r="V603" i="2"/>
  <c r="W603" i="2"/>
  <c r="V1066" i="2"/>
  <c r="W1066" i="2"/>
  <c r="X1066" i="2" s="1"/>
  <c r="K413" i="2"/>
  <c r="U413" i="2" s="1"/>
  <c r="S413" i="2"/>
  <c r="T413" i="2" s="1"/>
  <c r="K1756" i="2"/>
  <c r="U1756" i="2" s="1"/>
  <c r="S1756" i="2"/>
  <c r="T1756" i="2" s="1"/>
  <c r="X1756" i="2" s="1"/>
  <c r="V1668" i="2"/>
  <c r="W1668" i="2"/>
  <c r="V1821" i="2"/>
  <c r="W1821" i="2"/>
  <c r="S1584" i="2"/>
  <c r="T1584" i="2" s="1"/>
  <c r="K1584" i="2"/>
  <c r="U1584" i="2" s="1"/>
  <c r="V1013" i="2"/>
  <c r="W1013" i="2"/>
  <c r="V2035" i="2"/>
  <c r="W2035" i="2"/>
  <c r="V1457" i="2"/>
  <c r="W1457" i="2"/>
  <c r="X1457" i="2" s="1"/>
  <c r="V1902" i="2"/>
  <c r="W1902" i="2"/>
  <c r="S1152" i="2"/>
  <c r="T1152" i="2" s="1"/>
  <c r="K1152" i="2"/>
  <c r="U1152" i="2" s="1"/>
  <c r="S95" i="2"/>
  <c r="T95" i="2" s="1"/>
  <c r="K95" i="2"/>
  <c r="U95" i="2" s="1"/>
  <c r="S274" i="2"/>
  <c r="T274" i="2" s="1"/>
  <c r="K274" i="2"/>
  <c r="U274" i="2" s="1"/>
  <c r="K1237" i="2"/>
  <c r="U1237" i="2" s="1"/>
  <c r="S1237" i="2"/>
  <c r="T1237" i="2" s="1"/>
  <c r="V605" i="2"/>
  <c r="W605" i="2"/>
  <c r="S2112" i="2"/>
  <c r="T2112" i="2" s="1"/>
  <c r="X2112" i="2" s="1"/>
  <c r="K2112" i="2"/>
  <c r="U2112" i="2" s="1"/>
  <c r="S695" i="2"/>
  <c r="T695" i="2" s="1"/>
  <c r="K695" i="2"/>
  <c r="U695" i="2" s="1"/>
  <c r="S1399" i="2"/>
  <c r="T1399" i="2" s="1"/>
  <c r="K1399" i="2"/>
  <c r="U1399" i="2" s="1"/>
  <c r="S1268" i="2"/>
  <c r="T1268" i="2" s="1"/>
  <c r="K1268" i="2"/>
  <c r="U1268" i="2" s="1"/>
  <c r="V647" i="2"/>
  <c r="W647" i="2"/>
  <c r="X647" i="2" s="1"/>
  <c r="K760" i="2"/>
  <c r="U760" i="2" s="1"/>
  <c r="S760" i="2"/>
  <c r="T760" i="2" s="1"/>
  <c r="S491" i="2"/>
  <c r="T491" i="2" s="1"/>
  <c r="K491" i="2"/>
  <c r="U491" i="2" s="1"/>
  <c r="S293" i="2"/>
  <c r="T293" i="2" s="1"/>
  <c r="K293" i="2"/>
  <c r="U293" i="2" s="1"/>
  <c r="X1046" i="2"/>
  <c r="V1275" i="2"/>
  <c r="W1275" i="2"/>
  <c r="X1275" i="2" s="1"/>
  <c r="K1556" i="2"/>
  <c r="U1556" i="2" s="1"/>
  <c r="S1556" i="2"/>
  <c r="T1556" i="2" s="1"/>
  <c r="V323" i="2"/>
  <c r="W323" i="2"/>
  <c r="X323" i="2" s="1"/>
  <c r="X255" i="2"/>
  <c r="Q453" i="2"/>
  <c r="V1502" i="2"/>
  <c r="W1502" i="2"/>
  <c r="X1115" i="2"/>
  <c r="X546" i="2"/>
  <c r="S1182" i="2"/>
  <c r="T1182" i="2" s="1"/>
  <c r="K1182" i="2"/>
  <c r="U1182" i="2" s="1"/>
  <c r="S1747" i="2"/>
  <c r="T1747" i="2" s="1"/>
  <c r="X1747" i="2" s="1"/>
  <c r="K1747" i="2"/>
  <c r="U1747" i="2" s="1"/>
  <c r="J72" i="3"/>
  <c r="J75" i="3"/>
  <c r="J74" i="3"/>
  <c r="J67" i="3"/>
  <c r="J64" i="3"/>
  <c r="J66" i="3"/>
  <c r="J62" i="3"/>
  <c r="J63" i="3"/>
  <c r="J73" i="3"/>
  <c r="J65" i="3"/>
  <c r="S1196" i="2"/>
  <c r="T1196" i="2" s="1"/>
  <c r="K1196" i="2"/>
  <c r="U1196" i="2" s="1"/>
  <c r="S1002" i="2"/>
  <c r="T1002" i="2" s="1"/>
  <c r="K1002" i="2"/>
  <c r="U1002" i="2" s="1"/>
  <c r="S1472" i="2"/>
  <c r="T1472" i="2" s="1"/>
  <c r="K1472" i="2"/>
  <c r="U1472" i="2" s="1"/>
  <c r="Q538" i="2"/>
  <c r="V1664" i="2"/>
  <c r="W1664" i="2"/>
  <c r="S287" i="2"/>
  <c r="T287" i="2" s="1"/>
  <c r="K287" i="2"/>
  <c r="U287" i="2" s="1"/>
  <c r="V1133" i="2"/>
  <c r="W1133" i="2"/>
  <c r="S710" i="2"/>
  <c r="T710" i="2" s="1"/>
  <c r="K710" i="2"/>
  <c r="U710" i="2" s="1"/>
  <c r="S564" i="2"/>
  <c r="T564" i="2" s="1"/>
  <c r="K564" i="2"/>
  <c r="U564" i="2" s="1"/>
  <c r="S290" i="2"/>
  <c r="T290" i="2" s="1"/>
  <c r="K290" i="2"/>
  <c r="U290" i="2" s="1"/>
  <c r="O1564" i="2"/>
  <c r="Q1564" i="2" s="1"/>
  <c r="O1554" i="2"/>
  <c r="Q1554" i="2" s="1"/>
  <c r="O1548" i="2"/>
  <c r="Q1548" i="2" s="1"/>
  <c r="O1573" i="2"/>
  <c r="Q1573" i="2" s="1"/>
  <c r="O1568" i="2"/>
  <c r="Q1568" i="2" s="1"/>
  <c r="O1567" i="2"/>
  <c r="Q1567" i="2" s="1"/>
  <c r="O1561" i="2"/>
  <c r="Q1561" i="2" s="1"/>
  <c r="O1555" i="2"/>
  <c r="Q1555" i="2" s="1"/>
  <c r="O1526" i="2"/>
  <c r="Q1526" i="2" s="1"/>
  <c r="O1557" i="2"/>
  <c r="Q1557" i="2" s="1"/>
  <c r="O1545" i="2"/>
  <c r="Q1545" i="2" s="1"/>
  <c r="O1246" i="2"/>
  <c r="Q1246" i="2" s="1"/>
  <c r="O1216" i="2"/>
  <c r="Q1216" i="2" s="1"/>
  <c r="O1214" i="2"/>
  <c r="Q1214" i="2" s="1"/>
  <c r="O1204" i="2"/>
  <c r="Q1204" i="2" s="1"/>
  <c r="O1137" i="2"/>
  <c r="Q1137" i="2" s="1"/>
  <c r="O1169" i="2"/>
  <c r="Q1169" i="2" s="1"/>
  <c r="O1116" i="2"/>
  <c r="Q1116" i="2" s="1"/>
  <c r="O1131" i="2"/>
  <c r="Q1131" i="2" s="1"/>
  <c r="O1186" i="2"/>
  <c r="Q1186" i="2" s="1"/>
  <c r="O1173" i="2"/>
  <c r="Q1173" i="2" s="1"/>
  <c r="O1077" i="2"/>
  <c r="Q1077" i="2" s="1"/>
  <c r="O1539" i="2"/>
  <c r="Q1539" i="2" s="1"/>
  <c r="O1165" i="2"/>
  <c r="Q1165" i="2" s="1"/>
  <c r="S181" i="2"/>
  <c r="T181" i="2" s="1"/>
  <c r="K181" i="2"/>
  <c r="U181" i="2" s="1"/>
  <c r="S1456" i="2"/>
  <c r="T1456" i="2" s="1"/>
  <c r="K1456" i="2"/>
  <c r="U1456" i="2" s="1"/>
  <c r="V685" i="2"/>
  <c r="W685" i="2"/>
  <c r="V2045" i="2"/>
  <c r="W2045" i="2"/>
  <c r="K2053" i="2"/>
  <c r="U2053" i="2" s="1"/>
  <c r="S2053" i="2"/>
  <c r="T2053" i="2" s="1"/>
  <c r="X2053" i="2" s="1"/>
  <c r="S2060" i="2"/>
  <c r="T2060" i="2" s="1"/>
  <c r="X2060" i="2" s="1"/>
  <c r="K2060" i="2"/>
  <c r="U2060" i="2" s="1"/>
  <c r="S545" i="2"/>
  <c r="T545" i="2" s="1"/>
  <c r="K545" i="2"/>
  <c r="U545" i="2" s="1"/>
  <c r="S1205" i="2"/>
  <c r="T1205" i="2" s="1"/>
  <c r="K1205" i="2"/>
  <c r="U1205" i="2" s="1"/>
  <c r="V1678" i="2"/>
  <c r="W1678" i="2"/>
  <c r="X1222" i="2"/>
  <c r="S220" i="2"/>
  <c r="T220" i="2" s="1"/>
  <c r="K220" i="2"/>
  <c r="U220" i="2" s="1"/>
  <c r="S1124" i="2"/>
  <c r="T1124" i="2" s="1"/>
  <c r="K1124" i="2"/>
  <c r="U1124" i="2" s="1"/>
  <c r="V1680" i="2"/>
  <c r="W1680" i="2"/>
  <c r="S1020" i="2"/>
  <c r="T1020" i="2" s="1"/>
  <c r="K1020" i="2"/>
  <c r="U1020" i="2" s="1"/>
  <c r="S1209" i="2"/>
  <c r="T1209" i="2" s="1"/>
  <c r="K1209" i="2"/>
  <c r="U1209" i="2" s="1"/>
  <c r="S649" i="2"/>
  <c r="T649" i="2" s="1"/>
  <c r="K649" i="2"/>
  <c r="U649" i="2" s="1"/>
  <c r="O1240" i="2"/>
  <c r="Q1240" i="2" s="1"/>
  <c r="O1238" i="2"/>
  <c r="Q1238" i="2" s="1"/>
  <c r="O1228" i="2"/>
  <c r="Q1228" i="2" s="1"/>
  <c r="O1210" i="2"/>
  <c r="Q1210" i="2" s="1"/>
  <c r="O1149" i="2"/>
  <c r="Q1149" i="2" s="1"/>
  <c r="O1271" i="2"/>
  <c r="Q1271" i="2" s="1"/>
  <c r="O1160" i="2"/>
  <c r="Q1160" i="2" s="1"/>
  <c r="O1199" i="2"/>
  <c r="Q1199" i="2" s="1"/>
  <c r="O1195" i="2"/>
  <c r="Q1195" i="2" s="1"/>
  <c r="O1194" i="2"/>
  <c r="Q1194" i="2" s="1"/>
  <c r="O1112" i="2"/>
  <c r="Q1112" i="2" s="1"/>
  <c r="O1163" i="2"/>
  <c r="Q1163" i="2" s="1"/>
  <c r="S1090" i="2"/>
  <c r="T1090" i="2" s="1"/>
  <c r="K1090" i="2"/>
  <c r="U1090" i="2" s="1"/>
  <c r="K2121" i="2"/>
  <c r="U2121" i="2" s="1"/>
  <c r="S2121" i="2"/>
  <c r="T2121" i="2" s="1"/>
  <c r="X2121" i="2" s="1"/>
  <c r="S445" i="2"/>
  <c r="T445" i="2" s="1"/>
  <c r="K445" i="2"/>
  <c r="U445" i="2" s="1"/>
  <c r="X1106" i="2"/>
  <c r="S416" i="2"/>
  <c r="T416" i="2" s="1"/>
  <c r="K416" i="2"/>
  <c r="U416" i="2" s="1"/>
  <c r="K1003" i="2"/>
  <c r="U1003" i="2" s="1"/>
  <c r="S1003" i="2"/>
  <c r="T1003" i="2" s="1"/>
  <c r="S223" i="2"/>
  <c r="T223" i="2" s="1"/>
  <c r="K223" i="2"/>
  <c r="U223" i="2" s="1"/>
  <c r="S87" i="2"/>
  <c r="T87" i="2" s="1"/>
  <c r="K87" i="2"/>
  <c r="U87" i="2" s="1"/>
  <c r="S766" i="2"/>
  <c r="T766" i="2" s="1"/>
  <c r="K766" i="2"/>
  <c r="U766" i="2" s="1"/>
  <c r="S770" i="2"/>
  <c r="T770" i="2" s="1"/>
  <c r="K770" i="2"/>
  <c r="U770" i="2" s="1"/>
  <c r="V1740" i="2"/>
  <c r="W1740" i="2"/>
  <c r="X1326" i="2"/>
  <c r="V997" i="2"/>
  <c r="W997" i="2"/>
  <c r="X997" i="2" s="1"/>
  <c r="K2141" i="2"/>
  <c r="U2141" i="2" s="1"/>
  <c r="S2141" i="2"/>
  <c r="T2141" i="2" s="1"/>
  <c r="X2141" i="2" s="1"/>
  <c r="K772" i="2"/>
  <c r="U772" i="2" s="1"/>
  <c r="S772" i="2"/>
  <c r="T772" i="2" s="1"/>
  <c r="V907" i="2"/>
  <c r="W907" i="2"/>
  <c r="X907" i="2" s="1"/>
  <c r="V984" i="2"/>
  <c r="W984" i="2"/>
  <c r="X984" i="2" s="1"/>
  <c r="V923" i="2"/>
  <c r="W923" i="2"/>
  <c r="S1505" i="2"/>
  <c r="T1505" i="2" s="1"/>
  <c r="K1505" i="2"/>
  <c r="U1505" i="2" s="1"/>
  <c r="S2158" i="2"/>
  <c r="T2158" i="2" s="1"/>
  <c r="X2158" i="2" s="1"/>
  <c r="K2158" i="2"/>
  <c r="U2158" i="2" s="1"/>
  <c r="S1208" i="2"/>
  <c r="T1208" i="2" s="1"/>
  <c r="K1208" i="2"/>
  <c r="U1208" i="2" s="1"/>
  <c r="S613" i="2"/>
  <c r="T613" i="2" s="1"/>
  <c r="K613" i="2"/>
  <c r="U613" i="2" s="1"/>
  <c r="K542" i="2"/>
  <c r="U542" i="2" s="1"/>
  <c r="S542" i="2"/>
  <c r="T542" i="2" s="1"/>
  <c r="S1679" i="2"/>
  <c r="T1679" i="2" s="1"/>
  <c r="X1679" i="2" s="1"/>
  <c r="K1679" i="2"/>
  <c r="U1679" i="2" s="1"/>
  <c r="V1908" i="2"/>
  <c r="W1908" i="2"/>
  <c r="V1300" i="2"/>
  <c r="W1300" i="2"/>
  <c r="X1300" i="2" s="1"/>
  <c r="K1379" i="2"/>
  <c r="U1379" i="2" s="1"/>
  <c r="S1379" i="2"/>
  <c r="T1379" i="2" s="1"/>
  <c r="V1440" i="2"/>
  <c r="W1440" i="2"/>
  <c r="X1440" i="2" s="1"/>
  <c r="X1243" i="2"/>
  <c r="K38" i="2"/>
  <c r="U38" i="2" s="1"/>
  <c r="S38" i="2"/>
  <c r="T38" i="2" s="1"/>
  <c r="V906" i="2"/>
  <c r="W906" i="2"/>
  <c r="X906" i="2" s="1"/>
  <c r="X887" i="2"/>
  <c r="X315" i="2"/>
  <c r="V1499" i="2"/>
  <c r="W1499" i="2"/>
  <c r="S390" i="2"/>
  <c r="T390" i="2" s="1"/>
  <c r="K390" i="2"/>
  <c r="U390" i="2" s="1"/>
  <c r="S1342" i="2"/>
  <c r="T1342" i="2" s="1"/>
  <c r="K1342" i="2"/>
  <c r="U1342" i="2" s="1"/>
  <c r="K946" i="2"/>
  <c r="U946" i="2" s="1"/>
  <c r="S946" i="2"/>
  <c r="T946" i="2" s="1"/>
  <c r="K28" i="2"/>
  <c r="U28" i="2" s="1"/>
  <c r="S28" i="2"/>
  <c r="T28" i="2" s="1"/>
  <c r="S855" i="2"/>
  <c r="T855" i="2" s="1"/>
  <c r="K855" i="2"/>
  <c r="U855" i="2" s="1"/>
  <c r="S135" i="2"/>
  <c r="T135" i="2" s="1"/>
  <c r="K135" i="2"/>
  <c r="U135" i="2" s="1"/>
  <c r="S1496" i="2"/>
  <c r="T1496" i="2" s="1"/>
  <c r="K1496" i="2"/>
  <c r="U1496" i="2" s="1"/>
  <c r="S1752" i="2"/>
  <c r="T1752" i="2" s="1"/>
  <c r="X1752" i="2" s="1"/>
  <c r="K1752" i="2"/>
  <c r="U1752" i="2" s="1"/>
  <c r="K1753" i="2"/>
  <c r="U1753" i="2" s="1"/>
  <c r="S1753" i="2"/>
  <c r="T1753" i="2" s="1"/>
  <c r="X1753" i="2" s="1"/>
  <c r="S300" i="2"/>
  <c r="T300" i="2" s="1"/>
  <c r="K300" i="2"/>
  <c r="U300" i="2" s="1"/>
  <c r="S783" i="2"/>
  <c r="T783" i="2" s="1"/>
  <c r="K783" i="2"/>
  <c r="U783" i="2" s="1"/>
  <c r="V2041" i="2"/>
  <c r="W2041" i="2"/>
  <c r="S1198" i="2"/>
  <c r="T1198" i="2" s="1"/>
  <c r="K1198" i="2"/>
  <c r="U1198" i="2" s="1"/>
  <c r="S980" i="2"/>
  <c r="T980" i="2" s="1"/>
  <c r="K980" i="2"/>
  <c r="U980" i="2" s="1"/>
  <c r="V1484" i="2"/>
  <c r="W1484" i="2"/>
  <c r="X1484" i="2" s="1"/>
  <c r="V1914" i="2"/>
  <c r="W1914" i="2"/>
  <c r="K46" i="2"/>
  <c r="U46" i="2" s="1"/>
  <c r="S46" i="2"/>
  <c r="T46" i="2" s="1"/>
  <c r="X1245" i="2"/>
  <c r="V1180" i="2"/>
  <c r="W1180" i="2"/>
  <c r="V1736" i="2"/>
  <c r="W1736" i="2"/>
  <c r="K1057" i="2"/>
  <c r="U1057" i="2" s="1"/>
  <c r="S1057" i="2"/>
  <c r="T1057" i="2" s="1"/>
  <c r="S1510" i="2"/>
  <c r="T1510" i="2" s="1"/>
  <c r="K1510" i="2"/>
  <c r="U1510" i="2" s="1"/>
  <c r="V745" i="2"/>
  <c r="W745" i="2"/>
  <c r="X745" i="2" s="1"/>
  <c r="V273" i="2"/>
  <c r="W273" i="2"/>
  <c r="X273" i="2" s="1"/>
  <c r="V1735" i="2"/>
  <c r="W1735" i="2"/>
  <c r="S1480" i="2"/>
  <c r="T1480" i="2" s="1"/>
  <c r="K1480" i="2"/>
  <c r="U1480" i="2" s="1"/>
  <c r="V1858" i="2"/>
  <c r="W1858" i="2"/>
  <c r="V2104" i="2"/>
  <c r="W2104" i="2"/>
  <c r="V2044" i="2"/>
  <c r="W2044" i="2"/>
  <c r="X568" i="2"/>
  <c r="X1102" i="2"/>
  <c r="Q313" i="2"/>
  <c r="V1964" i="2"/>
  <c r="W1964" i="2"/>
  <c r="V1915" i="2"/>
  <c r="W1915" i="2"/>
  <c r="Q485" i="2"/>
  <c r="X1478" i="2"/>
  <c r="V1913" i="2"/>
  <c r="W1913" i="2"/>
  <c r="V2092" i="2"/>
  <c r="W2092" i="2"/>
  <c r="V428" i="2"/>
  <c r="W428" i="2"/>
  <c r="X428" i="2" s="1"/>
  <c r="V1339" i="2"/>
  <c r="W1339" i="2"/>
  <c r="X1339" i="2" s="1"/>
  <c r="V2022" i="2"/>
  <c r="W2022" i="2"/>
  <c r="S817" i="2"/>
  <c r="T817" i="2" s="1"/>
  <c r="K817" i="2"/>
  <c r="U817" i="2" s="1"/>
  <c r="V1408" i="2"/>
  <c r="W1408" i="2"/>
  <c r="V884" i="2"/>
  <c r="W884" i="2"/>
  <c r="X884" i="2" s="1"/>
  <c r="S1286" i="2"/>
  <c r="T1286" i="2" s="1"/>
  <c r="K1286" i="2"/>
  <c r="U1286" i="2" s="1"/>
  <c r="V932" i="2"/>
  <c r="W932" i="2"/>
  <c r="X932" i="2" s="1"/>
  <c r="S779" i="2"/>
  <c r="T779" i="2" s="1"/>
  <c r="K779" i="2"/>
  <c r="U779" i="2" s="1"/>
  <c r="K1053" i="2"/>
  <c r="U1053" i="2" s="1"/>
  <c r="S1053" i="2"/>
  <c r="T1053" i="2" s="1"/>
  <c r="K2030" i="2"/>
  <c r="U2030" i="2" s="1"/>
  <c r="S2030" i="2"/>
  <c r="T2030" i="2" s="1"/>
  <c r="X2030" i="2" s="1"/>
  <c r="S1681" i="2"/>
  <c r="T1681" i="2" s="1"/>
  <c r="X1681" i="2" s="1"/>
  <c r="K1681" i="2"/>
  <c r="U1681" i="2" s="1"/>
  <c r="V1465" i="2"/>
  <c r="W1465" i="2"/>
  <c r="X1465" i="2" s="1"/>
  <c r="S1896" i="2"/>
  <c r="T1896" i="2" s="1"/>
  <c r="X1896" i="2" s="1"/>
  <c r="K1896" i="2"/>
  <c r="U1896" i="2" s="1"/>
  <c r="V887" i="2"/>
  <c r="W887" i="2"/>
  <c r="S1442" i="2"/>
  <c r="T1442" i="2" s="1"/>
  <c r="K1442" i="2"/>
  <c r="U1442" i="2" s="1"/>
  <c r="K927" i="2"/>
  <c r="U927" i="2" s="1"/>
  <c r="S927" i="2"/>
  <c r="T927" i="2" s="1"/>
  <c r="V2028" i="2"/>
  <c r="W2028" i="2"/>
  <c r="X137" i="2"/>
  <c r="S1201" i="2"/>
  <c r="T1201" i="2" s="1"/>
  <c r="K1201" i="2"/>
  <c r="U1201" i="2" s="1"/>
  <c r="S270" i="2"/>
  <c r="T270" i="2" s="1"/>
  <c r="K270" i="2"/>
  <c r="U270" i="2" s="1"/>
  <c r="S183" i="2"/>
  <c r="T183" i="2" s="1"/>
  <c r="K183" i="2"/>
  <c r="U183" i="2" s="1"/>
  <c r="S1221" i="2"/>
  <c r="T1221" i="2" s="1"/>
  <c r="K1221" i="2"/>
  <c r="U1221" i="2" s="1"/>
  <c r="S184" i="2"/>
  <c r="T184" i="2" s="1"/>
  <c r="K184" i="2"/>
  <c r="U184" i="2" s="1"/>
  <c r="X1256" i="2"/>
  <c r="K921" i="2"/>
  <c r="U921" i="2" s="1"/>
  <c r="S921" i="2"/>
  <c r="T921" i="2" s="1"/>
  <c r="S2067" i="2"/>
  <c r="T2067" i="2" s="1"/>
  <c r="X2067" i="2" s="1"/>
  <c r="K2067" i="2"/>
  <c r="U2067" i="2" s="1"/>
  <c r="S787" i="2"/>
  <c r="T787" i="2" s="1"/>
  <c r="K787" i="2"/>
  <c r="U787" i="2" s="1"/>
  <c r="S2124" i="2"/>
  <c r="T2124" i="2" s="1"/>
  <c r="X2124" i="2" s="1"/>
  <c r="K2124" i="2"/>
  <c r="U2124" i="2" s="1"/>
  <c r="K951" i="2"/>
  <c r="U951" i="2" s="1"/>
  <c r="S951" i="2"/>
  <c r="T951" i="2" s="1"/>
  <c r="S1585" i="2"/>
  <c r="T1585" i="2" s="1"/>
  <c r="K1585" i="2"/>
  <c r="U1585" i="2" s="1"/>
  <c r="K415" i="2"/>
  <c r="U415" i="2" s="1"/>
  <c r="S415" i="2"/>
  <c r="T415" i="2" s="1"/>
  <c r="S1197" i="2"/>
  <c r="T1197" i="2" s="1"/>
  <c r="K1197" i="2"/>
  <c r="U1197" i="2" s="1"/>
  <c r="S1566" i="2"/>
  <c r="T1566" i="2" s="1"/>
  <c r="K1566" i="2"/>
  <c r="U1566" i="2" s="1"/>
  <c r="S161" i="2"/>
  <c r="T161" i="2" s="1"/>
  <c r="K161" i="2"/>
  <c r="U161" i="2" s="1"/>
  <c r="S1260" i="2"/>
  <c r="T1260" i="2" s="1"/>
  <c r="K1260" i="2"/>
  <c r="U1260" i="2" s="1"/>
  <c r="V45" i="2"/>
  <c r="W45" i="2"/>
  <c r="X45" i="2" s="1"/>
  <c r="S1750" i="2"/>
  <c r="T1750" i="2" s="1"/>
  <c r="X1750" i="2" s="1"/>
  <c r="K1750" i="2"/>
  <c r="U1750" i="2" s="1"/>
  <c r="V1305" i="2"/>
  <c r="W1305" i="2"/>
  <c r="X1305" i="2" s="1"/>
  <c r="V1320" i="2"/>
  <c r="W1320" i="2"/>
  <c r="X1320" i="2" s="1"/>
  <c r="V1439" i="2"/>
  <c r="W1439" i="2"/>
  <c r="X1013" i="2"/>
  <c r="V291" i="2"/>
  <c r="W291" i="2"/>
  <c r="X291" i="2" s="1"/>
  <c r="V1038" i="2"/>
  <c r="W1038" i="2"/>
  <c r="X1038" i="2" s="1"/>
  <c r="V128" i="2"/>
  <c r="W128" i="2"/>
  <c r="X128" i="2" s="1"/>
  <c r="S325" i="2"/>
  <c r="T325" i="2" s="1"/>
  <c r="K325" i="2"/>
  <c r="U325" i="2" s="1"/>
  <c r="S714" i="2"/>
  <c r="T714" i="2" s="1"/>
  <c r="K714" i="2"/>
  <c r="U714" i="2" s="1"/>
  <c r="S1421" i="2"/>
  <c r="T1421" i="2" s="1"/>
  <c r="K1421" i="2"/>
  <c r="U1421" i="2" s="1"/>
  <c r="V301" i="2"/>
  <c r="W301" i="2"/>
  <c r="X301" i="2" s="1"/>
  <c r="S475" i="2"/>
  <c r="T475" i="2" s="1"/>
  <c r="K475" i="2"/>
  <c r="U475" i="2" s="1"/>
  <c r="S98" i="2"/>
  <c r="T98" i="2" s="1"/>
  <c r="K98" i="2"/>
  <c r="U98" i="2" s="1"/>
  <c r="S2056" i="2"/>
  <c r="T2056" i="2" s="1"/>
  <c r="X2056" i="2" s="1"/>
  <c r="K2056" i="2"/>
  <c r="U2056" i="2" s="1"/>
  <c r="K2034" i="2"/>
  <c r="U2034" i="2" s="1"/>
  <c r="S2034" i="2"/>
  <c r="T2034" i="2" s="1"/>
  <c r="X2034" i="2" s="1"/>
  <c r="O730" i="2"/>
  <c r="Q730" i="2" s="1"/>
  <c r="O704" i="2"/>
  <c r="Q704" i="2" s="1"/>
  <c r="O692" i="2"/>
  <c r="Q692" i="2" s="1"/>
  <c r="O690" i="2"/>
  <c r="Q690" i="2" s="1"/>
  <c r="O662" i="2"/>
  <c r="Q662" i="2" s="1"/>
  <c r="O658" i="2"/>
  <c r="Q658" i="2" s="1"/>
  <c r="O689" i="2"/>
  <c r="Q689" i="2" s="1"/>
  <c r="O717" i="2"/>
  <c r="Q717" i="2" s="1"/>
  <c r="O756" i="2"/>
  <c r="Q756" i="2" s="1"/>
  <c r="O726" i="2"/>
  <c r="Q726" i="2" s="1"/>
  <c r="O617" i="2"/>
  <c r="Q617" i="2" s="1"/>
  <c r="O651" i="2"/>
  <c r="Q651" i="2" s="1"/>
  <c r="K966" i="2"/>
  <c r="U966" i="2" s="1"/>
  <c r="S966" i="2"/>
  <c r="T966" i="2" s="1"/>
  <c r="S1211" i="2"/>
  <c r="T1211" i="2" s="1"/>
  <c r="K1211" i="2"/>
  <c r="U1211" i="2" s="1"/>
  <c r="K788" i="2"/>
  <c r="U788" i="2" s="1"/>
  <c r="S788" i="2"/>
  <c r="T788" i="2" s="1"/>
  <c r="S2159" i="2"/>
  <c r="T2159" i="2" s="1"/>
  <c r="X2159" i="2" s="1"/>
  <c r="K2159" i="2"/>
  <c r="U2159" i="2" s="1"/>
  <c r="S577" i="2"/>
  <c r="T577" i="2" s="1"/>
  <c r="K577" i="2"/>
  <c r="U577" i="2" s="1"/>
  <c r="S1810" i="2"/>
  <c r="T1810" i="2" s="1"/>
  <c r="X1810" i="2" s="1"/>
  <c r="K1810" i="2"/>
  <c r="U1810" i="2" s="1"/>
  <c r="V1307" i="2"/>
  <c r="W1307" i="2"/>
  <c r="X1307" i="2" s="1"/>
  <c r="S153" i="2"/>
  <c r="T153" i="2" s="1"/>
  <c r="K153" i="2"/>
  <c r="U153" i="2" s="1"/>
  <c r="V89" i="2"/>
  <c r="W89" i="2"/>
  <c r="V1917" i="2"/>
  <c r="W1917" i="2"/>
  <c r="V1952" i="2"/>
  <c r="W1952" i="2"/>
  <c r="V2105" i="2"/>
  <c r="W2105" i="2"/>
  <c r="Q1780" i="2"/>
  <c r="V1894" i="2"/>
  <c r="W1894" i="2"/>
  <c r="V1541" i="2"/>
  <c r="W1541" i="2"/>
  <c r="S1083" i="2"/>
  <c r="T1083" i="2" s="1"/>
  <c r="K1083" i="2"/>
  <c r="U1083" i="2" s="1"/>
  <c r="S306" i="2"/>
  <c r="T306" i="2" s="1"/>
  <c r="K306" i="2"/>
  <c r="U306" i="2" s="1"/>
  <c r="S832" i="2"/>
  <c r="T832" i="2" s="1"/>
  <c r="K832" i="2"/>
  <c r="U832" i="2" s="1"/>
  <c r="S761" i="2"/>
  <c r="T761" i="2" s="1"/>
  <c r="K761" i="2"/>
  <c r="U761" i="2" s="1"/>
  <c r="K158" i="2"/>
  <c r="U158" i="2" s="1"/>
  <c r="S158" i="2"/>
  <c r="T158" i="2" s="1"/>
  <c r="K152" i="2"/>
  <c r="U152" i="2" s="1"/>
  <c r="S152" i="2"/>
  <c r="T152" i="2" s="1"/>
  <c r="S1094" i="2"/>
  <c r="T1094" i="2" s="1"/>
  <c r="K1094" i="2"/>
  <c r="U1094" i="2" s="1"/>
  <c r="S1225" i="2"/>
  <c r="T1225" i="2" s="1"/>
  <c r="K1225" i="2"/>
  <c r="U1225" i="2" s="1"/>
  <c r="V51" i="2"/>
  <c r="W51" i="2"/>
  <c r="S1475" i="2"/>
  <c r="T1475" i="2" s="1"/>
  <c r="K1475" i="2"/>
  <c r="U1475" i="2" s="1"/>
  <c r="X1508" i="2"/>
  <c r="K1017" i="2"/>
  <c r="U1017" i="2" s="1"/>
  <c r="S1017" i="2"/>
  <c r="T1017" i="2" s="1"/>
  <c r="S2150" i="2"/>
  <c r="T2150" i="2" s="1"/>
  <c r="X2150" i="2" s="1"/>
  <c r="K2150" i="2"/>
  <c r="U2150" i="2" s="1"/>
  <c r="S374" i="2"/>
  <c r="T374" i="2" s="1"/>
  <c r="K374" i="2"/>
  <c r="U374" i="2" s="1"/>
  <c r="S1729" i="2"/>
  <c r="T1729" i="2" s="1"/>
  <c r="X1729" i="2" s="1"/>
  <c r="K1729" i="2"/>
  <c r="U1729" i="2" s="1"/>
  <c r="S513" i="2"/>
  <c r="T513" i="2" s="1"/>
  <c r="K513" i="2"/>
  <c r="U513" i="2" s="1"/>
  <c r="X1265" i="2"/>
  <c r="S232" i="2"/>
  <c r="T232" i="2" s="1"/>
  <c r="K232" i="2"/>
  <c r="U232" i="2" s="1"/>
  <c r="K1615" i="2"/>
  <c r="U1615" i="2" s="1"/>
  <c r="S1615" i="2"/>
  <c r="T1615" i="2" s="1"/>
  <c r="K1961" i="2"/>
  <c r="U1961" i="2" s="1"/>
  <c r="S1961" i="2"/>
  <c r="T1961" i="2" s="1"/>
  <c r="X1961" i="2" s="1"/>
  <c r="K897" i="2"/>
  <c r="U897" i="2" s="1"/>
  <c r="S897" i="2"/>
  <c r="T897" i="2" s="1"/>
  <c r="X89" i="2"/>
  <c r="S1129" i="2"/>
  <c r="T1129" i="2" s="1"/>
  <c r="K1129" i="2"/>
  <c r="U1129" i="2" s="1"/>
  <c r="S1777" i="2"/>
  <c r="T1777" i="2" s="1"/>
  <c r="X1777" i="2" s="1"/>
  <c r="K1777" i="2"/>
  <c r="U1777" i="2" s="1"/>
  <c r="X1541" i="2"/>
  <c r="S1164" i="2"/>
  <c r="T1164" i="2" s="1"/>
  <c r="K1164" i="2"/>
  <c r="U1164" i="2" s="1"/>
  <c r="S1155" i="2"/>
  <c r="T1155" i="2" s="1"/>
  <c r="K1155" i="2"/>
  <c r="U1155" i="2" s="1"/>
  <c r="S106" i="2"/>
  <c r="T106" i="2" s="1"/>
  <c r="K106" i="2"/>
  <c r="U106" i="2" s="1"/>
  <c r="V1113" i="2"/>
  <c r="W1113" i="2"/>
  <c r="K1043" i="2"/>
  <c r="U1043" i="2" s="1"/>
  <c r="S1043" i="2"/>
  <c r="T1043" i="2" s="1"/>
  <c r="K954" i="2"/>
  <c r="U954" i="2" s="1"/>
  <c r="S954" i="2"/>
  <c r="T954" i="2" s="1"/>
  <c r="V804" i="2"/>
  <c r="W804" i="2"/>
  <c r="K1958" i="2"/>
  <c r="U1958" i="2" s="1"/>
  <c r="S1958" i="2"/>
  <c r="T1958" i="2" s="1"/>
  <c r="X1958" i="2" s="1"/>
  <c r="V459" i="2"/>
  <c r="W459" i="2"/>
  <c r="S316" i="2"/>
  <c r="T316" i="2" s="1"/>
  <c r="K316" i="2"/>
  <c r="U316" i="2" s="1"/>
  <c r="X844" i="2"/>
  <c r="K506" i="2"/>
  <c r="U506" i="2" s="1"/>
  <c r="S506" i="2"/>
  <c r="T506" i="2" s="1"/>
  <c r="S1631" i="2"/>
  <c r="T1631" i="2" s="1"/>
  <c r="X1631" i="2" s="1"/>
  <c r="K1631" i="2"/>
  <c r="U1631" i="2" s="1"/>
  <c r="S1306" i="2"/>
  <c r="T1306" i="2" s="1"/>
  <c r="K1306" i="2"/>
  <c r="U1306" i="2" s="1"/>
  <c r="V1682" i="2"/>
  <c r="W1682" i="2"/>
  <c r="S4" i="2"/>
  <c r="T4" i="2" s="1"/>
  <c r="K4" i="2"/>
  <c r="U4" i="2" s="1"/>
  <c r="X804" i="2"/>
  <c r="X459" i="2"/>
  <c r="V1612" i="2"/>
  <c r="W1612" i="2"/>
  <c r="X1612" i="2" s="1"/>
  <c r="V1601" i="2"/>
  <c r="W1601" i="2"/>
  <c r="X1601" i="2" s="1"/>
  <c r="V1102" i="2"/>
  <c r="W1102" i="2"/>
  <c r="S1485" i="2"/>
  <c r="T1485" i="2" s="1"/>
  <c r="K1485" i="2"/>
  <c r="U1485" i="2" s="1"/>
  <c r="S1143" i="2"/>
  <c r="T1143" i="2" s="1"/>
  <c r="K1143" i="2"/>
  <c r="U1143" i="2" s="1"/>
  <c r="S1483" i="2"/>
  <c r="T1483" i="2" s="1"/>
  <c r="K1483" i="2"/>
  <c r="U1483" i="2" s="1"/>
  <c r="S1621" i="2"/>
  <c r="T1621" i="2" s="1"/>
  <c r="X1621" i="2" s="1"/>
  <c r="K1621" i="2"/>
  <c r="U1621" i="2" s="1"/>
  <c r="S1594" i="2"/>
  <c r="T1594" i="2" s="1"/>
  <c r="K1594" i="2"/>
  <c r="U1594" i="2" s="1"/>
  <c r="Q1783" i="2"/>
  <c r="V867" i="2"/>
  <c r="W867" i="2"/>
  <c r="S1597" i="2"/>
  <c r="T1597" i="2" s="1"/>
  <c r="K1597" i="2"/>
  <c r="U1597" i="2" s="1"/>
  <c r="V843" i="2"/>
  <c r="W843" i="2"/>
  <c r="X843" i="2" s="1"/>
  <c r="X1133" i="2"/>
  <c r="S1739" i="2"/>
  <c r="T1739" i="2" s="1"/>
  <c r="X1739" i="2" s="1"/>
  <c r="K1739" i="2"/>
  <c r="U1739" i="2" s="1"/>
  <c r="S505" i="2"/>
  <c r="T505" i="2" s="1"/>
  <c r="K505" i="2"/>
  <c r="U505" i="2" s="1"/>
  <c r="S276" i="2"/>
  <c r="T276" i="2" s="1"/>
  <c r="K276" i="2"/>
  <c r="U276" i="2" s="1"/>
  <c r="O230" i="2"/>
  <c r="Q230" i="2" s="1"/>
  <c r="O215" i="2"/>
  <c r="Q215" i="2" s="1"/>
  <c r="O202" i="2"/>
  <c r="Q202" i="2" s="1"/>
  <c r="O186" i="2"/>
  <c r="Q186" i="2" s="1"/>
  <c r="O178" i="2"/>
  <c r="Q178" i="2" s="1"/>
  <c r="O162" i="2"/>
  <c r="Q162" i="2" s="1"/>
  <c r="O160" i="2"/>
  <c r="Q160" i="2" s="1"/>
  <c r="O154" i="2"/>
  <c r="Q154" i="2" s="1"/>
  <c r="O210" i="2"/>
  <c r="Q210" i="2" s="1"/>
  <c r="O189" i="2"/>
  <c r="Q189" i="2" s="1"/>
  <c r="O125" i="2"/>
  <c r="Q125" i="2" s="1"/>
  <c r="O185" i="2"/>
  <c r="Q185" i="2" s="1"/>
  <c r="S131" i="2"/>
  <c r="T131" i="2" s="1"/>
  <c r="K131" i="2"/>
  <c r="U131" i="2" s="1"/>
  <c r="S1588" i="2"/>
  <c r="T1588" i="2" s="1"/>
  <c r="K1588" i="2"/>
  <c r="U1588" i="2" s="1"/>
  <c r="V1674" i="2"/>
  <c r="W1674" i="2"/>
  <c r="S371" i="2"/>
  <c r="T371" i="2" s="1"/>
  <c r="K371" i="2"/>
  <c r="U371" i="2" s="1"/>
  <c r="X685" i="2"/>
  <c r="K2055" i="2"/>
  <c r="U2055" i="2" s="1"/>
  <c r="S2055" i="2"/>
  <c r="T2055" i="2" s="1"/>
  <c r="X2055" i="2" s="1"/>
  <c r="K2049" i="2"/>
  <c r="U2049" i="2" s="1"/>
  <c r="S2049" i="2"/>
  <c r="T2049" i="2" s="1"/>
  <c r="X2049" i="2" s="1"/>
  <c r="S1454" i="2"/>
  <c r="T1454" i="2" s="1"/>
  <c r="K1454" i="2"/>
  <c r="U1454" i="2" s="1"/>
  <c r="S1254" i="2"/>
  <c r="T1254" i="2" s="1"/>
  <c r="K1254" i="2"/>
  <c r="U1254" i="2" s="1"/>
  <c r="S245" i="2"/>
  <c r="T245" i="2" s="1"/>
  <c r="K245" i="2"/>
  <c r="U245" i="2" s="1"/>
  <c r="S928" i="2"/>
  <c r="T928" i="2" s="1"/>
  <c r="K928" i="2"/>
  <c r="U928" i="2" s="1"/>
  <c r="S549" i="2"/>
  <c r="T549" i="2" s="1"/>
  <c r="K549" i="2"/>
  <c r="U549" i="2" s="1"/>
  <c r="S1207" i="2"/>
  <c r="T1207" i="2" s="1"/>
  <c r="K1207" i="2"/>
  <c r="U1207" i="2" s="1"/>
  <c r="K1797" i="2"/>
  <c r="U1797" i="2" s="1"/>
  <c r="S1797" i="2"/>
  <c r="T1797" i="2" s="1"/>
  <c r="X1797" i="2" s="1"/>
  <c r="S1452" i="2"/>
  <c r="T1452" i="2" s="1"/>
  <c r="K1452" i="2"/>
  <c r="U1452" i="2" s="1"/>
  <c r="S1677" i="2"/>
  <c r="T1677" i="2" s="1"/>
  <c r="X1677" i="2" s="1"/>
  <c r="K1677" i="2"/>
  <c r="U1677" i="2" s="1"/>
  <c r="S361" i="2"/>
  <c r="T361" i="2" s="1"/>
  <c r="K361" i="2"/>
  <c r="U361" i="2" s="1"/>
  <c r="K686" i="2"/>
  <c r="U686" i="2" s="1"/>
  <c r="S686" i="2"/>
  <c r="T686" i="2" s="1"/>
  <c r="S1816" i="2"/>
  <c r="T1816" i="2" s="1"/>
  <c r="X1816" i="2" s="1"/>
  <c r="K1816" i="2"/>
  <c r="U1816" i="2" s="1"/>
  <c r="S592" i="2"/>
  <c r="T592" i="2" s="1"/>
  <c r="K592" i="2"/>
  <c r="U592" i="2" s="1"/>
  <c r="O1514" i="2"/>
  <c r="Q1514" i="2" s="1"/>
  <c r="O1492" i="2"/>
  <c r="Q1492" i="2" s="1"/>
  <c r="O1476" i="2"/>
  <c r="Q1476" i="2" s="1"/>
  <c r="O1466" i="2"/>
  <c r="Q1466" i="2" s="1"/>
  <c r="O1430" i="2"/>
  <c r="Q1430" i="2" s="1"/>
  <c r="O1467" i="2"/>
  <c r="Q1467" i="2" s="1"/>
  <c r="O1469" i="2"/>
  <c r="Q1469" i="2" s="1"/>
  <c r="O1445" i="2"/>
  <c r="Q1445" i="2" s="1"/>
  <c r="O1495" i="2"/>
  <c r="Q1495" i="2" s="1"/>
  <c r="O1489" i="2"/>
  <c r="Q1489" i="2" s="1"/>
  <c r="O1449" i="2"/>
  <c r="Q1449" i="2" s="1"/>
  <c r="O1453" i="2"/>
  <c r="Q1453" i="2" s="1"/>
  <c r="O1052" i="2"/>
  <c r="Q1052" i="2" s="1"/>
  <c r="O1012" i="2"/>
  <c r="Q1012" i="2" s="1"/>
  <c r="O903" i="2"/>
  <c r="Q903" i="2" s="1"/>
  <c r="O895" i="2"/>
  <c r="Q895" i="2" s="1"/>
  <c r="O883" i="2"/>
  <c r="Q883" i="2" s="1"/>
  <c r="O837" i="2"/>
  <c r="Q837" i="2" s="1"/>
  <c r="O947" i="2"/>
  <c r="Q947" i="2" s="1"/>
  <c r="O950" i="2"/>
  <c r="Q950" i="2" s="1"/>
  <c r="O1005" i="2"/>
  <c r="Q1005" i="2" s="1"/>
  <c r="O993" i="2"/>
  <c r="Q993" i="2" s="1"/>
  <c r="O969" i="2"/>
  <c r="Q969" i="2" s="1"/>
  <c r="O944" i="2"/>
  <c r="Q944" i="2" s="1"/>
  <c r="S479" i="2"/>
  <c r="T479" i="2" s="1"/>
  <c r="K479" i="2"/>
  <c r="U479" i="2" s="1"/>
  <c r="S2125" i="2"/>
  <c r="T2125" i="2" s="1"/>
  <c r="X2125" i="2" s="1"/>
  <c r="K2125" i="2"/>
  <c r="U2125" i="2" s="1"/>
  <c r="S476" i="2"/>
  <c r="T476" i="2" s="1"/>
  <c r="K476" i="2"/>
  <c r="U476" i="2" s="1"/>
  <c r="S418" i="2"/>
  <c r="T418" i="2" s="1"/>
  <c r="K418" i="2"/>
  <c r="U418" i="2" s="1"/>
  <c r="S333" i="2"/>
  <c r="T333" i="2" s="1"/>
  <c r="K333" i="2"/>
  <c r="U333" i="2" s="1"/>
  <c r="K1027" i="2"/>
  <c r="U1027" i="2" s="1"/>
  <c r="S1027" i="2"/>
  <c r="T1027" i="2" s="1"/>
  <c r="S248" i="2"/>
  <c r="T248" i="2" s="1"/>
  <c r="K248" i="2"/>
  <c r="U248" i="2" s="1"/>
  <c r="S1769" i="2"/>
  <c r="T1769" i="2" s="1"/>
  <c r="X1769" i="2" s="1"/>
  <c r="K1769" i="2"/>
  <c r="U1769" i="2" s="1"/>
  <c r="S262" i="2"/>
  <c r="T262" i="2" s="1"/>
  <c r="K262" i="2"/>
  <c r="U262" i="2" s="1"/>
  <c r="S724" i="2"/>
  <c r="T724" i="2" s="1"/>
  <c r="K724" i="2"/>
  <c r="U724" i="2" s="1"/>
  <c r="S1511" i="2"/>
  <c r="T1511" i="2" s="1"/>
  <c r="K1511" i="2"/>
  <c r="U1511" i="2" s="1"/>
  <c r="S1820" i="2"/>
  <c r="T1820" i="2" s="1"/>
  <c r="X1820" i="2" s="1"/>
  <c r="K1820" i="2"/>
  <c r="U1820" i="2" s="1"/>
  <c r="S2142" i="2"/>
  <c r="T2142" i="2" s="1"/>
  <c r="X2142" i="2" s="1"/>
  <c r="K2142" i="2"/>
  <c r="U2142" i="2" s="1"/>
  <c r="S812" i="2"/>
  <c r="T812" i="2" s="1"/>
  <c r="K812" i="2"/>
  <c r="U812" i="2" s="1"/>
  <c r="S668" i="2"/>
  <c r="T668" i="2" s="1"/>
  <c r="K668" i="2"/>
  <c r="U668" i="2" s="1"/>
  <c r="V1768" i="2"/>
  <c r="W1768" i="2"/>
  <c r="S2155" i="2"/>
  <c r="T2155" i="2" s="1"/>
  <c r="X2155" i="2" s="1"/>
  <c r="K2155" i="2"/>
  <c r="U2155" i="2" s="1"/>
  <c r="S1220" i="2"/>
  <c r="T1220" i="2" s="1"/>
  <c r="K1220" i="2"/>
  <c r="U1220" i="2" s="1"/>
  <c r="S1916" i="2"/>
  <c r="T1916" i="2" s="1"/>
  <c r="X1916" i="2" s="1"/>
  <c r="K1916" i="2"/>
  <c r="U1916" i="2" s="1"/>
  <c r="K1078" i="2"/>
  <c r="U1078" i="2" s="1"/>
  <c r="S1078" i="2"/>
  <c r="T1078" i="2" s="1"/>
  <c r="V2043" i="2"/>
  <c r="W2043" i="2"/>
  <c r="K1662" i="2"/>
  <c r="U1662" i="2" s="1"/>
  <c r="S1662" i="2"/>
  <c r="T1662" i="2" s="1"/>
  <c r="X1662" i="2" s="1"/>
  <c r="V1605" i="2"/>
  <c r="W1605" i="2"/>
  <c r="X1605" i="2" s="1"/>
  <c r="V1241" i="2"/>
  <c r="W1241" i="2"/>
  <c r="X1241" i="2" s="1"/>
  <c r="W243" i="2"/>
  <c r="X243" i="2" s="1"/>
  <c r="S1135" i="2"/>
  <c r="T1135" i="2" s="1"/>
  <c r="K1135" i="2"/>
  <c r="U1135" i="2" s="1"/>
  <c r="S1360" i="2"/>
  <c r="T1360" i="2" s="1"/>
  <c r="K1360" i="2"/>
  <c r="U1360" i="2" s="1"/>
  <c r="V1243" i="2"/>
  <c r="W1243" i="2"/>
  <c r="X1499" i="2"/>
  <c r="S487" i="2"/>
  <c r="T487" i="2" s="1"/>
  <c r="K487" i="2"/>
  <c r="U487" i="2" s="1"/>
  <c r="S632" i="2"/>
  <c r="T632" i="2" s="1"/>
  <c r="K632" i="2"/>
  <c r="U632" i="2" s="1"/>
  <c r="S409" i="2"/>
  <c r="T409" i="2" s="1"/>
  <c r="K409" i="2"/>
  <c r="U409" i="2" s="1"/>
  <c r="K68" i="2"/>
  <c r="U68" i="2" s="1"/>
  <c r="S68" i="2"/>
  <c r="T68" i="2" s="1"/>
  <c r="S283" i="2"/>
  <c r="T283" i="2" s="1"/>
  <c r="K283" i="2"/>
  <c r="U283" i="2" s="1"/>
  <c r="S84" i="2"/>
  <c r="T84" i="2" s="1"/>
  <c r="K84" i="2"/>
  <c r="U84" i="2" s="1"/>
  <c r="K667" i="2"/>
  <c r="U667" i="2" s="1"/>
  <c r="S667" i="2"/>
  <c r="T667" i="2" s="1"/>
  <c r="K1761" i="2"/>
  <c r="U1761" i="2" s="1"/>
  <c r="S1761" i="2"/>
  <c r="T1761" i="2" s="1"/>
  <c r="X1761" i="2" s="1"/>
  <c r="S1755" i="2"/>
  <c r="T1755" i="2" s="1"/>
  <c r="X1755" i="2" s="1"/>
  <c r="K1755" i="2"/>
  <c r="U1755" i="2" s="1"/>
  <c r="S317" i="2"/>
  <c r="T317" i="2" s="1"/>
  <c r="K317" i="2"/>
  <c r="U317" i="2" s="1"/>
  <c r="S800" i="2"/>
  <c r="T800" i="2" s="1"/>
  <c r="K800" i="2"/>
  <c r="U800" i="2" s="1"/>
  <c r="V512" i="2"/>
  <c r="W512" i="2"/>
  <c r="X512" i="2" s="1"/>
  <c r="K1608" i="2"/>
  <c r="U1608" i="2" s="1"/>
  <c r="S1608" i="2"/>
  <c r="T1608" i="2" s="1"/>
  <c r="V830" i="2"/>
  <c r="W830" i="2"/>
  <c r="X830" i="2" s="1"/>
  <c r="V352" i="2"/>
  <c r="W352" i="2"/>
  <c r="X352" i="2" s="1"/>
  <c r="V987" i="2"/>
  <c r="W987" i="2"/>
  <c r="X987" i="2" s="1"/>
  <c r="V670" i="2"/>
  <c r="W670" i="2"/>
  <c r="X670" i="2" s="1"/>
  <c r="X1180" i="2"/>
  <c r="S1040" i="2"/>
  <c r="T1040" i="2" s="1"/>
  <c r="K1040" i="2"/>
  <c r="U1040" i="2" s="1"/>
  <c r="S1533" i="2"/>
  <c r="T1533" i="2" s="1"/>
  <c r="K1533" i="2"/>
  <c r="U1533" i="2" s="1"/>
  <c r="K631" i="2"/>
  <c r="U631" i="2" s="1"/>
  <c r="S631" i="2"/>
  <c r="T631" i="2" s="1"/>
  <c r="V2097" i="2"/>
  <c r="W2097" i="2"/>
  <c r="V1232" i="2"/>
  <c r="W1232" i="2"/>
  <c r="X107" i="2"/>
  <c r="O1770" i="2"/>
  <c r="Q1770" i="2" s="1"/>
  <c r="O1775" i="2"/>
  <c r="Q1775" i="2" s="1"/>
  <c r="O1774" i="2"/>
  <c r="Q1774" i="2" s="1"/>
  <c r="O1772" i="2"/>
  <c r="Q1772" i="2" s="1"/>
  <c r="O1773" i="2"/>
  <c r="Q1773" i="2" s="1"/>
  <c r="O1771" i="2"/>
  <c r="Q1771" i="2" s="1"/>
  <c r="O321" i="2"/>
  <c r="Q321" i="2" s="1"/>
  <c r="O336" i="2"/>
  <c r="Q336" i="2" s="1"/>
  <c r="O332" i="2"/>
  <c r="Q332" i="2" s="1"/>
  <c r="O307" i="2"/>
  <c r="Q307" i="2" s="1"/>
  <c r="O312" i="2"/>
  <c r="Q312" i="2" s="1"/>
  <c r="O296" i="2"/>
  <c r="Q296" i="2" s="1"/>
  <c r="Q322" i="2"/>
  <c r="V955" i="2"/>
  <c r="W955" i="2"/>
  <c r="X955" i="2" s="1"/>
  <c r="X1488" i="2"/>
  <c r="Q370" i="2"/>
  <c r="X1614" i="2"/>
  <c r="V1853" i="2"/>
  <c r="W1853" i="2"/>
  <c r="V1620" i="2"/>
  <c r="W1620" i="2"/>
  <c r="V750" i="2"/>
  <c r="W750" i="2"/>
  <c r="X750" i="2" s="1"/>
  <c r="V1755" i="2" l="1"/>
  <c r="W1755" i="2"/>
  <c r="S154" i="2"/>
  <c r="T154" i="2" s="1"/>
  <c r="K154" i="2"/>
  <c r="U154" i="2" s="1"/>
  <c r="V855" i="2"/>
  <c r="W855" i="2"/>
  <c r="V2121" i="2"/>
  <c r="W2121" i="2"/>
  <c r="S1493" i="2"/>
  <c r="T1493" i="2" s="1"/>
  <c r="K1493" i="2"/>
  <c r="U1493" i="2" s="1"/>
  <c r="S197" i="2"/>
  <c r="T197" i="2" s="1"/>
  <c r="K197" i="2"/>
  <c r="U197" i="2" s="1"/>
  <c r="S1931" i="2"/>
  <c r="T1931" i="2" s="1"/>
  <c r="X1931" i="2" s="1"/>
  <c r="K1931" i="2"/>
  <c r="U1931" i="2" s="1"/>
  <c r="V355" i="2"/>
  <c r="W355" i="2"/>
  <c r="V259" i="2"/>
  <c r="W259" i="2"/>
  <c r="X259" i="2" s="1"/>
  <c r="V789" i="2"/>
  <c r="W789" i="2"/>
  <c r="X789" i="2" s="1"/>
  <c r="S895" i="2"/>
  <c r="T895" i="2" s="1"/>
  <c r="K895" i="2"/>
  <c r="U895" i="2" s="1"/>
  <c r="V1621" i="2"/>
  <c r="W1621" i="2"/>
  <c r="V1090" i="2"/>
  <c r="W1090" i="2"/>
  <c r="V1237" i="2"/>
  <c r="W1237" i="2"/>
  <c r="X1237" i="2" s="1"/>
  <c r="X657" i="2"/>
  <c r="V534" i="2"/>
  <c r="W534" i="2"/>
  <c r="S777" i="2"/>
  <c r="T777" i="2" s="1"/>
  <c r="K777" i="2"/>
  <c r="U777" i="2" s="1"/>
  <c r="V836" i="2"/>
  <c r="W836" i="2"/>
  <c r="V1400" i="2"/>
  <c r="W1400" i="2"/>
  <c r="X1400" i="2" s="1"/>
  <c r="X715" i="2"/>
  <c r="V2117" i="2"/>
  <c r="W2117" i="2"/>
  <c r="K1710" i="2"/>
  <c r="U1710" i="2" s="1"/>
  <c r="S1710" i="2"/>
  <c r="T1710" i="2" s="1"/>
  <c r="X1710" i="2" s="1"/>
  <c r="V842" i="2"/>
  <c r="W842" i="2"/>
  <c r="V1898" i="2"/>
  <c r="W1898" i="2"/>
  <c r="K42" i="2"/>
  <c r="U42" i="2" s="1"/>
  <c r="S42" i="2"/>
  <c r="T42" i="2" s="1"/>
  <c r="V1286" i="2"/>
  <c r="W1286" i="2"/>
  <c r="V2053" i="2"/>
  <c r="W2053" i="2"/>
  <c r="K924" i="2"/>
  <c r="U924" i="2" s="1"/>
  <c r="S924" i="2"/>
  <c r="T924" i="2" s="1"/>
  <c r="S21" i="2"/>
  <c r="T21" i="2" s="1"/>
  <c r="K21" i="2"/>
  <c r="U21" i="2" s="1"/>
  <c r="V2148" i="2"/>
  <c r="W2148" i="2"/>
  <c r="S1304" i="2"/>
  <c r="T1304" i="2" s="1"/>
  <c r="K1304" i="2"/>
  <c r="U1304" i="2" s="1"/>
  <c r="X1551" i="2"/>
  <c r="V1441" i="2"/>
  <c r="W1441" i="2"/>
  <c r="V232" i="2"/>
  <c r="W232" i="2"/>
  <c r="X232" i="2" s="1"/>
  <c r="V475" i="2"/>
  <c r="W475" i="2"/>
  <c r="X475" i="2" s="1"/>
  <c r="X921" i="2"/>
  <c r="X1057" i="2"/>
  <c r="V87" i="2"/>
  <c r="W87" i="2"/>
  <c r="V1124" i="2"/>
  <c r="W1124" i="2"/>
  <c r="V1182" i="2"/>
  <c r="W1182" i="2"/>
  <c r="X793" i="2"/>
  <c r="S840" i="2"/>
  <c r="T840" i="2" s="1"/>
  <c r="K840" i="2"/>
  <c r="U840" i="2" s="1"/>
  <c r="V388" i="2"/>
  <c r="W388" i="2"/>
  <c r="X388" i="2" s="1"/>
  <c r="K918" i="2"/>
  <c r="U918" i="2" s="1"/>
  <c r="S918" i="2"/>
  <c r="T918" i="2" s="1"/>
  <c r="K904" i="2"/>
  <c r="U904" i="2" s="1"/>
  <c r="S904" i="2"/>
  <c r="T904" i="2" s="1"/>
  <c r="K1021" i="2"/>
  <c r="U1021" i="2" s="1"/>
  <c r="S1021" i="2"/>
  <c r="T1021" i="2" s="1"/>
  <c r="V1507" i="2"/>
  <c r="W1507" i="2"/>
  <c r="S1546" i="2"/>
  <c r="T1546" i="2" s="1"/>
  <c r="K1546" i="2"/>
  <c r="U1546" i="2" s="1"/>
  <c r="K1708" i="2"/>
  <c r="U1708" i="2" s="1"/>
  <c r="S1708" i="2"/>
  <c r="T1708" i="2" s="1"/>
  <c r="X1708" i="2" s="1"/>
  <c r="V1537" i="2"/>
  <c r="W1537" i="2"/>
  <c r="S1707" i="2"/>
  <c r="T1707" i="2" s="1"/>
  <c r="X1707" i="2" s="1"/>
  <c r="K1707" i="2"/>
  <c r="U1707" i="2" s="1"/>
  <c r="S49" i="2"/>
  <c r="T49" i="2" s="1"/>
  <c r="K49" i="2"/>
  <c r="U49" i="2" s="1"/>
  <c r="V387" i="2"/>
  <c r="W387" i="2"/>
  <c r="K72" i="2"/>
  <c r="U72" i="2" s="1"/>
  <c r="S72" i="2"/>
  <c r="T72" i="2" s="1"/>
  <c r="K994" i="2"/>
  <c r="U994" i="2" s="1"/>
  <c r="S994" i="2"/>
  <c r="T994" i="2" s="1"/>
  <c r="S1825" i="2"/>
  <c r="T1825" i="2" s="1"/>
  <c r="X1825" i="2" s="1"/>
  <c r="K1825" i="2"/>
  <c r="U1825" i="2" s="1"/>
  <c r="S117" i="2"/>
  <c r="T117" i="2" s="1"/>
  <c r="K117" i="2"/>
  <c r="U117" i="2" s="1"/>
  <c r="K1331" i="2"/>
  <c r="U1331" i="2" s="1"/>
  <c r="S1331" i="2"/>
  <c r="T1331" i="2" s="1"/>
  <c r="V1464" i="2"/>
  <c r="W1464" i="2"/>
  <c r="X1464" i="2" s="1"/>
  <c r="K2020" i="2"/>
  <c r="U2020" i="2" s="1"/>
  <c r="S2020" i="2"/>
  <c r="T2020" i="2" s="1"/>
  <c r="X2020" i="2" s="1"/>
  <c r="V1563" i="2"/>
  <c r="W1563" i="2"/>
  <c r="S819" i="2"/>
  <c r="T819" i="2" s="1"/>
  <c r="K819" i="2"/>
  <c r="U819" i="2" s="1"/>
  <c r="X518" i="2"/>
  <c r="K972" i="2"/>
  <c r="U972" i="2" s="1"/>
  <c r="S972" i="2"/>
  <c r="T972" i="2" s="1"/>
  <c r="V461" i="2"/>
  <c r="W461" i="2"/>
  <c r="X461" i="2" s="1"/>
  <c r="V631" i="2"/>
  <c r="W631" i="2"/>
  <c r="X631" i="2" s="1"/>
  <c r="V1078" i="2"/>
  <c r="W1078" i="2"/>
  <c r="X1078" i="2" s="1"/>
  <c r="V1677" i="2"/>
  <c r="W1677" i="2"/>
  <c r="V1777" i="2"/>
  <c r="W1777" i="2"/>
  <c r="V1211" i="2"/>
  <c r="W1211" i="2"/>
  <c r="V1201" i="2"/>
  <c r="W1201" i="2"/>
  <c r="X1201" i="2" s="1"/>
  <c r="X855" i="2"/>
  <c r="S1539" i="2"/>
  <c r="T1539" i="2" s="1"/>
  <c r="K1539" i="2"/>
  <c r="U1539" i="2" s="1"/>
  <c r="V703" i="2"/>
  <c r="W703" i="2"/>
  <c r="V320" i="2"/>
  <c r="W320" i="2"/>
  <c r="V1956" i="2"/>
  <c r="W1956" i="2"/>
  <c r="S757" i="2"/>
  <c r="T757" i="2" s="1"/>
  <c r="K757" i="2"/>
  <c r="U757" i="2" s="1"/>
  <c r="V1570" i="2"/>
  <c r="W1570" i="2"/>
  <c r="X1570" i="2" s="1"/>
  <c r="V769" i="2"/>
  <c r="W769" i="2"/>
  <c r="S1924" i="2"/>
  <c r="T1924" i="2" s="1"/>
  <c r="X1924" i="2" s="1"/>
  <c r="K1924" i="2"/>
  <c r="U1924" i="2" s="1"/>
  <c r="V379" i="2"/>
  <c r="W379" i="2"/>
  <c r="S1715" i="2"/>
  <c r="T1715" i="2" s="1"/>
  <c r="X1715" i="2" s="1"/>
  <c r="K1715" i="2"/>
  <c r="U1715" i="2" s="1"/>
  <c r="V1347" i="2"/>
  <c r="W1347" i="2"/>
  <c r="X1347" i="2" s="1"/>
  <c r="K1706" i="2"/>
  <c r="U1706" i="2" s="1"/>
  <c r="S1706" i="2"/>
  <c r="T1706" i="2" s="1"/>
  <c r="X1706" i="2" s="1"/>
  <c r="S501" i="2"/>
  <c r="T501" i="2" s="1"/>
  <c r="K501" i="2"/>
  <c r="U501" i="2" s="1"/>
  <c r="K1863" i="2"/>
  <c r="U1863" i="2" s="1"/>
  <c r="S1863" i="2"/>
  <c r="T1863" i="2" s="1"/>
  <c r="X1863" i="2" s="1"/>
  <c r="X521" i="2"/>
  <c r="K1837" i="2"/>
  <c r="U1837" i="2" s="1"/>
  <c r="S1837" i="2"/>
  <c r="T1837" i="2" s="1"/>
  <c r="X1837" i="2" s="1"/>
  <c r="X412" i="2"/>
  <c r="S1378" i="2"/>
  <c r="T1378" i="2" s="1"/>
  <c r="K1378" i="2"/>
  <c r="U1378" i="2" s="1"/>
  <c r="V373" i="2"/>
  <c r="W373" i="2"/>
  <c r="S1335" i="2"/>
  <c r="T1335" i="2" s="1"/>
  <c r="K1335" i="2"/>
  <c r="U1335" i="2" s="1"/>
  <c r="X1563" i="2"/>
  <c r="V288" i="2"/>
  <c r="W288" i="2"/>
  <c r="X288" i="2" s="1"/>
  <c r="K1992" i="2"/>
  <c r="U1992" i="2" s="1"/>
  <c r="S1992" i="2"/>
  <c r="T1992" i="2" s="1"/>
  <c r="X1992" i="2" s="1"/>
  <c r="V1087" i="2"/>
  <c r="W1087" i="2"/>
  <c r="X1087" i="2" s="1"/>
  <c r="V2145" i="2"/>
  <c r="W2145" i="2"/>
  <c r="V1600" i="2"/>
  <c r="W1600" i="2"/>
  <c r="V394" i="2"/>
  <c r="W394" i="2"/>
  <c r="V776" i="2"/>
  <c r="W776" i="2"/>
  <c r="V1916" i="2"/>
  <c r="W1916" i="2"/>
  <c r="S1476" i="2"/>
  <c r="T1476" i="2" s="1"/>
  <c r="K1476" i="2"/>
  <c r="U1476" i="2" s="1"/>
  <c r="V506" i="2"/>
  <c r="W506" i="2"/>
  <c r="S690" i="2"/>
  <c r="T690" i="2" s="1"/>
  <c r="K690" i="2"/>
  <c r="U690" i="2" s="1"/>
  <c r="V300" i="2"/>
  <c r="W300" i="2"/>
  <c r="V223" i="2"/>
  <c r="W223" i="2"/>
  <c r="S1557" i="2"/>
  <c r="T1557" i="2" s="1"/>
  <c r="K1557" i="2"/>
  <c r="U1557" i="2" s="1"/>
  <c r="V1268" i="2"/>
  <c r="W1268" i="2"/>
  <c r="X1268" i="2" s="1"/>
  <c r="V657" i="2"/>
  <c r="W657" i="2"/>
  <c r="S1468" i="2"/>
  <c r="T1468" i="2" s="1"/>
  <c r="K1468" i="2"/>
  <c r="U1468" i="2" s="1"/>
  <c r="X320" i="2"/>
  <c r="V2156" i="2"/>
  <c r="W2156" i="2"/>
  <c r="S894" i="2"/>
  <c r="T894" i="2" s="1"/>
  <c r="K894" i="2"/>
  <c r="U894" i="2" s="1"/>
  <c r="S743" i="2"/>
  <c r="T743" i="2" s="1"/>
  <c r="K743" i="2"/>
  <c r="U743" i="2" s="1"/>
  <c r="X836" i="2"/>
  <c r="S8" i="2"/>
  <c r="T8" i="2" s="1"/>
  <c r="K8" i="2"/>
  <c r="U8" i="2" s="1"/>
  <c r="V870" i="2"/>
  <c r="W870" i="2"/>
  <c r="V2063" i="2"/>
  <c r="W2063" i="2"/>
  <c r="K1712" i="2"/>
  <c r="U1712" i="2" s="1"/>
  <c r="S1712" i="2"/>
  <c r="T1712" i="2" s="1"/>
  <c r="X1712" i="2" s="1"/>
  <c r="X1292" i="2"/>
  <c r="V252" i="2"/>
  <c r="W252" i="2"/>
  <c r="V1125" i="2"/>
  <c r="W1125" i="2"/>
  <c r="V530" i="2"/>
  <c r="W530" i="2"/>
  <c r="X530" i="2" s="1"/>
  <c r="V1903" i="2"/>
  <c r="W1903" i="2"/>
  <c r="V246" i="2"/>
  <c r="W246" i="2"/>
  <c r="V177" i="2"/>
  <c r="W177" i="2"/>
  <c r="X177" i="2" s="1"/>
  <c r="S1822" i="2"/>
  <c r="T1822" i="2" s="1"/>
  <c r="X1822" i="2" s="1"/>
  <c r="K1822" i="2"/>
  <c r="U1822" i="2" s="1"/>
  <c r="V1448" i="2"/>
  <c r="W1448" i="2"/>
  <c r="S1324" i="2"/>
  <c r="T1324" i="2" s="1"/>
  <c r="K1324" i="2"/>
  <c r="U1324" i="2" s="1"/>
  <c r="S688" i="2"/>
  <c r="T688" i="2" s="1"/>
  <c r="K688" i="2"/>
  <c r="U688" i="2" s="1"/>
  <c r="K2002" i="2"/>
  <c r="U2002" i="2" s="1"/>
  <c r="S2002" i="2"/>
  <c r="T2002" i="2" s="1"/>
  <c r="X2002" i="2" s="1"/>
  <c r="X1171" i="2"/>
  <c r="V27" i="2"/>
  <c r="W27" i="2"/>
  <c r="K1990" i="2"/>
  <c r="U1990" i="2" s="1"/>
  <c r="S1990" i="2"/>
  <c r="T1990" i="2" s="1"/>
  <c r="X1990" i="2" s="1"/>
  <c r="V260" i="2"/>
  <c r="W260" i="2"/>
  <c r="V2146" i="2"/>
  <c r="W2146" i="2"/>
  <c r="V702" i="2"/>
  <c r="W702" i="2"/>
  <c r="X702" i="2" s="1"/>
  <c r="X1533" i="2"/>
  <c r="V479" i="2"/>
  <c r="W479" i="2"/>
  <c r="V761" i="2"/>
  <c r="W761" i="2"/>
  <c r="X223" i="2"/>
  <c r="S1526" i="2"/>
  <c r="T1526" i="2" s="1"/>
  <c r="K1526" i="2"/>
  <c r="U1526" i="2" s="1"/>
  <c r="S828" i="2"/>
  <c r="T828" i="2" s="1"/>
  <c r="K828" i="2"/>
  <c r="U828" i="2" s="1"/>
  <c r="K169" i="2"/>
  <c r="U169" i="2" s="1"/>
  <c r="S169" i="2"/>
  <c r="T169" i="2" s="1"/>
  <c r="S284" i="2"/>
  <c r="T284" i="2" s="1"/>
  <c r="K284" i="2"/>
  <c r="U284" i="2" s="1"/>
  <c r="V133" i="2"/>
  <c r="W133" i="2"/>
  <c r="S346" i="2"/>
  <c r="T346" i="2" s="1"/>
  <c r="K346" i="2"/>
  <c r="U346" i="2" s="1"/>
  <c r="S1181" i="2"/>
  <c r="T1181" i="2" s="1"/>
  <c r="K1181" i="2"/>
  <c r="U1181" i="2" s="1"/>
  <c r="S567" i="2"/>
  <c r="T567" i="2" s="1"/>
  <c r="K567" i="2"/>
  <c r="U567" i="2" s="1"/>
  <c r="S2084" i="2"/>
  <c r="T2084" i="2" s="1"/>
  <c r="X2084" i="2" s="1"/>
  <c r="K2084" i="2"/>
  <c r="U2084" i="2" s="1"/>
  <c r="S1685" i="2"/>
  <c r="T1685" i="2" s="1"/>
  <c r="X1685" i="2" s="1"/>
  <c r="K1685" i="2"/>
  <c r="U1685" i="2" s="1"/>
  <c r="V2115" i="2"/>
  <c r="W2115" i="2"/>
  <c r="X1125" i="2"/>
  <c r="S1870" i="2"/>
  <c r="T1870" i="2" s="1"/>
  <c r="X1870" i="2" s="1"/>
  <c r="K1870" i="2"/>
  <c r="U1870" i="2" s="1"/>
  <c r="S634" i="2"/>
  <c r="T634" i="2" s="1"/>
  <c r="K634" i="2"/>
  <c r="U634" i="2" s="1"/>
  <c r="V1535" i="2"/>
  <c r="W1535" i="2"/>
  <c r="K156" i="2"/>
  <c r="U156" i="2" s="1"/>
  <c r="S156" i="2"/>
  <c r="T156" i="2" s="1"/>
  <c r="X1441" i="2"/>
  <c r="V1791" i="2"/>
  <c r="W1791" i="2"/>
  <c r="S694" i="2"/>
  <c r="T694" i="2" s="1"/>
  <c r="K694" i="2"/>
  <c r="U694" i="2" s="1"/>
  <c r="V1171" i="2"/>
  <c r="W1171" i="2"/>
  <c r="V1471" i="2"/>
  <c r="W1471" i="2"/>
  <c r="S2135" i="2"/>
  <c r="T2135" i="2" s="1"/>
  <c r="X2135" i="2" s="1"/>
  <c r="K2135" i="2"/>
  <c r="U2135" i="2" s="1"/>
  <c r="V1613" i="2"/>
  <c r="W1613" i="2"/>
  <c r="X1608" i="2"/>
  <c r="V1220" i="2"/>
  <c r="W1220" i="2"/>
  <c r="X1220" i="2" s="1"/>
  <c r="K1052" i="2"/>
  <c r="U1052" i="2" s="1"/>
  <c r="S1052" i="2"/>
  <c r="T1052" i="2" s="1"/>
  <c r="S1514" i="2"/>
  <c r="T1514" i="2" s="1"/>
  <c r="K1514" i="2"/>
  <c r="U1514" i="2" s="1"/>
  <c r="V1588" i="2"/>
  <c r="W1588" i="2"/>
  <c r="S186" i="2"/>
  <c r="T186" i="2" s="1"/>
  <c r="K186" i="2"/>
  <c r="U186" i="2" s="1"/>
  <c r="X1483" i="2"/>
  <c r="V316" i="2"/>
  <c r="W316" i="2"/>
  <c r="X761" i="2"/>
  <c r="K1780" i="2"/>
  <c r="U1780" i="2" s="1"/>
  <c r="S1780" i="2"/>
  <c r="T1780" i="2" s="1"/>
  <c r="X1780" i="2" s="1"/>
  <c r="V966" i="2"/>
  <c r="W966" i="2"/>
  <c r="S704" i="2"/>
  <c r="T704" i="2" s="1"/>
  <c r="K704" i="2"/>
  <c r="U704" i="2" s="1"/>
  <c r="V1421" i="2"/>
  <c r="W1421" i="2"/>
  <c r="X1421" i="2" s="1"/>
  <c r="V951" i="2"/>
  <c r="W951" i="2"/>
  <c r="V1681" i="2"/>
  <c r="W1681" i="2"/>
  <c r="X38" i="2"/>
  <c r="S1112" i="2"/>
  <c r="T1112" i="2" s="1"/>
  <c r="K1112" i="2"/>
  <c r="U1112" i="2" s="1"/>
  <c r="S1186" i="2"/>
  <c r="T1186" i="2" s="1"/>
  <c r="K1186" i="2"/>
  <c r="U1186" i="2" s="1"/>
  <c r="S1555" i="2"/>
  <c r="T1555" i="2" s="1"/>
  <c r="K1555" i="2"/>
  <c r="U1555" i="2" s="1"/>
  <c r="V710" i="2"/>
  <c r="W710" i="2"/>
  <c r="V1472" i="2"/>
  <c r="W1472" i="2"/>
  <c r="O1947" i="2"/>
  <c r="Q1947" i="2" s="1"/>
  <c r="O1935" i="2"/>
  <c r="Q1935" i="2" s="1"/>
  <c r="O488" i="2"/>
  <c r="Q488" i="2" s="1"/>
  <c r="O498" i="2"/>
  <c r="Q498" i="2" s="1"/>
  <c r="O468" i="2"/>
  <c r="Q468" i="2" s="1"/>
  <c r="O457" i="2"/>
  <c r="Q457" i="2" s="1"/>
  <c r="O61" i="2"/>
  <c r="Q61" i="2" s="1"/>
  <c r="O40" i="2"/>
  <c r="Q40" i="2" s="1"/>
  <c r="O32" i="2"/>
  <c r="Q32" i="2" s="1"/>
  <c r="O54" i="2"/>
  <c r="Q54" i="2" s="1"/>
  <c r="O1949" i="2"/>
  <c r="Q1949" i="2" s="1"/>
  <c r="O1934" i="2"/>
  <c r="Q1934" i="2" s="1"/>
  <c r="O1941" i="2"/>
  <c r="Q1941" i="2" s="1"/>
  <c r="O1946" i="2"/>
  <c r="Q1946" i="2" s="1"/>
  <c r="O1939" i="2"/>
  <c r="Q1939" i="2" s="1"/>
  <c r="O1944" i="2"/>
  <c r="Q1944" i="2" s="1"/>
  <c r="O1945" i="2"/>
  <c r="Q1945" i="2" s="1"/>
  <c r="O1948" i="2"/>
  <c r="Q1948" i="2" s="1"/>
  <c r="O1943" i="2"/>
  <c r="Q1943" i="2" s="1"/>
  <c r="O1942" i="2"/>
  <c r="Q1942" i="2" s="1"/>
  <c r="O1940" i="2"/>
  <c r="Q1940" i="2" s="1"/>
  <c r="O1938" i="2"/>
  <c r="Q1938" i="2" s="1"/>
  <c r="O1937" i="2"/>
  <c r="Q1937" i="2" s="1"/>
  <c r="O1936" i="2"/>
  <c r="Q1936" i="2" s="1"/>
  <c r="V293" i="2"/>
  <c r="W293" i="2"/>
  <c r="X293" i="2" s="1"/>
  <c r="V1399" i="2"/>
  <c r="W1399" i="2"/>
  <c r="S898" i="2"/>
  <c r="T898" i="2" s="1"/>
  <c r="K898" i="2"/>
  <c r="U898" i="2" s="1"/>
  <c r="S1068" i="2"/>
  <c r="T1068" i="2" s="1"/>
  <c r="K1068" i="2"/>
  <c r="U1068" i="2" s="1"/>
  <c r="S1494" i="2"/>
  <c r="T1494" i="2" s="1"/>
  <c r="K1494" i="2"/>
  <c r="U1494" i="2" s="1"/>
  <c r="V982" i="2"/>
  <c r="W982" i="2"/>
  <c r="X982" i="2" s="1"/>
  <c r="V666" i="2"/>
  <c r="W666" i="2"/>
  <c r="K862" i="2"/>
  <c r="U862" i="2" s="1"/>
  <c r="S862" i="2"/>
  <c r="T862" i="2" s="1"/>
  <c r="X407" i="2"/>
  <c r="V309" i="2"/>
  <c r="W309" i="2"/>
  <c r="X309" i="2" s="1"/>
  <c r="X1024" i="2"/>
  <c r="V868" i="2"/>
  <c r="W868" i="2"/>
  <c r="V968" i="2"/>
  <c r="W968" i="2"/>
  <c r="S139" i="2"/>
  <c r="T139" i="2" s="1"/>
  <c r="K139" i="2"/>
  <c r="U139" i="2" s="1"/>
  <c r="V1327" i="2"/>
  <c r="W1327" i="2"/>
  <c r="X1030" i="2"/>
  <c r="S854" i="2"/>
  <c r="T854" i="2" s="1"/>
  <c r="K854" i="2"/>
  <c r="U854" i="2" s="1"/>
  <c r="V465" i="2"/>
  <c r="W465" i="2"/>
  <c r="K514" i="2"/>
  <c r="U514" i="2" s="1"/>
  <c r="S514" i="2"/>
  <c r="T514" i="2" s="1"/>
  <c r="S211" i="2"/>
  <c r="T211" i="2" s="1"/>
  <c r="K211" i="2"/>
  <c r="U211" i="2" s="1"/>
  <c r="V1230" i="2"/>
  <c r="W1230" i="2"/>
  <c r="X1230" i="2" s="1"/>
  <c r="S303" i="2"/>
  <c r="T303" i="2" s="1"/>
  <c r="K303" i="2"/>
  <c r="U303" i="2" s="1"/>
  <c r="S861" i="2"/>
  <c r="T861" i="2" s="1"/>
  <c r="K861" i="2"/>
  <c r="U861" i="2" s="1"/>
  <c r="V2050" i="2"/>
  <c r="W2050" i="2"/>
  <c r="V94" i="2"/>
  <c r="W94" i="2"/>
  <c r="V1103" i="2"/>
  <c r="W1103" i="2"/>
  <c r="X360" i="2"/>
  <c r="K665" i="2"/>
  <c r="U665" i="2" s="1"/>
  <c r="S665" i="2"/>
  <c r="T665" i="2" s="1"/>
  <c r="V120" i="2"/>
  <c r="W120" i="2"/>
  <c r="X120" i="2" s="1"/>
  <c r="V294" i="2"/>
  <c r="W294" i="2"/>
  <c r="X133" i="2"/>
  <c r="S318" i="2"/>
  <c r="T318" i="2" s="1"/>
  <c r="K318" i="2"/>
  <c r="U318" i="2" s="1"/>
  <c r="S821" i="2"/>
  <c r="T821" i="2" s="1"/>
  <c r="K821" i="2"/>
  <c r="U821" i="2" s="1"/>
  <c r="X1592" i="2"/>
  <c r="S25" i="2"/>
  <c r="T25" i="2" s="1"/>
  <c r="K25" i="2"/>
  <c r="U25" i="2" s="1"/>
  <c r="S1920" i="2"/>
  <c r="T1920" i="2" s="1"/>
  <c r="X1920" i="2" s="1"/>
  <c r="K1920" i="2"/>
  <c r="U1920" i="2" s="1"/>
  <c r="S575" i="2"/>
  <c r="T575" i="2" s="1"/>
  <c r="K575" i="2"/>
  <c r="U575" i="2" s="1"/>
  <c r="V1145" i="2"/>
  <c r="W1145" i="2"/>
  <c r="V350" i="2"/>
  <c r="W350" i="2"/>
  <c r="V267" i="2"/>
  <c r="W267" i="2"/>
  <c r="X267" i="2" s="1"/>
  <c r="V2151" i="2"/>
  <c r="W2151" i="2"/>
  <c r="X79" i="2"/>
  <c r="S1126" i="2"/>
  <c r="T1126" i="2" s="1"/>
  <c r="K1126" i="2"/>
  <c r="U1126" i="2" s="1"/>
  <c r="S1506" i="2"/>
  <c r="T1506" i="2" s="1"/>
  <c r="K1506" i="2"/>
  <c r="U1506" i="2" s="1"/>
  <c r="S201" i="2"/>
  <c r="T201" i="2" s="1"/>
  <c r="K201" i="2"/>
  <c r="U201" i="2" s="1"/>
  <c r="S630" i="2"/>
  <c r="T630" i="2" s="1"/>
  <c r="K630" i="2"/>
  <c r="U630" i="2" s="1"/>
  <c r="V467" i="2"/>
  <c r="W467" i="2"/>
  <c r="K1716" i="2"/>
  <c r="U1716" i="2" s="1"/>
  <c r="S1716" i="2"/>
  <c r="T1716" i="2" s="1"/>
  <c r="X1716" i="2" s="1"/>
  <c r="S1721" i="2"/>
  <c r="T1721" i="2" s="1"/>
  <c r="X1721" i="2" s="1"/>
  <c r="K1721" i="2"/>
  <c r="U1721" i="2" s="1"/>
  <c r="V2051" i="2"/>
  <c r="W2051" i="2"/>
  <c r="V587" i="2"/>
  <c r="W587" i="2"/>
  <c r="X587" i="2" s="1"/>
  <c r="X251" i="2"/>
  <c r="S2083" i="2"/>
  <c r="T2083" i="2" s="1"/>
  <c r="X2083" i="2" s="1"/>
  <c r="K2083" i="2"/>
  <c r="U2083" i="2" s="1"/>
  <c r="S1633" i="2"/>
  <c r="T1633" i="2" s="1"/>
  <c r="X1633" i="2" s="1"/>
  <c r="K1633" i="2"/>
  <c r="U1633" i="2" s="1"/>
  <c r="V2161" i="2"/>
  <c r="W2161" i="2"/>
  <c r="X1111" i="2"/>
  <c r="K116" i="2"/>
  <c r="U116" i="2" s="1"/>
  <c r="S116" i="2"/>
  <c r="T116" i="2" s="1"/>
  <c r="K1684" i="2"/>
  <c r="U1684" i="2" s="1"/>
  <c r="S1684" i="2"/>
  <c r="T1684" i="2" s="1"/>
  <c r="X1684" i="2" s="1"/>
  <c r="S1691" i="2"/>
  <c r="T1691" i="2" s="1"/>
  <c r="X1691" i="2" s="1"/>
  <c r="K1691" i="2"/>
  <c r="U1691" i="2" s="1"/>
  <c r="V1422" i="2"/>
  <c r="W1422" i="2"/>
  <c r="X1414" i="2"/>
  <c r="K35" i="2"/>
  <c r="U35" i="2" s="1"/>
  <c r="S35" i="2"/>
  <c r="T35" i="2" s="1"/>
  <c r="S460" i="2"/>
  <c r="T460" i="2" s="1"/>
  <c r="K460" i="2"/>
  <c r="U460" i="2" s="1"/>
  <c r="V1291" i="2"/>
  <c r="W1291" i="2"/>
  <c r="V238" i="2"/>
  <c r="W238" i="2"/>
  <c r="K1267" i="2"/>
  <c r="U1267" i="2" s="1"/>
  <c r="S1267" i="2"/>
  <c r="T1267" i="2" s="1"/>
  <c r="V90" i="2"/>
  <c r="W90" i="2"/>
  <c r="X90" i="2" s="1"/>
  <c r="V1455" i="2"/>
  <c r="W1455" i="2"/>
  <c r="X1455" i="2" s="1"/>
  <c r="V1595" i="2"/>
  <c r="W1595" i="2"/>
  <c r="X1595" i="2" s="1"/>
  <c r="S469" i="2"/>
  <c r="T469" i="2" s="1"/>
  <c r="K469" i="2"/>
  <c r="U469" i="2" s="1"/>
  <c r="S405" i="2"/>
  <c r="T405" i="2" s="1"/>
  <c r="K405" i="2"/>
  <c r="U405" i="2" s="1"/>
  <c r="K1873" i="2"/>
  <c r="U1873" i="2" s="1"/>
  <c r="S1873" i="2"/>
  <c r="T1873" i="2" s="1"/>
  <c r="X1873" i="2" s="1"/>
  <c r="S1581" i="2"/>
  <c r="T1581" i="2" s="1"/>
  <c r="K1581" i="2"/>
  <c r="U1581" i="2" s="1"/>
  <c r="V173" i="2"/>
  <c r="W173" i="2"/>
  <c r="X173" i="2" s="1"/>
  <c r="V391" i="2"/>
  <c r="W391" i="2"/>
  <c r="X391" i="2" s="1"/>
  <c r="K1048" i="2"/>
  <c r="U1048" i="2" s="1"/>
  <c r="S1048" i="2"/>
  <c r="T1048" i="2" s="1"/>
  <c r="V275" i="2"/>
  <c r="W275" i="2"/>
  <c r="S581" i="2"/>
  <c r="T581" i="2" s="1"/>
  <c r="K581" i="2"/>
  <c r="U581" i="2" s="1"/>
  <c r="S1316" i="2"/>
  <c r="T1316" i="2" s="1"/>
  <c r="K1316" i="2"/>
  <c r="U1316" i="2" s="1"/>
  <c r="V1351" i="2"/>
  <c r="W1351" i="2"/>
  <c r="X1351" i="2" s="1"/>
  <c r="K1049" i="2"/>
  <c r="U1049" i="2" s="1"/>
  <c r="S1049" i="2"/>
  <c r="T1049" i="2" s="1"/>
  <c r="K1830" i="2"/>
  <c r="U1830" i="2" s="1"/>
  <c r="S1830" i="2"/>
  <c r="T1830" i="2" s="1"/>
  <c r="X1830" i="2" s="1"/>
  <c r="S1829" i="2"/>
  <c r="T1829" i="2" s="1"/>
  <c r="X1829" i="2" s="1"/>
  <c r="K1829" i="2"/>
  <c r="U1829" i="2" s="1"/>
  <c r="X1535" i="2"/>
  <c r="X327" i="2"/>
  <c r="V2157" i="2"/>
  <c r="W2157" i="2"/>
  <c r="V253" i="2"/>
  <c r="W253" i="2"/>
  <c r="X253" i="2" s="1"/>
  <c r="X537" i="2"/>
  <c r="K166" i="2"/>
  <c r="U166" i="2" s="1"/>
  <c r="S166" i="2"/>
  <c r="T166" i="2" s="1"/>
  <c r="S640" i="2"/>
  <c r="T640" i="2" s="1"/>
  <c r="K640" i="2"/>
  <c r="U640" i="2" s="1"/>
  <c r="V199" i="2"/>
  <c r="W199" i="2"/>
  <c r="X199" i="2" s="1"/>
  <c r="S691" i="2"/>
  <c r="T691" i="2" s="1"/>
  <c r="K691" i="2"/>
  <c r="U691" i="2" s="1"/>
  <c r="K1303" i="2"/>
  <c r="U1303" i="2" s="1"/>
  <c r="S1303" i="2"/>
  <c r="T1303" i="2" s="1"/>
  <c r="V268" i="2"/>
  <c r="W268" i="2"/>
  <c r="X268" i="2" s="1"/>
  <c r="V857" i="2"/>
  <c r="W857" i="2"/>
  <c r="V484" i="2"/>
  <c r="W484" i="2"/>
  <c r="X1147" i="2"/>
  <c r="V297" i="2"/>
  <c r="W297" i="2"/>
  <c r="X297" i="2" s="1"/>
  <c r="S209" i="2"/>
  <c r="T209" i="2" s="1"/>
  <c r="K209" i="2"/>
  <c r="U209" i="2" s="1"/>
  <c r="K1968" i="2"/>
  <c r="U1968" i="2" s="1"/>
  <c r="S1968" i="2"/>
  <c r="T1968" i="2" s="1"/>
  <c r="X1968" i="2" s="1"/>
  <c r="V1796" i="2"/>
  <c r="W1796" i="2"/>
  <c r="S1781" i="2"/>
  <c r="T1781" i="2" s="1"/>
  <c r="X1781" i="2" s="1"/>
  <c r="K1781" i="2"/>
  <c r="U1781" i="2" s="1"/>
  <c r="K2003" i="2"/>
  <c r="U2003" i="2" s="1"/>
  <c r="S2003" i="2"/>
  <c r="T2003" i="2" s="1"/>
  <c r="X2003" i="2" s="1"/>
  <c r="K2016" i="2"/>
  <c r="U2016" i="2" s="1"/>
  <c r="S2016" i="2"/>
  <c r="T2016" i="2" s="1"/>
  <c r="X2016" i="2" s="1"/>
  <c r="S1334" i="2"/>
  <c r="T1334" i="2" s="1"/>
  <c r="K1334" i="2"/>
  <c r="U1334" i="2" s="1"/>
  <c r="X425" i="2"/>
  <c r="V1093" i="2"/>
  <c r="W1093" i="2"/>
  <c r="V2116" i="2"/>
  <c r="W2116" i="2"/>
  <c r="V14" i="2"/>
  <c r="W14" i="2"/>
  <c r="X1471" i="2"/>
  <c r="X877" i="2"/>
  <c r="K2127" i="2"/>
  <c r="U2127" i="2" s="1"/>
  <c r="S2127" i="2"/>
  <c r="T2127" i="2" s="1"/>
  <c r="X2127" i="2" s="1"/>
  <c r="S1431" i="2"/>
  <c r="T1431" i="2" s="1"/>
  <c r="K1431" i="2"/>
  <c r="U1431" i="2" s="1"/>
  <c r="K1996" i="2"/>
  <c r="U1996" i="2" s="1"/>
  <c r="S1996" i="2"/>
  <c r="T1996" i="2" s="1"/>
  <c r="X1996" i="2" s="1"/>
  <c r="S755" i="2"/>
  <c r="T755" i="2" s="1"/>
  <c r="K755" i="2"/>
  <c r="U755" i="2" s="1"/>
  <c r="X1613" i="2"/>
  <c r="V582" i="2"/>
  <c r="W582" i="2"/>
  <c r="X582" i="2" s="1"/>
  <c r="V938" i="2"/>
  <c r="W938" i="2"/>
  <c r="X938" i="2" s="1"/>
  <c r="K931" i="2"/>
  <c r="U931" i="2" s="1"/>
  <c r="S931" i="2"/>
  <c r="T931" i="2" s="1"/>
  <c r="V1512" i="2"/>
  <c r="W1512" i="2"/>
  <c r="V1105" i="2"/>
  <c r="W1105" i="2"/>
  <c r="V420" i="2"/>
  <c r="W420" i="2"/>
  <c r="S296" i="2"/>
  <c r="T296" i="2" s="1"/>
  <c r="K296" i="2"/>
  <c r="U296" i="2" s="1"/>
  <c r="X1040" i="2"/>
  <c r="V1608" i="2"/>
  <c r="W1608" i="2"/>
  <c r="V667" i="2"/>
  <c r="W667" i="2"/>
  <c r="V1820" i="2"/>
  <c r="W1820" i="2"/>
  <c r="K944" i="2"/>
  <c r="U944" i="2" s="1"/>
  <c r="S944" i="2"/>
  <c r="T944" i="2" s="1"/>
  <c r="S1453" i="2"/>
  <c r="T1453" i="2" s="1"/>
  <c r="K1453" i="2"/>
  <c r="U1453" i="2" s="1"/>
  <c r="V592" i="2"/>
  <c r="W592" i="2"/>
  <c r="V1454" i="2"/>
  <c r="W1454" i="2"/>
  <c r="X1588" i="2"/>
  <c r="K202" i="2"/>
  <c r="U202" i="2" s="1"/>
  <c r="S202" i="2"/>
  <c r="T202" i="2" s="1"/>
  <c r="V1143" i="2"/>
  <c r="W1143" i="2"/>
  <c r="V4" i="2"/>
  <c r="W4" i="2"/>
  <c r="X4" i="2" s="1"/>
  <c r="X316" i="2"/>
  <c r="V832" i="2"/>
  <c r="W832" i="2"/>
  <c r="V1810" i="2"/>
  <c r="W1810" i="2"/>
  <c r="S730" i="2"/>
  <c r="T730" i="2" s="1"/>
  <c r="K730" i="2"/>
  <c r="U730" i="2" s="1"/>
  <c r="V161" i="2"/>
  <c r="W161" i="2"/>
  <c r="V2124" i="2"/>
  <c r="W2124" i="2"/>
  <c r="S313" i="2"/>
  <c r="T313" i="2" s="1"/>
  <c r="K313" i="2"/>
  <c r="U313" i="2" s="1"/>
  <c r="V1753" i="2"/>
  <c r="W1753" i="2"/>
  <c r="V946" i="2"/>
  <c r="W946" i="2"/>
  <c r="X946" i="2" s="1"/>
  <c r="V38" i="2"/>
  <c r="W38" i="2"/>
  <c r="V1679" i="2"/>
  <c r="W1679" i="2"/>
  <c r="V1003" i="2"/>
  <c r="W1003" i="2"/>
  <c r="X1003" i="2" s="1"/>
  <c r="S1194" i="2"/>
  <c r="T1194" i="2" s="1"/>
  <c r="K1194" i="2"/>
  <c r="U1194" i="2" s="1"/>
  <c r="V1209" i="2"/>
  <c r="W1209" i="2"/>
  <c r="S1131" i="2"/>
  <c r="T1131" i="2" s="1"/>
  <c r="K1131" i="2"/>
  <c r="U1131" i="2" s="1"/>
  <c r="S1561" i="2"/>
  <c r="T1561" i="2" s="1"/>
  <c r="K1561" i="2"/>
  <c r="U1561" i="2" s="1"/>
  <c r="X710" i="2"/>
  <c r="X1472" i="2"/>
  <c r="O1847" i="2"/>
  <c r="Q1847" i="2" s="1"/>
  <c r="O1849" i="2"/>
  <c r="Q1849" i="2" s="1"/>
  <c r="O1843" i="2"/>
  <c r="Q1843" i="2" s="1"/>
  <c r="O1501" i="2"/>
  <c r="Q1501" i="2" s="1"/>
  <c r="O1482" i="2"/>
  <c r="Q1482" i="2" s="1"/>
  <c r="O1462" i="2"/>
  <c r="Q1462" i="2" s="1"/>
  <c r="O1491" i="2"/>
  <c r="Q1491" i="2" s="1"/>
  <c r="O1479" i="2"/>
  <c r="Q1479" i="2" s="1"/>
  <c r="O1473" i="2"/>
  <c r="Q1473" i="2" s="1"/>
  <c r="O1004" i="2"/>
  <c r="Q1004" i="2" s="1"/>
  <c r="O1019" i="2"/>
  <c r="Q1019" i="2" s="1"/>
  <c r="O979" i="2"/>
  <c r="Q979" i="2" s="1"/>
  <c r="O925" i="2"/>
  <c r="Q925" i="2" s="1"/>
  <c r="O975" i="2"/>
  <c r="Q975" i="2" s="1"/>
  <c r="O960" i="2"/>
  <c r="Q960" i="2" s="1"/>
  <c r="O1840" i="2"/>
  <c r="Q1840" i="2" s="1"/>
  <c r="O1845" i="2"/>
  <c r="Q1845" i="2" s="1"/>
  <c r="O1848" i="2"/>
  <c r="Q1848" i="2" s="1"/>
  <c r="O1844" i="2"/>
  <c r="Q1844" i="2" s="1"/>
  <c r="O1846" i="2"/>
  <c r="Q1846" i="2" s="1"/>
  <c r="O1839" i="2"/>
  <c r="Q1839" i="2" s="1"/>
  <c r="O1842" i="2"/>
  <c r="Q1842" i="2" s="1"/>
  <c r="O1838" i="2"/>
  <c r="Q1838" i="2" s="1"/>
  <c r="O1841" i="2"/>
  <c r="Q1841" i="2" s="1"/>
  <c r="X1399" i="2"/>
  <c r="V95" i="2"/>
  <c r="W95" i="2"/>
  <c r="V413" i="2"/>
  <c r="W413" i="2"/>
  <c r="X413" i="2" s="1"/>
  <c r="V439" i="2"/>
  <c r="W439" i="2"/>
  <c r="V70" i="2"/>
  <c r="W70" i="2"/>
  <c r="V1380" i="2"/>
  <c r="W1380" i="2"/>
  <c r="X1380" i="2" s="1"/>
  <c r="S780" i="2"/>
  <c r="T780" i="2" s="1"/>
  <c r="K780" i="2"/>
  <c r="U780" i="2" s="1"/>
  <c r="X1018" i="2"/>
  <c r="K1006" i="2"/>
  <c r="U1006" i="2" s="1"/>
  <c r="S1006" i="2"/>
  <c r="T1006" i="2" s="1"/>
  <c r="S1521" i="2"/>
  <c r="T1521" i="2" s="1"/>
  <c r="K1521" i="2"/>
  <c r="U1521" i="2" s="1"/>
  <c r="V850" i="2"/>
  <c r="W850" i="2"/>
  <c r="X666" i="2"/>
  <c r="V1310" i="2"/>
  <c r="W1310" i="2"/>
  <c r="X1310" i="2" s="1"/>
  <c r="S791" i="2"/>
  <c r="T791" i="2" s="1"/>
  <c r="K791" i="2"/>
  <c r="U791" i="2" s="1"/>
  <c r="V989" i="2"/>
  <c r="W989" i="2"/>
  <c r="X989" i="2" s="1"/>
  <c r="X868" i="2"/>
  <c r="V957" i="2"/>
  <c r="W957" i="2"/>
  <c r="X957" i="2" s="1"/>
  <c r="X968" i="2"/>
  <c r="X408" i="2"/>
  <c r="S212" i="2"/>
  <c r="T212" i="2" s="1"/>
  <c r="K212" i="2"/>
  <c r="U212" i="2" s="1"/>
  <c r="X1327" i="2"/>
  <c r="V1030" i="2"/>
  <c r="W1030" i="2"/>
  <c r="S851" i="2"/>
  <c r="T851" i="2" s="1"/>
  <c r="K851" i="2"/>
  <c r="U851" i="2" s="1"/>
  <c r="X465" i="2"/>
  <c r="S228" i="2"/>
  <c r="T228" i="2" s="1"/>
  <c r="K228" i="2"/>
  <c r="U228" i="2" s="1"/>
  <c r="S335" i="2"/>
  <c r="T335" i="2" s="1"/>
  <c r="K335" i="2"/>
  <c r="U335" i="2" s="1"/>
  <c r="S863" i="2"/>
  <c r="T863" i="2" s="1"/>
  <c r="K863" i="2"/>
  <c r="U863" i="2" s="1"/>
  <c r="X94" i="2"/>
  <c r="X1103" i="2"/>
  <c r="V447" i="2"/>
  <c r="W447" i="2"/>
  <c r="V142" i="2"/>
  <c r="W142" i="2"/>
  <c r="S682" i="2"/>
  <c r="T682" i="2" s="1"/>
  <c r="K682" i="2"/>
  <c r="U682" i="2" s="1"/>
  <c r="V1987" i="2"/>
  <c r="W1987" i="2"/>
  <c r="X294" i="2"/>
  <c r="V1282" i="2"/>
  <c r="W1282" i="2"/>
  <c r="V1348" i="2"/>
  <c r="W1348" i="2"/>
  <c r="S319" i="2"/>
  <c r="T319" i="2" s="1"/>
  <c r="K319" i="2"/>
  <c r="U319" i="2" s="1"/>
  <c r="K992" i="2"/>
  <c r="U992" i="2" s="1"/>
  <c r="S992" i="2"/>
  <c r="T992" i="2" s="1"/>
  <c r="S33" i="2"/>
  <c r="T33" i="2" s="1"/>
  <c r="K33" i="2"/>
  <c r="U33" i="2" s="1"/>
  <c r="S1922" i="2"/>
  <c r="T1922" i="2" s="1"/>
  <c r="X1922" i="2" s="1"/>
  <c r="K1922" i="2"/>
  <c r="U1922" i="2" s="1"/>
  <c r="K536" i="2"/>
  <c r="U536" i="2" s="1"/>
  <c r="S536" i="2"/>
  <c r="T536" i="2" s="1"/>
  <c r="X1145" i="2"/>
  <c r="X350" i="2"/>
  <c r="V34" i="2"/>
  <c r="W34" i="2"/>
  <c r="X34" i="2" s="1"/>
  <c r="V1516" i="2"/>
  <c r="W1516" i="2"/>
  <c r="V900" i="2"/>
  <c r="W900" i="2"/>
  <c r="X900" i="2" s="1"/>
  <c r="S1096" i="2"/>
  <c r="T1096" i="2" s="1"/>
  <c r="K1096" i="2"/>
  <c r="U1096" i="2" s="1"/>
  <c r="S1565" i="2"/>
  <c r="T1565" i="2" s="1"/>
  <c r="K1565" i="2"/>
  <c r="U1565" i="2" s="1"/>
  <c r="S157" i="2"/>
  <c r="T157" i="2" s="1"/>
  <c r="K157" i="2"/>
  <c r="U157" i="2" s="1"/>
  <c r="K601" i="2"/>
  <c r="U601" i="2" s="1"/>
  <c r="S601" i="2"/>
  <c r="T601" i="2" s="1"/>
  <c r="X467" i="2"/>
  <c r="V1233" i="2"/>
  <c r="W1233" i="2"/>
  <c r="X1233" i="2" s="1"/>
  <c r="K1718" i="2"/>
  <c r="U1718" i="2" s="1"/>
  <c r="S1718" i="2"/>
  <c r="T1718" i="2" s="1"/>
  <c r="X1718" i="2" s="1"/>
  <c r="S1723" i="2"/>
  <c r="T1723" i="2" s="1"/>
  <c r="X1723" i="2" s="1"/>
  <c r="K1723" i="2"/>
  <c r="U1723" i="2" s="1"/>
  <c r="V73" i="2"/>
  <c r="W73" i="2"/>
  <c r="X73" i="2" s="1"/>
  <c r="X1532" i="2"/>
  <c r="S2076" i="2"/>
  <c r="T2076" i="2" s="1"/>
  <c r="X2076" i="2" s="1"/>
  <c r="K2076" i="2"/>
  <c r="U2076" i="2" s="1"/>
  <c r="K1632" i="2"/>
  <c r="U1632" i="2" s="1"/>
  <c r="S1632" i="2"/>
  <c r="T1632" i="2" s="1"/>
  <c r="X1632" i="2" s="1"/>
  <c r="V1587" i="2"/>
  <c r="W1587" i="2"/>
  <c r="X1587" i="2" s="1"/>
  <c r="S414" i="2"/>
  <c r="T414" i="2" s="1"/>
  <c r="K414" i="2"/>
  <c r="U414" i="2" s="1"/>
  <c r="S85" i="2"/>
  <c r="T85" i="2" s="1"/>
  <c r="K85" i="2"/>
  <c r="U85" i="2" s="1"/>
  <c r="K1690" i="2"/>
  <c r="U1690" i="2" s="1"/>
  <c r="S1690" i="2"/>
  <c r="T1690" i="2" s="1"/>
  <c r="X1690" i="2" s="1"/>
  <c r="S1693" i="2"/>
  <c r="T1693" i="2" s="1"/>
  <c r="X1693" i="2" s="1"/>
  <c r="K1693" i="2"/>
  <c r="U1693" i="2" s="1"/>
  <c r="V1811" i="2"/>
  <c r="W1811" i="2"/>
  <c r="X1422" i="2"/>
  <c r="V2138" i="2"/>
  <c r="W2138" i="2"/>
  <c r="V1435" i="2"/>
  <c r="W1435" i="2"/>
  <c r="V2123" i="2"/>
  <c r="W2123" i="2"/>
  <c r="K64" i="2"/>
  <c r="U64" i="2" s="1"/>
  <c r="S64" i="2"/>
  <c r="T64" i="2" s="1"/>
  <c r="S431" i="2"/>
  <c r="T431" i="2" s="1"/>
  <c r="K431" i="2"/>
  <c r="U431" i="2" s="1"/>
  <c r="V754" i="2"/>
  <c r="W754" i="2"/>
  <c r="X754" i="2" s="1"/>
  <c r="X1291" i="2"/>
  <c r="X238" i="2"/>
  <c r="K1249" i="2"/>
  <c r="U1249" i="2" s="1"/>
  <c r="S1249" i="2"/>
  <c r="T1249" i="2" s="1"/>
  <c r="S13" i="2"/>
  <c r="T13" i="2" s="1"/>
  <c r="K13" i="2"/>
  <c r="U13" i="2" s="1"/>
  <c r="S436" i="2"/>
  <c r="T436" i="2" s="1"/>
  <c r="K436" i="2"/>
  <c r="U436" i="2" s="1"/>
  <c r="S1868" i="2"/>
  <c r="T1868" i="2" s="1"/>
  <c r="X1868" i="2" s="1"/>
  <c r="K1868" i="2"/>
  <c r="U1868" i="2" s="1"/>
  <c r="K1571" i="2"/>
  <c r="U1571" i="2" s="1"/>
  <c r="S1571" i="2"/>
  <c r="T1571" i="2" s="1"/>
  <c r="V279" i="2"/>
  <c r="W279" i="2"/>
  <c r="K953" i="2"/>
  <c r="U953" i="2" s="1"/>
  <c r="S953" i="2"/>
  <c r="T953" i="2" s="1"/>
  <c r="V1525" i="2"/>
  <c r="W1525" i="2"/>
  <c r="X1525" i="2" s="1"/>
  <c r="X275" i="2"/>
  <c r="V720" i="2"/>
  <c r="W720" i="2"/>
  <c r="S673" i="2"/>
  <c r="T673" i="2" s="1"/>
  <c r="K673" i="2"/>
  <c r="U673" i="2" s="1"/>
  <c r="S1338" i="2"/>
  <c r="T1338" i="2" s="1"/>
  <c r="K1338" i="2"/>
  <c r="U1338" i="2" s="1"/>
  <c r="V258" i="2"/>
  <c r="W258" i="2"/>
  <c r="K1107" i="2"/>
  <c r="U1107" i="2" s="1"/>
  <c r="S1107" i="2"/>
  <c r="T1107" i="2" s="1"/>
  <c r="S1187" i="2"/>
  <c r="T1187" i="2" s="1"/>
  <c r="K1187" i="2"/>
  <c r="U1187" i="2" s="1"/>
  <c r="S1827" i="2"/>
  <c r="T1827" i="2" s="1"/>
  <c r="X1827" i="2" s="1"/>
  <c r="K1827" i="2"/>
  <c r="U1827" i="2" s="1"/>
  <c r="V892" i="2"/>
  <c r="W892" i="2"/>
  <c r="V2139" i="2"/>
  <c r="W2139" i="2"/>
  <c r="V537" i="2"/>
  <c r="W537" i="2"/>
  <c r="K200" i="2"/>
  <c r="U200" i="2" s="1"/>
  <c r="S200" i="2"/>
  <c r="T200" i="2" s="1"/>
  <c r="S672" i="2"/>
  <c r="T672" i="2" s="1"/>
  <c r="K672" i="2"/>
  <c r="U672" i="2" s="1"/>
  <c r="V2061" i="2"/>
  <c r="W2061" i="2"/>
  <c r="K615" i="2"/>
  <c r="U615" i="2" s="1"/>
  <c r="S615" i="2"/>
  <c r="T615" i="2" s="1"/>
  <c r="S1293" i="2"/>
  <c r="T1293" i="2" s="1"/>
  <c r="K1293" i="2"/>
  <c r="U1293" i="2" s="1"/>
  <c r="V1191" i="2"/>
  <c r="W1191" i="2"/>
  <c r="X1191" i="2" s="1"/>
  <c r="X857" i="2"/>
  <c r="X484" i="2"/>
  <c r="V2153" i="2"/>
  <c r="W2153" i="2"/>
  <c r="V680" i="2"/>
  <c r="W680" i="2"/>
  <c r="S191" i="2"/>
  <c r="T191" i="2" s="1"/>
  <c r="K191" i="2"/>
  <c r="U191" i="2" s="1"/>
  <c r="K1975" i="2"/>
  <c r="U1975" i="2" s="1"/>
  <c r="S1975" i="2"/>
  <c r="T1975" i="2" s="1"/>
  <c r="X1975" i="2" s="1"/>
  <c r="K2018" i="2"/>
  <c r="U2018" i="2" s="1"/>
  <c r="S2018" i="2"/>
  <c r="T2018" i="2" s="1"/>
  <c r="X2018" i="2" s="1"/>
  <c r="K2015" i="2"/>
  <c r="U2015" i="2" s="1"/>
  <c r="S2015" i="2"/>
  <c r="T2015" i="2" s="1"/>
  <c r="X2015" i="2" s="1"/>
  <c r="S1308" i="2"/>
  <c r="T1308" i="2" s="1"/>
  <c r="K1308" i="2"/>
  <c r="U1308" i="2" s="1"/>
  <c r="V1748" i="2"/>
  <c r="W1748" i="2"/>
  <c r="V425" i="2"/>
  <c r="W425" i="2"/>
  <c r="V1357" i="2"/>
  <c r="W1357" i="2"/>
  <c r="X1357" i="2" s="1"/>
  <c r="V919" i="2"/>
  <c r="W919" i="2"/>
  <c r="X919" i="2" s="1"/>
  <c r="X1093" i="2"/>
  <c r="V1897" i="2"/>
  <c r="W1897" i="2"/>
  <c r="V1203" i="2"/>
  <c r="W1203" i="2"/>
  <c r="V1785" i="2"/>
  <c r="W1785" i="2"/>
  <c r="X1391" i="2"/>
  <c r="S2129" i="2"/>
  <c r="T2129" i="2" s="1"/>
  <c r="X2129" i="2" s="1"/>
  <c r="K2129" i="2"/>
  <c r="U2129" i="2" s="1"/>
  <c r="K1423" i="2"/>
  <c r="U1423" i="2" s="1"/>
  <c r="S1423" i="2"/>
  <c r="T1423" i="2" s="1"/>
  <c r="K1993" i="2"/>
  <c r="U1993" i="2" s="1"/>
  <c r="S1993" i="2"/>
  <c r="T1993" i="2" s="1"/>
  <c r="X1993" i="2" s="1"/>
  <c r="S1386" i="2"/>
  <c r="T1386" i="2" s="1"/>
  <c r="K1386" i="2"/>
  <c r="U1386" i="2" s="1"/>
  <c r="V249" i="2"/>
  <c r="W249" i="2"/>
  <c r="V1433" i="2"/>
  <c r="W1433" i="2"/>
  <c r="V1252" i="2"/>
  <c r="W1252" i="2"/>
  <c r="X1252" i="2" s="1"/>
  <c r="V2062" i="2"/>
  <c r="W2062" i="2"/>
  <c r="V1784" i="2"/>
  <c r="W1784" i="2"/>
  <c r="K911" i="2"/>
  <c r="U911" i="2" s="1"/>
  <c r="S911" i="2"/>
  <c r="T911" i="2" s="1"/>
  <c r="X1512" i="2"/>
  <c r="V943" i="2"/>
  <c r="W943" i="2"/>
  <c r="X943" i="2" s="1"/>
  <c r="X1105" i="2"/>
  <c r="X420" i="2"/>
  <c r="X668" i="2"/>
  <c r="V371" i="2"/>
  <c r="W371" i="2"/>
  <c r="V788" i="2"/>
  <c r="W788" i="2"/>
  <c r="S1165" i="2"/>
  <c r="T1165" i="2" s="1"/>
  <c r="K1165" i="2"/>
  <c r="U1165" i="2" s="1"/>
  <c r="V1556" i="2"/>
  <c r="W1556" i="2"/>
  <c r="X1556" i="2" s="1"/>
  <c r="V1417" i="2"/>
  <c r="W1417" i="2"/>
  <c r="X1417" i="2" s="1"/>
  <c r="V1138" i="2"/>
  <c r="W1138" i="2"/>
  <c r="V636" i="2"/>
  <c r="W636" i="2"/>
  <c r="S203" i="2"/>
  <c r="T203" i="2" s="1"/>
  <c r="K203" i="2"/>
  <c r="U203" i="2" s="1"/>
  <c r="X534" i="2"/>
  <c r="S719" i="2"/>
  <c r="T719" i="2" s="1"/>
  <c r="K719" i="2"/>
  <c r="U719" i="2" s="1"/>
  <c r="V1284" i="2"/>
  <c r="W1284" i="2"/>
  <c r="X1284" i="2" s="1"/>
  <c r="V715" i="2"/>
  <c r="W715" i="2"/>
  <c r="K176" i="2"/>
  <c r="U176" i="2" s="1"/>
  <c r="S176" i="2"/>
  <c r="T176" i="2" s="1"/>
  <c r="S1294" i="2"/>
  <c r="T1294" i="2" s="1"/>
  <c r="K1294" i="2"/>
  <c r="U1294" i="2" s="1"/>
  <c r="S1084" i="2"/>
  <c r="T1084" i="2" s="1"/>
  <c r="K1084" i="2"/>
  <c r="U1084" i="2" s="1"/>
  <c r="S729" i="2"/>
  <c r="T729" i="2" s="1"/>
  <c r="K729" i="2"/>
  <c r="U729" i="2" s="1"/>
  <c r="V1760" i="2"/>
  <c r="W1760" i="2"/>
  <c r="S652" i="2"/>
  <c r="T652" i="2" s="1"/>
  <c r="K652" i="2"/>
  <c r="U652" i="2" s="1"/>
  <c r="V940" i="2"/>
  <c r="W940" i="2"/>
  <c r="V681" i="2"/>
  <c r="W681" i="2"/>
  <c r="X385" i="2"/>
  <c r="X1600" i="2"/>
  <c r="K1772" i="2"/>
  <c r="U1772" i="2" s="1"/>
  <c r="S1772" i="2"/>
  <c r="T1772" i="2" s="1"/>
  <c r="X1772" i="2" s="1"/>
  <c r="V1135" i="2"/>
  <c r="W1135" i="2"/>
  <c r="S1466" i="2"/>
  <c r="T1466" i="2" s="1"/>
  <c r="K1466" i="2"/>
  <c r="U1466" i="2" s="1"/>
  <c r="V1017" i="2"/>
  <c r="W1017" i="2"/>
  <c r="X1017" i="2" s="1"/>
  <c r="V1057" i="2"/>
  <c r="W1057" i="2"/>
  <c r="X87" i="2"/>
  <c r="X1124" i="2"/>
  <c r="X1182" i="2"/>
  <c r="S758" i="2"/>
  <c r="T758" i="2" s="1"/>
  <c r="K758" i="2"/>
  <c r="U758" i="2" s="1"/>
  <c r="V244" i="2"/>
  <c r="W244" i="2"/>
  <c r="K893" i="2"/>
  <c r="U893" i="2" s="1"/>
  <c r="S893" i="2"/>
  <c r="T893" i="2" s="1"/>
  <c r="S314" i="2"/>
  <c r="T314" i="2" s="1"/>
  <c r="K314" i="2"/>
  <c r="U314" i="2" s="1"/>
  <c r="V483" i="2"/>
  <c r="W483" i="2"/>
  <c r="X483" i="2" s="1"/>
  <c r="V802" i="2"/>
  <c r="W802" i="2"/>
  <c r="V367" i="2"/>
  <c r="W367" i="2"/>
  <c r="S535" i="2"/>
  <c r="T535" i="2" s="1"/>
  <c r="K535" i="2"/>
  <c r="U535" i="2" s="1"/>
  <c r="K1834" i="2"/>
  <c r="U1834" i="2" s="1"/>
  <c r="S1834" i="2"/>
  <c r="T1834" i="2" s="1"/>
  <c r="X1834" i="2" s="1"/>
  <c r="S571" i="2"/>
  <c r="T571" i="2" s="1"/>
  <c r="K571" i="2"/>
  <c r="U571" i="2" s="1"/>
  <c r="X63" i="2"/>
  <c r="V256" i="2"/>
  <c r="W256" i="2"/>
  <c r="K2009" i="2"/>
  <c r="U2009" i="2" s="1"/>
  <c r="S2009" i="2"/>
  <c r="T2009" i="2" s="1"/>
  <c r="X2009" i="2" s="1"/>
  <c r="V486" i="2"/>
  <c r="W486" i="2"/>
  <c r="V977" i="2"/>
  <c r="W977" i="2"/>
  <c r="X977" i="2" s="1"/>
  <c r="X1589" i="2"/>
  <c r="K162" i="2"/>
  <c r="U162" i="2" s="1"/>
  <c r="S162" i="2"/>
  <c r="T162" i="2" s="1"/>
  <c r="V2141" i="2"/>
  <c r="W2141" i="2"/>
  <c r="V220" i="2"/>
  <c r="W220" i="2"/>
  <c r="X1022" i="2"/>
  <c r="S219" i="2"/>
  <c r="T219" i="2" s="1"/>
  <c r="K219" i="2"/>
  <c r="U219" i="2" s="1"/>
  <c r="X769" i="2"/>
  <c r="X379" i="2"/>
  <c r="S1717" i="2"/>
  <c r="T1717" i="2" s="1"/>
  <c r="X1717" i="2" s="1"/>
  <c r="K1717" i="2"/>
  <c r="U1717" i="2" s="1"/>
  <c r="X842" i="2"/>
  <c r="K1686" i="2"/>
  <c r="U1686" i="2" s="1"/>
  <c r="S1686" i="2"/>
  <c r="T1686" i="2" s="1"/>
  <c r="X1686" i="2" s="1"/>
  <c r="K3" i="2"/>
  <c r="U3" i="2" s="1"/>
  <c r="S3" i="2"/>
  <c r="T3" i="2" s="1"/>
  <c r="V1127" i="2"/>
  <c r="W1127" i="2"/>
  <c r="S1298" i="2"/>
  <c r="T1298" i="2" s="1"/>
  <c r="K1298" i="2"/>
  <c r="U1298" i="2" s="1"/>
  <c r="S644" i="2"/>
  <c r="T644" i="2" s="1"/>
  <c r="K644" i="2"/>
  <c r="U644" i="2" s="1"/>
  <c r="V937" i="2"/>
  <c r="W937" i="2"/>
  <c r="K595" i="2"/>
  <c r="U595" i="2" s="1"/>
  <c r="S595" i="2"/>
  <c r="T595" i="2" s="1"/>
  <c r="V1168" i="2"/>
  <c r="W1168" i="2"/>
  <c r="V2160" i="2"/>
  <c r="W2160" i="2"/>
  <c r="V676" i="2"/>
  <c r="W676" i="2"/>
  <c r="V1761" i="2"/>
  <c r="W1761" i="2"/>
  <c r="K1012" i="2"/>
  <c r="U1012" i="2" s="1"/>
  <c r="S1012" i="2"/>
  <c r="T1012" i="2" s="1"/>
  <c r="V1483" i="2"/>
  <c r="W1483" i="2"/>
  <c r="V1475" i="2"/>
  <c r="W1475" i="2"/>
  <c r="X1475" i="2" s="1"/>
  <c r="X966" i="2"/>
  <c r="V184" i="2"/>
  <c r="W184" i="2"/>
  <c r="X184" i="2" s="1"/>
  <c r="S1163" i="2"/>
  <c r="T1163" i="2" s="1"/>
  <c r="K1163" i="2"/>
  <c r="U1163" i="2" s="1"/>
  <c r="K538" i="2"/>
  <c r="U538" i="2" s="1"/>
  <c r="S538" i="2"/>
  <c r="T538" i="2" s="1"/>
  <c r="V782" i="2"/>
  <c r="W782" i="2"/>
  <c r="X782" i="2" s="1"/>
  <c r="V92" i="2"/>
  <c r="W92" i="2"/>
  <c r="X92" i="2" s="1"/>
  <c r="V1024" i="2"/>
  <c r="W1024" i="2"/>
  <c r="S231" i="2"/>
  <c r="T231" i="2" s="1"/>
  <c r="K231" i="2"/>
  <c r="U231" i="2" s="1"/>
  <c r="X996" i="2"/>
  <c r="V1058" i="2"/>
  <c r="W1058" i="2"/>
  <c r="X1058" i="2" s="1"/>
  <c r="S93" i="2"/>
  <c r="T93" i="2" s="1"/>
  <c r="K93" i="2"/>
  <c r="U93" i="2" s="1"/>
  <c r="S1553" i="2"/>
  <c r="T1553" i="2" s="1"/>
  <c r="K1553" i="2"/>
  <c r="U1553" i="2" s="1"/>
  <c r="K1714" i="2"/>
  <c r="U1714" i="2" s="1"/>
  <c r="S1714" i="2"/>
  <c r="T1714" i="2" s="1"/>
  <c r="X1714" i="2" s="1"/>
  <c r="V251" i="2"/>
  <c r="W251" i="2"/>
  <c r="V242" i="2"/>
  <c r="W242" i="2"/>
  <c r="X242" i="2" s="1"/>
  <c r="K1575" i="2"/>
  <c r="U1575" i="2" s="1"/>
  <c r="S1575" i="2"/>
  <c r="T1575" i="2" s="1"/>
  <c r="S1269" i="2"/>
  <c r="T1269" i="2" s="1"/>
  <c r="K1269" i="2"/>
  <c r="U1269" i="2" s="1"/>
  <c r="K1776" i="2"/>
  <c r="U1776" i="2" s="1"/>
  <c r="S1776" i="2"/>
  <c r="T1776" i="2" s="1"/>
  <c r="X1776" i="2" s="1"/>
  <c r="K2010" i="2"/>
  <c r="U2010" i="2" s="1"/>
  <c r="S2010" i="2"/>
  <c r="T2010" i="2" s="1"/>
  <c r="X2010" i="2" s="1"/>
  <c r="X803" i="2"/>
  <c r="X14" i="2"/>
  <c r="V877" i="2"/>
  <c r="W877" i="2"/>
  <c r="V1762" i="2"/>
  <c r="W1762" i="2"/>
  <c r="V876" i="2"/>
  <c r="W876" i="2"/>
  <c r="X876" i="2" s="1"/>
  <c r="S1449" i="2"/>
  <c r="T1449" i="2" s="1"/>
  <c r="K1449" i="2"/>
  <c r="U1449" i="2" s="1"/>
  <c r="X1454" i="2"/>
  <c r="X1143" i="2"/>
  <c r="S1195" i="2"/>
  <c r="T1195" i="2" s="1"/>
  <c r="K1195" i="2"/>
  <c r="U1195" i="2" s="1"/>
  <c r="V1002" i="2"/>
  <c r="W1002" i="2"/>
  <c r="V1584" i="2"/>
  <c r="W1584" i="2"/>
  <c r="X70" i="2"/>
  <c r="S1515" i="2"/>
  <c r="T1515" i="2" s="1"/>
  <c r="K1515" i="2"/>
  <c r="U1515" i="2" s="1"/>
  <c r="X850" i="2"/>
  <c r="K961" i="2"/>
  <c r="U961" i="2" s="1"/>
  <c r="S961" i="2"/>
  <c r="T961" i="2" s="1"/>
  <c r="V451" i="2"/>
  <c r="W451" i="2"/>
  <c r="X451" i="2" s="1"/>
  <c r="S1725" i="2"/>
  <c r="T1725" i="2" s="1"/>
  <c r="X1725" i="2" s="1"/>
  <c r="K1725" i="2"/>
  <c r="U1725" i="2" s="1"/>
  <c r="V265" i="2"/>
  <c r="W265" i="2"/>
  <c r="S1695" i="2"/>
  <c r="T1695" i="2" s="1"/>
  <c r="X1695" i="2" s="1"/>
  <c r="K1695" i="2"/>
  <c r="U1695" i="2" s="1"/>
  <c r="V1010" i="2"/>
  <c r="W1010" i="2"/>
  <c r="X1010" i="2" s="1"/>
  <c r="S482" i="2"/>
  <c r="T482" i="2" s="1"/>
  <c r="K482" i="2"/>
  <c r="U482" i="2" s="1"/>
  <c r="V1333" i="2"/>
  <c r="W1333" i="2"/>
  <c r="V225" i="2"/>
  <c r="W225" i="2"/>
  <c r="K6" i="2"/>
  <c r="U6" i="2" s="1"/>
  <c r="S6" i="2"/>
  <c r="T6" i="2" s="1"/>
  <c r="V594" i="2"/>
  <c r="W594" i="2"/>
  <c r="S1139" i="2"/>
  <c r="T1139" i="2" s="1"/>
  <c r="K1139" i="2"/>
  <c r="U1139" i="2" s="1"/>
  <c r="V277" i="2"/>
  <c r="W277" i="2"/>
  <c r="X277" i="2" s="1"/>
  <c r="S580" i="2"/>
  <c r="T580" i="2" s="1"/>
  <c r="K580" i="2"/>
  <c r="U580" i="2" s="1"/>
  <c r="V866" i="2"/>
  <c r="W866" i="2"/>
  <c r="X866" i="2" s="1"/>
  <c r="K2014" i="2"/>
  <c r="U2014" i="2" s="1"/>
  <c r="S2014" i="2"/>
  <c r="T2014" i="2" s="1"/>
  <c r="X2014" i="2" s="1"/>
  <c r="V1418" i="2"/>
  <c r="W1418" i="2"/>
  <c r="X1418" i="2" s="1"/>
  <c r="X1203" i="2"/>
  <c r="K1995" i="2"/>
  <c r="U1995" i="2" s="1"/>
  <c r="S1995" i="2"/>
  <c r="T1995" i="2" s="1"/>
  <c r="X1995" i="2" s="1"/>
  <c r="X1433" i="2"/>
  <c r="V1470" i="2"/>
  <c r="W1470" i="2"/>
  <c r="S1489" i="2"/>
  <c r="T1489" i="2" s="1"/>
  <c r="K1489" i="2"/>
  <c r="U1489" i="2" s="1"/>
  <c r="X106" i="2"/>
  <c r="S617" i="2"/>
  <c r="T617" i="2" s="1"/>
  <c r="K617" i="2"/>
  <c r="U617" i="2" s="1"/>
  <c r="X302" i="2"/>
  <c r="S217" i="2"/>
  <c r="T217" i="2" s="1"/>
  <c r="K217" i="2"/>
  <c r="U217" i="2" s="1"/>
  <c r="K976" i="2"/>
  <c r="U976" i="2" s="1"/>
  <c r="S976" i="2"/>
  <c r="T976" i="2" s="1"/>
  <c r="V616" i="2"/>
  <c r="W616" i="2"/>
  <c r="S1926" i="2"/>
  <c r="T1926" i="2" s="1"/>
  <c r="X1926" i="2" s="1"/>
  <c r="K1926" i="2"/>
  <c r="U1926" i="2" s="1"/>
  <c r="V364" i="2"/>
  <c r="W364" i="2"/>
  <c r="V1728" i="2"/>
  <c r="W1728" i="2"/>
  <c r="S1727" i="2"/>
  <c r="T1727" i="2" s="1"/>
  <c r="X1727" i="2" s="1"/>
  <c r="K1727" i="2"/>
  <c r="U1727" i="2" s="1"/>
  <c r="S109" i="2"/>
  <c r="T109" i="2" s="1"/>
  <c r="K109" i="2"/>
  <c r="U109" i="2" s="1"/>
  <c r="V226" i="2"/>
  <c r="W226" i="2"/>
  <c r="V164" i="2"/>
  <c r="W164" i="2"/>
  <c r="X164" i="2" s="1"/>
  <c r="S474" i="2"/>
  <c r="T474" i="2" s="1"/>
  <c r="K474" i="2"/>
  <c r="U474" i="2" s="1"/>
  <c r="X1148" i="2"/>
  <c r="S143" i="2"/>
  <c r="T143" i="2" s="1"/>
  <c r="K143" i="2"/>
  <c r="U143" i="2" s="1"/>
  <c r="S599" i="2"/>
  <c r="T599" i="2" s="1"/>
  <c r="K599" i="2"/>
  <c r="U599" i="2" s="1"/>
  <c r="K701" i="2"/>
  <c r="U701" i="2" s="1"/>
  <c r="S701" i="2"/>
  <c r="T701" i="2" s="1"/>
  <c r="S1361" i="2"/>
  <c r="T1361" i="2" s="1"/>
  <c r="K1361" i="2"/>
  <c r="U1361" i="2" s="1"/>
  <c r="X330" i="2"/>
  <c r="X1070" i="2"/>
  <c r="V1793" i="2"/>
  <c r="W1793" i="2"/>
  <c r="V811" i="2"/>
  <c r="W811" i="2"/>
  <c r="V626" i="2"/>
  <c r="W626" i="2"/>
  <c r="X1349" i="2"/>
  <c r="V305" i="2"/>
  <c r="W305" i="2"/>
  <c r="K1973" i="2"/>
  <c r="U1973" i="2" s="1"/>
  <c r="S1973" i="2"/>
  <c r="T1973" i="2" s="1"/>
  <c r="X1973" i="2" s="1"/>
  <c r="S187" i="2"/>
  <c r="T187" i="2" s="1"/>
  <c r="K187" i="2"/>
  <c r="U187" i="2" s="1"/>
  <c r="V440" i="2"/>
  <c r="W440" i="2"/>
  <c r="X440" i="2" s="1"/>
  <c r="V1278" i="2"/>
  <c r="W1278" i="2"/>
  <c r="K1999" i="2"/>
  <c r="U1999" i="2" s="1"/>
  <c r="S1999" i="2"/>
  <c r="T1999" i="2" s="1"/>
  <c r="X1999" i="2" s="1"/>
  <c r="K2019" i="2"/>
  <c r="U2019" i="2" s="1"/>
  <c r="S2019" i="2"/>
  <c r="T2019" i="2" s="1"/>
  <c r="X2019" i="2" s="1"/>
  <c r="S1280" i="2"/>
  <c r="T1280" i="2" s="1"/>
  <c r="K1280" i="2"/>
  <c r="U1280" i="2" s="1"/>
  <c r="V1302" i="2"/>
  <c r="W1302" i="2"/>
  <c r="V849" i="2"/>
  <c r="W849" i="2"/>
  <c r="V198" i="2"/>
  <c r="W198" i="2"/>
  <c r="V913" i="2"/>
  <c r="W913" i="2"/>
  <c r="V1609" i="2"/>
  <c r="W1609" i="2"/>
  <c r="V141" i="2"/>
  <c r="W141" i="2"/>
  <c r="V1461" i="2"/>
  <c r="W1461" i="2"/>
  <c r="X1461" i="2" s="1"/>
  <c r="V1963" i="2"/>
  <c r="W1963" i="2"/>
  <c r="V378" i="2"/>
  <c r="W378" i="2"/>
  <c r="S2126" i="2"/>
  <c r="T2126" i="2" s="1"/>
  <c r="X2126" i="2" s="1"/>
  <c r="K2126" i="2"/>
  <c r="U2126" i="2" s="1"/>
  <c r="S1438" i="2"/>
  <c r="T1438" i="2" s="1"/>
  <c r="K1438" i="2"/>
  <c r="U1438" i="2" s="1"/>
  <c r="K1991" i="2"/>
  <c r="U1991" i="2" s="1"/>
  <c r="S1991" i="2"/>
  <c r="T1991" i="2" s="1"/>
  <c r="X1991" i="2" s="1"/>
  <c r="S1411" i="2"/>
  <c r="T1411" i="2" s="1"/>
  <c r="K1411" i="2"/>
  <c r="U1411" i="2" s="1"/>
  <c r="V261" i="2"/>
  <c r="W261" i="2"/>
  <c r="X261" i="2" s="1"/>
  <c r="V713" i="2"/>
  <c r="W713" i="2"/>
  <c r="V295" i="2"/>
  <c r="W295" i="2"/>
  <c r="X295" i="2" s="1"/>
  <c r="V967" i="2"/>
  <c r="W967" i="2"/>
  <c r="X967" i="2" s="1"/>
  <c r="X1108" i="2"/>
  <c r="K935" i="2"/>
  <c r="U935" i="2" s="1"/>
  <c r="S935" i="2"/>
  <c r="T935" i="2" s="1"/>
  <c r="X1470" i="2"/>
  <c r="V233" i="2"/>
  <c r="W233" i="2"/>
  <c r="V2047" i="2"/>
  <c r="W2047" i="2"/>
  <c r="V421" i="2"/>
  <c r="W421" i="2"/>
  <c r="X765" i="2"/>
  <c r="S725" i="2"/>
  <c r="T725" i="2" s="1"/>
  <c r="K725" i="2"/>
  <c r="U725" i="2" s="1"/>
  <c r="V1254" i="2"/>
  <c r="W1254" i="2"/>
  <c r="X1254" i="2" s="1"/>
  <c r="V28" i="2"/>
  <c r="W28" i="2"/>
  <c r="X220" i="2"/>
  <c r="V274" i="2"/>
  <c r="W274" i="2"/>
  <c r="X274" i="2" s="1"/>
  <c r="S841" i="2"/>
  <c r="T841" i="2" s="1"/>
  <c r="K841" i="2"/>
  <c r="U841" i="2" s="1"/>
  <c r="X1359" i="2"/>
  <c r="V1064" i="2"/>
  <c r="W1064" i="2"/>
  <c r="X1064" i="2" s="1"/>
  <c r="V1044" i="2"/>
  <c r="W1044" i="2"/>
  <c r="X1044" i="2" s="1"/>
  <c r="V1592" i="2"/>
  <c r="W1592" i="2"/>
  <c r="S167" i="2"/>
  <c r="T167" i="2" s="1"/>
  <c r="K167" i="2"/>
  <c r="U167" i="2" s="1"/>
  <c r="V1315" i="2"/>
  <c r="W1315" i="2"/>
  <c r="X1315" i="2" s="1"/>
  <c r="V2154" i="2"/>
  <c r="W2154" i="2"/>
  <c r="X252" i="2"/>
  <c r="V1040" i="2"/>
  <c r="W1040" i="2"/>
  <c r="V1797" i="2"/>
  <c r="W1797" i="2"/>
  <c r="S1921" i="2"/>
  <c r="T1921" i="2" s="1"/>
  <c r="X1921" i="2" s="1"/>
  <c r="K1921" i="2"/>
  <c r="U1921" i="2" s="1"/>
  <c r="K1009" i="2"/>
  <c r="U1009" i="2" s="1"/>
  <c r="S1009" i="2"/>
  <c r="T1009" i="2" s="1"/>
  <c r="S547" i="2"/>
  <c r="T547" i="2" s="1"/>
  <c r="K547" i="2"/>
  <c r="U547" i="2" s="1"/>
  <c r="V1100" i="2"/>
  <c r="W1100" i="2"/>
  <c r="V330" i="2"/>
  <c r="W330" i="2"/>
  <c r="K193" i="2"/>
  <c r="U193" i="2" s="1"/>
  <c r="S193" i="2"/>
  <c r="T193" i="2" s="1"/>
  <c r="V1757" i="2"/>
  <c r="W1757" i="2"/>
  <c r="V1580" i="2"/>
  <c r="W1580" i="2"/>
  <c r="X1580" i="2" s="1"/>
  <c r="S1436" i="2"/>
  <c r="T1436" i="2" s="1"/>
  <c r="K1436" i="2"/>
  <c r="U1436" i="2" s="1"/>
  <c r="V1108" i="2"/>
  <c r="W1108" i="2"/>
  <c r="V1511" i="2"/>
  <c r="W1511" i="2"/>
  <c r="V1207" i="2"/>
  <c r="W1207" i="2"/>
  <c r="X1597" i="2"/>
  <c r="V1566" i="2"/>
  <c r="W1566" i="2"/>
  <c r="X1566" i="2" s="1"/>
  <c r="X46" i="2"/>
  <c r="X416" i="2"/>
  <c r="V1205" i="2"/>
  <c r="W1205" i="2"/>
  <c r="V481" i="2"/>
  <c r="W481" i="2"/>
  <c r="K1694" i="2"/>
  <c r="U1694" i="2" s="1"/>
  <c r="S1694" i="2"/>
  <c r="T1694" i="2" s="1"/>
  <c r="X1694" i="2" s="1"/>
  <c r="V190" i="2"/>
  <c r="W190" i="2"/>
  <c r="X190" i="2" s="1"/>
  <c r="V380" i="2"/>
  <c r="W380" i="2"/>
  <c r="X380" i="2" s="1"/>
  <c r="X225" i="2"/>
  <c r="K965" i="2"/>
  <c r="U965" i="2" s="1"/>
  <c r="S965" i="2"/>
  <c r="T965" i="2" s="1"/>
  <c r="S1075" i="2"/>
  <c r="T1075" i="2" s="1"/>
  <c r="K1075" i="2"/>
  <c r="U1075" i="2" s="1"/>
  <c r="V57" i="2"/>
  <c r="W57" i="2"/>
  <c r="X1207" i="2"/>
  <c r="K1536" i="2"/>
  <c r="U1536" i="2" s="1"/>
  <c r="S1536" i="2"/>
  <c r="T1536" i="2" s="1"/>
  <c r="V1859" i="2"/>
  <c r="W1859" i="2"/>
  <c r="S250" i="2"/>
  <c r="T250" i="2" s="1"/>
  <c r="K250" i="2"/>
  <c r="U250" i="2" s="1"/>
  <c r="S1008" i="2"/>
  <c r="T1008" i="2" s="1"/>
  <c r="K1008" i="2"/>
  <c r="U1008" i="2" s="1"/>
  <c r="V174" i="2"/>
  <c r="W174" i="2"/>
  <c r="S426" i="2"/>
  <c r="T426" i="2" s="1"/>
  <c r="K426" i="2"/>
  <c r="U426" i="2" s="1"/>
  <c r="X616" i="2"/>
  <c r="K939" i="2"/>
  <c r="U939" i="2" s="1"/>
  <c r="S939" i="2"/>
  <c r="T939" i="2" s="1"/>
  <c r="V583" i="2"/>
  <c r="W583" i="2"/>
  <c r="S1925" i="2"/>
  <c r="T1925" i="2" s="1"/>
  <c r="X1925" i="2" s="1"/>
  <c r="K1925" i="2"/>
  <c r="U1925" i="2" s="1"/>
  <c r="V1759" i="2"/>
  <c r="W1759" i="2"/>
  <c r="V1154" i="2"/>
  <c r="W1154" i="2"/>
  <c r="X1154" i="2" s="1"/>
  <c r="X165" i="2"/>
  <c r="X364" i="2"/>
  <c r="S1130" i="2"/>
  <c r="T1130" i="2" s="1"/>
  <c r="K1130" i="2"/>
  <c r="U1130" i="2" s="1"/>
  <c r="S1534" i="2"/>
  <c r="T1534" i="2" s="1"/>
  <c r="K1534" i="2"/>
  <c r="U1534" i="2" s="1"/>
  <c r="V1247" i="2"/>
  <c r="W1247" i="2"/>
  <c r="S596" i="2"/>
  <c r="T596" i="2" s="1"/>
  <c r="K596" i="2"/>
  <c r="U596" i="2" s="1"/>
  <c r="K675" i="2"/>
  <c r="U675" i="2" s="1"/>
  <c r="S675" i="2"/>
  <c r="T675" i="2" s="1"/>
  <c r="V1665" i="2"/>
  <c r="W1665" i="2"/>
  <c r="V1178" i="2"/>
  <c r="W1178" i="2"/>
  <c r="S5" i="2"/>
  <c r="T5" i="2" s="1"/>
  <c r="K5" i="2"/>
  <c r="U5" i="2" s="1"/>
  <c r="K1724" i="2"/>
  <c r="U1724" i="2" s="1"/>
  <c r="S1724" i="2"/>
  <c r="T1724" i="2" s="1"/>
  <c r="X1724" i="2" s="1"/>
  <c r="V2147" i="2"/>
  <c r="W2147" i="2"/>
  <c r="X481" i="2"/>
  <c r="V357" i="2"/>
  <c r="W357" i="2"/>
  <c r="K2080" i="2"/>
  <c r="U2080" i="2" s="1"/>
  <c r="S2080" i="2"/>
  <c r="T2080" i="2" s="1"/>
  <c r="X2080" i="2" s="1"/>
  <c r="S2071" i="2"/>
  <c r="T2071" i="2" s="1"/>
  <c r="X2071" i="2" s="1"/>
  <c r="K2071" i="2"/>
  <c r="U2071" i="2" s="1"/>
  <c r="V1817" i="2"/>
  <c r="W1817" i="2"/>
  <c r="X860" i="2"/>
  <c r="S1779" i="2"/>
  <c r="T1779" i="2" s="1"/>
  <c r="X1779" i="2" s="1"/>
  <c r="K1779" i="2"/>
  <c r="U1779" i="2" s="1"/>
  <c r="S129" i="2"/>
  <c r="T129" i="2" s="1"/>
  <c r="K129" i="2"/>
  <c r="U129" i="2" s="1"/>
  <c r="K1696" i="2"/>
  <c r="U1696" i="2" s="1"/>
  <c r="S1696" i="2"/>
  <c r="T1696" i="2" s="1"/>
  <c r="X1696" i="2" s="1"/>
  <c r="S1699" i="2"/>
  <c r="T1699" i="2" s="1"/>
  <c r="X1699" i="2" s="1"/>
  <c r="K1699" i="2"/>
  <c r="U1699" i="2" s="1"/>
  <c r="V1136" i="2"/>
  <c r="W1136" i="2"/>
  <c r="X1136" i="2" s="1"/>
  <c r="V609" i="2"/>
  <c r="W609" i="2"/>
  <c r="X609" i="2" s="1"/>
  <c r="V1574" i="2"/>
  <c r="W1574" i="2"/>
  <c r="X1574" i="2" s="1"/>
  <c r="X226" i="2"/>
  <c r="X229" i="2"/>
  <c r="S15" i="2"/>
  <c r="T15" i="2" s="1"/>
  <c r="K15" i="2"/>
  <c r="U15" i="2" s="1"/>
  <c r="S527" i="2"/>
  <c r="T527" i="2" s="1"/>
  <c r="K527" i="2"/>
  <c r="U527" i="2" s="1"/>
  <c r="V1767" i="2"/>
  <c r="W1767" i="2"/>
  <c r="S1224" i="2"/>
  <c r="T1224" i="2" s="1"/>
  <c r="K1224" i="2"/>
  <c r="U1224" i="2" s="1"/>
  <c r="V1374" i="2"/>
  <c r="W1374" i="2"/>
  <c r="X1374" i="2" s="1"/>
  <c r="X1099" i="2"/>
  <c r="V585" i="2"/>
  <c r="W585" i="2"/>
  <c r="S91" i="2"/>
  <c r="T91" i="2" s="1"/>
  <c r="K91" i="2"/>
  <c r="U91" i="2" s="1"/>
  <c r="K489" i="2"/>
  <c r="U489" i="2" s="1"/>
  <c r="S489" i="2"/>
  <c r="T489" i="2" s="1"/>
  <c r="S1866" i="2"/>
  <c r="T1866" i="2" s="1"/>
  <c r="X1866" i="2" s="1"/>
  <c r="K1866" i="2"/>
  <c r="U1866" i="2" s="1"/>
  <c r="S1579" i="2"/>
  <c r="T1579" i="2" s="1"/>
  <c r="K1579" i="2"/>
  <c r="U1579" i="2" s="1"/>
  <c r="V448" i="2"/>
  <c r="W448" i="2"/>
  <c r="K948" i="2"/>
  <c r="U948" i="2" s="1"/>
  <c r="S948" i="2"/>
  <c r="T948" i="2" s="1"/>
  <c r="V610" i="2"/>
  <c r="W610" i="2"/>
  <c r="X610" i="2" s="1"/>
  <c r="S622" i="2"/>
  <c r="T622" i="2" s="1"/>
  <c r="K622" i="2"/>
  <c r="U622" i="2" s="1"/>
  <c r="S1250" i="2"/>
  <c r="T1250" i="2" s="1"/>
  <c r="K1250" i="2"/>
  <c r="U1250" i="2" s="1"/>
  <c r="S1089" i="2"/>
  <c r="T1089" i="2" s="1"/>
  <c r="K1089" i="2"/>
  <c r="U1089" i="2" s="1"/>
  <c r="K1175" i="2"/>
  <c r="U1175" i="2" s="1"/>
  <c r="S1175" i="2"/>
  <c r="T1175" i="2" s="1"/>
  <c r="S1824" i="2"/>
  <c r="T1824" i="2" s="1"/>
  <c r="X1824" i="2" s="1"/>
  <c r="K1824" i="2"/>
  <c r="U1824" i="2" s="1"/>
  <c r="V348" i="2"/>
  <c r="W348" i="2"/>
  <c r="X348" i="2" s="1"/>
  <c r="V1023" i="2"/>
  <c r="W1023" i="2"/>
  <c r="V1079" i="2"/>
  <c r="W1079" i="2"/>
  <c r="V1389" i="2"/>
  <c r="W1389" i="2"/>
  <c r="X1389" i="2" s="1"/>
  <c r="V341" i="2"/>
  <c r="W341" i="2"/>
  <c r="V411" i="2"/>
  <c r="W411" i="2"/>
  <c r="S179" i="2"/>
  <c r="T179" i="2" s="1"/>
  <c r="K179" i="2"/>
  <c r="U179" i="2" s="1"/>
  <c r="S628" i="2"/>
  <c r="T628" i="2" s="1"/>
  <c r="K628" i="2"/>
  <c r="U628" i="2" s="1"/>
  <c r="S621" i="2"/>
  <c r="T621" i="2" s="1"/>
  <c r="K621" i="2"/>
  <c r="U621" i="2" s="1"/>
  <c r="S1352" i="2"/>
  <c r="T1352" i="2" s="1"/>
  <c r="K1352" i="2"/>
  <c r="U1352" i="2" s="1"/>
  <c r="V1070" i="2"/>
  <c r="W1070" i="2"/>
  <c r="V1986" i="2"/>
  <c r="W1986" i="2"/>
  <c r="X811" i="2"/>
  <c r="X626" i="2"/>
  <c r="V2065" i="2"/>
  <c r="W2065" i="2"/>
  <c r="V30" i="2"/>
  <c r="W30" i="2"/>
  <c r="X30" i="2" s="1"/>
  <c r="X305" i="2"/>
  <c r="K1967" i="2"/>
  <c r="U1967" i="2" s="1"/>
  <c r="S1967" i="2"/>
  <c r="T1967" i="2" s="1"/>
  <c r="X1967" i="2" s="1"/>
  <c r="S218" i="2"/>
  <c r="T218" i="2" s="1"/>
  <c r="K218" i="2"/>
  <c r="U218" i="2" s="1"/>
  <c r="V1050" i="2"/>
  <c r="W1050" i="2"/>
  <c r="X1050" i="2" s="1"/>
  <c r="X1278" i="2"/>
  <c r="K2001" i="2"/>
  <c r="U2001" i="2" s="1"/>
  <c r="S2001" i="2"/>
  <c r="T2001" i="2" s="1"/>
  <c r="X2001" i="2" s="1"/>
  <c r="K2005" i="2"/>
  <c r="U2005" i="2" s="1"/>
  <c r="S2005" i="2"/>
  <c r="T2005" i="2" s="1"/>
  <c r="X2005" i="2" s="1"/>
  <c r="S1301" i="2"/>
  <c r="T1301" i="2" s="1"/>
  <c r="K1301" i="2"/>
  <c r="U1301" i="2" s="1"/>
  <c r="V1172" i="2"/>
  <c r="W1172" i="2"/>
  <c r="V119" i="2"/>
  <c r="W119" i="2"/>
  <c r="X119" i="2" s="1"/>
  <c r="X1302" i="2"/>
  <c r="X1427" i="2"/>
  <c r="X849" i="2"/>
  <c r="X1014" i="2"/>
  <c r="V655" i="2"/>
  <c r="W655" i="2"/>
  <c r="V216" i="2"/>
  <c r="W216" i="2"/>
  <c r="V2052" i="2"/>
  <c r="W2052" i="2"/>
  <c r="X141" i="2"/>
  <c r="V1405" i="2"/>
  <c r="W1405" i="2"/>
  <c r="X1405" i="2" s="1"/>
  <c r="X378" i="2"/>
  <c r="V442" i="2"/>
  <c r="W442" i="2"/>
  <c r="X442" i="2" s="1"/>
  <c r="S2128" i="2"/>
  <c r="T2128" i="2" s="1"/>
  <c r="X2128" i="2" s="1"/>
  <c r="K2128" i="2"/>
  <c r="U2128" i="2" s="1"/>
  <c r="S1446" i="2"/>
  <c r="T1446" i="2" s="1"/>
  <c r="K1446" i="2"/>
  <c r="U1446" i="2" s="1"/>
  <c r="K1997" i="2"/>
  <c r="U1997" i="2" s="1"/>
  <c r="S1997" i="2"/>
  <c r="T1997" i="2" s="1"/>
  <c r="X1997" i="2" s="1"/>
  <c r="S1392" i="2"/>
  <c r="T1392" i="2" s="1"/>
  <c r="K1392" i="2"/>
  <c r="U1392" i="2" s="1"/>
  <c r="V1742" i="2"/>
  <c r="W1742" i="2"/>
  <c r="V1063" i="2"/>
  <c r="W1063" i="2"/>
  <c r="X1063" i="2" s="1"/>
  <c r="X713" i="2"/>
  <c r="K959" i="2"/>
  <c r="U959" i="2" s="1"/>
  <c r="S959" i="2"/>
  <c r="T959" i="2" s="1"/>
  <c r="X233" i="2"/>
  <c r="V732" i="2"/>
  <c r="W732" i="2"/>
  <c r="K1773" i="2"/>
  <c r="U1773" i="2" s="1"/>
  <c r="S1773" i="2"/>
  <c r="T1773" i="2" s="1"/>
  <c r="X1773" i="2" s="1"/>
  <c r="S883" i="2"/>
  <c r="T883" i="2" s="1"/>
  <c r="K883" i="2"/>
  <c r="U883" i="2" s="1"/>
  <c r="V1739" i="2"/>
  <c r="W1739" i="2"/>
  <c r="V772" i="2"/>
  <c r="W772" i="2"/>
  <c r="S1246" i="2"/>
  <c r="T1246" i="2" s="1"/>
  <c r="K1246" i="2"/>
  <c r="U1246" i="2" s="1"/>
  <c r="K1015" i="2"/>
  <c r="U1015" i="2" s="1"/>
  <c r="S1015" i="2"/>
  <c r="T1015" i="2" s="1"/>
  <c r="V1322" i="2"/>
  <c r="W1322" i="2"/>
  <c r="X1322" i="2" s="1"/>
  <c r="V1223" i="2"/>
  <c r="W1223" i="2"/>
  <c r="X1223" i="2" s="1"/>
  <c r="S377" i="2"/>
  <c r="T377" i="2" s="1"/>
  <c r="K377" i="2"/>
  <c r="U377" i="2" s="1"/>
  <c r="S1177" i="2"/>
  <c r="T1177" i="2" s="1"/>
  <c r="K1177" i="2"/>
  <c r="U1177" i="2" s="1"/>
  <c r="V1959" i="2"/>
  <c r="W1959" i="2"/>
  <c r="S2082" i="2"/>
  <c r="T2082" i="2" s="1"/>
  <c r="X2082" i="2" s="1"/>
  <c r="K2082" i="2"/>
  <c r="U2082" i="2" s="1"/>
  <c r="X802" i="2"/>
  <c r="K470" i="2"/>
  <c r="U470" i="2" s="1"/>
  <c r="S470" i="2"/>
  <c r="T470" i="2" s="1"/>
  <c r="V1344" i="2"/>
  <c r="W1344" i="2"/>
  <c r="S499" i="2"/>
  <c r="T499" i="2" s="1"/>
  <c r="K499" i="2"/>
  <c r="U499" i="2" s="1"/>
  <c r="V1394" i="2"/>
  <c r="W1394" i="2"/>
  <c r="X1394" i="2" s="1"/>
  <c r="V521" i="2"/>
  <c r="W521" i="2"/>
  <c r="S700" i="2"/>
  <c r="T700" i="2" s="1"/>
  <c r="K700" i="2"/>
  <c r="U700" i="2" s="1"/>
  <c r="S566" i="2"/>
  <c r="T566" i="2" s="1"/>
  <c r="K566" i="2"/>
  <c r="U566" i="2" s="1"/>
  <c r="V500" i="2"/>
  <c r="W500" i="2"/>
  <c r="X500" i="2" s="1"/>
  <c r="V1061" i="2"/>
  <c r="W1061" i="2"/>
  <c r="X1061" i="2" s="1"/>
  <c r="S1325" i="2"/>
  <c r="T1325" i="2" s="1"/>
  <c r="K1325" i="2"/>
  <c r="U1325" i="2" s="1"/>
  <c r="V1212" i="2"/>
  <c r="W1212" i="2"/>
  <c r="S2133" i="2"/>
  <c r="T2133" i="2" s="1"/>
  <c r="X2133" i="2" s="1"/>
  <c r="K2133" i="2"/>
  <c r="U2133" i="2" s="1"/>
  <c r="V2125" i="2"/>
  <c r="W2125" i="2"/>
  <c r="X371" i="2"/>
  <c r="X506" i="2"/>
  <c r="X158" i="2"/>
  <c r="V1585" i="2"/>
  <c r="W1585" i="2"/>
  <c r="X1585" i="2" s="1"/>
  <c r="V2158" i="2"/>
  <c r="W2158" i="2"/>
  <c r="S1545" i="2"/>
  <c r="T1545" i="2" s="1"/>
  <c r="K1545" i="2"/>
  <c r="U1545" i="2" s="1"/>
  <c r="K949" i="2"/>
  <c r="U949" i="2" s="1"/>
  <c r="S949" i="2"/>
  <c r="T949" i="2" s="1"/>
  <c r="V1365" i="2"/>
  <c r="W1365" i="2"/>
  <c r="S356" i="2"/>
  <c r="T356" i="2" s="1"/>
  <c r="K356" i="2"/>
  <c r="U356" i="2" s="1"/>
  <c r="S37" i="2"/>
  <c r="T37" i="2" s="1"/>
  <c r="K37" i="2"/>
  <c r="U37" i="2" s="1"/>
  <c r="X1376" i="2"/>
  <c r="S1144" i="2"/>
  <c r="T1144" i="2" s="1"/>
  <c r="K1144" i="2"/>
  <c r="U1144" i="2" s="1"/>
  <c r="K2088" i="2"/>
  <c r="U2088" i="2" s="1"/>
  <c r="S2088" i="2"/>
  <c r="T2088" i="2" s="1"/>
  <c r="X2088" i="2" s="1"/>
  <c r="V1292" i="2"/>
  <c r="W1292" i="2"/>
  <c r="V736" i="2"/>
  <c r="W736" i="2"/>
  <c r="X736" i="2" s="1"/>
  <c r="X387" i="2"/>
  <c r="K44" i="2"/>
  <c r="U44" i="2" s="1"/>
  <c r="S44" i="2"/>
  <c r="T44" i="2" s="1"/>
  <c r="V2068" i="2"/>
  <c r="W2068" i="2"/>
  <c r="K591" i="2"/>
  <c r="U591" i="2" s="1"/>
  <c r="S591" i="2"/>
  <c r="T591" i="2" s="1"/>
  <c r="V1551" i="2"/>
  <c r="W1551" i="2"/>
  <c r="K1969" i="2"/>
  <c r="U1969" i="2" s="1"/>
  <c r="S1969" i="2"/>
  <c r="T1969" i="2" s="1"/>
  <c r="X1969" i="2" s="1"/>
  <c r="X1212" i="2"/>
  <c r="S2132" i="2"/>
  <c r="T2132" i="2" s="1"/>
  <c r="X2132" i="2" s="1"/>
  <c r="K2132" i="2"/>
  <c r="U2132" i="2" s="1"/>
  <c r="V1533" i="2"/>
  <c r="W1533" i="2"/>
  <c r="V158" i="2"/>
  <c r="W158" i="2"/>
  <c r="V1480" i="2"/>
  <c r="W1480" i="2"/>
  <c r="O1805" i="2"/>
  <c r="Q1805" i="2" s="1"/>
  <c r="O1799" i="2"/>
  <c r="Q1799" i="2" s="1"/>
  <c r="O1798" i="2"/>
  <c r="Q1798" i="2" s="1"/>
  <c r="O1803" i="2"/>
  <c r="Q1803" i="2" s="1"/>
  <c r="O1802" i="2"/>
  <c r="Q1802" i="2" s="1"/>
  <c r="O1800" i="2"/>
  <c r="Q1800" i="2" s="1"/>
  <c r="O1808" i="2"/>
  <c r="Q1808" i="2" s="1"/>
  <c r="O1809" i="2"/>
  <c r="Q1809" i="2" s="1"/>
  <c r="O1801" i="2"/>
  <c r="Q1801" i="2" s="1"/>
  <c r="O1806" i="2"/>
  <c r="Q1806" i="2" s="1"/>
  <c r="O1804" i="2"/>
  <c r="Q1804" i="2" s="1"/>
  <c r="O1420" i="2"/>
  <c r="Q1420" i="2" s="1"/>
  <c r="O1398" i="2"/>
  <c r="Q1398" i="2" s="1"/>
  <c r="O1415" i="2"/>
  <c r="Q1415" i="2" s="1"/>
  <c r="O1381" i="2"/>
  <c r="Q1381" i="2" s="1"/>
  <c r="O1401" i="2"/>
  <c r="Q1401" i="2" s="1"/>
  <c r="O1402" i="2"/>
  <c r="Q1402" i="2" s="1"/>
  <c r="O816" i="2"/>
  <c r="Q816" i="2" s="1"/>
  <c r="O768" i="2"/>
  <c r="Q768" i="2" s="1"/>
  <c r="O807" i="2"/>
  <c r="Q807" i="2" s="1"/>
  <c r="O775" i="2"/>
  <c r="Q775" i="2" s="1"/>
  <c r="O740" i="2"/>
  <c r="Q740" i="2" s="1"/>
  <c r="O774" i="2"/>
  <c r="Q774" i="2" s="1"/>
  <c r="O1807" i="2"/>
  <c r="Q1807" i="2" s="1"/>
  <c r="S833" i="2"/>
  <c r="T833" i="2" s="1"/>
  <c r="K833" i="2"/>
  <c r="U833" i="2" s="1"/>
  <c r="V1242" i="2"/>
  <c r="W1242" i="2"/>
  <c r="X1242" i="2" s="1"/>
  <c r="X1055" i="2"/>
  <c r="S163" i="2"/>
  <c r="T163" i="2" s="1"/>
  <c r="K163" i="2"/>
  <c r="U163" i="2" s="1"/>
  <c r="V645" i="2"/>
  <c r="W645" i="2"/>
  <c r="V1517" i="2"/>
  <c r="W1517" i="2"/>
  <c r="X1517" i="2" s="1"/>
  <c r="S1933" i="2"/>
  <c r="T1933" i="2" s="1"/>
  <c r="X1933" i="2" s="1"/>
  <c r="K1933" i="2"/>
  <c r="U1933" i="2" s="1"/>
  <c r="V214" i="2"/>
  <c r="W214" i="2"/>
  <c r="X214" i="2" s="1"/>
  <c r="S1560" i="2"/>
  <c r="T1560" i="2" s="1"/>
  <c r="K1560" i="2"/>
  <c r="U1560" i="2" s="1"/>
  <c r="S2070" i="2"/>
  <c r="T2070" i="2" s="1"/>
  <c r="X2070" i="2" s="1"/>
  <c r="K2070" i="2"/>
  <c r="U2070" i="2" s="1"/>
  <c r="V1745" i="2"/>
  <c r="W1745" i="2"/>
  <c r="V132" i="2"/>
  <c r="W132" i="2"/>
  <c r="X132" i="2" s="1"/>
  <c r="K1869" i="2"/>
  <c r="U1869" i="2" s="1"/>
  <c r="S1869" i="2"/>
  <c r="T1869" i="2" s="1"/>
  <c r="X1869" i="2" s="1"/>
  <c r="V1109" i="2"/>
  <c r="W1109" i="2"/>
  <c r="X1109" i="2" s="1"/>
  <c r="V1429" i="2"/>
  <c r="W1429" i="2"/>
  <c r="S660" i="2"/>
  <c r="T660" i="2" s="1"/>
  <c r="K660" i="2"/>
  <c r="U660" i="2" s="1"/>
  <c r="S1974" i="2"/>
  <c r="T1974" i="2" s="1"/>
  <c r="X1974" i="2" s="1"/>
  <c r="K1974" i="2"/>
  <c r="U1974" i="2" s="1"/>
  <c r="V588" i="2"/>
  <c r="W588" i="2"/>
  <c r="X588" i="2" s="1"/>
  <c r="X1319" i="2"/>
  <c r="S859" i="2"/>
  <c r="T859" i="2" s="1"/>
  <c r="K859" i="2"/>
  <c r="U859" i="2" s="1"/>
  <c r="S1492" i="2"/>
  <c r="T1492" i="2" s="1"/>
  <c r="K1492" i="2"/>
  <c r="U1492" i="2" s="1"/>
  <c r="V1129" i="2"/>
  <c r="W1129" i="2"/>
  <c r="X1129" i="2" s="1"/>
  <c r="V1260" i="2"/>
  <c r="W1260" i="2"/>
  <c r="X1260" i="2" s="1"/>
  <c r="S1173" i="2"/>
  <c r="T1173" i="2" s="1"/>
  <c r="K1173" i="2"/>
  <c r="U1173" i="2" s="1"/>
  <c r="X331" i="2"/>
  <c r="S872" i="2"/>
  <c r="T872" i="2" s="1"/>
  <c r="K872" i="2"/>
  <c r="U872" i="2" s="1"/>
  <c r="K711" i="2"/>
  <c r="U711" i="2" s="1"/>
  <c r="S711" i="2"/>
  <c r="T711" i="2" s="1"/>
  <c r="S17" i="2"/>
  <c r="T17" i="2" s="1"/>
  <c r="K17" i="2"/>
  <c r="U17" i="2" s="1"/>
  <c r="V79" i="2"/>
  <c r="W79" i="2"/>
  <c r="V1396" i="2"/>
  <c r="W1396" i="2"/>
  <c r="X1396" i="2" s="1"/>
  <c r="X2" i="2"/>
  <c r="V1624" i="2"/>
  <c r="W1624" i="2"/>
  <c r="V1111" i="2"/>
  <c r="W1111" i="2"/>
  <c r="V1311" i="2"/>
  <c r="W1311" i="2"/>
  <c r="X1311" i="2" s="1"/>
  <c r="V507" i="2"/>
  <c r="W507" i="2"/>
  <c r="K1033" i="2"/>
  <c r="U1033" i="2" s="1"/>
  <c r="S1033" i="2"/>
  <c r="T1033" i="2" s="1"/>
  <c r="K1157" i="2"/>
  <c r="U1157" i="2" s="1"/>
  <c r="S1157" i="2"/>
  <c r="T1157" i="2" s="1"/>
  <c r="V1667" i="2"/>
  <c r="W1667" i="2"/>
  <c r="X1448" i="2"/>
  <c r="S1340" i="2"/>
  <c r="T1340" i="2" s="1"/>
  <c r="K1340" i="2"/>
  <c r="U1340" i="2" s="1"/>
  <c r="V1147" i="2"/>
  <c r="W1147" i="2"/>
  <c r="S1337" i="2"/>
  <c r="T1337" i="2" s="1"/>
  <c r="K1337" i="2"/>
  <c r="U1337" i="2" s="1"/>
  <c r="V1634" i="2"/>
  <c r="W1634" i="2"/>
  <c r="K1994" i="2"/>
  <c r="U1994" i="2" s="1"/>
  <c r="S1994" i="2"/>
  <c r="T1994" i="2" s="1"/>
  <c r="X1994" i="2" s="1"/>
  <c r="X676" i="2"/>
  <c r="V487" i="2"/>
  <c r="W487" i="2"/>
  <c r="X487" i="2" s="1"/>
  <c r="V84" i="2"/>
  <c r="W84" i="2"/>
  <c r="X84" i="2" s="1"/>
  <c r="S215" i="2"/>
  <c r="T215" i="2" s="1"/>
  <c r="K215" i="2"/>
  <c r="U215" i="2" s="1"/>
  <c r="V1729" i="2"/>
  <c r="W1729" i="2"/>
  <c r="S651" i="2"/>
  <c r="T651" i="2" s="1"/>
  <c r="K651" i="2"/>
  <c r="U651" i="2" s="1"/>
  <c r="X161" i="2"/>
  <c r="X927" i="2"/>
  <c r="V1198" i="2"/>
  <c r="W1198" i="2"/>
  <c r="V416" i="2"/>
  <c r="W416" i="2"/>
  <c r="S1116" i="2"/>
  <c r="T1116" i="2" s="1"/>
  <c r="K1116" i="2"/>
  <c r="U1116" i="2" s="1"/>
  <c r="V1018" i="2"/>
  <c r="W1018" i="2"/>
  <c r="V206" i="2"/>
  <c r="W206" i="2"/>
  <c r="X206" i="2" s="1"/>
  <c r="S222" i="2"/>
  <c r="T222" i="2" s="1"/>
  <c r="K222" i="2"/>
  <c r="U222" i="2" s="1"/>
  <c r="V123" i="2"/>
  <c r="W123" i="2"/>
  <c r="V83" i="2"/>
  <c r="W83" i="2"/>
  <c r="S684" i="2"/>
  <c r="T684" i="2" s="1"/>
  <c r="K684" i="2"/>
  <c r="U684" i="2" s="1"/>
  <c r="V26" i="2"/>
  <c r="W26" i="2"/>
  <c r="X26" i="2" s="1"/>
  <c r="S910" i="2"/>
  <c r="T910" i="2" s="1"/>
  <c r="K910" i="2"/>
  <c r="U910" i="2" s="1"/>
  <c r="V1487" i="2"/>
  <c r="W1487" i="2"/>
  <c r="K1720" i="2"/>
  <c r="U1720" i="2" s="1"/>
  <c r="S1720" i="2"/>
  <c r="T1720" i="2" s="1"/>
  <c r="X1720" i="2" s="1"/>
  <c r="V1532" i="2"/>
  <c r="W1532" i="2"/>
  <c r="V1363" i="2"/>
  <c r="W1363" i="2"/>
  <c r="X1363" i="2" s="1"/>
  <c r="V1763" i="2"/>
  <c r="W1763" i="2"/>
  <c r="S29" i="2"/>
  <c r="T29" i="2" s="1"/>
  <c r="K29" i="2"/>
  <c r="U29" i="2" s="1"/>
  <c r="V324" i="2"/>
  <c r="W324" i="2"/>
  <c r="S456" i="2"/>
  <c r="T456" i="2" s="1"/>
  <c r="K456" i="2"/>
  <c r="U456" i="2" s="1"/>
  <c r="X279" i="2"/>
  <c r="S1835" i="2"/>
  <c r="T1835" i="2" s="1"/>
  <c r="X1835" i="2" s="1"/>
  <c r="K1835" i="2"/>
  <c r="U1835" i="2" s="1"/>
  <c r="S1329" i="2"/>
  <c r="T1329" i="2" s="1"/>
  <c r="K1329" i="2"/>
  <c r="U1329" i="2" s="1"/>
  <c r="X680" i="2"/>
  <c r="S1354" i="2"/>
  <c r="T1354" i="2" s="1"/>
  <c r="K1354" i="2"/>
  <c r="U1354" i="2" s="1"/>
  <c r="X913" i="2"/>
  <c r="V1391" i="2"/>
  <c r="W1391" i="2"/>
  <c r="S337" i="2"/>
  <c r="T337" i="2" s="1"/>
  <c r="K337" i="2"/>
  <c r="U337" i="2" s="1"/>
  <c r="X421" i="2"/>
  <c r="S307" i="2"/>
  <c r="T307" i="2" s="1"/>
  <c r="K307" i="2"/>
  <c r="U307" i="2" s="1"/>
  <c r="K993" i="2"/>
  <c r="U993" i="2" s="1"/>
  <c r="S993" i="2"/>
  <c r="T993" i="2" s="1"/>
  <c r="V306" i="2"/>
  <c r="W306" i="2"/>
  <c r="S1169" i="2"/>
  <c r="T1169" i="2" s="1"/>
  <c r="K1169" i="2"/>
  <c r="U1169" i="2" s="1"/>
  <c r="V491" i="2"/>
  <c r="W491" i="2"/>
  <c r="X491" i="2" s="1"/>
  <c r="X1584" i="2"/>
  <c r="V1778" i="2"/>
  <c r="W1778" i="2"/>
  <c r="S1519" i="2"/>
  <c r="T1519" i="2" s="1"/>
  <c r="K1519" i="2"/>
  <c r="U1519" i="2" s="1"/>
  <c r="V838" i="2"/>
  <c r="W838" i="2"/>
  <c r="S914" i="2"/>
  <c r="T914" i="2" s="1"/>
  <c r="K914" i="2"/>
  <c r="U914" i="2" s="1"/>
  <c r="S359" i="2"/>
  <c r="T359" i="2" s="1"/>
  <c r="K359" i="2"/>
  <c r="U359" i="2" s="1"/>
  <c r="X1162" i="2"/>
  <c r="S7" i="2"/>
  <c r="T7" i="2" s="1"/>
  <c r="K7" i="2"/>
  <c r="U7" i="2" s="1"/>
  <c r="V963" i="2"/>
  <c r="W963" i="2"/>
  <c r="K1035" i="2"/>
  <c r="U1035" i="2" s="1"/>
  <c r="S1035" i="2"/>
  <c r="T1035" i="2" s="1"/>
  <c r="S113" i="2"/>
  <c r="T113" i="2" s="1"/>
  <c r="K113" i="2"/>
  <c r="U113" i="2" s="1"/>
  <c r="X574" i="2"/>
  <c r="S1623" i="2"/>
  <c r="T1623" i="2" s="1"/>
  <c r="X1623" i="2" s="1"/>
  <c r="K1623" i="2"/>
  <c r="U1623" i="2" s="1"/>
  <c r="V860" i="2"/>
  <c r="W860" i="2"/>
  <c r="V229" i="2"/>
  <c r="W229" i="2"/>
  <c r="V2066" i="2"/>
  <c r="W2066" i="2"/>
  <c r="X1333" i="2"/>
  <c r="K1865" i="2"/>
  <c r="U1865" i="2" s="1"/>
  <c r="S1865" i="2"/>
  <c r="T1865" i="2" s="1"/>
  <c r="X1865" i="2" s="1"/>
  <c r="X1346" i="2"/>
  <c r="S1328" i="2"/>
  <c r="T1328" i="2" s="1"/>
  <c r="K1328" i="2"/>
  <c r="U1328" i="2" s="1"/>
  <c r="S332" i="2"/>
  <c r="T332" i="2" s="1"/>
  <c r="K332" i="2"/>
  <c r="U332" i="2" s="1"/>
  <c r="V283" i="2"/>
  <c r="W283" i="2"/>
  <c r="X1511" i="2"/>
  <c r="S1495" i="2"/>
  <c r="T1495" i="2" s="1"/>
  <c r="K1495" i="2"/>
  <c r="U1495" i="2" s="1"/>
  <c r="S185" i="2"/>
  <c r="T185" i="2" s="1"/>
  <c r="K185" i="2"/>
  <c r="U185" i="2" s="1"/>
  <c r="V1155" i="2"/>
  <c r="W1155" i="2"/>
  <c r="X1155" i="2" s="1"/>
  <c r="V325" i="2"/>
  <c r="W325" i="2"/>
  <c r="V817" i="2"/>
  <c r="W817" i="2"/>
  <c r="V1496" i="2"/>
  <c r="W1496" i="2"/>
  <c r="X1496" i="2" s="1"/>
  <c r="V770" i="2"/>
  <c r="W770" i="2"/>
  <c r="X770" i="2" s="1"/>
  <c r="S1573" i="2"/>
  <c r="T1573" i="2" s="1"/>
  <c r="K1573" i="2"/>
  <c r="U1573" i="2" s="1"/>
  <c r="V532" i="2"/>
  <c r="W532" i="2"/>
  <c r="V818" i="2"/>
  <c r="W818" i="2"/>
  <c r="X818" i="2" s="1"/>
  <c r="S810" i="2"/>
  <c r="T810" i="2" s="1"/>
  <c r="K810" i="2"/>
  <c r="U810" i="2" s="1"/>
  <c r="V1060" i="2"/>
  <c r="W1060" i="2"/>
  <c r="S383" i="2"/>
  <c r="T383" i="2" s="1"/>
  <c r="K383" i="2"/>
  <c r="U383" i="2" s="1"/>
  <c r="S1919" i="2"/>
  <c r="T1919" i="2" s="1"/>
  <c r="X1919" i="2" s="1"/>
  <c r="K1919" i="2"/>
  <c r="U1919" i="2" s="1"/>
  <c r="V724" i="2"/>
  <c r="W724" i="2"/>
  <c r="V418" i="2"/>
  <c r="W418" i="2"/>
  <c r="S950" i="2"/>
  <c r="T950" i="2" s="1"/>
  <c r="K950" i="2"/>
  <c r="U950" i="2" s="1"/>
  <c r="S1445" i="2"/>
  <c r="T1445" i="2" s="1"/>
  <c r="K1445" i="2"/>
  <c r="U1445" i="2" s="1"/>
  <c r="X686" i="2"/>
  <c r="V549" i="2"/>
  <c r="W549" i="2"/>
  <c r="S125" i="2"/>
  <c r="T125" i="2" s="1"/>
  <c r="K125" i="2"/>
  <c r="U125" i="2" s="1"/>
  <c r="V1306" i="2"/>
  <c r="W1306" i="2"/>
  <c r="V1958" i="2"/>
  <c r="W1958" i="2"/>
  <c r="V1961" i="2"/>
  <c r="W1961" i="2"/>
  <c r="V1094" i="2"/>
  <c r="W1094" i="2"/>
  <c r="V1083" i="2"/>
  <c r="W1083" i="2"/>
  <c r="V2159" i="2"/>
  <c r="W2159" i="2"/>
  <c r="K756" i="2"/>
  <c r="U756" i="2" s="1"/>
  <c r="S756" i="2"/>
  <c r="T756" i="2" s="1"/>
  <c r="X325" i="2"/>
  <c r="V1197" i="2"/>
  <c r="W1197" i="2"/>
  <c r="X1197" i="2" s="1"/>
  <c r="V183" i="2"/>
  <c r="W183" i="2"/>
  <c r="X1442" i="2"/>
  <c r="V1053" i="2"/>
  <c r="W1053" i="2"/>
  <c r="X1053" i="2" s="1"/>
  <c r="X817" i="2"/>
  <c r="V613" i="2"/>
  <c r="W613" i="2"/>
  <c r="V445" i="2"/>
  <c r="W445" i="2"/>
  <c r="S1271" i="2"/>
  <c r="T1271" i="2" s="1"/>
  <c r="K1271" i="2"/>
  <c r="U1271" i="2" s="1"/>
  <c r="V545" i="2"/>
  <c r="W545" i="2"/>
  <c r="X545" i="2" s="1"/>
  <c r="X1456" i="2"/>
  <c r="S1204" i="2"/>
  <c r="T1204" i="2" s="1"/>
  <c r="K1204" i="2"/>
  <c r="U1204" i="2" s="1"/>
  <c r="K1548" i="2"/>
  <c r="U1548" i="2" s="1"/>
  <c r="S1548" i="2"/>
  <c r="T1548" i="2" s="1"/>
  <c r="V1196" i="2"/>
  <c r="W1196" i="2"/>
  <c r="O1042" i="2"/>
  <c r="Q1042" i="2" s="1"/>
  <c r="O1034" i="2"/>
  <c r="Q1034" i="2" s="1"/>
  <c r="O1065" i="2"/>
  <c r="Q1065" i="2" s="1"/>
  <c r="O1045" i="2"/>
  <c r="Q1045" i="2" s="1"/>
  <c r="O1041" i="2"/>
  <c r="Q1041" i="2" s="1"/>
  <c r="O1029" i="2"/>
  <c r="Q1029" i="2" s="1"/>
  <c r="O999" i="2"/>
  <c r="Q999" i="2" s="1"/>
  <c r="O1076" i="2"/>
  <c r="Q1076" i="2" s="1"/>
  <c r="O956" i="2"/>
  <c r="Q956" i="2" s="1"/>
  <c r="O988" i="2"/>
  <c r="Q988" i="2" s="1"/>
  <c r="O1000" i="2"/>
  <c r="Q1000" i="2" s="1"/>
  <c r="O1001" i="2"/>
  <c r="Q1001" i="2" s="1"/>
  <c r="V150" i="2"/>
  <c r="W150" i="2"/>
  <c r="V2025" i="2"/>
  <c r="W2025" i="2"/>
  <c r="S806" i="2"/>
  <c r="T806" i="2" s="1"/>
  <c r="K806" i="2"/>
  <c r="U806" i="2" s="1"/>
  <c r="S896" i="2"/>
  <c r="T896" i="2" s="1"/>
  <c r="K896" i="2"/>
  <c r="U896" i="2" s="1"/>
  <c r="S1504" i="2"/>
  <c r="T1504" i="2" s="1"/>
  <c r="K1504" i="2"/>
  <c r="U1504" i="2" s="1"/>
  <c r="V1576" i="2"/>
  <c r="W1576" i="2"/>
  <c r="S795" i="2"/>
  <c r="T795" i="2" s="1"/>
  <c r="K795" i="2"/>
  <c r="U795" i="2" s="1"/>
  <c r="V342" i="2"/>
  <c r="W342" i="2"/>
  <c r="X342" i="2" s="1"/>
  <c r="V1459" i="2"/>
  <c r="W1459" i="2"/>
  <c r="X1459" i="2" s="1"/>
  <c r="V2119" i="2"/>
  <c r="W2119" i="2"/>
  <c r="S188" i="2"/>
  <c r="T188" i="2" s="1"/>
  <c r="K188" i="2"/>
  <c r="U188" i="2" s="1"/>
  <c r="V204" i="2"/>
  <c r="W204" i="2"/>
  <c r="X204" i="2" s="1"/>
  <c r="S848" i="2"/>
  <c r="T848" i="2" s="1"/>
  <c r="K848" i="2"/>
  <c r="U848" i="2" s="1"/>
  <c r="X269" i="2"/>
  <c r="X1060" i="2"/>
  <c r="S237" i="2"/>
  <c r="T237" i="2" s="1"/>
  <c r="K237" i="2"/>
  <c r="U237" i="2" s="1"/>
  <c r="S366" i="2"/>
  <c r="T366" i="2" s="1"/>
  <c r="K366" i="2"/>
  <c r="U366" i="2" s="1"/>
  <c r="K945" i="2"/>
  <c r="U945" i="2" s="1"/>
  <c r="S945" i="2"/>
  <c r="T945" i="2" s="1"/>
  <c r="V127" i="2"/>
  <c r="W127" i="2"/>
  <c r="X127" i="2" s="1"/>
  <c r="V735" i="2"/>
  <c r="W735" i="2"/>
  <c r="X735" i="2" s="1"/>
  <c r="V1296" i="2"/>
  <c r="W1296" i="2"/>
  <c r="S749" i="2"/>
  <c r="T749" i="2" s="1"/>
  <c r="K749" i="2"/>
  <c r="U749" i="2" s="1"/>
  <c r="V2143" i="2"/>
  <c r="W2143" i="2"/>
  <c r="V1067" i="2"/>
  <c r="W1067" i="2"/>
  <c r="S347" i="2"/>
  <c r="T347" i="2" s="1"/>
  <c r="K347" i="2"/>
  <c r="U347" i="2" s="1"/>
  <c r="S873" i="2"/>
  <c r="T873" i="2" s="1"/>
  <c r="K873" i="2"/>
  <c r="U873" i="2" s="1"/>
  <c r="X583" i="2"/>
  <c r="K1786" i="2"/>
  <c r="U1786" i="2" s="1"/>
  <c r="S1786" i="2"/>
  <c r="T1786" i="2" s="1"/>
  <c r="X1786" i="2" s="1"/>
  <c r="K1928" i="2"/>
  <c r="U1928" i="2" s="1"/>
  <c r="S1928" i="2"/>
  <c r="T1928" i="2" s="1"/>
  <c r="X1928" i="2" s="1"/>
  <c r="K1619" i="2"/>
  <c r="U1619" i="2" s="1"/>
  <c r="S1619" i="2"/>
  <c r="T1619" i="2" s="1"/>
  <c r="X1619" i="2" s="1"/>
  <c r="V826" i="2"/>
  <c r="W826" i="2"/>
  <c r="X826" i="2" s="1"/>
  <c r="V733" i="2"/>
  <c r="W733" i="2"/>
  <c r="V1318" i="2"/>
  <c r="W1318" i="2"/>
  <c r="S1088" i="2"/>
  <c r="T1088" i="2" s="1"/>
  <c r="K1088" i="2"/>
  <c r="U1088" i="2" s="1"/>
  <c r="S1524" i="2"/>
  <c r="T1524" i="2" s="1"/>
  <c r="K1524" i="2"/>
  <c r="U1524" i="2" s="1"/>
  <c r="V1766" i="2"/>
  <c r="W1766" i="2"/>
  <c r="X1247" i="2"/>
  <c r="K520" i="2"/>
  <c r="U520" i="2" s="1"/>
  <c r="S520" i="2"/>
  <c r="T520" i="2" s="1"/>
  <c r="S554" i="2"/>
  <c r="T554" i="2" s="1"/>
  <c r="K554" i="2"/>
  <c r="U554" i="2" s="1"/>
  <c r="V1953" i="2"/>
  <c r="W1953" i="2"/>
  <c r="X1178" i="2"/>
  <c r="S12" i="2"/>
  <c r="T12" i="2" s="1"/>
  <c r="K12" i="2"/>
  <c r="U12" i="2" s="1"/>
  <c r="K1726" i="2"/>
  <c r="U1726" i="2" s="1"/>
  <c r="S1726" i="2"/>
  <c r="T1726" i="2" s="1"/>
  <c r="X1726" i="2" s="1"/>
  <c r="V1458" i="2"/>
  <c r="W1458" i="2"/>
  <c r="X1458" i="2" s="1"/>
  <c r="V1582" i="2"/>
  <c r="W1582" i="2"/>
  <c r="X1582" i="2" s="1"/>
  <c r="X357" i="2"/>
  <c r="V1297" i="2"/>
  <c r="W1297" i="2"/>
  <c r="K2086" i="2"/>
  <c r="U2086" i="2" s="1"/>
  <c r="S2086" i="2"/>
  <c r="T2086" i="2" s="1"/>
  <c r="X2086" i="2" s="1"/>
  <c r="S2087" i="2"/>
  <c r="T2087" i="2" s="1"/>
  <c r="X2087" i="2" s="1"/>
  <c r="K2087" i="2"/>
  <c r="U2087" i="2" s="1"/>
  <c r="V562" i="2"/>
  <c r="W562" i="2"/>
  <c r="X562" i="2" s="1"/>
  <c r="V1819" i="2"/>
  <c r="W1819" i="2"/>
  <c r="S155" i="2"/>
  <c r="T155" i="2" s="1"/>
  <c r="K155" i="2"/>
  <c r="U155" i="2" s="1"/>
  <c r="K1698" i="2"/>
  <c r="U1698" i="2" s="1"/>
  <c r="S1698" i="2"/>
  <c r="T1698" i="2" s="1"/>
  <c r="X1698" i="2" s="1"/>
  <c r="S1701" i="2"/>
  <c r="T1701" i="2" s="1"/>
  <c r="X1701" i="2" s="1"/>
  <c r="K1701" i="2"/>
  <c r="U1701" i="2" s="1"/>
  <c r="S58" i="2"/>
  <c r="T58" i="2" s="1"/>
  <c r="K58" i="2"/>
  <c r="U58" i="2" s="1"/>
  <c r="K432" i="2"/>
  <c r="U432" i="2" s="1"/>
  <c r="S432" i="2"/>
  <c r="T432" i="2" s="1"/>
  <c r="V565" i="2"/>
  <c r="W565" i="2"/>
  <c r="V2057" i="2"/>
  <c r="W2057" i="2"/>
  <c r="S1234" i="2"/>
  <c r="T1234" i="2" s="1"/>
  <c r="K1234" i="2"/>
  <c r="U1234" i="2" s="1"/>
  <c r="V1099" i="2"/>
  <c r="W1099" i="2"/>
  <c r="V494" i="2"/>
  <c r="W494" i="2"/>
  <c r="V1343" i="2"/>
  <c r="W1343" i="2"/>
  <c r="X1343" i="2" s="1"/>
  <c r="X585" i="2"/>
  <c r="S41" i="2"/>
  <c r="T41" i="2" s="1"/>
  <c r="K41" i="2"/>
  <c r="U41" i="2" s="1"/>
  <c r="K427" i="2"/>
  <c r="U427" i="2" s="1"/>
  <c r="S427" i="2"/>
  <c r="T427" i="2" s="1"/>
  <c r="S1281" i="2"/>
  <c r="T1281" i="2" s="1"/>
  <c r="K1281" i="2"/>
  <c r="U1281" i="2" s="1"/>
  <c r="K1867" i="2"/>
  <c r="U1867" i="2" s="1"/>
  <c r="S1867" i="2"/>
  <c r="T1867" i="2" s="1"/>
  <c r="X1867" i="2" s="1"/>
  <c r="X448" i="2"/>
  <c r="S908" i="2"/>
  <c r="T908" i="2" s="1"/>
  <c r="K908" i="2"/>
  <c r="U908" i="2" s="1"/>
  <c r="V1353" i="2"/>
  <c r="W1353" i="2"/>
  <c r="S659" i="2"/>
  <c r="T659" i="2" s="1"/>
  <c r="K659" i="2"/>
  <c r="U659" i="2" s="1"/>
  <c r="S1262" i="2"/>
  <c r="T1262" i="2" s="1"/>
  <c r="K1262" i="2"/>
  <c r="U1262" i="2" s="1"/>
  <c r="S1122" i="2"/>
  <c r="T1122" i="2" s="1"/>
  <c r="K1122" i="2"/>
  <c r="U1122" i="2" s="1"/>
  <c r="S1549" i="2"/>
  <c r="T1549" i="2" s="1"/>
  <c r="K1549" i="2"/>
  <c r="U1549" i="2" s="1"/>
  <c r="S1833" i="2"/>
  <c r="T1833" i="2" s="1"/>
  <c r="X1833" i="2" s="1"/>
  <c r="K1833" i="2"/>
  <c r="U1833" i="2" s="1"/>
  <c r="V1749" i="2"/>
  <c r="W1749" i="2"/>
  <c r="V1955" i="2"/>
  <c r="W1955" i="2"/>
  <c r="V1384" i="2"/>
  <c r="W1384" i="2"/>
  <c r="X1384" i="2" s="1"/>
  <c r="X341" i="2"/>
  <c r="X411" i="2"/>
  <c r="S175" i="2"/>
  <c r="T175" i="2" s="1"/>
  <c r="K175" i="2"/>
  <c r="U175" i="2" s="1"/>
  <c r="S553" i="2"/>
  <c r="T553" i="2" s="1"/>
  <c r="K553" i="2"/>
  <c r="U553" i="2" s="1"/>
  <c r="V1323" i="2"/>
  <c r="W1323" i="2"/>
  <c r="S663" i="2"/>
  <c r="T663" i="2" s="1"/>
  <c r="K663" i="2"/>
  <c r="U663" i="2" s="1"/>
  <c r="S1288" i="2"/>
  <c r="T1288" i="2" s="1"/>
  <c r="K1288" i="2"/>
  <c r="U1288" i="2" s="1"/>
  <c r="V286" i="2"/>
  <c r="W286" i="2"/>
  <c r="V1251" i="2"/>
  <c r="W1251" i="2"/>
  <c r="V771" i="2"/>
  <c r="W771" i="2"/>
  <c r="X1604" i="2"/>
  <c r="S1970" i="2"/>
  <c r="T1970" i="2" s="1"/>
  <c r="X1970" i="2" s="1"/>
  <c r="K1970" i="2"/>
  <c r="U1970" i="2" s="1"/>
  <c r="S168" i="2"/>
  <c r="T168" i="2" s="1"/>
  <c r="K168" i="2"/>
  <c r="U168" i="2" s="1"/>
  <c r="V1413" i="2"/>
  <c r="W1413" i="2"/>
  <c r="S462" i="2"/>
  <c r="T462" i="2" s="1"/>
  <c r="K462" i="2"/>
  <c r="U462" i="2" s="1"/>
  <c r="K2011" i="2"/>
  <c r="U2011" i="2" s="1"/>
  <c r="S2011" i="2"/>
  <c r="T2011" i="2" s="1"/>
  <c r="X2011" i="2" s="1"/>
  <c r="K2013" i="2"/>
  <c r="U2013" i="2" s="1"/>
  <c r="S2013" i="2"/>
  <c r="T2013" i="2" s="1"/>
  <c r="X2013" i="2" s="1"/>
  <c r="S1313" i="2"/>
  <c r="T1313" i="2" s="1"/>
  <c r="K1313" i="2"/>
  <c r="U1313" i="2" s="1"/>
  <c r="X1172" i="2"/>
  <c r="V915" i="2"/>
  <c r="W915" i="2"/>
  <c r="X915" i="2" s="1"/>
  <c r="V1427" i="2"/>
  <c r="W1427" i="2"/>
  <c r="V2140" i="2"/>
  <c r="W2140" i="2"/>
  <c r="V1014" i="2"/>
  <c r="W1014" i="2"/>
  <c r="X655" i="2"/>
  <c r="X216" i="2"/>
  <c r="X1373" i="2"/>
  <c r="V1085" i="2"/>
  <c r="W1085" i="2"/>
  <c r="V1460" i="2"/>
  <c r="W1460" i="2"/>
  <c r="X1460" i="2" s="1"/>
  <c r="S2130" i="2"/>
  <c r="T2130" i="2" s="1"/>
  <c r="X2130" i="2" s="1"/>
  <c r="K2130" i="2"/>
  <c r="U2130" i="2" s="1"/>
  <c r="S901" i="2"/>
  <c r="T901" i="2" s="1"/>
  <c r="K901" i="2"/>
  <c r="U901" i="2" s="1"/>
  <c r="S798" i="2"/>
  <c r="T798" i="2" s="1"/>
  <c r="K798" i="2"/>
  <c r="U798" i="2" s="1"/>
  <c r="S1372" i="2"/>
  <c r="T1372" i="2" s="1"/>
  <c r="K1372" i="2"/>
  <c r="U1372" i="2" s="1"/>
  <c r="V1989" i="2"/>
  <c r="W1989" i="2"/>
  <c r="V235" i="2"/>
  <c r="W235" i="2"/>
  <c r="S888" i="2"/>
  <c r="T888" i="2" s="1"/>
  <c r="K888" i="2"/>
  <c r="U888" i="2" s="1"/>
  <c r="V1782" i="2"/>
  <c r="W1782" i="2"/>
  <c r="X732" i="2"/>
  <c r="V409" i="2"/>
  <c r="W409" i="2"/>
  <c r="X409" i="2" s="1"/>
  <c r="S658" i="2"/>
  <c r="T658" i="2" s="1"/>
  <c r="K658" i="2"/>
  <c r="U658" i="2" s="1"/>
  <c r="V1896" i="2"/>
  <c r="W1896" i="2"/>
  <c r="O1881" i="2"/>
  <c r="Q1881" i="2" s="1"/>
  <c r="O1886" i="2"/>
  <c r="Q1886" i="2" s="1"/>
  <c r="O1887" i="2"/>
  <c r="Q1887" i="2" s="1"/>
  <c r="O1884" i="2"/>
  <c r="Q1884" i="2" s="1"/>
  <c r="O1627" i="2"/>
  <c r="Q1627" i="2" s="1"/>
  <c r="O1616" i="2"/>
  <c r="Q1616" i="2" s="1"/>
  <c r="O1617" i="2"/>
  <c r="Q1617" i="2" s="1"/>
  <c r="O1626" i="2"/>
  <c r="Q1626" i="2" s="1"/>
  <c r="O1890" i="2"/>
  <c r="Q1890" i="2" s="1"/>
  <c r="O1889" i="2"/>
  <c r="Q1889" i="2" s="1"/>
  <c r="O1875" i="2"/>
  <c r="Q1875" i="2" s="1"/>
  <c r="O1882" i="2"/>
  <c r="Q1882" i="2" s="1"/>
  <c r="O1883" i="2"/>
  <c r="Q1883" i="2" s="1"/>
  <c r="O1891" i="2"/>
  <c r="Q1891" i="2" s="1"/>
  <c r="O1874" i="2"/>
  <c r="Q1874" i="2" s="1"/>
  <c r="O1876" i="2"/>
  <c r="Q1876" i="2" s="1"/>
  <c r="O1893" i="2"/>
  <c r="Q1893" i="2" s="1"/>
  <c r="O1878" i="2"/>
  <c r="Q1878" i="2" s="1"/>
  <c r="O1880" i="2"/>
  <c r="Q1880" i="2" s="1"/>
  <c r="O1888" i="2"/>
  <c r="Q1888" i="2" s="1"/>
  <c r="O1879" i="2"/>
  <c r="Q1879" i="2" s="1"/>
  <c r="O1885" i="2"/>
  <c r="Q1885" i="2" s="1"/>
  <c r="O1877" i="2"/>
  <c r="Q1877" i="2" s="1"/>
  <c r="O1892" i="2"/>
  <c r="Q1892" i="2" s="1"/>
  <c r="X703" i="2"/>
  <c r="V438" i="2"/>
  <c r="W438" i="2"/>
  <c r="X438" i="2" s="1"/>
  <c r="X429" i="2"/>
  <c r="V597" i="2"/>
  <c r="W597" i="2"/>
  <c r="X597" i="2" s="1"/>
  <c r="V531" i="2"/>
  <c r="W531" i="2"/>
  <c r="S1789" i="2"/>
  <c r="T1789" i="2" s="1"/>
  <c r="X1789" i="2" s="1"/>
  <c r="K1789" i="2"/>
  <c r="U1789" i="2" s="1"/>
  <c r="V1376" i="2"/>
  <c r="W1376" i="2"/>
  <c r="K78" i="2"/>
  <c r="U78" i="2" s="1"/>
  <c r="S78" i="2"/>
  <c r="T78" i="2" s="1"/>
  <c r="V1447" i="2"/>
  <c r="W1447" i="2"/>
  <c r="X1447" i="2" s="1"/>
  <c r="S2077" i="2"/>
  <c r="T2077" i="2" s="1"/>
  <c r="X2077" i="2" s="1"/>
  <c r="K2077" i="2"/>
  <c r="U2077" i="2" s="1"/>
  <c r="S138" i="2"/>
  <c r="T138" i="2" s="1"/>
  <c r="K138" i="2"/>
  <c r="U138" i="2" s="1"/>
  <c r="V752" i="2"/>
  <c r="W752" i="2"/>
  <c r="X752" i="2" s="1"/>
  <c r="K1862" i="2"/>
  <c r="U1862" i="2" s="1"/>
  <c r="S1862" i="2"/>
  <c r="T1862" i="2" s="1"/>
  <c r="X1862" i="2" s="1"/>
  <c r="V1635" i="2"/>
  <c r="W1635" i="2"/>
  <c r="S1356" i="2"/>
  <c r="T1356" i="2" s="1"/>
  <c r="K1356" i="2"/>
  <c r="U1356" i="2" s="1"/>
  <c r="V412" i="2"/>
  <c r="W412" i="2"/>
  <c r="V1625" i="2"/>
  <c r="W1625" i="2"/>
  <c r="V983" i="2"/>
  <c r="W983" i="2"/>
  <c r="X983" i="2" s="1"/>
  <c r="K1972" i="2"/>
  <c r="U1972" i="2" s="1"/>
  <c r="S1972" i="2"/>
  <c r="T1972" i="2" s="1"/>
  <c r="X1972" i="2" s="1"/>
  <c r="V304" i="2"/>
  <c r="W304" i="2"/>
  <c r="S1406" i="2"/>
  <c r="T1406" i="2" s="1"/>
  <c r="K1406" i="2"/>
  <c r="U1406" i="2" s="1"/>
  <c r="V401" i="2"/>
  <c r="W401" i="2"/>
  <c r="X401" i="2" s="1"/>
  <c r="V812" i="2"/>
  <c r="W812" i="2"/>
  <c r="X812" i="2" s="1"/>
  <c r="S160" i="2"/>
  <c r="T160" i="2" s="1"/>
  <c r="K160" i="2"/>
  <c r="U160" i="2" s="1"/>
  <c r="S662" i="2"/>
  <c r="T662" i="2" s="1"/>
  <c r="K662" i="2"/>
  <c r="U662" i="2" s="1"/>
  <c r="O1765" i="2"/>
  <c r="Q1765" i="2" s="1"/>
  <c r="O1764" i="2"/>
  <c r="Q1764" i="2" s="1"/>
  <c r="O75" i="2"/>
  <c r="Q75" i="2" s="1"/>
  <c r="O81" i="2"/>
  <c r="Q81" i="2" s="1"/>
  <c r="O69" i="2"/>
  <c r="Q69" i="2" s="1"/>
  <c r="O53" i="2"/>
  <c r="Q53" i="2" s="1"/>
  <c r="O47" i="2"/>
  <c r="Q47" i="2" s="1"/>
  <c r="O96" i="2"/>
  <c r="Q96" i="2" s="1"/>
  <c r="O103" i="2"/>
  <c r="Q103" i="2" s="1"/>
  <c r="O50" i="2"/>
  <c r="Q50" i="2" s="1"/>
  <c r="O74" i="2"/>
  <c r="Q74" i="2" s="1"/>
  <c r="O66" i="2"/>
  <c r="Q66" i="2" s="1"/>
  <c r="S1450" i="2"/>
  <c r="T1450" i="2" s="1"/>
  <c r="K1450" i="2"/>
  <c r="U1450" i="2" s="1"/>
  <c r="X636" i="2"/>
  <c r="S224" i="2"/>
  <c r="T224" i="2" s="1"/>
  <c r="K224" i="2"/>
  <c r="U224" i="2" s="1"/>
  <c r="X531" i="2"/>
  <c r="V1264" i="2"/>
  <c r="W1264" i="2"/>
  <c r="X1264" i="2" s="1"/>
  <c r="V503" i="2"/>
  <c r="W503" i="2"/>
  <c r="X503" i="2" s="1"/>
  <c r="K978" i="2"/>
  <c r="U978" i="2" s="1"/>
  <c r="S978" i="2"/>
  <c r="T978" i="2" s="1"/>
  <c r="V20" i="2"/>
  <c r="W20" i="2"/>
  <c r="X20" i="2" s="1"/>
  <c r="K118" i="2"/>
  <c r="U118" i="2" s="1"/>
  <c r="S118" i="2"/>
  <c r="T118" i="2" s="1"/>
  <c r="V602" i="2"/>
  <c r="W602" i="2"/>
  <c r="X602" i="2" s="1"/>
  <c r="X1537" i="2"/>
  <c r="K1688" i="2"/>
  <c r="U1688" i="2" s="1"/>
  <c r="S1688" i="2"/>
  <c r="T1688" i="2" s="1"/>
  <c r="X1688" i="2" s="1"/>
  <c r="S1174" i="2"/>
  <c r="T1174" i="2" s="1"/>
  <c r="K1174" i="2"/>
  <c r="U1174" i="2" s="1"/>
  <c r="V1383" i="2"/>
  <c r="W1383" i="2"/>
  <c r="K998" i="2"/>
  <c r="U998" i="2" s="1"/>
  <c r="S998" i="2"/>
  <c r="T998" i="2" s="1"/>
  <c r="S1217" i="2"/>
  <c r="T1217" i="2" s="1"/>
  <c r="K1217" i="2"/>
  <c r="U1217" i="2" s="1"/>
  <c r="V529" i="2"/>
  <c r="W529" i="2"/>
  <c r="X529" i="2" s="1"/>
  <c r="V376" i="2"/>
  <c r="W376" i="2"/>
  <c r="X376" i="2" s="1"/>
  <c r="S121" i="2"/>
  <c r="T121" i="2" s="1"/>
  <c r="K121" i="2"/>
  <c r="U121" i="2" s="1"/>
  <c r="V1274" i="2"/>
  <c r="W1274" i="2"/>
  <c r="X1370" i="2"/>
  <c r="K2008" i="2"/>
  <c r="U2008" i="2" s="1"/>
  <c r="S2008" i="2"/>
  <c r="T2008" i="2" s="1"/>
  <c r="X2008" i="2" s="1"/>
  <c r="X304" i="2"/>
  <c r="V814" i="2"/>
  <c r="W814" i="2"/>
  <c r="X814" i="2" s="1"/>
  <c r="S845" i="2"/>
  <c r="T845" i="2" s="1"/>
  <c r="K845" i="2"/>
  <c r="U845" i="2" s="1"/>
  <c r="V518" i="2"/>
  <c r="W518" i="2"/>
  <c r="V2120" i="2"/>
  <c r="W2120" i="2"/>
  <c r="V632" i="2"/>
  <c r="W632" i="2"/>
  <c r="X632" i="2" s="1"/>
  <c r="K903" i="2"/>
  <c r="U903" i="2" s="1"/>
  <c r="S903" i="2"/>
  <c r="T903" i="2" s="1"/>
  <c r="X1211" i="2"/>
  <c r="V980" i="2"/>
  <c r="W980" i="2"/>
  <c r="X980" i="2" s="1"/>
  <c r="S1240" i="2"/>
  <c r="T1240" i="2" s="1"/>
  <c r="K1240" i="2"/>
  <c r="U1240" i="2" s="1"/>
  <c r="V564" i="2"/>
  <c r="W564" i="2"/>
  <c r="K970" i="2"/>
  <c r="U970" i="2" s="1"/>
  <c r="S970" i="2"/>
  <c r="T970" i="2" s="1"/>
  <c r="V1543" i="2"/>
  <c r="W1543" i="2"/>
  <c r="X1543" i="2" s="1"/>
  <c r="X244" i="2"/>
  <c r="S310" i="2"/>
  <c r="T310" i="2" s="1"/>
  <c r="K310" i="2"/>
  <c r="U310" i="2" s="1"/>
  <c r="K930" i="2"/>
  <c r="U930" i="2" s="1"/>
  <c r="S930" i="2"/>
  <c r="T930" i="2" s="1"/>
  <c r="S404" i="2"/>
  <c r="T404" i="2" s="1"/>
  <c r="K404" i="2"/>
  <c r="U404" i="2" s="1"/>
  <c r="V1190" i="2"/>
  <c r="W1190" i="2"/>
  <c r="X1190" i="2" s="1"/>
  <c r="K122" i="2"/>
  <c r="U122" i="2" s="1"/>
  <c r="S122" i="2"/>
  <c r="T122" i="2" s="1"/>
  <c r="V2" i="2"/>
  <c r="W2" i="2"/>
  <c r="S2089" i="2"/>
  <c r="T2089" i="2" s="1"/>
  <c r="X2089" i="2" s="1"/>
  <c r="K2089" i="2"/>
  <c r="U2089" i="2" s="1"/>
  <c r="S159" i="2"/>
  <c r="T159" i="2" s="1"/>
  <c r="K159" i="2"/>
  <c r="U159" i="2" s="1"/>
  <c r="X367" i="2"/>
  <c r="S1192" i="2"/>
  <c r="T1192" i="2" s="1"/>
  <c r="K1192" i="2"/>
  <c r="U1192" i="2" s="1"/>
  <c r="S31" i="2"/>
  <c r="T31" i="2" s="1"/>
  <c r="K31" i="2"/>
  <c r="U31" i="2" s="1"/>
  <c r="V624" i="2"/>
  <c r="W624" i="2"/>
  <c r="S1123" i="2"/>
  <c r="T1123" i="2" s="1"/>
  <c r="K1123" i="2"/>
  <c r="U1123" i="2" s="1"/>
  <c r="S145" i="2"/>
  <c r="T145" i="2" s="1"/>
  <c r="K145" i="2"/>
  <c r="U145" i="2" s="1"/>
  <c r="V329" i="2"/>
  <c r="W329" i="2"/>
  <c r="X329" i="2" s="1"/>
  <c r="S1350" i="2"/>
  <c r="T1350" i="2" s="1"/>
  <c r="K1350" i="2"/>
  <c r="U1350" i="2" s="1"/>
  <c r="V803" i="2"/>
  <c r="W803" i="2"/>
  <c r="V1589" i="2"/>
  <c r="W1589" i="2"/>
  <c r="V195" i="2"/>
  <c r="W195" i="2"/>
  <c r="V1899" i="2"/>
  <c r="W1899" i="2"/>
  <c r="X394" i="2"/>
  <c r="V248" i="2"/>
  <c r="W248" i="2"/>
  <c r="X248" i="2" s="1"/>
  <c r="V1452" i="2"/>
  <c r="W1452" i="2"/>
  <c r="X1452" i="2" s="1"/>
  <c r="V1043" i="2"/>
  <c r="W1043" i="2"/>
  <c r="X1043" i="2" s="1"/>
  <c r="S692" i="2"/>
  <c r="T692" i="2" s="1"/>
  <c r="K692" i="2"/>
  <c r="U692" i="2" s="1"/>
  <c r="X951" i="2"/>
  <c r="X1480" i="2"/>
  <c r="V1505" i="2"/>
  <c r="W1505" i="2"/>
  <c r="X1505" i="2" s="1"/>
  <c r="V649" i="2"/>
  <c r="W649" i="2"/>
  <c r="X649" i="2" s="1"/>
  <c r="X564" i="2"/>
  <c r="V1756" i="2"/>
  <c r="W1756" i="2"/>
  <c r="S1474" i="2"/>
  <c r="T1474" i="2" s="1"/>
  <c r="K1474" i="2"/>
  <c r="U1474" i="2" s="1"/>
  <c r="K435" i="2"/>
  <c r="U435" i="2" s="1"/>
  <c r="S435" i="2"/>
  <c r="T435" i="2" s="1"/>
  <c r="V1055" i="2"/>
  <c r="W1055" i="2"/>
  <c r="V1072" i="2"/>
  <c r="W1072" i="2"/>
  <c r="X1072" i="2" s="1"/>
  <c r="X645" i="2"/>
  <c r="V360" i="2"/>
  <c r="W360" i="2"/>
  <c r="S1918" i="2"/>
  <c r="T1918" i="2" s="1"/>
  <c r="X1918" i="2" s="1"/>
  <c r="K1918" i="2"/>
  <c r="U1918" i="2" s="1"/>
  <c r="V207" i="2"/>
  <c r="W207" i="2"/>
  <c r="X207" i="2" s="1"/>
  <c r="V1364" i="2"/>
  <c r="W1364" i="2"/>
  <c r="X1364" i="2" s="1"/>
  <c r="V936" i="2"/>
  <c r="W936" i="2"/>
  <c r="X936" i="2" s="1"/>
  <c r="S2075" i="2"/>
  <c r="T2075" i="2" s="1"/>
  <c r="X2075" i="2" s="1"/>
  <c r="K2075" i="2"/>
  <c r="U2075" i="2" s="1"/>
  <c r="S1689" i="2"/>
  <c r="T1689" i="2" s="1"/>
  <c r="X1689" i="2" s="1"/>
  <c r="K1689" i="2"/>
  <c r="U1689" i="2" s="1"/>
  <c r="V1414" i="2"/>
  <c r="W1414" i="2"/>
  <c r="S417" i="2"/>
  <c r="T417" i="2" s="1"/>
  <c r="K417" i="2"/>
  <c r="U417" i="2" s="1"/>
  <c r="X1127" i="2"/>
  <c r="S39" i="2"/>
  <c r="T39" i="2" s="1"/>
  <c r="K39" i="2"/>
  <c r="U39" i="2" s="1"/>
  <c r="X624" i="2"/>
  <c r="K1831" i="2"/>
  <c r="U1831" i="2" s="1"/>
  <c r="S1831" i="2"/>
  <c r="T1831" i="2" s="1"/>
  <c r="X1831" i="2" s="1"/>
  <c r="V88" i="2"/>
  <c r="W88" i="2"/>
  <c r="X88" i="2" s="1"/>
  <c r="S611" i="2"/>
  <c r="T611" i="2" s="1"/>
  <c r="K611" i="2"/>
  <c r="U611" i="2" s="1"/>
  <c r="S678" i="2"/>
  <c r="T678" i="2" s="1"/>
  <c r="K678" i="2"/>
  <c r="U678" i="2" s="1"/>
  <c r="X1168" i="2"/>
  <c r="V59" i="2"/>
  <c r="W59" i="2"/>
  <c r="X59" i="2" s="1"/>
  <c r="K1998" i="2"/>
  <c r="U1998" i="2" s="1"/>
  <c r="S1998" i="2"/>
  <c r="T1998" i="2" s="1"/>
  <c r="X1998" i="2" s="1"/>
  <c r="V1277" i="2"/>
  <c r="W1277" i="2"/>
  <c r="X1277" i="2" s="1"/>
  <c r="V1319" i="2"/>
  <c r="W1319" i="2"/>
  <c r="S747" i="2"/>
  <c r="T747" i="2" s="1"/>
  <c r="K747" i="2"/>
  <c r="U747" i="2" s="1"/>
  <c r="X260" i="2"/>
  <c r="S322" i="2"/>
  <c r="T322" i="2" s="1"/>
  <c r="K322" i="2"/>
  <c r="U322" i="2" s="1"/>
  <c r="S312" i="2"/>
  <c r="T312" i="2" s="1"/>
  <c r="K312" i="2"/>
  <c r="U312" i="2" s="1"/>
  <c r="V1027" i="2"/>
  <c r="W1027" i="2"/>
  <c r="X1027" i="2" s="1"/>
  <c r="X592" i="2"/>
  <c r="V1597" i="2"/>
  <c r="W1597" i="2"/>
  <c r="V106" i="2"/>
  <c r="W106" i="2"/>
  <c r="V714" i="2"/>
  <c r="W714" i="2"/>
  <c r="X714" i="2" s="1"/>
  <c r="V1221" i="2"/>
  <c r="W1221" i="2"/>
  <c r="X1221" i="2" s="1"/>
  <c r="V1342" i="2"/>
  <c r="W1342" i="2"/>
  <c r="X1342" i="2" s="1"/>
  <c r="X1209" i="2"/>
  <c r="S1567" i="2"/>
  <c r="T1567" i="2" s="1"/>
  <c r="K1567" i="2"/>
  <c r="U1567" i="2" s="1"/>
  <c r="V695" i="2"/>
  <c r="W695" i="2"/>
  <c r="X439" i="2"/>
  <c r="K1026" i="2"/>
  <c r="U1026" i="2" s="1"/>
  <c r="S1026" i="2"/>
  <c r="T1026" i="2" s="1"/>
  <c r="V540" i="2"/>
  <c r="W540" i="2"/>
  <c r="X540" i="2" s="1"/>
  <c r="X838" i="2"/>
  <c r="V111" i="2"/>
  <c r="W111" i="2"/>
  <c r="X111" i="2" s="1"/>
  <c r="S247" i="2"/>
  <c r="T247" i="2" s="1"/>
  <c r="K247" i="2"/>
  <c r="U247" i="2" s="1"/>
  <c r="K958" i="2"/>
  <c r="U958" i="2" s="1"/>
  <c r="S958" i="2"/>
  <c r="T958" i="2" s="1"/>
  <c r="X142" i="2"/>
  <c r="S368" i="2"/>
  <c r="T368" i="2" s="1"/>
  <c r="K368" i="2"/>
  <c r="U368" i="2" s="1"/>
  <c r="S1629" i="2"/>
  <c r="T1629" i="2" s="1"/>
  <c r="X1629" i="2" s="1"/>
  <c r="K1629" i="2"/>
  <c r="U1629" i="2" s="1"/>
  <c r="X963" i="2"/>
  <c r="X1516" i="2"/>
  <c r="S1559" i="2"/>
  <c r="T1559" i="2" s="1"/>
  <c r="K1559" i="2"/>
  <c r="U1559" i="2" s="1"/>
  <c r="S612" i="2"/>
  <c r="T612" i="2" s="1"/>
  <c r="K612" i="2"/>
  <c r="U612" i="2" s="1"/>
  <c r="V748" i="2"/>
  <c r="W748" i="2"/>
  <c r="X748" i="2" s="1"/>
  <c r="K1622" i="2"/>
  <c r="U1622" i="2" s="1"/>
  <c r="S1622" i="2"/>
  <c r="T1622" i="2" s="1"/>
  <c r="X1622" i="2" s="1"/>
  <c r="K1692" i="2"/>
  <c r="U1692" i="2" s="1"/>
  <c r="S1692" i="2"/>
  <c r="T1692" i="2" s="1"/>
  <c r="X1692" i="2" s="1"/>
  <c r="V1957" i="2"/>
  <c r="W1957" i="2"/>
  <c r="X1435" i="2"/>
  <c r="S1141" i="2"/>
  <c r="T1141" i="2" s="1"/>
  <c r="K1141" i="2"/>
  <c r="U1141" i="2" s="1"/>
  <c r="V1751" i="2"/>
  <c r="W1751" i="2"/>
  <c r="S1577" i="2"/>
  <c r="T1577" i="2" s="1"/>
  <c r="K1577" i="2"/>
  <c r="U1577" i="2" s="1"/>
  <c r="V1346" i="2"/>
  <c r="W1346" i="2"/>
  <c r="S1299" i="2"/>
  <c r="T1299" i="2" s="1"/>
  <c r="K1299" i="2"/>
  <c r="U1299" i="2" s="1"/>
  <c r="X258" i="2"/>
  <c r="X57" i="2"/>
  <c r="X892" i="2"/>
  <c r="S110" i="2"/>
  <c r="T110" i="2" s="1"/>
  <c r="K110" i="2"/>
  <c r="U110" i="2" s="1"/>
  <c r="V618" i="2"/>
  <c r="W618" i="2"/>
  <c r="X618" i="2" s="1"/>
  <c r="V1349" i="2"/>
  <c r="W1349" i="2"/>
  <c r="K2012" i="2"/>
  <c r="U2012" i="2" s="1"/>
  <c r="S2012" i="2"/>
  <c r="T2012" i="2" s="1"/>
  <c r="X2012" i="2" s="1"/>
  <c r="V171" i="2"/>
  <c r="W171" i="2"/>
  <c r="X171" i="2" s="1"/>
  <c r="X198" i="2"/>
  <c r="S1377" i="2"/>
  <c r="T1377" i="2" s="1"/>
  <c r="K1377" i="2"/>
  <c r="U1377" i="2" s="1"/>
  <c r="V1117" i="2"/>
  <c r="W1117" i="2"/>
  <c r="X1117" i="2" s="1"/>
  <c r="V739" i="2"/>
  <c r="W739" i="2"/>
  <c r="X739" i="2" s="1"/>
  <c r="V1816" i="2"/>
  <c r="W1816" i="2"/>
  <c r="V1485" i="2"/>
  <c r="W1485" i="2"/>
  <c r="X1485" i="2" s="1"/>
  <c r="V1225" i="2"/>
  <c r="W1225" i="2"/>
  <c r="X1225" i="2" s="1"/>
  <c r="V2034" i="2"/>
  <c r="W2034" i="2"/>
  <c r="V927" i="2"/>
  <c r="W927" i="2"/>
  <c r="X1198" i="2"/>
  <c r="S1568" i="2"/>
  <c r="T1568" i="2" s="1"/>
  <c r="K1568" i="2"/>
  <c r="U1568" i="2" s="1"/>
  <c r="X1002" i="2"/>
  <c r="V1152" i="2"/>
  <c r="W1152" i="2"/>
  <c r="X1152" i="2" s="1"/>
  <c r="K1054" i="2"/>
  <c r="U1054" i="2" s="1"/>
  <c r="S1054" i="2"/>
  <c r="T1054" i="2" s="1"/>
  <c r="V1904" i="2"/>
  <c r="W1904" i="2"/>
  <c r="X532" i="2"/>
  <c r="S241" i="2"/>
  <c r="T241" i="2" s="1"/>
  <c r="K241" i="2"/>
  <c r="U241" i="2" s="1"/>
  <c r="X1082" i="2"/>
  <c r="V382" i="2"/>
  <c r="W382" i="2"/>
  <c r="X382" i="2" s="1"/>
  <c r="S706" i="2"/>
  <c r="T706" i="2" s="1"/>
  <c r="K706" i="2"/>
  <c r="U706" i="2" s="1"/>
  <c r="S392" i="2"/>
  <c r="T392" i="2" s="1"/>
  <c r="K392" i="2"/>
  <c r="U392" i="2" s="1"/>
  <c r="K1618" i="2"/>
  <c r="U1618" i="2" s="1"/>
  <c r="S1618" i="2"/>
  <c r="T1618" i="2" s="1"/>
  <c r="X1618" i="2" s="1"/>
  <c r="S1529" i="2"/>
  <c r="T1529" i="2" s="1"/>
  <c r="K1529" i="2"/>
  <c r="U1529" i="2" s="1"/>
  <c r="K1722" i="2"/>
  <c r="U1722" i="2" s="1"/>
  <c r="S1722" i="2"/>
  <c r="T1722" i="2" s="1"/>
  <c r="X1722" i="2" s="1"/>
  <c r="S2085" i="2"/>
  <c r="T2085" i="2" s="1"/>
  <c r="X2085" i="2" s="1"/>
  <c r="K2085" i="2"/>
  <c r="U2085" i="2" s="1"/>
  <c r="V2111" i="2"/>
  <c r="W2111" i="2"/>
  <c r="S492" i="2"/>
  <c r="T492" i="2" s="1"/>
  <c r="K492" i="2"/>
  <c r="U492" i="2" s="1"/>
  <c r="V343" i="2"/>
  <c r="W343" i="2"/>
  <c r="X343" i="2" s="1"/>
  <c r="V1442" i="2"/>
  <c r="W1442" i="2"/>
  <c r="V390" i="2"/>
  <c r="W390" i="2"/>
  <c r="X390" i="2" s="1"/>
  <c r="V1020" i="2"/>
  <c r="W1020" i="2"/>
  <c r="X1020" i="2" s="1"/>
  <c r="V1456" i="2"/>
  <c r="W1456" i="2"/>
  <c r="K1137" i="2"/>
  <c r="U1137" i="2" s="1"/>
  <c r="S1137" i="2"/>
  <c r="T1137" i="2" s="1"/>
  <c r="V2112" i="2"/>
  <c r="W2112" i="2"/>
  <c r="S1062" i="2"/>
  <c r="T1062" i="2" s="1"/>
  <c r="K1062" i="2"/>
  <c r="U1062" i="2" s="1"/>
  <c r="V354" i="2"/>
  <c r="W354" i="2"/>
  <c r="X354" i="2" s="1"/>
  <c r="V280" i="2"/>
  <c r="W280" i="2"/>
  <c r="X280" i="2" s="1"/>
  <c r="K170" i="2"/>
  <c r="U170" i="2" s="1"/>
  <c r="S170" i="2"/>
  <c r="T170" i="2" s="1"/>
  <c r="S23" i="2"/>
  <c r="T23" i="2" s="1"/>
  <c r="K23" i="2"/>
  <c r="U23" i="2" s="1"/>
  <c r="X418" i="2"/>
  <c r="S1469" i="2"/>
  <c r="T1469" i="2" s="1"/>
  <c r="K1469" i="2"/>
  <c r="U1469" i="2" s="1"/>
  <c r="X549" i="2"/>
  <c r="S189" i="2"/>
  <c r="T189" i="2" s="1"/>
  <c r="K189" i="2"/>
  <c r="U189" i="2" s="1"/>
  <c r="S1783" i="2"/>
  <c r="T1783" i="2" s="1"/>
  <c r="X1783" i="2" s="1"/>
  <c r="K1783" i="2"/>
  <c r="U1783" i="2" s="1"/>
  <c r="X1306" i="2"/>
  <c r="X1094" i="2"/>
  <c r="S717" i="2"/>
  <c r="T717" i="2" s="1"/>
  <c r="K717" i="2"/>
  <c r="U717" i="2" s="1"/>
  <c r="X183" i="2"/>
  <c r="V1510" i="2"/>
  <c r="W1510" i="2"/>
  <c r="X1510" i="2" s="1"/>
  <c r="V135" i="2"/>
  <c r="W135" i="2"/>
  <c r="X135" i="2" s="1"/>
  <c r="K1149" i="2"/>
  <c r="U1149" i="2" s="1"/>
  <c r="S1149" i="2"/>
  <c r="T1149" i="2" s="1"/>
  <c r="S1214" i="2"/>
  <c r="T1214" i="2" s="1"/>
  <c r="K1214" i="2"/>
  <c r="U1214" i="2" s="1"/>
  <c r="V1095" i="2"/>
  <c r="W1095" i="2"/>
  <c r="S962" i="2"/>
  <c r="T962" i="2" s="1"/>
  <c r="K962" i="2"/>
  <c r="U962" i="2" s="1"/>
  <c r="V639" i="2"/>
  <c r="W639" i="2"/>
  <c r="X639" i="2" s="1"/>
  <c r="X1576" i="2"/>
  <c r="X973" i="2"/>
  <c r="S308" i="2"/>
  <c r="T308" i="2" s="1"/>
  <c r="K308" i="2"/>
  <c r="U308" i="2" s="1"/>
  <c r="V1039" i="2"/>
  <c r="W1039" i="2"/>
  <c r="X1039" i="2" s="1"/>
  <c r="V578" i="2"/>
  <c r="W578" i="2"/>
  <c r="V801" i="2"/>
  <c r="W801" i="2"/>
  <c r="X801" i="2" s="1"/>
  <c r="K192" i="2"/>
  <c r="U192" i="2" s="1"/>
  <c r="S192" i="2"/>
  <c r="T192" i="2" s="1"/>
  <c r="V2046" i="2"/>
  <c r="W2046" i="2"/>
  <c r="S794" i="2"/>
  <c r="T794" i="2" s="1"/>
  <c r="K794" i="2"/>
  <c r="U794" i="2" s="1"/>
  <c r="V430" i="2"/>
  <c r="W430" i="2"/>
  <c r="X985" i="2"/>
  <c r="S234" i="2"/>
  <c r="T234" i="2" s="1"/>
  <c r="K234" i="2"/>
  <c r="U234" i="2" s="1"/>
  <c r="V1965" i="2"/>
  <c r="W1965" i="2"/>
  <c r="S338" i="2"/>
  <c r="T338" i="2" s="1"/>
  <c r="K338" i="2"/>
  <c r="U338" i="2" s="1"/>
  <c r="S809" i="2"/>
  <c r="T809" i="2" s="1"/>
  <c r="K809" i="2"/>
  <c r="U809" i="2" s="1"/>
  <c r="X1296" i="2"/>
  <c r="K637" i="2"/>
  <c r="U637" i="2" s="1"/>
  <c r="S637" i="2"/>
  <c r="T637" i="2" s="1"/>
  <c r="V805" i="2"/>
  <c r="W805" i="2"/>
  <c r="X805" i="2" s="1"/>
  <c r="V1432" i="2"/>
  <c r="W1432" i="2"/>
  <c r="X1432" i="2" s="1"/>
  <c r="V1500" i="2"/>
  <c r="W1500" i="2"/>
  <c r="X1067" i="2"/>
  <c r="S351" i="2"/>
  <c r="T351" i="2" s="1"/>
  <c r="K351" i="2"/>
  <c r="U351" i="2" s="1"/>
  <c r="S934" i="2"/>
  <c r="T934" i="2" s="1"/>
  <c r="K934" i="2"/>
  <c r="U934" i="2" s="1"/>
  <c r="K1787" i="2"/>
  <c r="U1787" i="2" s="1"/>
  <c r="S1787" i="2"/>
  <c r="T1787" i="2" s="1"/>
  <c r="X1787" i="2" s="1"/>
  <c r="S1930" i="2"/>
  <c r="T1930" i="2" s="1"/>
  <c r="X1930" i="2" s="1"/>
  <c r="K1930" i="2"/>
  <c r="U1930" i="2" s="1"/>
  <c r="K1628" i="2"/>
  <c r="U1628" i="2" s="1"/>
  <c r="S1628" i="2"/>
  <c r="T1628" i="2" s="1"/>
  <c r="X1628" i="2" s="1"/>
  <c r="V1098" i="2"/>
  <c r="W1098" i="2"/>
  <c r="V642" i="2"/>
  <c r="W642" i="2"/>
  <c r="V449" i="2"/>
  <c r="W449" i="2"/>
  <c r="V65" i="2"/>
  <c r="W65" i="2"/>
  <c r="X65" i="2" s="1"/>
  <c r="V1434" i="2"/>
  <c r="W1434" i="2"/>
  <c r="X1434" i="2" s="1"/>
  <c r="X733" i="2"/>
  <c r="X1318" i="2"/>
  <c r="S1134" i="2"/>
  <c r="T1134" i="2" s="1"/>
  <c r="K1134" i="2"/>
  <c r="U1134" i="2" s="1"/>
  <c r="S1542" i="2"/>
  <c r="T1542" i="2" s="1"/>
  <c r="K1542" i="2"/>
  <c r="U1542" i="2" s="1"/>
  <c r="V102" i="2"/>
  <c r="W102" i="2"/>
  <c r="K144" i="2"/>
  <c r="U144" i="2" s="1"/>
  <c r="S144" i="2"/>
  <c r="T144" i="2" s="1"/>
  <c r="S608" i="2"/>
  <c r="T608" i="2" s="1"/>
  <c r="K608" i="2"/>
  <c r="U608" i="2" s="1"/>
  <c r="S419" i="2"/>
  <c r="T419" i="2" s="1"/>
  <c r="K419" i="2"/>
  <c r="U419" i="2" s="1"/>
  <c r="S1709" i="2"/>
  <c r="T1709" i="2" s="1"/>
  <c r="X1709" i="2" s="1"/>
  <c r="K1709" i="2"/>
  <c r="U1709" i="2" s="1"/>
  <c r="V1419" i="2"/>
  <c r="W1419" i="2"/>
  <c r="X1297" i="2"/>
  <c r="S2073" i="2"/>
  <c r="T2073" i="2" s="1"/>
  <c r="X2073" i="2" s="1"/>
  <c r="K2073" i="2"/>
  <c r="U2073" i="2" s="1"/>
  <c r="S2072" i="2"/>
  <c r="T2072" i="2" s="1"/>
  <c r="X2072" i="2" s="1"/>
  <c r="K2072" i="2"/>
  <c r="U2072" i="2" s="1"/>
  <c r="V172" i="2"/>
  <c r="W172" i="2"/>
  <c r="S134" i="2"/>
  <c r="T134" i="2" s="1"/>
  <c r="K134" i="2"/>
  <c r="U134" i="2" s="1"/>
  <c r="K1700" i="2"/>
  <c r="U1700" i="2" s="1"/>
  <c r="S1700" i="2"/>
  <c r="T1700" i="2" s="1"/>
  <c r="X1700" i="2" s="1"/>
  <c r="S1703" i="2"/>
  <c r="T1703" i="2" s="1"/>
  <c r="X1703" i="2" s="1"/>
  <c r="K1703" i="2"/>
  <c r="U1703" i="2" s="1"/>
  <c r="V1097" i="2"/>
  <c r="W1097" i="2"/>
  <c r="X1097" i="2" s="1"/>
  <c r="V444" i="2"/>
  <c r="W444" i="2"/>
  <c r="X444" i="2" s="1"/>
  <c r="V1371" i="2"/>
  <c r="W1371" i="2"/>
  <c r="V2152" i="2"/>
  <c r="W2152" i="2"/>
  <c r="V2042" i="2"/>
  <c r="W2042" i="2"/>
  <c r="V971" i="2"/>
  <c r="W971" i="2"/>
  <c r="X971" i="2" s="1"/>
  <c r="S86" i="2"/>
  <c r="T86" i="2" s="1"/>
  <c r="K86" i="2"/>
  <c r="U86" i="2" s="1"/>
  <c r="S450" i="2"/>
  <c r="T450" i="2" s="1"/>
  <c r="K450" i="2"/>
  <c r="U450" i="2" s="1"/>
  <c r="X565" i="2"/>
  <c r="V1056" i="2"/>
  <c r="W1056" i="2"/>
  <c r="X1056" i="2" s="1"/>
  <c r="V1814" i="2"/>
  <c r="W1814" i="2"/>
  <c r="S1263" i="2"/>
  <c r="T1263" i="2" s="1"/>
  <c r="K1263" i="2"/>
  <c r="U1263" i="2" s="1"/>
  <c r="V278" i="2"/>
  <c r="W278" i="2"/>
  <c r="V97" i="2"/>
  <c r="W97" i="2"/>
  <c r="X494" i="2"/>
  <c r="V180" i="2"/>
  <c r="W180" i="2"/>
  <c r="S55" i="2"/>
  <c r="T55" i="2" s="1"/>
  <c r="K55" i="2"/>
  <c r="U55" i="2" s="1"/>
  <c r="S466" i="2"/>
  <c r="T466" i="2" s="1"/>
  <c r="K466" i="2"/>
  <c r="U466" i="2" s="1"/>
  <c r="S423" i="2"/>
  <c r="T423" i="2" s="1"/>
  <c r="K423" i="2"/>
  <c r="U423" i="2" s="1"/>
  <c r="S1314" i="2"/>
  <c r="T1314" i="2" s="1"/>
  <c r="K1314" i="2"/>
  <c r="U1314" i="2" s="1"/>
  <c r="K1871" i="2"/>
  <c r="U1871" i="2" s="1"/>
  <c r="S1871" i="2"/>
  <c r="T1871" i="2" s="1"/>
  <c r="X1871" i="2" s="1"/>
  <c r="V443" i="2"/>
  <c r="W443" i="2"/>
  <c r="K952" i="2"/>
  <c r="U952" i="2" s="1"/>
  <c r="S952" i="2"/>
  <c r="T952" i="2" s="1"/>
  <c r="V1104" i="2"/>
  <c r="W1104" i="2"/>
  <c r="X1104" i="2" s="1"/>
  <c r="X1353" i="2"/>
  <c r="S629" i="2"/>
  <c r="T629" i="2" s="1"/>
  <c r="K629" i="2"/>
  <c r="U629" i="2" s="1"/>
  <c r="S1295" i="2"/>
  <c r="T1295" i="2" s="1"/>
  <c r="K1295" i="2"/>
  <c r="U1295" i="2" s="1"/>
  <c r="S402" i="2"/>
  <c r="T402" i="2" s="1"/>
  <c r="K402" i="2"/>
  <c r="U402" i="2" s="1"/>
  <c r="S1110" i="2"/>
  <c r="T1110" i="2" s="1"/>
  <c r="K1110" i="2"/>
  <c r="U1110" i="2" s="1"/>
  <c r="K1836" i="2"/>
  <c r="U1836" i="2" s="1"/>
  <c r="S1836" i="2"/>
  <c r="T1836" i="2" s="1"/>
  <c r="X1836" i="2" s="1"/>
  <c r="S1552" i="2"/>
  <c r="T1552" i="2" s="1"/>
  <c r="K1552" i="2"/>
  <c r="U1552" i="2" s="1"/>
  <c r="V853" i="2"/>
  <c r="W853" i="2"/>
  <c r="X853" i="2" s="1"/>
  <c r="V584" i="2"/>
  <c r="W584" i="2"/>
  <c r="X584" i="2" s="1"/>
  <c r="S149" i="2"/>
  <c r="T149" i="2" s="1"/>
  <c r="K149" i="2"/>
  <c r="U149" i="2" s="1"/>
  <c r="S607" i="2"/>
  <c r="T607" i="2" s="1"/>
  <c r="K607" i="2"/>
  <c r="U607" i="2" s="1"/>
  <c r="V738" i="2"/>
  <c r="W738" i="2"/>
  <c r="X1323" i="2"/>
  <c r="K705" i="2"/>
  <c r="U705" i="2" s="1"/>
  <c r="S705" i="2"/>
  <c r="T705" i="2" s="1"/>
  <c r="S1248" i="2"/>
  <c r="T1248" i="2" s="1"/>
  <c r="K1248" i="2"/>
  <c r="U1248" i="2" s="1"/>
  <c r="X286" i="2"/>
  <c r="X1251" i="2"/>
  <c r="V1528" i="2"/>
  <c r="W1528" i="2"/>
  <c r="X1528" i="2" s="1"/>
  <c r="V298" i="2"/>
  <c r="W298" i="2"/>
  <c r="V148" i="2"/>
  <c r="W148" i="2"/>
  <c r="X148" i="2" s="1"/>
  <c r="X771" i="2"/>
  <c r="V1602" i="2"/>
  <c r="W1602" i="2"/>
  <c r="X1602" i="2" s="1"/>
  <c r="V1604" i="2"/>
  <c r="W1604" i="2"/>
  <c r="K1971" i="2"/>
  <c r="U1971" i="2" s="1"/>
  <c r="S1971" i="2"/>
  <c r="T1971" i="2" s="1"/>
  <c r="X1971" i="2" s="1"/>
  <c r="S661" i="2"/>
  <c r="T661" i="2" s="1"/>
  <c r="K661" i="2"/>
  <c r="U661" i="2" s="1"/>
  <c r="X1413" i="2"/>
  <c r="K2017" i="2"/>
  <c r="U2017" i="2" s="1"/>
  <c r="S2017" i="2"/>
  <c r="T2017" i="2" s="1"/>
  <c r="X2017" i="2" s="1"/>
  <c r="K2000" i="2"/>
  <c r="U2000" i="2" s="1"/>
  <c r="S2000" i="2"/>
  <c r="T2000" i="2" s="1"/>
  <c r="X2000" i="2" s="1"/>
  <c r="S1330" i="2"/>
  <c r="T1330" i="2" s="1"/>
  <c r="K1330" i="2"/>
  <c r="U1330" i="2" s="1"/>
  <c r="V835" i="2"/>
  <c r="W835" i="2"/>
  <c r="V395" i="2"/>
  <c r="W395" i="2"/>
  <c r="V381" i="2"/>
  <c r="W381" i="2"/>
  <c r="V2048" i="2"/>
  <c r="W2048" i="2"/>
  <c r="V1373" i="2"/>
  <c r="W1373" i="2"/>
  <c r="X1085" i="2"/>
  <c r="S2134" i="2"/>
  <c r="T2134" i="2" s="1"/>
  <c r="X2134" i="2" s="1"/>
  <c r="K2134" i="2"/>
  <c r="U2134" i="2" s="1"/>
  <c r="K856" i="2"/>
  <c r="U856" i="2" s="1"/>
  <c r="S856" i="2"/>
  <c r="T856" i="2" s="1"/>
  <c r="S728" i="2"/>
  <c r="T728" i="2" s="1"/>
  <c r="K728" i="2"/>
  <c r="U728" i="2" s="1"/>
  <c r="K1397" i="2"/>
  <c r="U1397" i="2" s="1"/>
  <c r="S1397" i="2"/>
  <c r="T1397" i="2" s="1"/>
  <c r="V1950" i="2"/>
  <c r="W1950" i="2"/>
  <c r="X235" i="2"/>
  <c r="V2027" i="2"/>
  <c r="W2027" i="2"/>
  <c r="K926" i="2"/>
  <c r="U926" i="2" s="1"/>
  <c r="S926" i="2"/>
  <c r="T926" i="2" s="1"/>
  <c r="V1758" i="2"/>
  <c r="W1758" i="2"/>
  <c r="V434" i="2"/>
  <c r="W434" i="2"/>
  <c r="X434" i="2" s="1"/>
  <c r="V815" i="2"/>
  <c r="W815" i="2"/>
  <c r="X815" i="2" s="1"/>
  <c r="V403" i="2"/>
  <c r="W403" i="2"/>
  <c r="V753" i="2"/>
  <c r="W753" i="2"/>
  <c r="V389" i="2"/>
  <c r="W389" i="2"/>
  <c r="X389" i="2" s="1"/>
  <c r="S370" i="2"/>
  <c r="T370" i="2" s="1"/>
  <c r="K370" i="2"/>
  <c r="U370" i="2" s="1"/>
  <c r="X1360" i="2"/>
  <c r="S1430" i="2"/>
  <c r="T1430" i="2" s="1"/>
  <c r="K1430" i="2"/>
  <c r="U1430" i="2" s="1"/>
  <c r="X1594" i="2"/>
  <c r="V152" i="2"/>
  <c r="W152" i="2"/>
  <c r="V415" i="2"/>
  <c r="W415" i="2"/>
  <c r="V783" i="2"/>
  <c r="W783" i="2"/>
  <c r="X783" i="2" s="1"/>
  <c r="S1228" i="2"/>
  <c r="T1228" i="2" s="1"/>
  <c r="K1228" i="2"/>
  <c r="U1228" i="2" s="1"/>
  <c r="V290" i="2"/>
  <c r="W290" i="2"/>
  <c r="X290" i="2" s="1"/>
  <c r="V205" i="2"/>
  <c r="W205" i="2"/>
  <c r="X205" i="2" s="1"/>
  <c r="S834" i="2"/>
  <c r="T834" i="2" s="1"/>
  <c r="K834" i="2"/>
  <c r="U834" i="2" s="1"/>
  <c r="V2144" i="2"/>
  <c r="W2144" i="2"/>
  <c r="V698" i="2"/>
  <c r="W698" i="2"/>
  <c r="X698" i="2" s="1"/>
  <c r="X1365" i="2"/>
  <c r="S328" i="2"/>
  <c r="T328" i="2" s="1"/>
  <c r="K328" i="2"/>
  <c r="U328" i="2" s="1"/>
  <c r="K1932" i="2"/>
  <c r="U1932" i="2" s="1"/>
  <c r="S1932" i="2"/>
  <c r="T1932" i="2" s="1"/>
  <c r="X1932" i="2" s="1"/>
  <c r="V2149" i="2"/>
  <c r="W2149" i="2"/>
  <c r="V196" i="2"/>
  <c r="W196" i="2"/>
  <c r="K1713" i="2"/>
  <c r="U1713" i="2" s="1"/>
  <c r="S1713" i="2"/>
  <c r="T1713" i="2" s="1"/>
  <c r="X1713" i="2" s="1"/>
  <c r="V1732" i="2"/>
  <c r="W1732" i="2"/>
  <c r="K1704" i="2"/>
  <c r="U1704" i="2" s="1"/>
  <c r="S1704" i="2"/>
  <c r="T1704" i="2" s="1"/>
  <c r="X1704" i="2" s="1"/>
  <c r="V598" i="2"/>
  <c r="W598" i="2"/>
  <c r="X598" i="2" s="1"/>
  <c r="X1383" i="2"/>
  <c r="S1276" i="2"/>
  <c r="T1276" i="2" s="1"/>
  <c r="K1276" i="2"/>
  <c r="U1276" i="2" s="1"/>
  <c r="V490" i="2"/>
  <c r="W490" i="2"/>
  <c r="K1562" i="2"/>
  <c r="U1562" i="2" s="1"/>
  <c r="S1562" i="2"/>
  <c r="T1562" i="2" s="1"/>
  <c r="X9" i="2"/>
  <c r="X909" i="2"/>
  <c r="V63" i="2"/>
  <c r="W63" i="2"/>
  <c r="V1370" i="2"/>
  <c r="W1370" i="2"/>
  <c r="V104" i="2"/>
  <c r="W104" i="2"/>
  <c r="K2006" i="2"/>
  <c r="U2006" i="2" s="1"/>
  <c r="S2006" i="2"/>
  <c r="T2006" i="2" s="1"/>
  <c r="X2006" i="2" s="1"/>
  <c r="X486" i="2"/>
  <c r="S759" i="2"/>
  <c r="T759" i="2" s="1"/>
  <c r="K759" i="2"/>
  <c r="U759" i="2" s="1"/>
  <c r="V1960" i="2"/>
  <c r="W1960" i="2"/>
  <c r="V1369" i="2"/>
  <c r="W1369" i="2"/>
  <c r="X776" i="2"/>
  <c r="V1769" i="2"/>
  <c r="W1769" i="2"/>
  <c r="V245" i="2"/>
  <c r="W245" i="2"/>
  <c r="X245" i="2" s="1"/>
  <c r="V954" i="2"/>
  <c r="W954" i="2"/>
  <c r="X954" i="2" s="1"/>
  <c r="V153" i="2"/>
  <c r="W153" i="2"/>
  <c r="X153" i="2" s="1"/>
  <c r="V921" i="2"/>
  <c r="W921" i="2"/>
  <c r="S1238" i="2"/>
  <c r="T1238" i="2" s="1"/>
  <c r="K1238" i="2"/>
  <c r="U1238" i="2" s="1"/>
  <c r="V1022" i="2"/>
  <c r="W1022" i="2"/>
  <c r="S878" i="2"/>
  <c r="T878" i="2" s="1"/>
  <c r="K878" i="2"/>
  <c r="U878" i="2" s="1"/>
  <c r="X1138" i="2"/>
  <c r="V473" i="2"/>
  <c r="W473" i="2"/>
  <c r="X473" i="2" s="1"/>
  <c r="S240" i="2"/>
  <c r="T240" i="2" s="1"/>
  <c r="K240" i="2"/>
  <c r="U240" i="2" s="1"/>
  <c r="V1132" i="2"/>
  <c r="W1132" i="2"/>
  <c r="X1132" i="2" s="1"/>
  <c r="V464" i="2"/>
  <c r="W464" i="2"/>
  <c r="X464" i="2" s="1"/>
  <c r="K1923" i="2"/>
  <c r="U1923" i="2" s="1"/>
  <c r="S1923" i="2"/>
  <c r="T1923" i="2" s="1"/>
  <c r="X1923" i="2" s="1"/>
  <c r="X1507" i="2"/>
  <c r="X355" i="2"/>
  <c r="S1550" i="2"/>
  <c r="T1550" i="2" s="1"/>
  <c r="K1550" i="2"/>
  <c r="U1550" i="2" s="1"/>
  <c r="S182" i="2"/>
  <c r="T182" i="2" s="1"/>
  <c r="K182" i="2"/>
  <c r="U182" i="2" s="1"/>
  <c r="S2074" i="2"/>
  <c r="T2074" i="2" s="1"/>
  <c r="X2074" i="2" s="1"/>
  <c r="K2074" i="2"/>
  <c r="U2074" i="2" s="1"/>
  <c r="K130" i="2"/>
  <c r="U130" i="2" s="1"/>
  <c r="S130" i="2"/>
  <c r="T130" i="2" s="1"/>
  <c r="V1518" i="2"/>
  <c r="W1518" i="2"/>
  <c r="X1518" i="2" s="1"/>
  <c r="X1344" i="2"/>
  <c r="S1266" i="2"/>
  <c r="T1266" i="2" s="1"/>
  <c r="K1266" i="2"/>
  <c r="U1266" i="2" s="1"/>
  <c r="X490" i="2"/>
  <c r="K1086" i="2"/>
  <c r="U1086" i="2" s="1"/>
  <c r="S1086" i="2"/>
  <c r="T1086" i="2" s="1"/>
  <c r="X937" i="2"/>
  <c r="V909" i="2"/>
  <c r="W909" i="2"/>
  <c r="S656" i="2"/>
  <c r="T656" i="2" s="1"/>
  <c r="K656" i="2"/>
  <c r="U656" i="2" s="1"/>
  <c r="S664" i="2"/>
  <c r="T664" i="2" s="1"/>
  <c r="K664" i="2"/>
  <c r="U664" i="2" s="1"/>
  <c r="V1388" i="2"/>
  <c r="W1388" i="2"/>
  <c r="X1388" i="2" s="1"/>
  <c r="X940" i="2"/>
  <c r="X681" i="2"/>
  <c r="S781" i="2"/>
  <c r="T781" i="2" s="1"/>
  <c r="K781" i="2"/>
  <c r="U781" i="2" s="1"/>
  <c r="V829" i="2"/>
  <c r="W829" i="2"/>
  <c r="X829" i="2" s="1"/>
  <c r="V1437" i="2"/>
  <c r="W1437" i="2"/>
  <c r="X195" i="2"/>
  <c r="S871" i="2"/>
  <c r="T871" i="2" s="1"/>
  <c r="K871" i="2"/>
  <c r="U871" i="2" s="1"/>
  <c r="K1774" i="2"/>
  <c r="U1774" i="2" s="1"/>
  <c r="S1774" i="2"/>
  <c r="T1774" i="2" s="1"/>
  <c r="X1774" i="2" s="1"/>
  <c r="X1135" i="2"/>
  <c r="X28" i="2"/>
  <c r="X1090" i="2"/>
  <c r="S1077" i="2"/>
  <c r="T1077" i="2" s="1"/>
  <c r="K1077" i="2"/>
  <c r="U1077" i="2" s="1"/>
  <c r="V331" i="2"/>
  <c r="W331" i="2"/>
  <c r="S822" i="2"/>
  <c r="T822" i="2" s="1"/>
  <c r="K822" i="2"/>
  <c r="U822" i="2" s="1"/>
  <c r="V1359" i="2"/>
  <c r="W1359" i="2"/>
  <c r="V1818" i="2"/>
  <c r="W1818" i="2"/>
  <c r="V996" i="2"/>
  <c r="W996" i="2"/>
  <c r="S289" i="2"/>
  <c r="T289" i="2" s="1"/>
  <c r="K289" i="2"/>
  <c r="U289" i="2" s="1"/>
  <c r="K124" i="2"/>
  <c r="U124" i="2" s="1"/>
  <c r="S124" i="2"/>
  <c r="T124" i="2" s="1"/>
  <c r="V1509" i="2"/>
  <c r="W1509" i="2"/>
  <c r="X1509" i="2" s="1"/>
  <c r="S1206" i="2"/>
  <c r="T1206" i="2" s="1"/>
  <c r="K1206" i="2"/>
  <c r="U1206" i="2" s="1"/>
  <c r="S572" i="2"/>
  <c r="T572" i="2" s="1"/>
  <c r="K572" i="2"/>
  <c r="U572" i="2" s="1"/>
  <c r="S1687" i="2"/>
  <c r="T1687" i="2" s="1"/>
  <c r="X1687" i="2" s="1"/>
  <c r="K1687" i="2"/>
  <c r="U1687" i="2" s="1"/>
  <c r="S397" i="2"/>
  <c r="T397" i="2" s="1"/>
  <c r="K397" i="2"/>
  <c r="U397" i="2" s="1"/>
  <c r="X507" i="2"/>
  <c r="K1007" i="2"/>
  <c r="U1007" i="2" s="1"/>
  <c r="S1007" i="2"/>
  <c r="T1007" i="2" s="1"/>
  <c r="S1823" i="2"/>
  <c r="T1823" i="2" s="1"/>
  <c r="X1823" i="2" s="1"/>
  <c r="K1823" i="2"/>
  <c r="U1823" i="2" s="1"/>
  <c r="V1572" i="2"/>
  <c r="W1572" i="2"/>
  <c r="X1572" i="2" s="1"/>
  <c r="V2118" i="2"/>
  <c r="W2118" i="2"/>
  <c r="V1795" i="2"/>
  <c r="W1795" i="2"/>
  <c r="X1274" i="2"/>
  <c r="X373" i="2"/>
  <c r="X256" i="2"/>
  <c r="K2007" i="2"/>
  <c r="U2007" i="2" s="1"/>
  <c r="S2007" i="2"/>
  <c r="T2007" i="2" s="1"/>
  <c r="X2007" i="2" s="1"/>
  <c r="V1523" i="2"/>
  <c r="W1523" i="2"/>
  <c r="S2136" i="2"/>
  <c r="T2136" i="2" s="1"/>
  <c r="X2136" i="2" s="1"/>
  <c r="K2136" i="2"/>
  <c r="U2136" i="2" s="1"/>
  <c r="X1437" i="2"/>
  <c r="S885" i="2"/>
  <c r="T885" i="2" s="1"/>
  <c r="K885" i="2"/>
  <c r="U885" i="2" s="1"/>
  <c r="V478" i="2"/>
  <c r="W478" i="2"/>
  <c r="S1775" i="2"/>
  <c r="T1775" i="2" s="1"/>
  <c r="X1775" i="2" s="1"/>
  <c r="K1775" i="2"/>
  <c r="U1775" i="2" s="1"/>
  <c r="V2142" i="2"/>
  <c r="W2142" i="2"/>
  <c r="K178" i="2"/>
  <c r="U178" i="2" s="1"/>
  <c r="S178" i="2"/>
  <c r="T178" i="2" s="1"/>
  <c r="V513" i="2"/>
  <c r="W513" i="2"/>
  <c r="X513" i="2" s="1"/>
  <c r="X1286" i="2"/>
  <c r="X300" i="2"/>
  <c r="O1658" i="2"/>
  <c r="Q1658" i="2" s="1"/>
  <c r="O1659" i="2"/>
  <c r="Q1659" i="2" s="1"/>
  <c r="O1656" i="2"/>
  <c r="Q1656" i="2" s="1"/>
  <c r="O1657" i="2"/>
  <c r="Q1657" i="2" s="1"/>
  <c r="O1651" i="2"/>
  <c r="Q1651" i="2" s="1"/>
  <c r="O1647" i="2"/>
  <c r="Q1647" i="2" s="1"/>
  <c r="O1643" i="2"/>
  <c r="Q1643" i="2" s="1"/>
  <c r="O1653" i="2"/>
  <c r="Q1653" i="2" s="1"/>
  <c r="O1644" i="2"/>
  <c r="Q1644" i="2" s="1"/>
  <c r="O1637" i="2"/>
  <c r="Q1637" i="2" s="1"/>
  <c r="O1654" i="2"/>
  <c r="Q1654" i="2" s="1"/>
  <c r="O1649" i="2"/>
  <c r="Q1649" i="2" s="1"/>
  <c r="O1638" i="2"/>
  <c r="Q1638" i="2" s="1"/>
  <c r="O1650" i="2"/>
  <c r="Q1650" i="2" s="1"/>
  <c r="O1645" i="2"/>
  <c r="Q1645" i="2" s="1"/>
  <c r="O1639" i="2"/>
  <c r="Q1639" i="2" s="1"/>
  <c r="O1640" i="2"/>
  <c r="Q1640" i="2" s="1"/>
  <c r="O1646" i="2"/>
  <c r="Q1646" i="2" s="1"/>
  <c r="O1652" i="2"/>
  <c r="Q1652" i="2" s="1"/>
  <c r="O1655" i="2"/>
  <c r="Q1655" i="2" s="1"/>
  <c r="O1648" i="2"/>
  <c r="Q1648" i="2" s="1"/>
  <c r="O1642" i="2"/>
  <c r="Q1642" i="2" s="1"/>
  <c r="O1636" i="2"/>
  <c r="Q1636" i="2" s="1"/>
  <c r="O1641" i="2"/>
  <c r="Q1641" i="2" s="1"/>
  <c r="V1444" i="2"/>
  <c r="W1444" i="2"/>
  <c r="X1444" i="2" s="1"/>
  <c r="S1101" i="2"/>
  <c r="T1101" i="2" s="1"/>
  <c r="K1101" i="2"/>
  <c r="U1101" i="2" s="1"/>
  <c r="V407" i="2"/>
  <c r="W407" i="2"/>
  <c r="V1407" i="2"/>
  <c r="W1407" i="2"/>
  <c r="X1407" i="2" s="1"/>
  <c r="S847" i="2"/>
  <c r="T847" i="2" s="1"/>
  <c r="K847" i="2"/>
  <c r="U847" i="2" s="1"/>
  <c r="V2114" i="2"/>
  <c r="W2114" i="2"/>
  <c r="V1737" i="2"/>
  <c r="W1737" i="2"/>
  <c r="S874" i="2"/>
  <c r="T874" i="2" s="1"/>
  <c r="K874" i="2"/>
  <c r="U874" i="2" s="1"/>
  <c r="X870" i="2"/>
  <c r="V620" i="2"/>
  <c r="W620" i="2"/>
  <c r="X620" i="2" s="1"/>
  <c r="S1719" i="2"/>
  <c r="T1719" i="2" s="1"/>
  <c r="X1719" i="2" s="1"/>
  <c r="K1719" i="2"/>
  <c r="U1719" i="2" s="1"/>
  <c r="V890" i="2"/>
  <c r="W890" i="2"/>
  <c r="X890" i="2" s="1"/>
  <c r="K112" i="2"/>
  <c r="U112" i="2" s="1"/>
  <c r="S112" i="2"/>
  <c r="T112" i="2" s="1"/>
  <c r="K11" i="2"/>
  <c r="U11" i="2" s="1"/>
  <c r="S11" i="2"/>
  <c r="T11" i="2" s="1"/>
  <c r="K1219" i="2"/>
  <c r="U1219" i="2" s="1"/>
  <c r="S1219" i="2"/>
  <c r="T1219" i="2" s="1"/>
  <c r="K62" i="2"/>
  <c r="U62" i="2" s="1"/>
  <c r="S62" i="2"/>
  <c r="T62" i="2" s="1"/>
  <c r="X246" i="2"/>
  <c r="K1828" i="2"/>
  <c r="U1828" i="2" s="1"/>
  <c r="S1828" i="2"/>
  <c r="T1828" i="2" s="1"/>
  <c r="X1828" i="2" s="1"/>
  <c r="V327" i="2"/>
  <c r="W327" i="2"/>
  <c r="X1429" i="2"/>
  <c r="V2054" i="2"/>
  <c r="W2054" i="2"/>
  <c r="V446" i="2"/>
  <c r="W446" i="2"/>
  <c r="X446" i="2" s="1"/>
  <c r="K1977" i="2"/>
  <c r="U1977" i="2" s="1"/>
  <c r="S1977" i="2"/>
  <c r="T1977" i="2" s="1"/>
  <c r="X1977" i="2" s="1"/>
  <c r="X1523" i="2"/>
  <c r="X27" i="2"/>
  <c r="K1451" i="2"/>
  <c r="U1451" i="2" s="1"/>
  <c r="S1451" i="2"/>
  <c r="T1451" i="2" s="1"/>
  <c r="S916" i="2"/>
  <c r="T916" i="2" s="1"/>
  <c r="K916" i="2"/>
  <c r="U916" i="2" s="1"/>
  <c r="X478" i="2"/>
  <c r="K1770" i="2"/>
  <c r="U1770" i="2" s="1"/>
  <c r="S1770" i="2"/>
  <c r="T1770" i="2" s="1"/>
  <c r="X1770" i="2" s="1"/>
  <c r="X667" i="2"/>
  <c r="X479" i="2"/>
  <c r="V2155" i="2"/>
  <c r="W2155" i="2"/>
  <c r="K969" i="2"/>
  <c r="U969" i="2" s="1"/>
  <c r="S969" i="2"/>
  <c r="T969" i="2" s="1"/>
  <c r="V131" i="2"/>
  <c r="W131" i="2"/>
  <c r="X131" i="2" s="1"/>
  <c r="X832" i="2"/>
  <c r="V1752" i="2"/>
  <c r="W1752" i="2"/>
  <c r="O1978" i="2"/>
  <c r="Q1978" i="2" s="1"/>
  <c r="O1985" i="2"/>
  <c r="Q1985" i="2" s="1"/>
  <c r="O1185" i="2"/>
  <c r="Q1185" i="2" s="1"/>
  <c r="O1176" i="2"/>
  <c r="Q1176" i="2" s="1"/>
  <c r="O1213" i="2"/>
  <c r="Q1213" i="2" s="1"/>
  <c r="O1183" i="2"/>
  <c r="Q1183" i="2" s="1"/>
  <c r="O1167" i="2"/>
  <c r="Q1167" i="2" s="1"/>
  <c r="O1202" i="2"/>
  <c r="Q1202" i="2" s="1"/>
  <c r="O1142" i="2"/>
  <c r="Q1142" i="2" s="1"/>
  <c r="O1150" i="2"/>
  <c r="Q1150" i="2" s="1"/>
  <c r="O533" i="2"/>
  <c r="Q533" i="2" s="1"/>
  <c r="O508" i="2"/>
  <c r="Q508" i="2" s="1"/>
  <c r="O497" i="2"/>
  <c r="Q497" i="2" s="1"/>
  <c r="O543" i="2"/>
  <c r="Q543" i="2" s="1"/>
  <c r="O511" i="2"/>
  <c r="Q511" i="2" s="1"/>
  <c r="O471" i="2"/>
  <c r="Q471" i="2" s="1"/>
  <c r="O477" i="2"/>
  <c r="Q477" i="2" s="1"/>
  <c r="O502" i="2"/>
  <c r="Q502" i="2" s="1"/>
  <c r="O1982" i="2"/>
  <c r="Q1982" i="2" s="1"/>
  <c r="O1983" i="2"/>
  <c r="Q1983" i="2" s="1"/>
  <c r="O1984" i="2"/>
  <c r="Q1984" i="2" s="1"/>
  <c r="O1980" i="2"/>
  <c r="Q1980" i="2" s="1"/>
  <c r="O1979" i="2"/>
  <c r="Q1979" i="2" s="1"/>
  <c r="O1981" i="2"/>
  <c r="Q1981" i="2" s="1"/>
  <c r="X95" i="2"/>
  <c r="K858" i="2"/>
  <c r="U858" i="2" s="1"/>
  <c r="S858" i="2"/>
  <c r="T858" i="2" s="1"/>
  <c r="S797" i="2"/>
  <c r="T797" i="2" s="1"/>
  <c r="K797" i="2"/>
  <c r="U797" i="2" s="1"/>
  <c r="V302" i="2"/>
  <c r="W302" i="2"/>
  <c r="V408" i="2"/>
  <c r="W408" i="2"/>
  <c r="V1082" i="2"/>
  <c r="W1082" i="2"/>
  <c r="V1309" i="2"/>
  <c r="W1309" i="2"/>
  <c r="X1309" i="2" s="1"/>
  <c r="S345" i="2"/>
  <c r="T345" i="2" s="1"/>
  <c r="K345" i="2"/>
  <c r="U345" i="2" s="1"/>
  <c r="X981" i="2"/>
  <c r="X447" i="2"/>
  <c r="V1162" i="2"/>
  <c r="W1162" i="2"/>
  <c r="X1282" i="2"/>
  <c r="X1348" i="2"/>
  <c r="S19" i="2"/>
  <c r="T19" i="2" s="1"/>
  <c r="K19" i="2"/>
  <c r="U19" i="2" s="1"/>
  <c r="V799" i="2"/>
  <c r="W799" i="2"/>
  <c r="X799" i="2" s="1"/>
  <c r="S1073" i="2"/>
  <c r="T1073" i="2" s="1"/>
  <c r="K1073" i="2"/>
  <c r="U1073" i="2" s="1"/>
  <c r="S151" i="2"/>
  <c r="T151" i="2" s="1"/>
  <c r="K151" i="2"/>
  <c r="U151" i="2" s="1"/>
  <c r="V574" i="2"/>
  <c r="W574" i="2"/>
  <c r="S2081" i="2"/>
  <c r="T2081" i="2" s="1"/>
  <c r="X2081" i="2" s="1"/>
  <c r="K2081" i="2"/>
  <c r="U2081" i="2" s="1"/>
  <c r="S101" i="2"/>
  <c r="T101" i="2" s="1"/>
  <c r="K101" i="2"/>
  <c r="U101" i="2" s="1"/>
  <c r="V718" i="2"/>
  <c r="W718" i="2"/>
  <c r="X718" i="2" s="1"/>
  <c r="V1988" i="2"/>
  <c r="W1988" i="2"/>
  <c r="S1872" i="2"/>
  <c r="T1872" i="2" s="1"/>
  <c r="X1872" i="2" s="1"/>
  <c r="K1872" i="2"/>
  <c r="U1872" i="2" s="1"/>
  <c r="V1148" i="2"/>
  <c r="W1148" i="2"/>
  <c r="X720" i="2"/>
  <c r="S1146" i="2"/>
  <c r="T1146" i="2" s="1"/>
  <c r="K1146" i="2"/>
  <c r="U1146" i="2" s="1"/>
  <c r="V1091" i="2"/>
  <c r="W1091" i="2"/>
  <c r="X1091" i="2" s="1"/>
  <c r="S519" i="2"/>
  <c r="T519" i="2" s="1"/>
  <c r="K519" i="2"/>
  <c r="U519" i="2" s="1"/>
  <c r="V406" i="2"/>
  <c r="W406" i="2"/>
  <c r="X406" i="2" s="1"/>
  <c r="K1966" i="2"/>
  <c r="U1966" i="2" s="1"/>
  <c r="S1966" i="2"/>
  <c r="T1966" i="2" s="1"/>
  <c r="X1966" i="2" s="1"/>
  <c r="V1547" i="2"/>
  <c r="W1547" i="2"/>
  <c r="X1547" i="2" s="1"/>
  <c r="X1609" i="2"/>
  <c r="S2137" i="2"/>
  <c r="T2137" i="2" s="1"/>
  <c r="X2137" i="2" s="1"/>
  <c r="K2137" i="2"/>
  <c r="U2137" i="2" s="1"/>
  <c r="X249" i="2"/>
  <c r="S880" i="2"/>
  <c r="T880" i="2" s="1"/>
  <c r="K880" i="2"/>
  <c r="U880" i="2" s="1"/>
  <c r="V1744" i="2"/>
  <c r="W1744" i="2"/>
  <c r="V369" i="2"/>
  <c r="W369" i="2"/>
  <c r="X369" i="2" s="1"/>
  <c r="V765" i="2"/>
  <c r="W765" i="2"/>
  <c r="V333" i="2"/>
  <c r="W333" i="2"/>
  <c r="S230" i="2"/>
  <c r="T230" i="2" s="1"/>
  <c r="K230" i="2"/>
  <c r="U230" i="2" s="1"/>
  <c r="V897" i="2"/>
  <c r="W897" i="2"/>
  <c r="X897" i="2" s="1"/>
  <c r="V577" i="2"/>
  <c r="W577" i="2"/>
  <c r="X577" i="2" s="1"/>
  <c r="V2030" i="2"/>
  <c r="W2030" i="2"/>
  <c r="S1199" i="2"/>
  <c r="T1199" i="2" s="1"/>
  <c r="K1199" i="2"/>
  <c r="U1199" i="2" s="1"/>
  <c r="O550" i="2"/>
  <c r="Q550" i="2" s="1"/>
  <c r="O559" i="2"/>
  <c r="Q559" i="2" s="1"/>
  <c r="O561" i="2"/>
  <c r="Q561" i="2" s="1"/>
  <c r="O558" i="2"/>
  <c r="Q558" i="2" s="1"/>
  <c r="O517" i="2"/>
  <c r="Q517" i="2" s="1"/>
  <c r="O579" i="2"/>
  <c r="Q579" i="2" s="1"/>
  <c r="O526" i="2"/>
  <c r="Q526" i="2" s="1"/>
  <c r="O586" i="2"/>
  <c r="Q586" i="2" s="1"/>
  <c r="O548" i="2"/>
  <c r="Q548" i="2" s="1"/>
  <c r="O524" i="2"/>
  <c r="Q524" i="2" s="1"/>
  <c r="O525" i="2"/>
  <c r="Q525" i="2" s="1"/>
  <c r="O495" i="2"/>
  <c r="Q495" i="2" s="1"/>
  <c r="S453" i="2"/>
  <c r="T453" i="2" s="1"/>
  <c r="K453" i="2"/>
  <c r="U453" i="2" s="1"/>
  <c r="X695" i="2"/>
  <c r="V266" i="2"/>
  <c r="W266" i="2"/>
  <c r="X266" i="2" s="1"/>
  <c r="K746" i="2"/>
  <c r="U746" i="2" s="1"/>
  <c r="S746" i="2"/>
  <c r="T746" i="2" s="1"/>
  <c r="S784" i="2"/>
  <c r="T784" i="2" s="1"/>
  <c r="K784" i="2"/>
  <c r="U784" i="2" s="1"/>
  <c r="V1746" i="2"/>
  <c r="W1746" i="2"/>
  <c r="X123" i="2"/>
  <c r="X83" i="2"/>
  <c r="V1244" i="2"/>
  <c r="W1244" i="2"/>
  <c r="X1244" i="2" s="1"/>
  <c r="V981" i="2"/>
  <c r="W981" i="2"/>
  <c r="X174" i="2"/>
  <c r="V422" i="2"/>
  <c r="W422" i="2"/>
  <c r="S864" i="2"/>
  <c r="T864" i="2" s="1"/>
  <c r="K864" i="2"/>
  <c r="U864" i="2" s="1"/>
  <c r="X1487" i="2"/>
  <c r="V165" i="2"/>
  <c r="W165" i="2"/>
  <c r="V285" i="2"/>
  <c r="W285" i="2"/>
  <c r="X285" i="2" s="1"/>
  <c r="K641" i="2"/>
  <c r="U641" i="2" s="1"/>
  <c r="S641" i="2"/>
  <c r="T641" i="2" s="1"/>
  <c r="V1074" i="2"/>
  <c r="W1074" i="2"/>
  <c r="X1074" i="2" s="1"/>
  <c r="X265" i="2"/>
  <c r="S1697" i="2"/>
  <c r="T1697" i="2" s="1"/>
  <c r="X1697" i="2" s="1"/>
  <c r="K1697" i="2"/>
  <c r="U1697" i="2" s="1"/>
  <c r="K36" i="2"/>
  <c r="U36" i="2" s="1"/>
  <c r="S36" i="2"/>
  <c r="T36" i="2" s="1"/>
  <c r="S1218" i="2"/>
  <c r="T1218" i="2" s="1"/>
  <c r="K1218" i="2"/>
  <c r="U1218" i="2" s="1"/>
  <c r="X324" i="2"/>
  <c r="K22" i="2"/>
  <c r="U22" i="2" s="1"/>
  <c r="S22" i="2"/>
  <c r="T22" i="2" s="1"/>
  <c r="K1578" i="2"/>
  <c r="U1578" i="2" s="1"/>
  <c r="S1578" i="2"/>
  <c r="T1578" i="2" s="1"/>
  <c r="X594" i="2"/>
  <c r="V2059" i="2"/>
  <c r="W2059" i="2"/>
  <c r="S600" i="2"/>
  <c r="T600" i="2" s="1"/>
  <c r="K600" i="2"/>
  <c r="U600" i="2" s="1"/>
  <c r="S1151" i="2"/>
  <c r="T1151" i="2" s="1"/>
  <c r="K1151" i="2"/>
  <c r="U1151" i="2" s="1"/>
  <c r="S1826" i="2"/>
  <c r="T1826" i="2" s="1"/>
  <c r="X1826" i="2" s="1"/>
  <c r="K1826" i="2"/>
  <c r="U1826" i="2" s="1"/>
  <c r="X1023" i="2"/>
  <c r="X1079" i="2"/>
  <c r="X1100" i="2"/>
  <c r="V800" i="2"/>
  <c r="W800" i="2"/>
  <c r="X800" i="2" s="1"/>
  <c r="X333" i="2"/>
  <c r="K1005" i="2"/>
  <c r="U1005" i="2" s="1"/>
  <c r="S1005" i="2"/>
  <c r="T1005" i="2" s="1"/>
  <c r="V2049" i="2"/>
  <c r="W2049" i="2"/>
  <c r="V276" i="2"/>
  <c r="W276" i="2"/>
  <c r="X276" i="2" s="1"/>
  <c r="V374" i="2"/>
  <c r="W374" i="2"/>
  <c r="X374" i="2" s="1"/>
  <c r="X306" i="2"/>
  <c r="S726" i="2"/>
  <c r="T726" i="2" s="1"/>
  <c r="K726" i="2"/>
  <c r="U726" i="2" s="1"/>
  <c r="V2056" i="2"/>
  <c r="W2056" i="2"/>
  <c r="V787" i="2"/>
  <c r="W787" i="2"/>
  <c r="X787" i="2" s="1"/>
  <c r="V46" i="2"/>
  <c r="W46" i="2"/>
  <c r="V542" i="2"/>
  <c r="W542" i="2"/>
  <c r="X542" i="2" s="1"/>
  <c r="S1160" i="2"/>
  <c r="T1160" i="2" s="1"/>
  <c r="K1160" i="2"/>
  <c r="U1160" i="2" s="1"/>
  <c r="X1205" i="2"/>
  <c r="O696" i="2"/>
  <c r="Q696" i="2" s="1"/>
  <c r="O674" i="2"/>
  <c r="Q674" i="2" s="1"/>
  <c r="O699" i="2"/>
  <c r="Q699" i="2" s="1"/>
  <c r="O669" i="2"/>
  <c r="Q669" i="2" s="1"/>
  <c r="O683" i="2"/>
  <c r="Q683" i="2" s="1"/>
  <c r="O646" i="2"/>
  <c r="Q646" i="2" s="1"/>
  <c r="O731" i="2"/>
  <c r="Q731" i="2" s="1"/>
  <c r="O722" i="2"/>
  <c r="Q722" i="2" s="1"/>
  <c r="O709" i="2"/>
  <c r="Q709" i="2" s="1"/>
  <c r="O697" i="2"/>
  <c r="Q697" i="2" s="1"/>
  <c r="O671" i="2"/>
  <c r="Q671" i="2" s="1"/>
  <c r="O707" i="2"/>
  <c r="Q707" i="2" s="1"/>
  <c r="K899" i="2"/>
  <c r="U899" i="2" s="1"/>
  <c r="S899" i="2"/>
  <c r="T899" i="2" s="1"/>
  <c r="K824" i="2"/>
  <c r="U824" i="2" s="1"/>
  <c r="S824" i="2"/>
  <c r="T824" i="2" s="1"/>
  <c r="V1279" i="2"/>
  <c r="W1279" i="2"/>
  <c r="X1279" i="2" s="1"/>
  <c r="V2122" i="2"/>
  <c r="W2122" i="2"/>
  <c r="V2069" i="2"/>
  <c r="W2069" i="2"/>
  <c r="V269" i="2"/>
  <c r="W269" i="2"/>
  <c r="V263" i="2"/>
  <c r="W263" i="2"/>
  <c r="X263" i="2" s="1"/>
  <c r="S708" i="2"/>
  <c r="T708" i="2" s="1"/>
  <c r="K708" i="2"/>
  <c r="U708" i="2" s="1"/>
  <c r="X422" i="2"/>
  <c r="S339" i="2"/>
  <c r="T339" i="2" s="1"/>
  <c r="K339" i="2"/>
  <c r="U339" i="2" s="1"/>
  <c r="S334" i="2"/>
  <c r="T334" i="2" s="1"/>
  <c r="K334" i="2"/>
  <c r="U334" i="2" s="1"/>
  <c r="S336" i="2"/>
  <c r="T336" i="2" s="1"/>
  <c r="K336" i="2"/>
  <c r="U336" i="2" s="1"/>
  <c r="X283" i="2"/>
  <c r="V1662" i="2"/>
  <c r="W1662" i="2"/>
  <c r="S321" i="2"/>
  <c r="T321" i="2" s="1"/>
  <c r="K321" i="2"/>
  <c r="U321" i="2" s="1"/>
  <c r="V317" i="2"/>
  <c r="W317" i="2"/>
  <c r="X317" i="2" s="1"/>
  <c r="X724" i="2"/>
  <c r="K947" i="2"/>
  <c r="U947" i="2" s="1"/>
  <c r="S947" i="2"/>
  <c r="T947" i="2" s="1"/>
  <c r="V686" i="2"/>
  <c r="W686" i="2"/>
  <c r="V2055" i="2"/>
  <c r="W2055" i="2"/>
  <c r="V505" i="2"/>
  <c r="W505" i="2"/>
  <c r="X505" i="2" s="1"/>
  <c r="V1164" i="2"/>
  <c r="W1164" i="2"/>
  <c r="X1164" i="2" s="1"/>
  <c r="V2150" i="2"/>
  <c r="W2150" i="2"/>
  <c r="X1083" i="2"/>
  <c r="V98" i="2"/>
  <c r="W98" i="2"/>
  <c r="X98" i="2" s="1"/>
  <c r="V2067" i="2"/>
  <c r="W2067" i="2"/>
  <c r="V779" i="2"/>
  <c r="W779" i="2"/>
  <c r="S485" i="2"/>
  <c r="T485" i="2" s="1"/>
  <c r="K485" i="2"/>
  <c r="U485" i="2" s="1"/>
  <c r="V1379" i="2"/>
  <c r="W1379" i="2"/>
  <c r="X1379" i="2" s="1"/>
  <c r="X613" i="2"/>
  <c r="V766" i="2"/>
  <c r="W766" i="2"/>
  <c r="X445" i="2"/>
  <c r="V181" i="2"/>
  <c r="W181" i="2"/>
  <c r="S1554" i="2"/>
  <c r="T1554" i="2" s="1"/>
  <c r="K1554" i="2"/>
  <c r="U1554" i="2" s="1"/>
  <c r="X1196" i="2"/>
  <c r="V1747" i="2"/>
  <c r="W1747" i="2"/>
  <c r="X760" i="2"/>
  <c r="X150" i="2"/>
  <c r="V393" i="2"/>
  <c r="W393" i="2"/>
  <c r="V1375" i="2"/>
  <c r="W1375" i="2"/>
  <c r="K796" i="2"/>
  <c r="U796" i="2" s="1"/>
  <c r="S796" i="2"/>
  <c r="T796" i="2" s="1"/>
  <c r="S1477" i="2"/>
  <c r="T1477" i="2" s="1"/>
  <c r="K1477" i="2"/>
  <c r="U1477" i="2" s="1"/>
  <c r="S831" i="2"/>
  <c r="T831" i="2" s="1"/>
  <c r="K831" i="2"/>
  <c r="U831" i="2" s="1"/>
  <c r="K1771" i="2"/>
  <c r="U1771" i="2" s="1"/>
  <c r="S1771" i="2"/>
  <c r="T1771" i="2" s="1"/>
  <c r="X1771" i="2" s="1"/>
  <c r="V68" i="2"/>
  <c r="W68" i="2"/>
  <c r="X68" i="2" s="1"/>
  <c r="V1360" i="2"/>
  <c r="W1360" i="2"/>
  <c r="V668" i="2"/>
  <c r="W668" i="2"/>
  <c r="V262" i="2"/>
  <c r="W262" i="2"/>
  <c r="X262" i="2" s="1"/>
  <c r="V476" i="2"/>
  <c r="W476" i="2"/>
  <c r="X476" i="2" s="1"/>
  <c r="S837" i="2"/>
  <c r="T837" i="2" s="1"/>
  <c r="K837" i="2"/>
  <c r="U837" i="2" s="1"/>
  <c r="S1467" i="2"/>
  <c r="T1467" i="2" s="1"/>
  <c r="K1467" i="2"/>
  <c r="U1467" i="2" s="1"/>
  <c r="V361" i="2"/>
  <c r="W361" i="2"/>
  <c r="X361" i="2" s="1"/>
  <c r="V928" i="2"/>
  <c r="W928" i="2"/>
  <c r="X928" i="2" s="1"/>
  <c r="S210" i="2"/>
  <c r="T210" i="2" s="1"/>
  <c r="K210" i="2"/>
  <c r="U210" i="2" s="1"/>
  <c r="V1594" i="2"/>
  <c r="W1594" i="2"/>
  <c r="V1631" i="2"/>
  <c r="W1631" i="2"/>
  <c r="V1615" i="2"/>
  <c r="W1615" i="2"/>
  <c r="X1615" i="2" s="1"/>
  <c r="X152" i="2"/>
  <c r="X788" i="2"/>
  <c r="S689" i="2"/>
  <c r="T689" i="2" s="1"/>
  <c r="K689" i="2"/>
  <c r="U689" i="2" s="1"/>
  <c r="V1750" i="2"/>
  <c r="W1750" i="2"/>
  <c r="X415" i="2"/>
  <c r="V270" i="2"/>
  <c r="W270" i="2"/>
  <c r="X270" i="2" s="1"/>
  <c r="X779" i="2"/>
  <c r="V1208" i="2"/>
  <c r="W1208" i="2"/>
  <c r="X1208" i="2" s="1"/>
  <c r="X772" i="2"/>
  <c r="X766" i="2"/>
  <c r="S1210" i="2"/>
  <c r="T1210" i="2" s="1"/>
  <c r="K1210" i="2"/>
  <c r="U1210" i="2" s="1"/>
  <c r="V2060" i="2"/>
  <c r="W2060" i="2"/>
  <c r="X181" i="2"/>
  <c r="S1216" i="2"/>
  <c r="T1216" i="2" s="1"/>
  <c r="K1216" i="2"/>
  <c r="U1216" i="2" s="1"/>
  <c r="S1564" i="2"/>
  <c r="T1564" i="2" s="1"/>
  <c r="K1564" i="2"/>
  <c r="U1564" i="2" s="1"/>
  <c r="V287" i="2"/>
  <c r="W287" i="2"/>
  <c r="X287" i="2" s="1"/>
  <c r="V760" i="2"/>
  <c r="W760" i="2"/>
  <c r="V452" i="2"/>
  <c r="W452" i="2"/>
  <c r="X452" i="2" s="1"/>
  <c r="V793" i="2"/>
  <c r="W793" i="2"/>
  <c r="X393" i="2"/>
  <c r="X1095" i="2"/>
  <c r="X1375" i="2"/>
  <c r="K942" i="2"/>
  <c r="U942" i="2" s="1"/>
  <c r="S942" i="2"/>
  <c r="T942" i="2" s="1"/>
  <c r="K1011" i="2"/>
  <c r="U1011" i="2" s="1"/>
  <c r="S1011" i="2"/>
  <c r="T1011" i="2" s="1"/>
  <c r="K1498" i="2"/>
  <c r="U1498" i="2" s="1"/>
  <c r="S1498" i="2"/>
  <c r="T1498" i="2" s="1"/>
  <c r="V973" i="2"/>
  <c r="W973" i="2"/>
  <c r="S869" i="2"/>
  <c r="T869" i="2" s="1"/>
  <c r="K869" i="2"/>
  <c r="U869" i="2" s="1"/>
  <c r="V1754" i="2"/>
  <c r="W1754" i="2"/>
  <c r="V429" i="2"/>
  <c r="W429" i="2"/>
  <c r="X578" i="2"/>
  <c r="V493" i="2"/>
  <c r="W493" i="2"/>
  <c r="X493" i="2" s="1"/>
  <c r="K194" i="2"/>
  <c r="U194" i="2" s="1"/>
  <c r="S194" i="2"/>
  <c r="T194" i="2" s="1"/>
  <c r="S820" i="2"/>
  <c r="T820" i="2" s="1"/>
  <c r="K820" i="2"/>
  <c r="U820" i="2" s="1"/>
  <c r="X430" i="2"/>
  <c r="V985" i="2"/>
  <c r="W985" i="2"/>
  <c r="V1857" i="2"/>
  <c r="W1857" i="2"/>
  <c r="S221" i="2"/>
  <c r="T221" i="2" s="1"/>
  <c r="K221" i="2"/>
  <c r="U221" i="2" s="1"/>
  <c r="S311" i="2"/>
  <c r="T311" i="2" s="1"/>
  <c r="K311" i="2"/>
  <c r="U311" i="2" s="1"/>
  <c r="K905" i="2"/>
  <c r="U905" i="2" s="1"/>
  <c r="S905" i="2"/>
  <c r="T905" i="2" s="1"/>
  <c r="V372" i="2"/>
  <c r="W372" i="2"/>
  <c r="X372" i="2" s="1"/>
  <c r="V52" i="2"/>
  <c r="W52" i="2"/>
  <c r="X52" i="2" s="1"/>
  <c r="V1569" i="2"/>
  <c r="W1569" i="2"/>
  <c r="X1569" i="2" s="1"/>
  <c r="K734" i="2"/>
  <c r="U734" i="2" s="1"/>
  <c r="S734" i="2"/>
  <c r="T734" i="2" s="1"/>
  <c r="V358" i="2"/>
  <c r="W358" i="2"/>
  <c r="X358" i="2" s="1"/>
  <c r="X1500" i="2"/>
  <c r="V281" i="2"/>
  <c r="W281" i="2"/>
  <c r="X281" i="2" s="1"/>
  <c r="S363" i="2"/>
  <c r="T363" i="2" s="1"/>
  <c r="K363" i="2"/>
  <c r="U363" i="2" s="1"/>
  <c r="S964" i="2"/>
  <c r="T964" i="2" s="1"/>
  <c r="K964" i="2"/>
  <c r="U964" i="2" s="1"/>
  <c r="K1788" i="2"/>
  <c r="U1788" i="2" s="1"/>
  <c r="S1788" i="2"/>
  <c r="T1788" i="2" s="1"/>
  <c r="X1788" i="2" s="1"/>
  <c r="S1929" i="2"/>
  <c r="T1929" i="2" s="1"/>
  <c r="X1929" i="2" s="1"/>
  <c r="K1929" i="2"/>
  <c r="U1929" i="2" s="1"/>
  <c r="S1927" i="2"/>
  <c r="T1927" i="2" s="1"/>
  <c r="X1927" i="2" s="1"/>
  <c r="K1927" i="2"/>
  <c r="U1927" i="2" s="1"/>
  <c r="X1098" i="2"/>
  <c r="X642" i="2"/>
  <c r="X449" i="2"/>
  <c r="V2113" i="2"/>
  <c r="W2113" i="2"/>
  <c r="S1161" i="2"/>
  <c r="T1161" i="2" s="1"/>
  <c r="K1161" i="2"/>
  <c r="U1161" i="2" s="1"/>
  <c r="S1544" i="2"/>
  <c r="T1544" i="2" s="1"/>
  <c r="K1544" i="2"/>
  <c r="U1544" i="2" s="1"/>
  <c r="X196" i="2"/>
  <c r="V2058" i="2"/>
  <c r="W2058" i="2"/>
  <c r="X102" i="2"/>
  <c r="S146" i="2"/>
  <c r="T146" i="2" s="1"/>
  <c r="K146" i="2"/>
  <c r="U146" i="2" s="1"/>
  <c r="S650" i="2"/>
  <c r="T650" i="2" s="1"/>
  <c r="K650" i="2"/>
  <c r="U650" i="2" s="1"/>
  <c r="S400" i="2"/>
  <c r="T400" i="2" s="1"/>
  <c r="K400" i="2"/>
  <c r="U400" i="2" s="1"/>
  <c r="S1711" i="2"/>
  <c r="T1711" i="2" s="1"/>
  <c r="X1711" i="2" s="1"/>
  <c r="K1711" i="2"/>
  <c r="U1711" i="2" s="1"/>
  <c r="V2110" i="2"/>
  <c r="W2110" i="2"/>
  <c r="X1419" i="2"/>
  <c r="V1486" i="2"/>
  <c r="W1486" i="2"/>
  <c r="X1486" i="2" s="1"/>
  <c r="S2079" i="2"/>
  <c r="T2079" i="2" s="1"/>
  <c r="X2079" i="2" s="1"/>
  <c r="K2079" i="2"/>
  <c r="U2079" i="2" s="1"/>
  <c r="S2078" i="2"/>
  <c r="T2078" i="2" s="1"/>
  <c r="X2078" i="2" s="1"/>
  <c r="K2078" i="2"/>
  <c r="U2078" i="2" s="1"/>
  <c r="V539" i="2"/>
  <c r="W539" i="2"/>
  <c r="X539" i="2" s="1"/>
  <c r="X172" i="2"/>
  <c r="V1366" i="2"/>
  <c r="W1366" i="2"/>
  <c r="X1366" i="2" s="1"/>
  <c r="V2064" i="2"/>
  <c r="W2064" i="2"/>
  <c r="K136" i="2"/>
  <c r="U136" i="2" s="1"/>
  <c r="S136" i="2"/>
  <c r="T136" i="2" s="1"/>
  <c r="K1702" i="2"/>
  <c r="U1702" i="2" s="1"/>
  <c r="S1702" i="2"/>
  <c r="T1702" i="2" s="1"/>
  <c r="X1702" i="2" s="1"/>
  <c r="S1705" i="2"/>
  <c r="T1705" i="2" s="1"/>
  <c r="X1705" i="2" s="1"/>
  <c r="K1705" i="2"/>
  <c r="U1705" i="2" s="1"/>
  <c r="X1371" i="2"/>
  <c r="V386" i="2"/>
  <c r="W386" i="2"/>
  <c r="X386" i="2" s="1"/>
  <c r="K16" i="2"/>
  <c r="U16" i="2" s="1"/>
  <c r="S16" i="2"/>
  <c r="T16" i="2" s="1"/>
  <c r="K458" i="2"/>
  <c r="U458" i="2" s="1"/>
  <c r="S458" i="2"/>
  <c r="T458" i="2" s="1"/>
  <c r="V1428" i="2"/>
  <c r="W1428" i="2"/>
  <c r="X1428" i="2" s="1"/>
  <c r="V454" i="2"/>
  <c r="W454" i="2"/>
  <c r="X454" i="2" s="1"/>
  <c r="S1189" i="2"/>
  <c r="T1189" i="2" s="1"/>
  <c r="K1189" i="2"/>
  <c r="U1189" i="2" s="1"/>
  <c r="X278" i="2"/>
  <c r="X97" i="2"/>
  <c r="X180" i="2"/>
  <c r="S437" i="2"/>
  <c r="T437" i="2" s="1"/>
  <c r="K437" i="2"/>
  <c r="U437" i="2" s="1"/>
  <c r="K510" i="2"/>
  <c r="U510" i="2" s="1"/>
  <c r="S510" i="2"/>
  <c r="T510" i="2" s="1"/>
  <c r="S1864" i="2"/>
  <c r="T1864" i="2" s="1"/>
  <c r="X1864" i="2" s="1"/>
  <c r="K1864" i="2"/>
  <c r="U1864" i="2" s="1"/>
  <c r="S1239" i="2"/>
  <c r="T1239" i="2" s="1"/>
  <c r="K1239" i="2"/>
  <c r="U1239" i="2" s="1"/>
  <c r="X443" i="2"/>
  <c r="K990" i="2"/>
  <c r="U990" i="2" s="1"/>
  <c r="S990" i="2"/>
  <c r="T990" i="2" s="1"/>
  <c r="V823" i="2"/>
  <c r="W823" i="2"/>
  <c r="X823" i="2" s="1"/>
  <c r="K679" i="2"/>
  <c r="U679" i="2" s="1"/>
  <c r="S679" i="2"/>
  <c r="T679" i="2" s="1"/>
  <c r="K1341" i="2"/>
  <c r="U1341" i="2" s="1"/>
  <c r="S1341" i="2"/>
  <c r="T1341" i="2" s="1"/>
  <c r="S1118" i="2"/>
  <c r="T1118" i="2" s="1"/>
  <c r="K1118" i="2"/>
  <c r="U1118" i="2" s="1"/>
  <c r="K1832" i="2"/>
  <c r="U1832" i="2" s="1"/>
  <c r="S1832" i="2"/>
  <c r="T1832" i="2" s="1"/>
  <c r="X1832" i="2" s="1"/>
  <c r="K1558" i="2"/>
  <c r="U1558" i="2" s="1"/>
  <c r="S1558" i="2"/>
  <c r="T1558" i="2" s="1"/>
  <c r="V147" i="2"/>
  <c r="W147" i="2"/>
  <c r="X147" i="2" s="1"/>
  <c r="V9" i="2"/>
  <c r="W9" i="2"/>
  <c r="S77" i="2"/>
  <c r="T77" i="2" s="1"/>
  <c r="K77" i="2"/>
  <c r="U77" i="2" s="1"/>
  <c r="S648" i="2"/>
  <c r="T648" i="2" s="1"/>
  <c r="K648" i="2"/>
  <c r="U648" i="2" s="1"/>
  <c r="X738" i="2"/>
  <c r="K633" i="2"/>
  <c r="U633" i="2" s="1"/>
  <c r="S633" i="2"/>
  <c r="T633" i="2" s="1"/>
  <c r="S1358" i="2"/>
  <c r="T1358" i="2" s="1"/>
  <c r="K1358" i="2"/>
  <c r="U1358" i="2" s="1"/>
  <c r="X298" i="2"/>
  <c r="V1261" i="2"/>
  <c r="W1261" i="2"/>
  <c r="X1261" i="2" s="1"/>
  <c r="X104" i="2"/>
  <c r="V1497" i="2"/>
  <c r="W1497" i="2"/>
  <c r="X1497" i="2" s="1"/>
  <c r="S1976" i="2"/>
  <c r="T1976" i="2" s="1"/>
  <c r="X1976" i="2" s="1"/>
  <c r="K1976" i="2"/>
  <c r="U1976" i="2" s="1"/>
  <c r="K635" i="2"/>
  <c r="U635" i="2" s="1"/>
  <c r="S635" i="2"/>
  <c r="T635" i="2" s="1"/>
  <c r="V365" i="2"/>
  <c r="W365" i="2"/>
  <c r="X365" i="2" s="1"/>
  <c r="K2004" i="2"/>
  <c r="U2004" i="2" s="1"/>
  <c r="S2004" i="2"/>
  <c r="T2004" i="2" s="1"/>
  <c r="X2004" i="2" s="1"/>
  <c r="K2021" i="2"/>
  <c r="U2021" i="2" s="1"/>
  <c r="S2021" i="2"/>
  <c r="T2021" i="2" s="1"/>
  <c r="X2021" i="2" s="1"/>
  <c r="S1312" i="2"/>
  <c r="T1312" i="2" s="1"/>
  <c r="K1312" i="2"/>
  <c r="U1312" i="2" s="1"/>
  <c r="X835" i="2"/>
  <c r="V1851" i="2"/>
  <c r="W1851" i="2"/>
  <c r="V1321" i="2"/>
  <c r="W1321" i="2"/>
  <c r="X1321" i="2" s="1"/>
  <c r="X395" i="2"/>
  <c r="X381" i="2"/>
  <c r="V1184" i="2"/>
  <c r="W1184" i="2"/>
  <c r="X1184" i="2" s="1"/>
  <c r="V1490" i="2"/>
  <c r="W1490" i="2"/>
  <c r="X1490" i="2" s="1"/>
  <c r="V1159" i="2"/>
  <c r="W1159" i="2"/>
  <c r="X1159" i="2" s="1"/>
  <c r="S2131" i="2"/>
  <c r="T2131" i="2" s="1"/>
  <c r="X2131" i="2" s="1"/>
  <c r="K2131" i="2"/>
  <c r="U2131" i="2" s="1"/>
  <c r="K891" i="2"/>
  <c r="U891" i="2" s="1"/>
  <c r="S891" i="2"/>
  <c r="T891" i="2" s="1"/>
  <c r="K764" i="2"/>
  <c r="U764" i="2" s="1"/>
  <c r="S764" i="2"/>
  <c r="T764" i="2" s="1"/>
  <c r="S1390" i="2"/>
  <c r="T1390" i="2" s="1"/>
  <c r="K1390" i="2"/>
  <c r="U1390" i="2" s="1"/>
  <c r="V716" i="2"/>
  <c r="W716" i="2"/>
  <c r="X716" i="2" s="1"/>
  <c r="V385" i="2"/>
  <c r="W385" i="2"/>
  <c r="X1369" i="2"/>
  <c r="V1900" i="2"/>
  <c r="W1900" i="2"/>
  <c r="S846" i="2"/>
  <c r="T846" i="2" s="1"/>
  <c r="K846" i="2"/>
  <c r="U846" i="2" s="1"/>
  <c r="X403" i="2"/>
  <c r="V737" i="2"/>
  <c r="W737" i="2"/>
  <c r="X737" i="2" s="1"/>
  <c r="X753" i="2"/>
  <c r="V942" i="2" l="1"/>
  <c r="W942" i="2"/>
  <c r="S1176" i="2"/>
  <c r="T1176" i="2" s="1"/>
  <c r="K1176" i="2"/>
  <c r="U1176" i="2" s="1"/>
  <c r="V885" i="2"/>
  <c r="W885" i="2"/>
  <c r="V554" i="2"/>
  <c r="W554" i="2"/>
  <c r="V746" i="2"/>
  <c r="W746" i="2"/>
  <c r="K1654" i="2"/>
  <c r="U1654" i="2" s="1"/>
  <c r="S1654" i="2"/>
  <c r="T1654" i="2" s="1"/>
  <c r="X1654" i="2" s="1"/>
  <c r="V1871" i="2"/>
  <c r="W1871" i="2"/>
  <c r="V1688" i="2"/>
  <c r="W1688" i="2"/>
  <c r="V1623" i="2"/>
  <c r="W1623" i="2"/>
  <c r="V210" i="2"/>
  <c r="W210" i="2"/>
  <c r="V339" i="2"/>
  <c r="W339" i="2"/>
  <c r="X339" i="2" s="1"/>
  <c r="V822" i="2"/>
  <c r="W822" i="2"/>
  <c r="V1628" i="2"/>
  <c r="W1628" i="2"/>
  <c r="K1616" i="2"/>
  <c r="U1616" i="2" s="1"/>
  <c r="S1616" i="2"/>
  <c r="T1616" i="2" s="1"/>
  <c r="X1616" i="2" s="1"/>
  <c r="X432" i="2"/>
  <c r="V1548" i="2"/>
  <c r="W1548" i="2"/>
  <c r="K1802" i="2"/>
  <c r="U1802" i="2" s="1"/>
  <c r="S1802" i="2"/>
  <c r="T1802" i="2" s="1"/>
  <c r="X1802" i="2" s="1"/>
  <c r="V1089" i="2"/>
  <c r="W1089" i="2"/>
  <c r="V1973" i="2"/>
  <c r="W1973" i="2"/>
  <c r="V1195" i="2"/>
  <c r="W1195" i="2"/>
  <c r="X1195" i="2" s="1"/>
  <c r="V1717" i="2"/>
  <c r="W1717" i="2"/>
  <c r="K1843" i="2"/>
  <c r="U1843" i="2" s="1"/>
  <c r="S1843" i="2"/>
  <c r="T1843" i="2" s="1"/>
  <c r="X1843" i="2" s="1"/>
  <c r="X861" i="2"/>
  <c r="V1052" i="2"/>
  <c r="W1052" i="2"/>
  <c r="V1493" i="2"/>
  <c r="W1493" i="2"/>
  <c r="X689" i="2"/>
  <c r="V1073" i="2"/>
  <c r="W1073" i="2"/>
  <c r="X1073" i="2" s="1"/>
  <c r="V1719" i="2"/>
  <c r="W1719" i="2"/>
  <c r="V871" i="2"/>
  <c r="W871" i="2"/>
  <c r="X871" i="2" s="1"/>
  <c r="V1295" i="2"/>
  <c r="W1295" i="2"/>
  <c r="V1930" i="2"/>
  <c r="W1930" i="2"/>
  <c r="S1627" i="2"/>
  <c r="T1627" i="2" s="1"/>
  <c r="X1627" i="2" s="1"/>
  <c r="K1627" i="2"/>
  <c r="U1627" i="2" s="1"/>
  <c r="V1122" i="2"/>
  <c r="W1122" i="2"/>
  <c r="V359" i="2"/>
  <c r="W359" i="2"/>
  <c r="X359" i="2" s="1"/>
  <c r="S1803" i="2"/>
  <c r="T1803" i="2" s="1"/>
  <c r="X1803" i="2" s="1"/>
  <c r="K1803" i="2"/>
  <c r="U1803" i="2" s="1"/>
  <c r="V621" i="2"/>
  <c r="W621" i="2"/>
  <c r="V1436" i="2"/>
  <c r="W1436" i="2"/>
  <c r="V162" i="2"/>
  <c r="W162" i="2"/>
  <c r="V1187" i="2"/>
  <c r="W1187" i="2"/>
  <c r="V863" i="2"/>
  <c r="W863" i="2"/>
  <c r="V1334" i="2"/>
  <c r="W1334" i="2"/>
  <c r="S1935" i="2"/>
  <c r="T1935" i="2" s="1"/>
  <c r="X1935" i="2" s="1"/>
  <c r="K1935" i="2"/>
  <c r="U1935" i="2" s="1"/>
  <c r="V2020" i="2"/>
  <c r="W2020" i="2"/>
  <c r="V820" i="2"/>
  <c r="W820" i="2"/>
  <c r="K722" i="2"/>
  <c r="U722" i="2" s="1"/>
  <c r="S722" i="2"/>
  <c r="T722" i="2" s="1"/>
  <c r="S1637" i="2"/>
  <c r="T1637" i="2" s="1"/>
  <c r="X1637" i="2" s="1"/>
  <c r="K1637" i="2"/>
  <c r="U1637" i="2" s="1"/>
  <c r="V312" i="2"/>
  <c r="W312" i="2"/>
  <c r="X312" i="2" s="1"/>
  <c r="X1192" i="2"/>
  <c r="K999" i="2"/>
  <c r="U999" i="2" s="1"/>
  <c r="S999" i="2"/>
  <c r="T999" i="2" s="1"/>
  <c r="K1381" i="2"/>
  <c r="U1381" i="2" s="1"/>
  <c r="S1381" i="2"/>
  <c r="T1381" i="2" s="1"/>
  <c r="V1250" i="2"/>
  <c r="W1250" i="2"/>
  <c r="K1847" i="2"/>
  <c r="U1847" i="2" s="1"/>
  <c r="S1847" i="2"/>
  <c r="T1847" i="2" s="1"/>
  <c r="X1847" i="2" s="1"/>
  <c r="X1334" i="2"/>
  <c r="V201" i="2"/>
  <c r="W201" i="2"/>
  <c r="V743" i="2"/>
  <c r="W743" i="2"/>
  <c r="X743" i="2" s="1"/>
  <c r="S731" i="2"/>
  <c r="T731" i="2" s="1"/>
  <c r="K731" i="2"/>
  <c r="U731" i="2" s="1"/>
  <c r="K1648" i="2"/>
  <c r="U1648" i="2" s="1"/>
  <c r="S1648" i="2"/>
  <c r="T1648" i="2" s="1"/>
  <c r="X1648" i="2" s="1"/>
  <c r="V328" i="2"/>
  <c r="W328" i="2"/>
  <c r="X328" i="2" s="1"/>
  <c r="X705" i="2"/>
  <c r="V1862" i="2"/>
  <c r="W1862" i="2"/>
  <c r="V663" i="2"/>
  <c r="W663" i="2"/>
  <c r="V185" i="2"/>
  <c r="W185" i="2"/>
  <c r="V356" i="2"/>
  <c r="W356" i="2"/>
  <c r="X356" i="2" s="1"/>
  <c r="V2001" i="2"/>
  <c r="W2001" i="2"/>
  <c r="V675" i="2"/>
  <c r="W675" i="2"/>
  <c r="X617" i="2"/>
  <c r="V314" i="2"/>
  <c r="W314" i="2"/>
  <c r="V719" i="2"/>
  <c r="W719" i="2"/>
  <c r="V1975" i="2"/>
  <c r="W1975" i="2"/>
  <c r="X1107" i="2"/>
  <c r="V335" i="2"/>
  <c r="W335" i="2"/>
  <c r="X212" i="2"/>
  <c r="S1841" i="2"/>
  <c r="T1841" i="2" s="1"/>
  <c r="X1841" i="2" s="1"/>
  <c r="K1841" i="2"/>
  <c r="U1841" i="2" s="1"/>
  <c r="K979" i="2"/>
  <c r="U979" i="2" s="1"/>
  <c r="S979" i="2"/>
  <c r="T979" i="2" s="1"/>
  <c r="V944" i="2"/>
  <c r="W944" i="2"/>
  <c r="X944" i="2" s="1"/>
  <c r="X296" i="2"/>
  <c r="V1303" i="2"/>
  <c r="W1303" i="2"/>
  <c r="X201" i="2"/>
  <c r="V665" i="2"/>
  <c r="W665" i="2"/>
  <c r="S1936" i="2"/>
  <c r="T1936" i="2" s="1"/>
  <c r="X1936" i="2" s="1"/>
  <c r="K1936" i="2"/>
  <c r="U1936" i="2" s="1"/>
  <c r="S1934" i="2"/>
  <c r="T1934" i="2" s="1"/>
  <c r="X1934" i="2" s="1"/>
  <c r="K1934" i="2"/>
  <c r="U1934" i="2" s="1"/>
  <c r="X704" i="2"/>
  <c r="V186" i="2"/>
  <c r="W186" i="2"/>
  <c r="V1181" i="2"/>
  <c r="W1181" i="2"/>
  <c r="X828" i="2"/>
  <c r="V688" i="2"/>
  <c r="W688" i="2"/>
  <c r="V1557" i="2"/>
  <c r="W1557" i="2"/>
  <c r="V757" i="2"/>
  <c r="W757" i="2"/>
  <c r="X757" i="2" s="1"/>
  <c r="V72" i="2"/>
  <c r="W72" i="2"/>
  <c r="V1546" i="2"/>
  <c r="W1546" i="2"/>
  <c r="X1546" i="2" s="1"/>
  <c r="X1304" i="2"/>
  <c r="V689" i="2"/>
  <c r="W689" i="2"/>
  <c r="K526" i="2"/>
  <c r="U526" i="2" s="1"/>
  <c r="S526" i="2"/>
  <c r="T526" i="2" s="1"/>
  <c r="S1641" i="2"/>
  <c r="T1641" i="2" s="1"/>
  <c r="X1641" i="2" s="1"/>
  <c r="K1641" i="2"/>
  <c r="U1641" i="2" s="1"/>
  <c r="V1550" i="2"/>
  <c r="W1550" i="2"/>
  <c r="V1330" i="2"/>
  <c r="W1330" i="2"/>
  <c r="X1330" i="2" s="1"/>
  <c r="V450" i="2"/>
  <c r="W450" i="2"/>
  <c r="V662" i="2"/>
  <c r="W662" i="2"/>
  <c r="V155" i="2"/>
  <c r="W155" i="2"/>
  <c r="X155" i="2" s="1"/>
  <c r="X1573" i="2"/>
  <c r="X580" i="2"/>
  <c r="X162" i="2"/>
  <c r="K960" i="2"/>
  <c r="U960" i="2" s="1"/>
  <c r="S960" i="2"/>
  <c r="T960" i="2" s="1"/>
  <c r="V931" i="2"/>
  <c r="W931" i="2"/>
  <c r="V854" i="2"/>
  <c r="W854" i="2"/>
  <c r="X854" i="2" s="1"/>
  <c r="V1112" i="2"/>
  <c r="W1112" i="2"/>
  <c r="V990" i="2"/>
  <c r="W990" i="2"/>
  <c r="X990" i="2" s="1"/>
  <c r="X210" i="2"/>
  <c r="S511" i="2"/>
  <c r="T511" i="2" s="1"/>
  <c r="K511" i="2"/>
  <c r="U511" i="2" s="1"/>
  <c r="V397" i="2"/>
  <c r="W397" i="2"/>
  <c r="X1550" i="2"/>
  <c r="X450" i="2"/>
  <c r="K74" i="2"/>
  <c r="U74" i="2" s="1"/>
  <c r="S74" i="2"/>
  <c r="T74" i="2" s="1"/>
  <c r="V1313" i="2"/>
  <c r="W1313" i="2"/>
  <c r="X554" i="2"/>
  <c r="V1204" i="2"/>
  <c r="W1204" i="2"/>
  <c r="S1401" i="2"/>
  <c r="T1401" i="2" s="1"/>
  <c r="K1401" i="2"/>
  <c r="U1401" i="2" s="1"/>
  <c r="V2005" i="2"/>
  <c r="W2005" i="2"/>
  <c r="V538" i="2"/>
  <c r="W538" i="2"/>
  <c r="X538" i="2" s="1"/>
  <c r="V1718" i="2"/>
  <c r="W1718" i="2"/>
  <c r="V2127" i="2"/>
  <c r="W2127" i="2"/>
  <c r="V460" i="2"/>
  <c r="W460" i="2"/>
  <c r="X1112" i="2"/>
  <c r="V918" i="2"/>
  <c r="W918" i="2"/>
  <c r="X918" i="2" s="1"/>
  <c r="V1832" i="2"/>
  <c r="W1832" i="2"/>
  <c r="S543" i="2"/>
  <c r="T543" i="2" s="1"/>
  <c r="K543" i="2"/>
  <c r="U543" i="2" s="1"/>
  <c r="V124" i="2"/>
  <c r="W124" i="2"/>
  <c r="X1295" i="2"/>
  <c r="V1998" i="2"/>
  <c r="W1998" i="2"/>
  <c r="K50" i="2"/>
  <c r="U50" i="2" s="1"/>
  <c r="S50" i="2"/>
  <c r="T50" i="2" s="1"/>
  <c r="V58" i="2"/>
  <c r="W58" i="2"/>
  <c r="X1445" i="2"/>
  <c r="X910" i="2"/>
  <c r="V617" i="2"/>
  <c r="W617" i="2"/>
  <c r="V2129" i="2"/>
  <c r="W2129" i="2"/>
  <c r="V33" i="2"/>
  <c r="W33" i="2"/>
  <c r="X33" i="2" s="1"/>
  <c r="K1941" i="2"/>
  <c r="U1941" i="2" s="1"/>
  <c r="S1941" i="2"/>
  <c r="T1941" i="2" s="1"/>
  <c r="X1941" i="2" s="1"/>
  <c r="X1378" i="2"/>
  <c r="V1708" i="2"/>
  <c r="W1708" i="2"/>
  <c r="V1544" i="2"/>
  <c r="W1544" i="2"/>
  <c r="V230" i="2"/>
  <c r="W230" i="2"/>
  <c r="X230" i="2" s="1"/>
  <c r="V1977" i="2"/>
  <c r="W1977" i="2"/>
  <c r="V289" i="2"/>
  <c r="W289" i="2"/>
  <c r="V2000" i="2"/>
  <c r="W2000" i="2"/>
  <c r="V2073" i="2"/>
  <c r="W2073" i="2"/>
  <c r="K1874" i="2"/>
  <c r="U1874" i="2" s="1"/>
  <c r="S1874" i="2"/>
  <c r="T1874" i="2" s="1"/>
  <c r="X1874" i="2" s="1"/>
  <c r="V347" i="2"/>
  <c r="W347" i="2"/>
  <c r="X347" i="2" s="1"/>
  <c r="X756" i="2"/>
  <c r="V337" i="2"/>
  <c r="W337" i="2"/>
  <c r="V1933" i="2"/>
  <c r="W1933" i="2"/>
  <c r="V1224" i="2"/>
  <c r="W1224" i="2"/>
  <c r="V961" i="2"/>
  <c r="W961" i="2"/>
  <c r="V1298" i="2"/>
  <c r="W1298" i="2"/>
  <c r="K508" i="2"/>
  <c r="U508" i="2" s="1"/>
  <c r="S508" i="2"/>
  <c r="T508" i="2" s="1"/>
  <c r="X178" i="2"/>
  <c r="V1228" i="2"/>
  <c r="W1228" i="2"/>
  <c r="V962" i="2"/>
  <c r="W962" i="2"/>
  <c r="V2008" i="2"/>
  <c r="W2008" i="2"/>
  <c r="V2013" i="2"/>
  <c r="W2013" i="2"/>
  <c r="X1281" i="2"/>
  <c r="V756" i="2"/>
  <c r="W756" i="2"/>
  <c r="X950" i="2"/>
  <c r="V810" i="2"/>
  <c r="W810" i="2"/>
  <c r="X185" i="2"/>
  <c r="V113" i="2"/>
  <c r="W113" i="2"/>
  <c r="X337" i="2"/>
  <c r="X1033" i="2"/>
  <c r="X833" i="2"/>
  <c r="S1398" i="2"/>
  <c r="T1398" i="2" s="1"/>
  <c r="K1398" i="2"/>
  <c r="U1398" i="2" s="1"/>
  <c r="S1805" i="2"/>
  <c r="T1805" i="2" s="1"/>
  <c r="X1805" i="2" s="1"/>
  <c r="K1805" i="2"/>
  <c r="U1805" i="2" s="1"/>
  <c r="V1392" i="2"/>
  <c r="W1392" i="2"/>
  <c r="X628" i="2"/>
  <c r="V622" i="2"/>
  <c r="W622" i="2"/>
  <c r="X622" i="2" s="1"/>
  <c r="X1224" i="2"/>
  <c r="V596" i="2"/>
  <c r="W596" i="2"/>
  <c r="X596" i="2" s="1"/>
  <c r="V1009" i="2"/>
  <c r="W1009" i="2"/>
  <c r="X1139" i="2"/>
  <c r="V1449" i="2"/>
  <c r="W1449" i="2"/>
  <c r="X1449" i="2" s="1"/>
  <c r="V2010" i="2"/>
  <c r="W2010" i="2"/>
  <c r="X231" i="2"/>
  <c r="X1298" i="2"/>
  <c r="V219" i="2"/>
  <c r="W219" i="2"/>
  <c r="V1834" i="2"/>
  <c r="W1834" i="2"/>
  <c r="X314" i="2"/>
  <c r="V1084" i="2"/>
  <c r="W1084" i="2"/>
  <c r="X1084" i="2" s="1"/>
  <c r="X719" i="2"/>
  <c r="V1165" i="2"/>
  <c r="W1165" i="2"/>
  <c r="V191" i="2"/>
  <c r="W191" i="2"/>
  <c r="V1293" i="2"/>
  <c r="W1293" i="2"/>
  <c r="V1107" i="2"/>
  <c r="W1107" i="2"/>
  <c r="V13" i="2"/>
  <c r="W13" i="2"/>
  <c r="X13" i="2" s="1"/>
  <c r="X64" i="2"/>
  <c r="V2076" i="2"/>
  <c r="W2076" i="2"/>
  <c r="X992" i="2"/>
  <c r="X335" i="2"/>
  <c r="S1838" i="2"/>
  <c r="T1838" i="2" s="1"/>
  <c r="X1838" i="2" s="1"/>
  <c r="K1838" i="2"/>
  <c r="U1838" i="2" s="1"/>
  <c r="K1019" i="2"/>
  <c r="U1019" i="2" s="1"/>
  <c r="S1019" i="2"/>
  <c r="T1019" i="2" s="1"/>
  <c r="V2016" i="2"/>
  <c r="W2016" i="2"/>
  <c r="V691" i="2"/>
  <c r="W691" i="2"/>
  <c r="X691" i="2" s="1"/>
  <c r="V1316" i="2"/>
  <c r="W1316" i="2"/>
  <c r="V1581" i="2"/>
  <c r="W1581" i="2"/>
  <c r="X1581" i="2" s="1"/>
  <c r="V35" i="2"/>
  <c r="W35" i="2"/>
  <c r="X35" i="2" s="1"/>
  <c r="V821" i="2"/>
  <c r="W821" i="2"/>
  <c r="V1068" i="2"/>
  <c r="W1068" i="2"/>
  <c r="X1068" i="2" s="1"/>
  <c r="S1937" i="2"/>
  <c r="T1937" i="2" s="1"/>
  <c r="X1937" i="2" s="1"/>
  <c r="K1937" i="2"/>
  <c r="U1937" i="2" s="1"/>
  <c r="K1949" i="2"/>
  <c r="U1949" i="2" s="1"/>
  <c r="S1949" i="2"/>
  <c r="T1949" i="2" s="1"/>
  <c r="X1949" i="2" s="1"/>
  <c r="X186" i="2"/>
  <c r="X1181" i="2"/>
  <c r="V1526" i="2"/>
  <c r="W1526" i="2"/>
  <c r="X688" i="2"/>
  <c r="V1712" i="2"/>
  <c r="W1712" i="2"/>
  <c r="V894" i="2"/>
  <c r="W894" i="2"/>
  <c r="X894" i="2" s="1"/>
  <c r="X1557" i="2"/>
  <c r="V1715" i="2"/>
  <c r="W1715" i="2"/>
  <c r="X972" i="2"/>
  <c r="V840" i="2"/>
  <c r="W840" i="2"/>
  <c r="V42" i="2"/>
  <c r="W42" i="2"/>
  <c r="X42" i="2" s="1"/>
  <c r="V2004" i="2"/>
  <c r="W2004" i="2"/>
  <c r="V1864" i="2"/>
  <c r="W1864" i="2"/>
  <c r="V1705" i="2"/>
  <c r="W1705" i="2"/>
  <c r="V400" i="2"/>
  <c r="W400" i="2"/>
  <c r="V1161" i="2"/>
  <c r="W1161" i="2"/>
  <c r="V311" i="2"/>
  <c r="W311" i="2"/>
  <c r="X311" i="2" s="1"/>
  <c r="V194" i="2"/>
  <c r="W194" i="2"/>
  <c r="V796" i="2"/>
  <c r="W796" i="2"/>
  <c r="X796" i="2" s="1"/>
  <c r="S683" i="2"/>
  <c r="T683" i="2" s="1"/>
  <c r="K683" i="2"/>
  <c r="U683" i="2" s="1"/>
  <c r="V1151" i="2"/>
  <c r="W1151" i="2"/>
  <c r="X1151" i="2" s="1"/>
  <c r="V1218" i="2"/>
  <c r="W1218" i="2"/>
  <c r="X1218" i="2" s="1"/>
  <c r="V453" i="2"/>
  <c r="W453" i="2"/>
  <c r="S559" i="2"/>
  <c r="T559" i="2" s="1"/>
  <c r="K559" i="2"/>
  <c r="U559" i="2" s="1"/>
  <c r="V101" i="2"/>
  <c r="W101" i="2"/>
  <c r="V19" i="2"/>
  <c r="W19" i="2"/>
  <c r="K1979" i="2"/>
  <c r="U1979" i="2" s="1"/>
  <c r="S1979" i="2"/>
  <c r="T1979" i="2" s="1"/>
  <c r="X1979" i="2" s="1"/>
  <c r="S533" i="2"/>
  <c r="T533" i="2" s="1"/>
  <c r="K533" i="2"/>
  <c r="U533" i="2" s="1"/>
  <c r="K1652" i="2"/>
  <c r="U1652" i="2" s="1"/>
  <c r="S1652" i="2"/>
  <c r="T1652" i="2" s="1"/>
  <c r="X1652" i="2" s="1"/>
  <c r="S1643" i="2"/>
  <c r="T1643" i="2" s="1"/>
  <c r="X1643" i="2" s="1"/>
  <c r="K1643" i="2"/>
  <c r="U1643" i="2" s="1"/>
  <c r="V178" i="2"/>
  <c r="W178" i="2"/>
  <c r="V1923" i="2"/>
  <c r="W1923" i="2"/>
  <c r="X1228" i="2"/>
  <c r="V2017" i="2"/>
  <c r="W2017" i="2"/>
  <c r="V1552" i="2"/>
  <c r="W1552" i="2"/>
  <c r="V1263" i="2"/>
  <c r="W1263" i="2"/>
  <c r="V934" i="2"/>
  <c r="W934" i="2"/>
  <c r="X934" i="2" s="1"/>
  <c r="V637" i="2"/>
  <c r="W637" i="2"/>
  <c r="X962" i="2"/>
  <c r="X1469" i="2"/>
  <c r="V1529" i="2"/>
  <c r="W1529" i="2"/>
  <c r="V241" i="2"/>
  <c r="W241" i="2"/>
  <c r="V368" i="2"/>
  <c r="W368" i="2"/>
  <c r="X368" i="2" s="1"/>
  <c r="X1026" i="2"/>
  <c r="V145" i="2"/>
  <c r="W145" i="2"/>
  <c r="X145" i="2" s="1"/>
  <c r="S47" i="2"/>
  <c r="T47" i="2" s="1"/>
  <c r="K47" i="2"/>
  <c r="U47" i="2" s="1"/>
  <c r="K1883" i="2"/>
  <c r="U1883" i="2" s="1"/>
  <c r="S1883" i="2"/>
  <c r="T1883" i="2" s="1"/>
  <c r="X1883" i="2" s="1"/>
  <c r="K1881" i="2"/>
  <c r="U1881" i="2" s="1"/>
  <c r="S1881" i="2"/>
  <c r="T1881" i="2" s="1"/>
  <c r="X1881" i="2" s="1"/>
  <c r="V888" i="2"/>
  <c r="W888" i="2"/>
  <c r="V2130" i="2"/>
  <c r="W2130" i="2"/>
  <c r="V659" i="2"/>
  <c r="W659" i="2"/>
  <c r="V1234" i="2"/>
  <c r="W1234" i="2"/>
  <c r="X1234" i="2" s="1"/>
  <c r="X945" i="2"/>
  <c r="K1045" i="2"/>
  <c r="U1045" i="2" s="1"/>
  <c r="S1045" i="2"/>
  <c r="T1045" i="2" s="1"/>
  <c r="X810" i="2"/>
  <c r="V1495" i="2"/>
  <c r="W1495" i="2"/>
  <c r="X1495" i="2" s="1"/>
  <c r="X113" i="2"/>
  <c r="V456" i="2"/>
  <c r="W456" i="2"/>
  <c r="V684" i="2"/>
  <c r="W684" i="2"/>
  <c r="V1337" i="2"/>
  <c r="W1337" i="2"/>
  <c r="V1033" i="2"/>
  <c r="W1033" i="2"/>
  <c r="V1974" i="2"/>
  <c r="W1974" i="2"/>
  <c r="K1807" i="2"/>
  <c r="U1807" i="2" s="1"/>
  <c r="S1807" i="2"/>
  <c r="T1807" i="2" s="1"/>
  <c r="X1807" i="2" s="1"/>
  <c r="S1420" i="2"/>
  <c r="T1420" i="2" s="1"/>
  <c r="K1420" i="2"/>
  <c r="U1420" i="2" s="1"/>
  <c r="V1969" i="2"/>
  <c r="W1969" i="2"/>
  <c r="V377" i="2"/>
  <c r="W377" i="2"/>
  <c r="X377" i="2" s="1"/>
  <c r="V1246" i="2"/>
  <c r="W1246" i="2"/>
  <c r="X1392" i="2"/>
  <c r="V179" i="2"/>
  <c r="W179" i="2"/>
  <c r="V489" i="2"/>
  <c r="W489" i="2"/>
  <c r="X489" i="2" s="1"/>
  <c r="V1921" i="2"/>
  <c r="W1921" i="2"/>
  <c r="V167" i="2"/>
  <c r="W167" i="2"/>
  <c r="V841" i="2"/>
  <c r="W841" i="2"/>
  <c r="X841" i="2" s="1"/>
  <c r="X701" i="2"/>
  <c r="V1926" i="2"/>
  <c r="W1926" i="2"/>
  <c r="V1695" i="2"/>
  <c r="W1695" i="2"/>
  <c r="V1515" i="2"/>
  <c r="W1515" i="2"/>
  <c r="X219" i="2"/>
  <c r="X1165" i="2"/>
  <c r="X191" i="2"/>
  <c r="X1293" i="2"/>
  <c r="V953" i="2"/>
  <c r="W953" i="2"/>
  <c r="X953" i="2" s="1"/>
  <c r="V64" i="2"/>
  <c r="W64" i="2"/>
  <c r="X601" i="2"/>
  <c r="V992" i="2"/>
  <c r="W992" i="2"/>
  <c r="V682" i="2"/>
  <c r="W682" i="2"/>
  <c r="K1842" i="2"/>
  <c r="U1842" i="2" s="1"/>
  <c r="S1842" i="2"/>
  <c r="T1842" i="2" s="1"/>
  <c r="X1842" i="2" s="1"/>
  <c r="S1004" i="2"/>
  <c r="T1004" i="2" s="1"/>
  <c r="K1004" i="2"/>
  <c r="U1004" i="2" s="1"/>
  <c r="V1561" i="2"/>
  <c r="W1561" i="2"/>
  <c r="X202" i="2"/>
  <c r="X1316" i="2"/>
  <c r="V1721" i="2"/>
  <c r="W1721" i="2"/>
  <c r="X821" i="2"/>
  <c r="V211" i="2"/>
  <c r="W211" i="2"/>
  <c r="V139" i="2"/>
  <c r="W139" i="2"/>
  <c r="S1938" i="2"/>
  <c r="T1938" i="2" s="1"/>
  <c r="X1938" i="2" s="1"/>
  <c r="K1938" i="2"/>
  <c r="U1938" i="2" s="1"/>
  <c r="S54" i="2"/>
  <c r="T54" i="2" s="1"/>
  <c r="K54" i="2"/>
  <c r="U54" i="2" s="1"/>
  <c r="X1526" i="2"/>
  <c r="V1324" i="2"/>
  <c r="W1324" i="2"/>
  <c r="X1324" i="2" s="1"/>
  <c r="V1992" i="2"/>
  <c r="W1992" i="2"/>
  <c r="V1837" i="2"/>
  <c r="W1837" i="2"/>
  <c r="V972" i="2"/>
  <c r="W972" i="2"/>
  <c r="X1331" i="2"/>
  <c r="X840" i="2"/>
  <c r="V1312" i="2"/>
  <c r="W1312" i="2"/>
  <c r="X1312" i="2" s="1"/>
  <c r="V831" i="2"/>
  <c r="W831" i="2"/>
  <c r="X831" i="2" s="1"/>
  <c r="S471" i="2"/>
  <c r="T471" i="2" s="1"/>
  <c r="K471" i="2"/>
  <c r="U471" i="2" s="1"/>
  <c r="K1878" i="2"/>
  <c r="U1878" i="2" s="1"/>
  <c r="S1878" i="2"/>
  <c r="T1878" i="2" s="1"/>
  <c r="X1878" i="2" s="1"/>
  <c r="K956" i="2"/>
  <c r="U956" i="2" s="1"/>
  <c r="S956" i="2"/>
  <c r="T956" i="2" s="1"/>
  <c r="V1328" i="2"/>
  <c r="W1328" i="2"/>
  <c r="X872" i="2"/>
  <c r="X1352" i="2"/>
  <c r="S579" i="2"/>
  <c r="T579" i="2" s="1"/>
  <c r="K579" i="2"/>
  <c r="U579" i="2" s="1"/>
  <c r="V847" i="2"/>
  <c r="W847" i="2"/>
  <c r="X124" i="2"/>
  <c r="V1248" i="2"/>
  <c r="W1248" i="2"/>
  <c r="V189" i="2"/>
  <c r="W189" i="2"/>
  <c r="X189" i="2" s="1"/>
  <c r="V1192" i="2"/>
  <c r="W1192" i="2"/>
  <c r="V1970" i="2"/>
  <c r="W1970" i="2"/>
  <c r="S1076" i="2"/>
  <c r="T1076" i="2" s="1"/>
  <c r="K1076" i="2"/>
  <c r="U1076" i="2" s="1"/>
  <c r="X307" i="2"/>
  <c r="V1325" i="2"/>
  <c r="W1325" i="2"/>
  <c r="X1325" i="2" s="1"/>
  <c r="X1089" i="2"/>
  <c r="V2019" i="2"/>
  <c r="W2019" i="2"/>
  <c r="V571" i="2"/>
  <c r="W571" i="2"/>
  <c r="V1423" i="2"/>
  <c r="W1423" i="2"/>
  <c r="V1049" i="2"/>
  <c r="W1049" i="2"/>
  <c r="X1049" i="2" s="1"/>
  <c r="V25" i="2"/>
  <c r="W25" i="2"/>
  <c r="V567" i="2"/>
  <c r="W567" i="2"/>
  <c r="X567" i="2" s="1"/>
  <c r="V1706" i="2"/>
  <c r="W1706" i="2"/>
  <c r="K517" i="2"/>
  <c r="U517" i="2" s="1"/>
  <c r="S517" i="2"/>
  <c r="T517" i="2" s="1"/>
  <c r="K1642" i="2"/>
  <c r="U1642" i="2" s="1"/>
  <c r="S1642" i="2"/>
  <c r="T1642" i="2" s="1"/>
  <c r="X1642" i="2" s="1"/>
  <c r="X1248" i="2"/>
  <c r="V404" i="2"/>
  <c r="W404" i="2"/>
  <c r="K1884" i="2"/>
  <c r="U1884" i="2" s="1"/>
  <c r="S1884" i="2"/>
  <c r="T1884" i="2" s="1"/>
  <c r="X1884" i="2" s="1"/>
  <c r="V1867" i="2"/>
  <c r="W1867" i="2"/>
  <c r="X1204" i="2"/>
  <c r="V1994" i="2"/>
  <c r="W1994" i="2"/>
  <c r="V1779" i="2"/>
  <c r="W1779" i="2"/>
  <c r="X1436" i="2"/>
  <c r="V729" i="2"/>
  <c r="W729" i="2"/>
  <c r="X729" i="2" s="1"/>
  <c r="V431" i="2"/>
  <c r="W431" i="2"/>
  <c r="X431" i="2" s="1"/>
  <c r="X863" i="2"/>
  <c r="S1947" i="2"/>
  <c r="T1947" i="2" s="1"/>
  <c r="X1947" i="2" s="1"/>
  <c r="K1947" i="2"/>
  <c r="U1947" i="2" s="1"/>
  <c r="V1239" i="2"/>
  <c r="W1239" i="2"/>
  <c r="X1239" i="2" s="1"/>
  <c r="X820" i="2"/>
  <c r="V22" i="2"/>
  <c r="W22" i="2"/>
  <c r="K1978" i="2"/>
  <c r="U1978" i="2" s="1"/>
  <c r="S1978" i="2"/>
  <c r="T1978" i="2" s="1"/>
  <c r="X1978" i="2" s="1"/>
  <c r="V1397" i="2"/>
  <c r="W1397" i="2"/>
  <c r="S103" i="2"/>
  <c r="T103" i="2" s="1"/>
  <c r="K103" i="2"/>
  <c r="U103" i="2" s="1"/>
  <c r="V901" i="2"/>
  <c r="W901" i="2"/>
  <c r="V520" i="2"/>
  <c r="W520" i="2"/>
  <c r="X520" i="2" s="1"/>
  <c r="V1869" i="2"/>
  <c r="W1869" i="2"/>
  <c r="V628" i="2"/>
  <c r="W628" i="2"/>
  <c r="X1009" i="2"/>
  <c r="V1361" i="2"/>
  <c r="W1361" i="2"/>
  <c r="X1361" i="2" s="1"/>
  <c r="V1632" i="2"/>
  <c r="W1632" i="2"/>
  <c r="V1216" i="2"/>
  <c r="W1216" i="2"/>
  <c r="X1216" i="2" s="1"/>
  <c r="S1653" i="2"/>
  <c r="T1653" i="2" s="1"/>
  <c r="X1653" i="2" s="1"/>
  <c r="K1653" i="2"/>
  <c r="U1653" i="2" s="1"/>
  <c r="V656" i="2"/>
  <c r="W656" i="2"/>
  <c r="X656" i="2" s="1"/>
  <c r="X629" i="2"/>
  <c r="V1787" i="2"/>
  <c r="W1787" i="2"/>
  <c r="V1062" i="2"/>
  <c r="W1062" i="2"/>
  <c r="X1062" i="2" s="1"/>
  <c r="V322" i="2"/>
  <c r="W322" i="2"/>
  <c r="X322" i="2" s="1"/>
  <c r="V970" i="2"/>
  <c r="W970" i="2"/>
  <c r="S1886" i="2"/>
  <c r="T1886" i="2" s="1"/>
  <c r="X1886" i="2" s="1"/>
  <c r="K1886" i="2"/>
  <c r="U1886" i="2" s="1"/>
  <c r="X663" i="2"/>
  <c r="K1041" i="2"/>
  <c r="U1041" i="2" s="1"/>
  <c r="S1041" i="2"/>
  <c r="T1041" i="2" s="1"/>
  <c r="X1161" i="2"/>
  <c r="S550" i="2"/>
  <c r="T550" i="2" s="1"/>
  <c r="K550" i="2"/>
  <c r="U550" i="2" s="1"/>
  <c r="X19" i="2"/>
  <c r="S1647" i="2"/>
  <c r="T1647" i="2" s="1"/>
  <c r="X1647" i="2" s="1"/>
  <c r="K1647" i="2"/>
  <c r="U1647" i="2" s="1"/>
  <c r="X1552" i="2"/>
  <c r="V435" i="2"/>
  <c r="W435" i="2"/>
  <c r="X435" i="2" s="1"/>
  <c r="K53" i="2"/>
  <c r="U53" i="2" s="1"/>
  <c r="S53" i="2"/>
  <c r="T53" i="2" s="1"/>
  <c r="X888" i="2"/>
  <c r="V215" i="2"/>
  <c r="W215" i="2"/>
  <c r="X215" i="2" s="1"/>
  <c r="X615" i="2"/>
  <c r="V1690" i="2"/>
  <c r="W1690" i="2"/>
  <c r="V601" i="2"/>
  <c r="W601" i="2"/>
  <c r="V319" i="2"/>
  <c r="W319" i="2"/>
  <c r="X682" i="2"/>
  <c r="S1839" i="2"/>
  <c r="T1839" i="2" s="1"/>
  <c r="X1839" i="2" s="1"/>
  <c r="K1839" i="2"/>
  <c r="U1839" i="2" s="1"/>
  <c r="S1473" i="2"/>
  <c r="T1473" i="2" s="1"/>
  <c r="K1473" i="2"/>
  <c r="U1473" i="2" s="1"/>
  <c r="X1561" i="2"/>
  <c r="V730" i="2"/>
  <c r="W730" i="2"/>
  <c r="V202" i="2"/>
  <c r="W202" i="2"/>
  <c r="V755" i="2"/>
  <c r="W755" i="2"/>
  <c r="X755" i="2" s="1"/>
  <c r="V2003" i="2"/>
  <c r="W2003" i="2"/>
  <c r="V581" i="2"/>
  <c r="W581" i="2"/>
  <c r="X1267" i="2"/>
  <c r="V318" i="2"/>
  <c r="W318" i="2"/>
  <c r="X211" i="2"/>
  <c r="X139" i="2"/>
  <c r="V898" i="2"/>
  <c r="W898" i="2"/>
  <c r="S1940" i="2"/>
  <c r="T1940" i="2" s="1"/>
  <c r="X1940" i="2" s="1"/>
  <c r="K1940" i="2"/>
  <c r="U1940" i="2" s="1"/>
  <c r="K32" i="2"/>
  <c r="U32" i="2" s="1"/>
  <c r="S32" i="2"/>
  <c r="T32" i="2" s="1"/>
  <c r="V346" i="2"/>
  <c r="W346" i="2"/>
  <c r="V1331" i="2"/>
  <c r="W1331" i="2"/>
  <c r="V49" i="2"/>
  <c r="W49" i="2"/>
  <c r="X49" i="2" s="1"/>
  <c r="V21" i="2"/>
  <c r="W21" i="2"/>
  <c r="X21" i="2" s="1"/>
  <c r="V777" i="2"/>
  <c r="W777" i="2"/>
  <c r="X36" i="2"/>
  <c r="S495" i="2"/>
  <c r="T495" i="2" s="1"/>
  <c r="K495" i="2"/>
  <c r="U495" i="2" s="1"/>
  <c r="V1199" i="2"/>
  <c r="W1199" i="2"/>
  <c r="V2081" i="2"/>
  <c r="W2081" i="2"/>
  <c r="K1984" i="2"/>
  <c r="U1984" i="2" s="1"/>
  <c r="S1984" i="2"/>
  <c r="T1984" i="2" s="1"/>
  <c r="X1984" i="2" s="1"/>
  <c r="S1142" i="2"/>
  <c r="T1142" i="2" s="1"/>
  <c r="K1142" i="2"/>
  <c r="U1142" i="2" s="1"/>
  <c r="X11" i="2"/>
  <c r="V874" i="2"/>
  <c r="W874" i="2"/>
  <c r="K1640" i="2"/>
  <c r="U1640" i="2" s="1"/>
  <c r="S1640" i="2"/>
  <c r="T1640" i="2" s="1"/>
  <c r="X1640" i="2" s="1"/>
  <c r="S1651" i="2"/>
  <c r="T1651" i="2" s="1"/>
  <c r="X1651" i="2" s="1"/>
  <c r="K1651" i="2"/>
  <c r="U1651" i="2" s="1"/>
  <c r="V572" i="2"/>
  <c r="W572" i="2"/>
  <c r="X572" i="2" s="1"/>
  <c r="V130" i="2"/>
  <c r="W130" i="2"/>
  <c r="V1276" i="2"/>
  <c r="W1276" i="2"/>
  <c r="X1276" i="2" s="1"/>
  <c r="X926" i="2"/>
  <c r="V856" i="2"/>
  <c r="W856" i="2"/>
  <c r="V661" i="2"/>
  <c r="W661" i="2"/>
  <c r="V1700" i="2"/>
  <c r="W1700" i="2"/>
  <c r="V1542" i="2"/>
  <c r="W1542" i="2"/>
  <c r="V351" i="2"/>
  <c r="W351" i="2"/>
  <c r="X351" i="2" s="1"/>
  <c r="X717" i="2"/>
  <c r="V747" i="2"/>
  <c r="W747" i="2"/>
  <c r="V1474" i="2"/>
  <c r="W1474" i="2"/>
  <c r="X1474" i="2" s="1"/>
  <c r="X692" i="2"/>
  <c r="V1123" i="2"/>
  <c r="W1123" i="2"/>
  <c r="V1240" i="2"/>
  <c r="W1240" i="2"/>
  <c r="X1240" i="2" s="1"/>
  <c r="V118" i="2"/>
  <c r="W118" i="2"/>
  <c r="S69" i="2"/>
  <c r="T69" i="2" s="1"/>
  <c r="K69" i="2"/>
  <c r="U69" i="2" s="1"/>
  <c r="S1877" i="2"/>
  <c r="T1877" i="2" s="1"/>
  <c r="X1877" i="2" s="1"/>
  <c r="K1877" i="2"/>
  <c r="U1877" i="2" s="1"/>
  <c r="S1875" i="2"/>
  <c r="T1875" i="2" s="1"/>
  <c r="X1875" i="2" s="1"/>
  <c r="K1875" i="2"/>
  <c r="U1875" i="2" s="1"/>
  <c r="V462" i="2"/>
  <c r="W462" i="2"/>
  <c r="V553" i="2"/>
  <c r="W553" i="2"/>
  <c r="V41" i="2"/>
  <c r="W41" i="2"/>
  <c r="V12" i="2"/>
  <c r="W12" i="2"/>
  <c r="V1524" i="2"/>
  <c r="W1524" i="2"/>
  <c r="X1524" i="2" s="1"/>
  <c r="V1619" i="2"/>
  <c r="W1619" i="2"/>
  <c r="V366" i="2"/>
  <c r="W366" i="2"/>
  <c r="X366" i="2" s="1"/>
  <c r="X188" i="2"/>
  <c r="K1034" i="2"/>
  <c r="U1034" i="2" s="1"/>
  <c r="S1034" i="2"/>
  <c r="T1034" i="2" s="1"/>
  <c r="V1271" i="2"/>
  <c r="W1271" i="2"/>
  <c r="V1035" i="2"/>
  <c r="W1035" i="2"/>
  <c r="X1116" i="2"/>
  <c r="V17" i="2"/>
  <c r="W17" i="2"/>
  <c r="V660" i="2"/>
  <c r="W660" i="2"/>
  <c r="S740" i="2"/>
  <c r="T740" i="2" s="1"/>
  <c r="K740" i="2"/>
  <c r="U740" i="2" s="1"/>
  <c r="K1806" i="2"/>
  <c r="U1806" i="2" s="1"/>
  <c r="S1806" i="2"/>
  <c r="T1806" i="2" s="1"/>
  <c r="X1806" i="2" s="1"/>
  <c r="V566" i="2"/>
  <c r="W566" i="2"/>
  <c r="X566" i="2" s="1"/>
  <c r="X470" i="2"/>
  <c r="V1997" i="2"/>
  <c r="W1997" i="2"/>
  <c r="X91" i="2"/>
  <c r="V2071" i="2"/>
  <c r="W2071" i="2"/>
  <c r="V1724" i="2"/>
  <c r="W1724" i="2"/>
  <c r="V1008" i="2"/>
  <c r="W1008" i="2"/>
  <c r="X1008" i="2" s="1"/>
  <c r="V1694" i="2"/>
  <c r="W1694" i="2"/>
  <c r="V1438" i="2"/>
  <c r="W1438" i="2"/>
  <c r="X1438" i="2" s="1"/>
  <c r="V109" i="2"/>
  <c r="W109" i="2"/>
  <c r="V2014" i="2"/>
  <c r="W2014" i="2"/>
  <c r="V1776" i="2"/>
  <c r="W1776" i="2"/>
  <c r="V1553" i="2"/>
  <c r="W1553" i="2"/>
  <c r="X1294" i="2"/>
  <c r="V911" i="2"/>
  <c r="W911" i="2"/>
  <c r="V615" i="2"/>
  <c r="W615" i="2"/>
  <c r="V1338" i="2"/>
  <c r="W1338" i="2"/>
  <c r="V85" i="2"/>
  <c r="W85" i="2"/>
  <c r="V157" i="2"/>
  <c r="W157" i="2"/>
  <c r="X157" i="2" s="1"/>
  <c r="X319" i="2"/>
  <c r="S1846" i="2"/>
  <c r="T1846" i="2" s="1"/>
  <c r="X1846" i="2" s="1"/>
  <c r="K1846" i="2"/>
  <c r="U1846" i="2" s="1"/>
  <c r="S1479" i="2"/>
  <c r="T1479" i="2" s="1"/>
  <c r="K1479" i="2"/>
  <c r="U1479" i="2" s="1"/>
  <c r="V1131" i="2"/>
  <c r="W1131" i="2"/>
  <c r="X1131" i="2" s="1"/>
  <c r="X730" i="2"/>
  <c r="V1781" i="2"/>
  <c r="W1781" i="2"/>
  <c r="X581" i="2"/>
  <c r="V1873" i="2"/>
  <c r="W1873" i="2"/>
  <c r="V1267" i="2"/>
  <c r="W1267" i="2"/>
  <c r="V1506" i="2"/>
  <c r="W1506" i="2"/>
  <c r="X318" i="2"/>
  <c r="X514" i="2"/>
  <c r="V862" i="2"/>
  <c r="W862" i="2"/>
  <c r="X862" i="2" s="1"/>
  <c r="X898" i="2"/>
  <c r="S1942" i="2"/>
  <c r="T1942" i="2" s="1"/>
  <c r="X1942" i="2" s="1"/>
  <c r="K1942" i="2"/>
  <c r="U1942" i="2" s="1"/>
  <c r="K40" i="2"/>
  <c r="U40" i="2" s="1"/>
  <c r="S40" i="2"/>
  <c r="T40" i="2" s="1"/>
  <c r="V1555" i="2"/>
  <c r="W1555" i="2"/>
  <c r="V1780" i="2"/>
  <c r="W1780" i="2"/>
  <c r="V2135" i="2"/>
  <c r="W2135" i="2"/>
  <c r="V156" i="2"/>
  <c r="W156" i="2"/>
  <c r="X156" i="2" s="1"/>
  <c r="X346" i="2"/>
  <c r="V819" i="2"/>
  <c r="W819" i="2"/>
  <c r="V117" i="2"/>
  <c r="W117" i="2"/>
  <c r="X1021" i="2"/>
  <c r="X777" i="2"/>
  <c r="V651" i="2"/>
  <c r="W651" i="2"/>
  <c r="X37" i="2"/>
  <c r="X547" i="2"/>
  <c r="V296" i="2"/>
  <c r="W296" i="2"/>
  <c r="V1304" i="2"/>
  <c r="W1304" i="2"/>
  <c r="V2021" i="2"/>
  <c r="W2021" i="2"/>
  <c r="X1564" i="2"/>
  <c r="V321" i="2"/>
  <c r="W321" i="2"/>
  <c r="V641" i="2"/>
  <c r="W641" i="2"/>
  <c r="X641" i="2" s="1"/>
  <c r="V878" i="2"/>
  <c r="W878" i="2"/>
  <c r="V39" i="2"/>
  <c r="W39" i="2"/>
  <c r="X39" i="2" s="1"/>
  <c r="X970" i="2"/>
  <c r="X160" i="2"/>
  <c r="K1029" i="2"/>
  <c r="U1029" i="2" s="1"/>
  <c r="S1029" i="2"/>
  <c r="T1029" i="2" s="1"/>
  <c r="K1415" i="2"/>
  <c r="U1415" i="2" s="1"/>
  <c r="S1415" i="2"/>
  <c r="T1415" i="2" s="1"/>
  <c r="V1015" i="2"/>
  <c r="W1015" i="2"/>
  <c r="V1536" i="2"/>
  <c r="W1536" i="2"/>
  <c r="X1536" i="2" s="1"/>
  <c r="X194" i="2"/>
  <c r="X321" i="2"/>
  <c r="V2137" i="2"/>
  <c r="W2137" i="2"/>
  <c r="X637" i="2"/>
  <c r="X1568" i="2"/>
  <c r="K96" i="2"/>
  <c r="U96" i="2" s="1"/>
  <c r="S96" i="2"/>
  <c r="T96" i="2" s="1"/>
  <c r="X453" i="2"/>
  <c r="V1146" i="2"/>
  <c r="W1146" i="2"/>
  <c r="X1146" i="2" s="1"/>
  <c r="V1770" i="2"/>
  <c r="W1770" i="2"/>
  <c r="X130" i="2"/>
  <c r="X1529" i="2"/>
  <c r="V678" i="2"/>
  <c r="W678" i="2"/>
  <c r="X678" i="2" s="1"/>
  <c r="S1892" i="2"/>
  <c r="T1892" i="2" s="1"/>
  <c r="X1892" i="2" s="1"/>
  <c r="K1892" i="2"/>
  <c r="U1892" i="2" s="1"/>
  <c r="X659" i="2"/>
  <c r="V188" i="2"/>
  <c r="W188" i="2"/>
  <c r="V1116" i="2"/>
  <c r="W1116" i="2"/>
  <c r="X891" i="2"/>
  <c r="S1639" i="2"/>
  <c r="T1639" i="2" s="1"/>
  <c r="X1639" i="2" s="1"/>
  <c r="K1639" i="2"/>
  <c r="U1639" i="2" s="1"/>
  <c r="V781" i="2"/>
  <c r="W781" i="2"/>
  <c r="X781" i="2" s="1"/>
  <c r="X661" i="2"/>
  <c r="V607" i="2"/>
  <c r="W607" i="2"/>
  <c r="V1836" i="2"/>
  <c r="W1836" i="2"/>
  <c r="X952" i="2"/>
  <c r="V55" i="2"/>
  <c r="W55" i="2"/>
  <c r="V134" i="2"/>
  <c r="W134" i="2"/>
  <c r="X1542" i="2"/>
  <c r="V1214" i="2"/>
  <c r="W1214" i="2"/>
  <c r="V23" i="2"/>
  <c r="W23" i="2"/>
  <c r="V1618" i="2"/>
  <c r="W1618" i="2"/>
  <c r="X958" i="2"/>
  <c r="X747" i="2"/>
  <c r="V611" i="2"/>
  <c r="W611" i="2"/>
  <c r="V1918" i="2"/>
  <c r="W1918" i="2"/>
  <c r="X1123" i="2"/>
  <c r="V310" i="2"/>
  <c r="W310" i="2"/>
  <c r="S81" i="2"/>
  <c r="T81" i="2" s="1"/>
  <c r="K81" i="2"/>
  <c r="U81" i="2" s="1"/>
  <c r="V1406" i="2"/>
  <c r="W1406" i="2"/>
  <c r="V138" i="2"/>
  <c r="W138" i="2"/>
  <c r="X138" i="2" s="1"/>
  <c r="S1885" i="2"/>
  <c r="T1885" i="2" s="1"/>
  <c r="X1885" i="2" s="1"/>
  <c r="K1885" i="2"/>
  <c r="U1885" i="2" s="1"/>
  <c r="K1889" i="2"/>
  <c r="U1889" i="2" s="1"/>
  <c r="S1889" i="2"/>
  <c r="T1889" i="2" s="1"/>
  <c r="X1889" i="2" s="1"/>
  <c r="V658" i="2"/>
  <c r="W658" i="2"/>
  <c r="X462" i="2"/>
  <c r="X553" i="2"/>
  <c r="X41" i="2"/>
  <c r="V1701" i="2"/>
  <c r="W1701" i="2"/>
  <c r="X12" i="2"/>
  <c r="K1042" i="2"/>
  <c r="U1042" i="2" s="1"/>
  <c r="S1042" i="2"/>
  <c r="T1042" i="2" s="1"/>
  <c r="X1271" i="2"/>
  <c r="V125" i="2"/>
  <c r="W125" i="2"/>
  <c r="X125" i="2" s="1"/>
  <c r="V1354" i="2"/>
  <c r="W1354" i="2"/>
  <c r="V1720" i="2"/>
  <c r="W1720" i="2"/>
  <c r="X17" i="2"/>
  <c r="V1492" i="2"/>
  <c r="W1492" i="2"/>
  <c r="X660" i="2"/>
  <c r="V2070" i="2"/>
  <c r="W2070" i="2"/>
  <c r="S775" i="2"/>
  <c r="T775" i="2" s="1"/>
  <c r="K775" i="2"/>
  <c r="U775" i="2" s="1"/>
  <c r="S1801" i="2"/>
  <c r="T1801" i="2" s="1"/>
  <c r="X1801" i="2" s="1"/>
  <c r="K1801" i="2"/>
  <c r="U1801" i="2" s="1"/>
  <c r="V2088" i="2"/>
  <c r="W2088" i="2"/>
  <c r="V470" i="2"/>
  <c r="W470" i="2"/>
  <c r="V959" i="2"/>
  <c r="W959" i="2"/>
  <c r="X959" i="2" s="1"/>
  <c r="V1446" i="2"/>
  <c r="W1446" i="2"/>
  <c r="X1446" i="2" s="1"/>
  <c r="V218" i="2"/>
  <c r="W218" i="2"/>
  <c r="V1824" i="2"/>
  <c r="W1824" i="2"/>
  <c r="V527" i="2"/>
  <c r="W527" i="2"/>
  <c r="V1699" i="2"/>
  <c r="W1699" i="2"/>
  <c r="V5" i="2"/>
  <c r="W5" i="2"/>
  <c r="X5" i="2" s="1"/>
  <c r="V1925" i="2"/>
  <c r="W1925" i="2"/>
  <c r="V1075" i="2"/>
  <c r="W1075" i="2"/>
  <c r="X1075" i="2" s="1"/>
  <c r="V193" i="2"/>
  <c r="W193" i="2"/>
  <c r="X193" i="2" s="1"/>
  <c r="V599" i="2"/>
  <c r="W599" i="2"/>
  <c r="X109" i="2"/>
  <c r="V6" i="2"/>
  <c r="W6" i="2"/>
  <c r="X6" i="2" s="1"/>
  <c r="V1269" i="2"/>
  <c r="W1269" i="2"/>
  <c r="X1553" i="2"/>
  <c r="V3" i="2"/>
  <c r="W3" i="2"/>
  <c r="X3" i="2" s="1"/>
  <c r="V2009" i="2"/>
  <c r="W2009" i="2"/>
  <c r="V1466" i="2"/>
  <c r="W1466" i="2"/>
  <c r="X176" i="2"/>
  <c r="V1386" i="2"/>
  <c r="W1386" i="2"/>
  <c r="X1386" i="2" s="1"/>
  <c r="V1308" i="2"/>
  <c r="W1308" i="2"/>
  <c r="X1338" i="2"/>
  <c r="X1249" i="2"/>
  <c r="X85" i="2"/>
  <c r="V1521" i="2"/>
  <c r="W1521" i="2"/>
  <c r="S1844" i="2"/>
  <c r="T1844" i="2" s="1"/>
  <c r="X1844" i="2" s="1"/>
  <c r="K1844" i="2"/>
  <c r="U1844" i="2" s="1"/>
  <c r="S1491" i="2"/>
  <c r="T1491" i="2" s="1"/>
  <c r="K1491" i="2"/>
  <c r="U1491" i="2" s="1"/>
  <c r="V640" i="2"/>
  <c r="W640" i="2"/>
  <c r="X640" i="2" s="1"/>
  <c r="V1829" i="2"/>
  <c r="W1829" i="2"/>
  <c r="V405" i="2"/>
  <c r="W405" i="2"/>
  <c r="V1633" i="2"/>
  <c r="W1633" i="2"/>
  <c r="V1716" i="2"/>
  <c r="W1716" i="2"/>
  <c r="X1506" i="2"/>
  <c r="V514" i="2"/>
  <c r="W514" i="2"/>
  <c r="S1943" i="2"/>
  <c r="T1943" i="2" s="1"/>
  <c r="X1943" i="2" s="1"/>
  <c r="K1943" i="2"/>
  <c r="U1943" i="2" s="1"/>
  <c r="S61" i="2"/>
  <c r="T61" i="2" s="1"/>
  <c r="K61" i="2"/>
  <c r="U61" i="2" s="1"/>
  <c r="X1555" i="2"/>
  <c r="V1863" i="2"/>
  <c r="W1863" i="2"/>
  <c r="V1924" i="2"/>
  <c r="W1924" i="2"/>
  <c r="X819" i="2"/>
  <c r="X117" i="2"/>
  <c r="V1707" i="2"/>
  <c r="W1707" i="2"/>
  <c r="V1021" i="2"/>
  <c r="W1021" i="2"/>
  <c r="V1931" i="2"/>
  <c r="W1931" i="2"/>
  <c r="V154" i="2"/>
  <c r="W154" i="2"/>
  <c r="X154" i="2" s="1"/>
  <c r="V1558" i="2"/>
  <c r="W1558" i="2"/>
  <c r="X1558" i="2" s="1"/>
  <c r="K697" i="2"/>
  <c r="U697" i="2" s="1"/>
  <c r="S697" i="2"/>
  <c r="T697" i="2" s="1"/>
  <c r="X746" i="2"/>
  <c r="X151" i="2"/>
  <c r="S1649" i="2"/>
  <c r="T1649" i="2" s="1"/>
  <c r="X1649" i="2" s="1"/>
  <c r="K1649" i="2"/>
  <c r="U1649" i="2" s="1"/>
  <c r="V338" i="2"/>
  <c r="W338" i="2"/>
  <c r="S66" i="2"/>
  <c r="T66" i="2" s="1"/>
  <c r="K66" i="2"/>
  <c r="U66" i="2" s="1"/>
  <c r="V383" i="2"/>
  <c r="W383" i="2"/>
  <c r="X383" i="2" s="1"/>
  <c r="X859" i="2"/>
  <c r="V1012" i="2"/>
  <c r="W1012" i="2"/>
  <c r="V1868" i="2"/>
  <c r="W1868" i="2"/>
  <c r="V791" i="2"/>
  <c r="W791" i="2"/>
  <c r="X791" i="2" s="1"/>
  <c r="X313" i="2"/>
  <c r="V1968" i="2"/>
  <c r="W1968" i="2"/>
  <c r="V630" i="2"/>
  <c r="W630" i="2"/>
  <c r="X630" i="2" s="1"/>
  <c r="V634" i="2"/>
  <c r="W634" i="2"/>
  <c r="S709" i="2"/>
  <c r="T709" i="2" s="1"/>
  <c r="K709" i="2"/>
  <c r="U709" i="2" s="1"/>
  <c r="V345" i="2"/>
  <c r="W345" i="2"/>
  <c r="X885" i="2"/>
  <c r="V759" i="2"/>
  <c r="W759" i="2"/>
  <c r="X759" i="2" s="1"/>
  <c r="V608" i="2"/>
  <c r="W608" i="2"/>
  <c r="X608" i="2" s="1"/>
  <c r="V1350" i="2"/>
  <c r="W1350" i="2"/>
  <c r="X662" i="2"/>
  <c r="V1288" i="2"/>
  <c r="W1288" i="2"/>
  <c r="V1445" i="2"/>
  <c r="W1445" i="2"/>
  <c r="V1835" i="2"/>
  <c r="W1835" i="2"/>
  <c r="V37" i="2"/>
  <c r="W37" i="2"/>
  <c r="V644" i="2"/>
  <c r="W644" i="2"/>
  <c r="X644" i="2" s="1"/>
  <c r="K975" i="2"/>
  <c r="U975" i="2" s="1"/>
  <c r="S975" i="2"/>
  <c r="T975" i="2" s="1"/>
  <c r="X116" i="2"/>
  <c r="V303" i="2"/>
  <c r="W303" i="2"/>
  <c r="X303" i="2" s="1"/>
  <c r="V694" i="2"/>
  <c r="W694" i="2"/>
  <c r="X694" i="2" s="1"/>
  <c r="V1476" i="2"/>
  <c r="W1476" i="2"/>
  <c r="X1476" i="2" s="1"/>
  <c r="V1927" i="2"/>
  <c r="W1927" i="2"/>
  <c r="V1477" i="2"/>
  <c r="W1477" i="2"/>
  <c r="X1477" i="2" s="1"/>
  <c r="X880" i="2"/>
  <c r="V858" i="2"/>
  <c r="W858" i="2"/>
  <c r="X858" i="2" s="1"/>
  <c r="X847" i="2"/>
  <c r="V664" i="2"/>
  <c r="W664" i="2"/>
  <c r="X1397" i="2"/>
  <c r="V1299" i="2"/>
  <c r="W1299" i="2"/>
  <c r="X1299" i="2" s="1"/>
  <c r="X1350" i="2"/>
  <c r="V160" i="2"/>
  <c r="W160" i="2"/>
  <c r="X1313" i="2"/>
  <c r="V1173" i="2"/>
  <c r="W1173" i="2"/>
  <c r="X1173" i="2" s="1"/>
  <c r="X621" i="2"/>
  <c r="X675" i="2"/>
  <c r="V1163" i="2"/>
  <c r="W1163" i="2"/>
  <c r="X1187" i="2"/>
  <c r="X1303" i="2"/>
  <c r="X460" i="2"/>
  <c r="X25" i="2"/>
  <c r="V1870" i="2"/>
  <c r="W1870" i="2"/>
  <c r="V77" i="2"/>
  <c r="W77" i="2"/>
  <c r="X77" i="2" s="1"/>
  <c r="S558" i="2"/>
  <c r="T558" i="2" s="1"/>
  <c r="K558" i="2"/>
  <c r="U558" i="2" s="1"/>
  <c r="V1217" i="2"/>
  <c r="W1217" i="2"/>
  <c r="X1217" i="2" s="1"/>
  <c r="V1262" i="2"/>
  <c r="W1262" i="2"/>
  <c r="X1262" i="2" s="1"/>
  <c r="V950" i="2"/>
  <c r="W950" i="2"/>
  <c r="V1157" i="2"/>
  <c r="W1157" i="2"/>
  <c r="X1157" i="2" s="1"/>
  <c r="V499" i="2"/>
  <c r="W499" i="2"/>
  <c r="X499" i="2" s="1"/>
  <c r="V935" i="2"/>
  <c r="W935" i="2"/>
  <c r="X935" i="2" s="1"/>
  <c r="V1693" i="2"/>
  <c r="W1693" i="2"/>
  <c r="V1929" i="2"/>
  <c r="W1929" i="2"/>
  <c r="K1981" i="2"/>
  <c r="U1981" i="2" s="1"/>
  <c r="S1981" i="2"/>
  <c r="T1981" i="2" s="1"/>
  <c r="X1981" i="2" s="1"/>
  <c r="V2136" i="2"/>
  <c r="W2136" i="2"/>
  <c r="V728" i="2"/>
  <c r="W728" i="2"/>
  <c r="X728" i="2" s="1"/>
  <c r="V1703" i="2"/>
  <c r="W1703" i="2"/>
  <c r="V234" i="2"/>
  <c r="W234" i="2"/>
  <c r="X234" i="2" s="1"/>
  <c r="V2012" i="2"/>
  <c r="W2012" i="2"/>
  <c r="V1169" i="2"/>
  <c r="W1169" i="2"/>
  <c r="X1169" i="2" s="1"/>
  <c r="V1341" i="2"/>
  <c r="W1341" i="2"/>
  <c r="X1341" i="2" s="1"/>
  <c r="X400" i="2"/>
  <c r="S1150" i="2"/>
  <c r="T1150" i="2" s="1"/>
  <c r="K1150" i="2"/>
  <c r="U1150" i="2" s="1"/>
  <c r="V2006" i="2"/>
  <c r="W2006" i="2"/>
  <c r="X1263" i="2"/>
  <c r="V1577" i="2"/>
  <c r="W1577" i="2"/>
  <c r="X1577" i="2" s="1"/>
  <c r="V417" i="2"/>
  <c r="W417" i="2"/>
  <c r="X417" i="2" s="1"/>
  <c r="V2089" i="2"/>
  <c r="W2089" i="2"/>
  <c r="V224" i="2"/>
  <c r="W224" i="2"/>
  <c r="X224" i="2" s="1"/>
  <c r="V2011" i="2"/>
  <c r="W2011" i="2"/>
  <c r="V1726" i="2"/>
  <c r="W1726" i="2"/>
  <c r="V945" i="2"/>
  <c r="W945" i="2"/>
  <c r="X456" i="2"/>
  <c r="K1804" i="2"/>
  <c r="U1804" i="2" s="1"/>
  <c r="S1804" i="2"/>
  <c r="T1804" i="2" s="1"/>
  <c r="X1804" i="2" s="1"/>
  <c r="X1246" i="2"/>
  <c r="X167" i="2"/>
  <c r="V1714" i="2"/>
  <c r="W1714" i="2"/>
  <c r="V228" i="2"/>
  <c r="W228" i="2"/>
  <c r="X228" i="2" s="1"/>
  <c r="X846" i="2"/>
  <c r="X679" i="2"/>
  <c r="V221" i="2"/>
  <c r="W221" i="2"/>
  <c r="X221" i="2" s="1"/>
  <c r="X1467" i="2"/>
  <c r="V891" i="2"/>
  <c r="W891" i="2"/>
  <c r="V679" i="2"/>
  <c r="W679" i="2"/>
  <c r="V2079" i="2"/>
  <c r="W2079" i="2"/>
  <c r="V734" i="2"/>
  <c r="W734" i="2"/>
  <c r="X734" i="2" s="1"/>
  <c r="V336" i="2"/>
  <c r="W336" i="2"/>
  <c r="X336" i="2" s="1"/>
  <c r="K525" i="2"/>
  <c r="U525" i="2" s="1"/>
  <c r="S525" i="2"/>
  <c r="T525" i="2" s="1"/>
  <c r="V916" i="2"/>
  <c r="W916" i="2"/>
  <c r="X874" i="2"/>
  <c r="V1775" i="2"/>
  <c r="W1775" i="2"/>
  <c r="V926" i="2"/>
  <c r="W926" i="2"/>
  <c r="X964" i="2"/>
  <c r="X1011" i="2"/>
  <c r="V864" i="2"/>
  <c r="W864" i="2"/>
  <c r="S1982" i="2"/>
  <c r="T1982" i="2" s="1"/>
  <c r="X1982" i="2" s="1"/>
  <c r="K1982" i="2"/>
  <c r="U1982" i="2" s="1"/>
  <c r="X916" i="2"/>
  <c r="X112" i="2"/>
  <c r="S1645" i="2"/>
  <c r="T1645" i="2" s="1"/>
  <c r="X1645" i="2" s="1"/>
  <c r="K1645" i="2"/>
  <c r="U1645" i="2" s="1"/>
  <c r="K1656" i="2"/>
  <c r="U1656" i="2" s="1"/>
  <c r="S1656" i="2"/>
  <c r="T1656" i="2" s="1"/>
  <c r="X1656" i="2" s="1"/>
  <c r="V1206" i="2"/>
  <c r="W1206" i="2"/>
  <c r="X607" i="2"/>
  <c r="V1110" i="2"/>
  <c r="W1110" i="2"/>
  <c r="X1110" i="2" s="1"/>
  <c r="V952" i="2"/>
  <c r="W952" i="2"/>
  <c r="X55" i="2"/>
  <c r="X134" i="2"/>
  <c r="V1709" i="2"/>
  <c r="W1709" i="2"/>
  <c r="V1134" i="2"/>
  <c r="W1134" i="2"/>
  <c r="V794" i="2"/>
  <c r="W794" i="2"/>
  <c r="X794" i="2" s="1"/>
  <c r="X1214" i="2"/>
  <c r="X23" i="2"/>
  <c r="V492" i="2"/>
  <c r="W492" i="2"/>
  <c r="X492" i="2" s="1"/>
  <c r="V392" i="2"/>
  <c r="W392" i="2"/>
  <c r="V110" i="2"/>
  <c r="W110" i="2"/>
  <c r="V612" i="2"/>
  <c r="W612" i="2"/>
  <c r="V958" i="2"/>
  <c r="W958" i="2"/>
  <c r="X611" i="2"/>
  <c r="X310" i="2"/>
  <c r="V121" i="2"/>
  <c r="W121" i="2"/>
  <c r="V1174" i="2"/>
  <c r="W1174" i="2"/>
  <c r="S75" i="2"/>
  <c r="T75" i="2" s="1"/>
  <c r="K75" i="2"/>
  <c r="U75" i="2" s="1"/>
  <c r="X1406" i="2"/>
  <c r="V1356" i="2"/>
  <c r="W1356" i="2"/>
  <c r="K1879" i="2"/>
  <c r="U1879" i="2" s="1"/>
  <c r="S1879" i="2"/>
  <c r="T1879" i="2" s="1"/>
  <c r="X1879" i="2" s="1"/>
  <c r="K1890" i="2"/>
  <c r="U1890" i="2" s="1"/>
  <c r="S1890" i="2"/>
  <c r="T1890" i="2" s="1"/>
  <c r="X1890" i="2" s="1"/>
  <c r="X658" i="2"/>
  <c r="V175" i="2"/>
  <c r="W175" i="2"/>
  <c r="V1833" i="2"/>
  <c r="W1833" i="2"/>
  <c r="V2086" i="2"/>
  <c r="W2086" i="2"/>
  <c r="V1088" i="2"/>
  <c r="W1088" i="2"/>
  <c r="X1088" i="2" s="1"/>
  <c r="V1928" i="2"/>
  <c r="W1928" i="2"/>
  <c r="V749" i="2"/>
  <c r="W749" i="2"/>
  <c r="X749" i="2" s="1"/>
  <c r="V237" i="2"/>
  <c r="W237" i="2"/>
  <c r="K1001" i="2"/>
  <c r="U1001" i="2" s="1"/>
  <c r="S1001" i="2"/>
  <c r="T1001" i="2" s="1"/>
  <c r="V1519" i="2"/>
  <c r="W1519" i="2"/>
  <c r="X1519" i="2" s="1"/>
  <c r="X1354" i="2"/>
  <c r="V1340" i="2"/>
  <c r="W1340" i="2"/>
  <c r="X711" i="2"/>
  <c r="X1492" i="2"/>
  <c r="S807" i="2"/>
  <c r="T807" i="2" s="1"/>
  <c r="K807" i="2"/>
  <c r="U807" i="2" s="1"/>
  <c r="K1809" i="2"/>
  <c r="U1809" i="2" s="1"/>
  <c r="S1809" i="2"/>
  <c r="T1809" i="2" s="1"/>
  <c r="X1809" i="2" s="1"/>
  <c r="V591" i="2"/>
  <c r="W591" i="2"/>
  <c r="X591" i="2" s="1"/>
  <c r="V949" i="2"/>
  <c r="W949" i="2"/>
  <c r="X949" i="2" s="1"/>
  <c r="V2133" i="2"/>
  <c r="W2133" i="2"/>
  <c r="V700" i="2"/>
  <c r="W700" i="2"/>
  <c r="X700" i="2" s="1"/>
  <c r="X218" i="2"/>
  <c r="V948" i="2"/>
  <c r="W948" i="2"/>
  <c r="X948" i="2" s="1"/>
  <c r="X527" i="2"/>
  <c r="V1534" i="2"/>
  <c r="W1534" i="2"/>
  <c r="X1534" i="2" s="1"/>
  <c r="V250" i="2"/>
  <c r="W250" i="2"/>
  <c r="V2126" i="2"/>
  <c r="W2126" i="2"/>
  <c r="V187" i="2"/>
  <c r="W187" i="2"/>
  <c r="X599" i="2"/>
  <c r="X1269" i="2"/>
  <c r="X1466" i="2"/>
  <c r="V176" i="2"/>
  <c r="W176" i="2"/>
  <c r="X1308" i="2"/>
  <c r="V673" i="2"/>
  <c r="W673" i="2"/>
  <c r="V1249" i="2"/>
  <c r="W1249" i="2"/>
  <c r="V414" i="2"/>
  <c r="W414" i="2"/>
  <c r="V1565" i="2"/>
  <c r="W1565" i="2"/>
  <c r="X1565" i="2" s="1"/>
  <c r="V851" i="2"/>
  <c r="W851" i="2"/>
  <c r="X1521" i="2"/>
  <c r="K1848" i="2"/>
  <c r="U1848" i="2" s="1"/>
  <c r="S1848" i="2"/>
  <c r="T1848" i="2" s="1"/>
  <c r="X1848" i="2" s="1"/>
  <c r="S1462" i="2"/>
  <c r="T1462" i="2" s="1"/>
  <c r="K1462" i="2"/>
  <c r="U1462" i="2" s="1"/>
  <c r="V1996" i="2"/>
  <c r="W1996" i="2"/>
  <c r="X405" i="2"/>
  <c r="V1691" i="2"/>
  <c r="W1691" i="2"/>
  <c r="V1126" i="2"/>
  <c r="W1126" i="2"/>
  <c r="X1126" i="2" s="1"/>
  <c r="V575" i="2"/>
  <c r="W575" i="2"/>
  <c r="K1948" i="2"/>
  <c r="U1948" i="2" s="1"/>
  <c r="S1948" i="2"/>
  <c r="T1948" i="2" s="1"/>
  <c r="X1948" i="2" s="1"/>
  <c r="K457" i="2"/>
  <c r="U457" i="2" s="1"/>
  <c r="S457" i="2"/>
  <c r="T457" i="2" s="1"/>
  <c r="V1186" i="2"/>
  <c r="W1186" i="2"/>
  <c r="X1186" i="2" s="1"/>
  <c r="V1514" i="2"/>
  <c r="W1514" i="2"/>
  <c r="V1685" i="2"/>
  <c r="W1685" i="2"/>
  <c r="V1990" i="2"/>
  <c r="W1990" i="2"/>
  <c r="V1468" i="2"/>
  <c r="W1468" i="2"/>
  <c r="V690" i="2"/>
  <c r="W690" i="2"/>
  <c r="V1335" i="2"/>
  <c r="W1335" i="2"/>
  <c r="V924" i="2"/>
  <c r="W924" i="2"/>
  <c r="X924" i="2" s="1"/>
  <c r="X1160" i="2"/>
  <c r="V969" i="2"/>
  <c r="W969" i="2"/>
  <c r="V1774" i="2"/>
  <c r="W1774" i="2"/>
  <c r="V2075" i="2"/>
  <c r="W2075" i="2"/>
  <c r="X1372" i="2"/>
  <c r="V307" i="2"/>
  <c r="W307" i="2"/>
  <c r="V883" i="2"/>
  <c r="W883" i="2"/>
  <c r="V1579" i="2"/>
  <c r="W1579" i="2"/>
  <c r="X1579" i="2" s="1"/>
  <c r="X1423" i="2"/>
  <c r="X1194" i="2"/>
  <c r="V1684" i="2"/>
  <c r="W1684" i="2"/>
  <c r="S488" i="2"/>
  <c r="T488" i="2" s="1"/>
  <c r="K488" i="2"/>
  <c r="U488" i="2" s="1"/>
  <c r="X1539" i="2"/>
  <c r="V1578" i="2"/>
  <c r="W1578" i="2"/>
  <c r="S1185" i="2"/>
  <c r="T1185" i="2" s="1"/>
  <c r="K1185" i="2"/>
  <c r="U1185" i="2" s="1"/>
  <c r="X822" i="2"/>
  <c r="V2085" i="2"/>
  <c r="W2085" i="2"/>
  <c r="V1831" i="2"/>
  <c r="W1831" i="2"/>
  <c r="V798" i="2"/>
  <c r="W798" i="2"/>
  <c r="X798" i="2" s="1"/>
  <c r="V873" i="2"/>
  <c r="W873" i="2"/>
  <c r="X873" i="2" s="1"/>
  <c r="V910" i="2"/>
  <c r="W910" i="2"/>
  <c r="V44" i="2"/>
  <c r="W44" i="2"/>
  <c r="X44" i="2" s="1"/>
  <c r="X883" i="2"/>
  <c r="V939" i="2"/>
  <c r="W939" i="2"/>
  <c r="X939" i="2" s="1"/>
  <c r="V474" i="2"/>
  <c r="W474" i="2"/>
  <c r="X474" i="2" s="1"/>
  <c r="X200" i="2"/>
  <c r="K1849" i="2"/>
  <c r="U1849" i="2" s="1"/>
  <c r="S1849" i="2"/>
  <c r="T1849" i="2" s="1"/>
  <c r="X1849" i="2" s="1"/>
  <c r="V209" i="2"/>
  <c r="W209" i="2"/>
  <c r="V169" i="2"/>
  <c r="W169" i="2"/>
  <c r="X169" i="2" s="1"/>
  <c r="V1378" i="2"/>
  <c r="W1378" i="2"/>
  <c r="X1493" i="2"/>
  <c r="X648" i="2"/>
  <c r="V1564" i="2"/>
  <c r="W1564" i="2"/>
  <c r="K1985" i="2"/>
  <c r="U1985" i="2" s="1"/>
  <c r="S1985" i="2"/>
  <c r="T1985" i="2" s="1"/>
  <c r="X1985" i="2" s="1"/>
  <c r="V86" i="2"/>
  <c r="W86" i="2"/>
  <c r="X86" i="2" s="1"/>
  <c r="V903" i="2"/>
  <c r="W903" i="2"/>
  <c r="X903" i="2" s="1"/>
  <c r="V1972" i="2"/>
  <c r="W1972" i="2"/>
  <c r="X1288" i="2"/>
  <c r="V848" i="2"/>
  <c r="W848" i="2"/>
  <c r="V1866" i="2"/>
  <c r="W1866" i="2"/>
  <c r="X961" i="2"/>
  <c r="X571" i="2"/>
  <c r="V200" i="2"/>
  <c r="W200" i="2"/>
  <c r="K925" i="2"/>
  <c r="U925" i="2" s="1"/>
  <c r="S925" i="2"/>
  <c r="T925" i="2" s="1"/>
  <c r="V116" i="2"/>
  <c r="W116" i="2"/>
  <c r="X665" i="2"/>
  <c r="V704" i="2"/>
  <c r="W704" i="2"/>
  <c r="V2002" i="2"/>
  <c r="W2002" i="2"/>
  <c r="X72" i="2"/>
  <c r="V1390" i="2"/>
  <c r="W1390" i="2"/>
  <c r="X1390" i="2" s="1"/>
  <c r="V1711" i="2"/>
  <c r="W1711" i="2"/>
  <c r="X869" i="2"/>
  <c r="V485" i="2"/>
  <c r="W485" i="2"/>
  <c r="X485" i="2" s="1"/>
  <c r="V1826" i="2"/>
  <c r="W1826" i="2"/>
  <c r="K1644" i="2"/>
  <c r="U1644" i="2" s="1"/>
  <c r="S1644" i="2"/>
  <c r="T1644" i="2" s="1"/>
  <c r="X1644" i="2" s="1"/>
  <c r="X664" i="2"/>
  <c r="X1562" i="2"/>
  <c r="V1629" i="2"/>
  <c r="W1629" i="2"/>
  <c r="X404" i="2"/>
  <c r="S1887" i="2"/>
  <c r="T1887" i="2" s="1"/>
  <c r="X1887" i="2" s="1"/>
  <c r="K1887" i="2"/>
  <c r="U1887" i="2" s="1"/>
  <c r="V1281" i="2"/>
  <c r="W1281" i="2"/>
  <c r="X848" i="2"/>
  <c r="V914" i="2"/>
  <c r="W914" i="2"/>
  <c r="K1799" i="2"/>
  <c r="U1799" i="2" s="1"/>
  <c r="S1799" i="2"/>
  <c r="T1799" i="2" s="1"/>
  <c r="X1799" i="2" s="1"/>
  <c r="V1177" i="2"/>
  <c r="W1177" i="2"/>
  <c r="X1177" i="2" s="1"/>
  <c r="V1411" i="2"/>
  <c r="W1411" i="2"/>
  <c r="X1411" i="2" s="1"/>
  <c r="V1139" i="2"/>
  <c r="W1139" i="2"/>
  <c r="V231" i="2"/>
  <c r="W231" i="2"/>
  <c r="V905" i="2"/>
  <c r="W905" i="2"/>
  <c r="X905" i="2" s="1"/>
  <c r="S646" i="2"/>
  <c r="T646" i="2" s="1"/>
  <c r="K646" i="2"/>
  <c r="U646" i="2" s="1"/>
  <c r="V62" i="2"/>
  <c r="W62" i="2"/>
  <c r="X62" i="2" s="1"/>
  <c r="V1077" i="2"/>
  <c r="W1077" i="2"/>
  <c r="X1077" i="2" s="1"/>
  <c r="V1562" i="2"/>
  <c r="W1562" i="2"/>
  <c r="V705" i="2"/>
  <c r="W705" i="2"/>
  <c r="V144" i="2"/>
  <c r="W144" i="2"/>
  <c r="X144" i="2" s="1"/>
  <c r="V1469" i="2"/>
  <c r="W1469" i="2"/>
  <c r="V1692" i="2"/>
  <c r="W1692" i="2"/>
  <c r="K1891" i="2"/>
  <c r="U1891" i="2" s="1"/>
  <c r="S1891" i="2"/>
  <c r="T1891" i="2" s="1"/>
  <c r="X1891" i="2" s="1"/>
  <c r="V1865" i="2"/>
  <c r="W1865" i="2"/>
  <c r="V764" i="2"/>
  <c r="W764" i="2"/>
  <c r="X764" i="2" s="1"/>
  <c r="V2078" i="2"/>
  <c r="W2078" i="2"/>
  <c r="V1467" i="2"/>
  <c r="W1467" i="2"/>
  <c r="V824" i="2"/>
  <c r="W824" i="2"/>
  <c r="X824" i="2" s="1"/>
  <c r="X101" i="2"/>
  <c r="K1646" i="2"/>
  <c r="U1646" i="2" s="1"/>
  <c r="S1646" i="2"/>
  <c r="T1646" i="2" s="1"/>
  <c r="X1646" i="2" s="1"/>
  <c r="V717" i="2"/>
  <c r="W717" i="2"/>
  <c r="X241" i="2"/>
  <c r="V1622" i="2"/>
  <c r="W1622" i="2"/>
  <c r="V998" i="2"/>
  <c r="W998" i="2"/>
  <c r="X998" i="2" s="1"/>
  <c r="K1882" i="2"/>
  <c r="U1882" i="2" s="1"/>
  <c r="S1882" i="2"/>
  <c r="T1882" i="2" s="1"/>
  <c r="X1882" i="2" s="1"/>
  <c r="V427" i="2"/>
  <c r="W427" i="2"/>
  <c r="X427" i="2" s="1"/>
  <c r="K1065" i="2"/>
  <c r="U1065" i="2" s="1"/>
  <c r="S1065" i="2"/>
  <c r="T1065" i="2" s="1"/>
  <c r="X1035" i="2"/>
  <c r="S774" i="2"/>
  <c r="T774" i="2" s="1"/>
  <c r="K774" i="2"/>
  <c r="U774" i="2" s="1"/>
  <c r="X179" i="2"/>
  <c r="V1991" i="2"/>
  <c r="W1991" i="2"/>
  <c r="V701" i="2"/>
  <c r="W701" i="2"/>
  <c r="V893" i="2"/>
  <c r="W893" i="2"/>
  <c r="X893" i="2" s="1"/>
  <c r="V1294" i="2"/>
  <c r="W1294" i="2"/>
  <c r="V203" i="2"/>
  <c r="W203" i="2"/>
  <c r="X203" i="2" s="1"/>
  <c r="X911" i="2"/>
  <c r="X510" i="2"/>
  <c r="V1788" i="2"/>
  <c r="W1788" i="2"/>
  <c r="K699" i="2"/>
  <c r="U699" i="2" s="1"/>
  <c r="S699" i="2"/>
  <c r="T699" i="2" s="1"/>
  <c r="V510" i="2"/>
  <c r="W510" i="2"/>
  <c r="V1498" i="2"/>
  <c r="W1498" i="2"/>
  <c r="V837" i="2"/>
  <c r="W837" i="2"/>
  <c r="X837" i="2" s="1"/>
  <c r="S674" i="2"/>
  <c r="T674" i="2" s="1"/>
  <c r="K674" i="2"/>
  <c r="U674" i="2" s="1"/>
  <c r="V36" i="2"/>
  <c r="W36" i="2"/>
  <c r="S1202" i="2"/>
  <c r="T1202" i="2" s="1"/>
  <c r="K1202" i="2"/>
  <c r="U1202" i="2" s="1"/>
  <c r="V11" i="2"/>
  <c r="W11" i="2"/>
  <c r="V1101" i="2"/>
  <c r="W1101" i="2"/>
  <c r="X1101" i="2" s="1"/>
  <c r="V1823" i="2"/>
  <c r="W1823" i="2"/>
  <c r="V1238" i="2"/>
  <c r="W1238" i="2"/>
  <c r="X1238" i="2" s="1"/>
  <c r="V1713" i="2"/>
  <c r="W1713" i="2"/>
  <c r="V2134" i="2"/>
  <c r="W2134" i="2"/>
  <c r="V2131" i="2"/>
  <c r="W2131" i="2"/>
  <c r="V458" i="2"/>
  <c r="W458" i="2"/>
  <c r="X458" i="2" s="1"/>
  <c r="V1210" i="2"/>
  <c r="W1210" i="2"/>
  <c r="S696" i="2"/>
  <c r="T696" i="2" s="1"/>
  <c r="K696" i="2"/>
  <c r="U696" i="2" s="1"/>
  <c r="V1697" i="2"/>
  <c r="W1697" i="2"/>
  <c r="K524" i="2"/>
  <c r="U524" i="2" s="1"/>
  <c r="S524" i="2"/>
  <c r="T524" i="2" s="1"/>
  <c r="S1167" i="2"/>
  <c r="T1167" i="2" s="1"/>
  <c r="K1167" i="2"/>
  <c r="U1167" i="2" s="1"/>
  <c r="V1976" i="2"/>
  <c r="W1976" i="2"/>
  <c r="V136" i="2"/>
  <c r="W136" i="2"/>
  <c r="X136" i="2" s="1"/>
  <c r="X146" i="2"/>
  <c r="V363" i="2"/>
  <c r="W363" i="2"/>
  <c r="X363" i="2" s="1"/>
  <c r="V1011" i="2"/>
  <c r="W1011" i="2"/>
  <c r="X1210" i="2"/>
  <c r="V1771" i="2"/>
  <c r="W1771" i="2"/>
  <c r="V334" i="2"/>
  <c r="W334" i="2"/>
  <c r="K707" i="2"/>
  <c r="U707" i="2" s="1"/>
  <c r="S707" i="2"/>
  <c r="T707" i="2" s="1"/>
  <c r="V726" i="2"/>
  <c r="W726" i="2"/>
  <c r="X864" i="2"/>
  <c r="V784" i="2"/>
  <c r="W784" i="2"/>
  <c r="X784" i="2" s="1"/>
  <c r="S548" i="2"/>
  <c r="T548" i="2" s="1"/>
  <c r="K548" i="2"/>
  <c r="U548" i="2" s="1"/>
  <c r="S502" i="2"/>
  <c r="T502" i="2" s="1"/>
  <c r="K502" i="2"/>
  <c r="U502" i="2" s="1"/>
  <c r="S1183" i="2"/>
  <c r="T1183" i="2" s="1"/>
  <c r="K1183" i="2"/>
  <c r="U1183" i="2" s="1"/>
  <c r="X1451" i="2"/>
  <c r="V112" i="2"/>
  <c r="W112" i="2"/>
  <c r="K1650" i="2"/>
  <c r="U1650" i="2" s="1"/>
  <c r="S1650" i="2"/>
  <c r="T1650" i="2" s="1"/>
  <c r="X1650" i="2" s="1"/>
  <c r="S1659" i="2"/>
  <c r="T1659" i="2" s="1"/>
  <c r="X1659" i="2" s="1"/>
  <c r="K1659" i="2"/>
  <c r="U1659" i="2" s="1"/>
  <c r="V2007" i="2"/>
  <c r="W2007" i="2"/>
  <c r="X1206" i="2"/>
  <c r="V1086" i="2"/>
  <c r="W1086" i="2"/>
  <c r="X1086" i="2" s="1"/>
  <c r="V182" i="2"/>
  <c r="W182" i="2"/>
  <c r="V240" i="2"/>
  <c r="W240" i="2"/>
  <c r="X240" i="2" s="1"/>
  <c r="V834" i="2"/>
  <c r="W834" i="2"/>
  <c r="V1971" i="2"/>
  <c r="W1971" i="2"/>
  <c r="V149" i="2"/>
  <c r="W149" i="2"/>
  <c r="X1134" i="2"/>
  <c r="V809" i="2"/>
  <c r="W809" i="2"/>
  <c r="X809" i="2" s="1"/>
  <c r="V308" i="2"/>
  <c r="W308" i="2"/>
  <c r="X308" i="2" s="1"/>
  <c r="V1137" i="2"/>
  <c r="W1137" i="2"/>
  <c r="X1137" i="2" s="1"/>
  <c r="X392" i="2"/>
  <c r="X1054" i="2"/>
  <c r="V1377" i="2"/>
  <c r="W1377" i="2"/>
  <c r="X1377" i="2" s="1"/>
  <c r="X110" i="2"/>
  <c r="V1141" i="2"/>
  <c r="W1141" i="2"/>
  <c r="X1141" i="2" s="1"/>
  <c r="X612" i="2"/>
  <c r="V247" i="2"/>
  <c r="W247" i="2"/>
  <c r="V1567" i="2"/>
  <c r="W1567" i="2"/>
  <c r="V1689" i="2"/>
  <c r="W1689" i="2"/>
  <c r="X122" i="2"/>
  <c r="V845" i="2"/>
  <c r="W845" i="2"/>
  <c r="X121" i="2"/>
  <c r="X1174" i="2"/>
  <c r="V1450" i="2"/>
  <c r="W1450" i="2"/>
  <c r="K1764" i="2"/>
  <c r="U1764" i="2" s="1"/>
  <c r="S1764" i="2"/>
  <c r="T1764" i="2" s="1"/>
  <c r="X1764" i="2" s="1"/>
  <c r="X1356" i="2"/>
  <c r="V2077" i="2"/>
  <c r="W2077" i="2"/>
  <c r="S1888" i="2"/>
  <c r="T1888" i="2" s="1"/>
  <c r="X1888" i="2" s="1"/>
  <c r="K1888" i="2"/>
  <c r="U1888" i="2" s="1"/>
  <c r="K1626" i="2"/>
  <c r="U1626" i="2" s="1"/>
  <c r="S1626" i="2"/>
  <c r="T1626" i="2" s="1"/>
  <c r="X1626" i="2" s="1"/>
  <c r="X175" i="2"/>
  <c r="V908" i="2"/>
  <c r="W908" i="2"/>
  <c r="X237" i="2"/>
  <c r="S1000" i="2"/>
  <c r="T1000" i="2" s="1"/>
  <c r="K1000" i="2"/>
  <c r="U1000" i="2" s="1"/>
  <c r="V1919" i="2"/>
  <c r="W1919" i="2"/>
  <c r="V332" i="2"/>
  <c r="W332" i="2"/>
  <c r="X332" i="2" s="1"/>
  <c r="V7" i="2"/>
  <c r="W7" i="2"/>
  <c r="V29" i="2"/>
  <c r="W29" i="2"/>
  <c r="X1340" i="2"/>
  <c r="V711" i="2"/>
  <c r="W711" i="2"/>
  <c r="V163" i="2"/>
  <c r="W163" i="2"/>
  <c r="X163" i="2" s="1"/>
  <c r="S768" i="2"/>
  <c r="T768" i="2" s="1"/>
  <c r="K768" i="2"/>
  <c r="U768" i="2" s="1"/>
  <c r="K1808" i="2"/>
  <c r="U1808" i="2" s="1"/>
  <c r="S1808" i="2"/>
  <c r="T1808" i="2" s="1"/>
  <c r="X1808" i="2" s="1"/>
  <c r="V1144" i="2"/>
  <c r="W1144" i="2"/>
  <c r="V1545" i="2"/>
  <c r="W1545" i="2"/>
  <c r="X1545" i="2" s="1"/>
  <c r="V2128" i="2"/>
  <c r="W2128" i="2"/>
  <c r="V1301" i="2"/>
  <c r="W1301" i="2"/>
  <c r="X1301" i="2" s="1"/>
  <c r="V15" i="2"/>
  <c r="W15" i="2"/>
  <c r="V2080" i="2"/>
  <c r="W2080" i="2"/>
  <c r="X250" i="2"/>
  <c r="X965" i="2"/>
  <c r="V1280" i="2"/>
  <c r="W1280" i="2"/>
  <c r="X187" i="2"/>
  <c r="V143" i="2"/>
  <c r="W143" i="2"/>
  <c r="V1727" i="2"/>
  <c r="W1727" i="2"/>
  <c r="V976" i="2"/>
  <c r="W976" i="2"/>
  <c r="X976" i="2" s="1"/>
  <c r="V1725" i="2"/>
  <c r="W1725" i="2"/>
  <c r="V93" i="2"/>
  <c r="W93" i="2"/>
  <c r="X93" i="2" s="1"/>
  <c r="V595" i="2"/>
  <c r="W595" i="2"/>
  <c r="X595" i="2" s="1"/>
  <c r="V1686" i="2"/>
  <c r="W1686" i="2"/>
  <c r="V758" i="2"/>
  <c r="W758" i="2"/>
  <c r="V652" i="2"/>
  <c r="W652" i="2"/>
  <c r="X673" i="2"/>
  <c r="X1571" i="2"/>
  <c r="X414" i="2"/>
  <c r="V1723" i="2"/>
  <c r="W1723" i="2"/>
  <c r="X536" i="2"/>
  <c r="X851" i="2"/>
  <c r="K1845" i="2"/>
  <c r="U1845" i="2" s="1"/>
  <c r="S1845" i="2"/>
  <c r="T1845" i="2" s="1"/>
  <c r="X1845" i="2" s="1"/>
  <c r="S1482" i="2"/>
  <c r="T1482" i="2" s="1"/>
  <c r="K1482" i="2"/>
  <c r="U1482" i="2" s="1"/>
  <c r="V1431" i="2"/>
  <c r="W1431" i="2"/>
  <c r="X166" i="2"/>
  <c r="V469" i="2"/>
  <c r="W469" i="2"/>
  <c r="X469" i="2" s="1"/>
  <c r="V2083" i="2"/>
  <c r="W2083" i="2"/>
  <c r="X575" i="2"/>
  <c r="S1945" i="2"/>
  <c r="T1945" i="2" s="1"/>
  <c r="X1945" i="2" s="1"/>
  <c r="K1945" i="2"/>
  <c r="U1945" i="2" s="1"/>
  <c r="S468" i="2"/>
  <c r="T468" i="2" s="1"/>
  <c r="K468" i="2"/>
  <c r="U468" i="2" s="1"/>
  <c r="X1514" i="2"/>
  <c r="V284" i="2"/>
  <c r="W284" i="2"/>
  <c r="X284" i="2" s="1"/>
  <c r="V1822" i="2"/>
  <c r="W1822" i="2"/>
  <c r="V8" i="2"/>
  <c r="W8" i="2"/>
  <c r="X1468" i="2"/>
  <c r="X690" i="2"/>
  <c r="X1335" i="2"/>
  <c r="V501" i="2"/>
  <c r="W501" i="2"/>
  <c r="X501" i="2" s="1"/>
  <c r="V1825" i="2"/>
  <c r="W1825" i="2"/>
  <c r="X904" i="2"/>
  <c r="V1710" i="2"/>
  <c r="W1710" i="2"/>
  <c r="V895" i="2"/>
  <c r="W895" i="2"/>
  <c r="V197" i="2"/>
  <c r="W197" i="2"/>
  <c r="X1578" i="2"/>
  <c r="V1828" i="2"/>
  <c r="W1828" i="2"/>
  <c r="V1266" i="2"/>
  <c r="W1266" i="2"/>
  <c r="X1266" i="2" s="1"/>
  <c r="X31" i="2"/>
  <c r="S1402" i="2"/>
  <c r="T1402" i="2" s="1"/>
  <c r="K1402" i="2"/>
  <c r="U1402" i="2" s="1"/>
  <c r="V129" i="2"/>
  <c r="W129" i="2"/>
  <c r="V1575" i="2"/>
  <c r="W1575" i="2"/>
  <c r="X1575" i="2" s="1"/>
  <c r="V1922" i="2"/>
  <c r="W1922" i="2"/>
  <c r="V1453" i="2"/>
  <c r="W1453" i="2"/>
  <c r="X1453" i="2" s="1"/>
  <c r="S1939" i="2"/>
  <c r="T1939" i="2" s="1"/>
  <c r="X1939" i="2" s="1"/>
  <c r="K1939" i="2"/>
  <c r="U1939" i="2" s="1"/>
  <c r="V648" i="2"/>
  <c r="W648" i="2"/>
  <c r="V880" i="2"/>
  <c r="W880" i="2"/>
  <c r="K1636" i="2"/>
  <c r="U1636" i="2" s="1"/>
  <c r="S1636" i="2"/>
  <c r="T1636" i="2" s="1"/>
  <c r="X1636" i="2" s="1"/>
  <c r="V1430" i="2"/>
  <c r="W1430" i="2"/>
  <c r="X1430" i="2" s="1"/>
  <c r="V2072" i="2"/>
  <c r="W2072" i="2"/>
  <c r="X338" i="2"/>
  <c r="S1893" i="2"/>
  <c r="T1893" i="2" s="1"/>
  <c r="X1893" i="2" s="1"/>
  <c r="K1893" i="2"/>
  <c r="U1893" i="2" s="1"/>
  <c r="V432" i="2"/>
  <c r="W432" i="2"/>
  <c r="V896" i="2"/>
  <c r="W896" i="2"/>
  <c r="X896" i="2" s="1"/>
  <c r="X1328" i="2"/>
  <c r="V2132" i="2"/>
  <c r="W2132" i="2"/>
  <c r="X129" i="2"/>
  <c r="V547" i="2"/>
  <c r="W547" i="2"/>
  <c r="V482" i="2"/>
  <c r="W482" i="2"/>
  <c r="X482" i="2" s="1"/>
  <c r="V1772" i="2"/>
  <c r="W1772" i="2"/>
  <c r="V2018" i="2"/>
  <c r="W2018" i="2"/>
  <c r="V780" i="2"/>
  <c r="W780" i="2"/>
  <c r="X780" i="2" s="1"/>
  <c r="K1946" i="2"/>
  <c r="U1946" i="2" s="1"/>
  <c r="S1946" i="2"/>
  <c r="T1946" i="2" s="1"/>
  <c r="X1946" i="2" s="1"/>
  <c r="X634" i="2"/>
  <c r="V994" i="2"/>
  <c r="W994" i="2"/>
  <c r="X994" i="2" s="1"/>
  <c r="V1189" i="2"/>
  <c r="W1189" i="2"/>
  <c r="X1189" i="2" s="1"/>
  <c r="V869" i="2"/>
  <c r="W869" i="2"/>
  <c r="X22" i="2"/>
  <c r="V519" i="2"/>
  <c r="W519" i="2"/>
  <c r="X519" i="2" s="1"/>
  <c r="X345" i="2"/>
  <c r="X397" i="2"/>
  <c r="V1932" i="2"/>
  <c r="W1932" i="2"/>
  <c r="V1314" i="2"/>
  <c r="W1314" i="2"/>
  <c r="X1314" i="2" s="1"/>
  <c r="V192" i="2"/>
  <c r="W192" i="2"/>
  <c r="X192" i="2" s="1"/>
  <c r="K1876" i="2"/>
  <c r="U1876" i="2" s="1"/>
  <c r="S1876" i="2"/>
  <c r="T1876" i="2" s="1"/>
  <c r="X1876" i="2" s="1"/>
  <c r="X1122" i="2"/>
  <c r="K1798" i="2"/>
  <c r="U1798" i="2" s="1"/>
  <c r="S1798" i="2"/>
  <c r="T1798" i="2" s="1"/>
  <c r="X1798" i="2" s="1"/>
  <c r="X1015" i="2"/>
  <c r="V725" i="2"/>
  <c r="W725" i="2"/>
  <c r="X725" i="2" s="1"/>
  <c r="V1995" i="2"/>
  <c r="W1995" i="2"/>
  <c r="V436" i="2"/>
  <c r="W436" i="2"/>
  <c r="X436" i="2" s="1"/>
  <c r="V212" i="2"/>
  <c r="W212" i="2"/>
  <c r="X209" i="2"/>
  <c r="V1494" i="2"/>
  <c r="W1494" i="2"/>
  <c r="X1494" i="2" s="1"/>
  <c r="V828" i="2"/>
  <c r="W828" i="2"/>
  <c r="V1118" i="2"/>
  <c r="W1118" i="2"/>
  <c r="V708" i="2"/>
  <c r="W708" i="2"/>
  <c r="X708" i="2" s="1"/>
  <c r="S497" i="2"/>
  <c r="T497" i="2" s="1"/>
  <c r="K497" i="2"/>
  <c r="U497" i="2" s="1"/>
  <c r="V1687" i="2"/>
  <c r="W1687" i="2"/>
  <c r="V1704" i="2"/>
  <c r="W1704" i="2"/>
  <c r="V629" i="2"/>
  <c r="W629" i="2"/>
  <c r="V1568" i="2"/>
  <c r="W1568" i="2"/>
  <c r="V78" i="2"/>
  <c r="W78" i="2"/>
  <c r="X78" i="2" s="1"/>
  <c r="X58" i="2"/>
  <c r="V806" i="2"/>
  <c r="W806" i="2"/>
  <c r="X651" i="2"/>
  <c r="V833" i="2"/>
  <c r="W833" i="2"/>
  <c r="V1773" i="2"/>
  <c r="W1773" i="2"/>
  <c r="X1250" i="2"/>
  <c r="V426" i="2"/>
  <c r="W426" i="2"/>
  <c r="X426" i="2" s="1"/>
  <c r="V1999" i="2"/>
  <c r="W1999" i="2"/>
  <c r="X1163" i="2"/>
  <c r="X1118" i="2"/>
  <c r="X1544" i="2"/>
  <c r="V1554" i="2"/>
  <c r="W1554" i="2"/>
  <c r="X1554" i="2" s="1"/>
  <c r="S561" i="2"/>
  <c r="T561" i="2" s="1"/>
  <c r="K561" i="2"/>
  <c r="U561" i="2" s="1"/>
  <c r="K1655" i="2"/>
  <c r="U1655" i="2" s="1"/>
  <c r="S1655" i="2"/>
  <c r="T1655" i="2" s="1"/>
  <c r="X1655" i="2" s="1"/>
  <c r="X289" i="2"/>
  <c r="X878" i="2"/>
  <c r="V370" i="2"/>
  <c r="W370" i="2"/>
  <c r="X370" i="2" s="1"/>
  <c r="V423" i="2"/>
  <c r="W423" i="2"/>
  <c r="X423" i="2" s="1"/>
  <c r="V1722" i="2"/>
  <c r="W1722" i="2"/>
  <c r="V159" i="2"/>
  <c r="W159" i="2"/>
  <c r="X159" i="2" s="1"/>
  <c r="X901" i="2"/>
  <c r="X806" i="2"/>
  <c r="X914" i="2"/>
  <c r="V846" i="2"/>
  <c r="W846" i="2"/>
  <c r="K669" i="2"/>
  <c r="U669" i="2" s="1"/>
  <c r="S669" i="2"/>
  <c r="T669" i="2" s="1"/>
  <c r="S1980" i="2"/>
  <c r="T1980" i="2" s="1"/>
  <c r="X1980" i="2" s="1"/>
  <c r="K1980" i="2"/>
  <c r="U1980" i="2" s="1"/>
  <c r="V1219" i="2"/>
  <c r="W1219" i="2"/>
  <c r="X1219" i="2" s="1"/>
  <c r="X856" i="2"/>
  <c r="V466" i="2"/>
  <c r="W466" i="2"/>
  <c r="X466" i="2" s="1"/>
  <c r="V1026" i="2"/>
  <c r="W1026" i="2"/>
  <c r="V692" i="2"/>
  <c r="W692" i="2"/>
  <c r="V930" i="2"/>
  <c r="W930" i="2"/>
  <c r="X930" i="2" s="1"/>
  <c r="X118" i="2"/>
  <c r="V1789" i="2"/>
  <c r="W1789" i="2"/>
  <c r="V2087" i="2"/>
  <c r="W2087" i="2"/>
  <c r="V795" i="2"/>
  <c r="W795" i="2"/>
  <c r="X795" i="2" s="1"/>
  <c r="X684" i="2"/>
  <c r="X1337" i="2"/>
  <c r="V91" i="2"/>
  <c r="W91" i="2"/>
  <c r="V1489" i="2"/>
  <c r="W1489" i="2"/>
  <c r="X1489" i="2" s="1"/>
  <c r="X1515" i="2"/>
  <c r="V535" i="2"/>
  <c r="W535" i="2"/>
  <c r="X535" i="2" s="1"/>
  <c r="V650" i="2"/>
  <c r="W650" i="2"/>
  <c r="X650" i="2" s="1"/>
  <c r="X1498" i="2"/>
  <c r="V600" i="2"/>
  <c r="W600" i="2"/>
  <c r="V1358" i="2"/>
  <c r="W1358" i="2"/>
  <c r="X1358" i="2" s="1"/>
  <c r="V1702" i="2"/>
  <c r="W1702" i="2"/>
  <c r="V964" i="2"/>
  <c r="W964" i="2"/>
  <c r="V899" i="2"/>
  <c r="W899" i="2"/>
  <c r="X899" i="2" s="1"/>
  <c r="V1005" i="2"/>
  <c r="W1005" i="2"/>
  <c r="X1005" i="2" s="1"/>
  <c r="X600" i="2"/>
  <c r="X1199" i="2"/>
  <c r="K1983" i="2"/>
  <c r="U1983" i="2" s="1"/>
  <c r="S1983" i="2"/>
  <c r="T1983" i="2" s="1"/>
  <c r="X1983" i="2" s="1"/>
  <c r="S1657" i="2"/>
  <c r="T1657" i="2" s="1"/>
  <c r="X1657" i="2" s="1"/>
  <c r="K1657" i="2"/>
  <c r="U1657" i="2" s="1"/>
  <c r="V2074" i="2"/>
  <c r="W2074" i="2"/>
  <c r="V635" i="2"/>
  <c r="W635" i="2"/>
  <c r="X635" i="2" s="1"/>
  <c r="V437" i="2"/>
  <c r="W437" i="2"/>
  <c r="X437" i="2" s="1"/>
  <c r="V146" i="2"/>
  <c r="W146" i="2"/>
  <c r="V633" i="2"/>
  <c r="W633" i="2"/>
  <c r="X633" i="2" s="1"/>
  <c r="V16" i="2"/>
  <c r="W16" i="2"/>
  <c r="X16" i="2" s="1"/>
  <c r="X942" i="2"/>
  <c r="V947" i="2"/>
  <c r="W947" i="2"/>
  <c r="X947" i="2" s="1"/>
  <c r="X334" i="2"/>
  <c r="S671" i="2"/>
  <c r="T671" i="2" s="1"/>
  <c r="K671" i="2"/>
  <c r="U671" i="2" s="1"/>
  <c r="V1160" i="2"/>
  <c r="W1160" i="2"/>
  <c r="X726" i="2"/>
  <c r="S586" i="2"/>
  <c r="T586" i="2" s="1"/>
  <c r="K586" i="2"/>
  <c r="U586" i="2" s="1"/>
  <c r="V1966" i="2"/>
  <c r="W1966" i="2"/>
  <c r="V1872" i="2"/>
  <c r="W1872" i="2"/>
  <c r="V151" i="2"/>
  <c r="W151" i="2"/>
  <c r="V797" i="2"/>
  <c r="W797" i="2"/>
  <c r="X797" i="2" s="1"/>
  <c r="S477" i="2"/>
  <c r="T477" i="2" s="1"/>
  <c r="K477" i="2"/>
  <c r="U477" i="2" s="1"/>
  <c r="K1213" i="2"/>
  <c r="U1213" i="2" s="1"/>
  <c r="S1213" i="2"/>
  <c r="T1213" i="2" s="1"/>
  <c r="X969" i="2"/>
  <c r="V1451" i="2"/>
  <c r="W1451" i="2"/>
  <c r="K1638" i="2"/>
  <c r="U1638" i="2" s="1"/>
  <c r="S1638" i="2"/>
  <c r="T1638" i="2" s="1"/>
  <c r="X1638" i="2" s="1"/>
  <c r="K1658" i="2"/>
  <c r="U1658" i="2" s="1"/>
  <c r="S1658" i="2"/>
  <c r="T1658" i="2" s="1"/>
  <c r="X1658" i="2" s="1"/>
  <c r="V1007" i="2"/>
  <c r="W1007" i="2"/>
  <c r="X1007" i="2" s="1"/>
  <c r="X182" i="2"/>
  <c r="X834" i="2"/>
  <c r="X149" i="2"/>
  <c r="V402" i="2"/>
  <c r="W402" i="2"/>
  <c r="X402" i="2" s="1"/>
  <c r="V419" i="2"/>
  <c r="W419" i="2"/>
  <c r="X419" i="2" s="1"/>
  <c r="V1149" i="2"/>
  <c r="W1149" i="2"/>
  <c r="X1149" i="2" s="1"/>
  <c r="V1783" i="2"/>
  <c r="W1783" i="2"/>
  <c r="V170" i="2"/>
  <c r="W170" i="2"/>
  <c r="X170" i="2" s="1"/>
  <c r="V706" i="2"/>
  <c r="W706" i="2"/>
  <c r="X706" i="2" s="1"/>
  <c r="V1054" i="2"/>
  <c r="W1054" i="2"/>
  <c r="V1559" i="2"/>
  <c r="W1559" i="2"/>
  <c r="X1559" i="2" s="1"/>
  <c r="X247" i="2"/>
  <c r="X1567" i="2"/>
  <c r="V31" i="2"/>
  <c r="W31" i="2"/>
  <c r="V122" i="2"/>
  <c r="W122" i="2"/>
  <c r="X845" i="2"/>
  <c r="V978" i="2"/>
  <c r="W978" i="2"/>
  <c r="X978" i="2" s="1"/>
  <c r="X1450" i="2"/>
  <c r="S1765" i="2"/>
  <c r="T1765" i="2" s="1"/>
  <c r="X1765" i="2" s="1"/>
  <c r="K1765" i="2"/>
  <c r="U1765" i="2" s="1"/>
  <c r="K1880" i="2"/>
  <c r="U1880" i="2" s="1"/>
  <c r="S1880" i="2"/>
  <c r="T1880" i="2" s="1"/>
  <c r="X1880" i="2" s="1"/>
  <c r="S1617" i="2"/>
  <c r="T1617" i="2" s="1"/>
  <c r="X1617" i="2" s="1"/>
  <c r="K1617" i="2"/>
  <c r="U1617" i="2" s="1"/>
  <c r="V1372" i="2"/>
  <c r="W1372" i="2"/>
  <c r="V168" i="2"/>
  <c r="W168" i="2"/>
  <c r="X168" i="2" s="1"/>
  <c r="V1549" i="2"/>
  <c r="W1549" i="2"/>
  <c r="X1549" i="2" s="1"/>
  <c r="X908" i="2"/>
  <c r="V1698" i="2"/>
  <c r="W1698" i="2"/>
  <c r="V1786" i="2"/>
  <c r="W1786" i="2"/>
  <c r="V1504" i="2"/>
  <c r="W1504" i="2"/>
  <c r="X1504" i="2" s="1"/>
  <c r="K988" i="2"/>
  <c r="U988" i="2" s="1"/>
  <c r="S988" i="2"/>
  <c r="T988" i="2" s="1"/>
  <c r="X1548" i="2"/>
  <c r="V1573" i="2"/>
  <c r="W1573" i="2"/>
  <c r="X7" i="2"/>
  <c r="V993" i="2"/>
  <c r="W993" i="2"/>
  <c r="X993" i="2" s="1"/>
  <c r="V1329" i="2"/>
  <c r="W1329" i="2"/>
  <c r="X1329" i="2" s="1"/>
  <c r="X29" i="2"/>
  <c r="V222" i="2"/>
  <c r="W222" i="2"/>
  <c r="X222" i="2" s="1"/>
  <c r="V872" i="2"/>
  <c r="W872" i="2"/>
  <c r="V859" i="2"/>
  <c r="W859" i="2"/>
  <c r="V1560" i="2"/>
  <c r="W1560" i="2"/>
  <c r="X1560" i="2" s="1"/>
  <c r="K816" i="2"/>
  <c r="U816" i="2" s="1"/>
  <c r="S816" i="2"/>
  <c r="T816" i="2" s="1"/>
  <c r="K1800" i="2"/>
  <c r="U1800" i="2" s="1"/>
  <c r="S1800" i="2"/>
  <c r="T1800" i="2" s="1"/>
  <c r="X1800" i="2" s="1"/>
  <c r="X1144" i="2"/>
  <c r="V2082" i="2"/>
  <c r="W2082" i="2"/>
  <c r="V1967" i="2"/>
  <c r="W1967" i="2"/>
  <c r="V1352" i="2"/>
  <c r="W1352" i="2"/>
  <c r="V1175" i="2"/>
  <c r="W1175" i="2"/>
  <c r="X1175" i="2" s="1"/>
  <c r="X15" i="2"/>
  <c r="V1696" i="2"/>
  <c r="W1696" i="2"/>
  <c r="V1130" i="2"/>
  <c r="W1130" i="2"/>
  <c r="X1130" i="2" s="1"/>
  <c r="V965" i="2"/>
  <c r="W965" i="2"/>
  <c r="X1280" i="2"/>
  <c r="X143" i="2"/>
  <c r="V217" i="2"/>
  <c r="W217" i="2"/>
  <c r="X217" i="2" s="1"/>
  <c r="V580" i="2"/>
  <c r="W580" i="2"/>
  <c r="X1012" i="2"/>
  <c r="X758" i="2"/>
  <c r="X652" i="2"/>
  <c r="V1993" i="2"/>
  <c r="W1993" i="2"/>
  <c r="V2015" i="2"/>
  <c r="W2015" i="2"/>
  <c r="V672" i="2"/>
  <c r="W672" i="2"/>
  <c r="X672" i="2" s="1"/>
  <c r="V1827" i="2"/>
  <c r="W1827" i="2"/>
  <c r="V1571" i="2"/>
  <c r="W1571" i="2"/>
  <c r="V1096" i="2"/>
  <c r="W1096" i="2"/>
  <c r="X1096" i="2" s="1"/>
  <c r="V536" i="2"/>
  <c r="W536" i="2"/>
  <c r="V1006" i="2"/>
  <c r="W1006" i="2"/>
  <c r="X1006" i="2" s="1"/>
  <c r="S1840" i="2"/>
  <c r="T1840" i="2" s="1"/>
  <c r="X1840" i="2" s="1"/>
  <c r="K1840" i="2"/>
  <c r="U1840" i="2" s="1"/>
  <c r="S1501" i="2"/>
  <c r="T1501" i="2" s="1"/>
  <c r="K1501" i="2"/>
  <c r="U1501" i="2" s="1"/>
  <c r="V1194" i="2"/>
  <c r="W1194" i="2"/>
  <c r="V313" i="2"/>
  <c r="W313" i="2"/>
  <c r="X931" i="2"/>
  <c r="X1431" i="2"/>
  <c r="V166" i="2"/>
  <c r="W166" i="2"/>
  <c r="V1830" i="2"/>
  <c r="W1830" i="2"/>
  <c r="V1048" i="2"/>
  <c r="W1048" i="2"/>
  <c r="X1048" i="2" s="1"/>
  <c r="V1920" i="2"/>
  <c r="W1920" i="2"/>
  <c r="V861" i="2"/>
  <c r="W861" i="2"/>
  <c r="S1944" i="2"/>
  <c r="T1944" i="2" s="1"/>
  <c r="X1944" i="2" s="1"/>
  <c r="K1944" i="2"/>
  <c r="U1944" i="2" s="1"/>
  <c r="K498" i="2"/>
  <c r="U498" i="2" s="1"/>
  <c r="S498" i="2"/>
  <c r="T498" i="2" s="1"/>
  <c r="X1052" i="2"/>
  <c r="V2084" i="2"/>
  <c r="W2084" i="2"/>
  <c r="X8" i="2"/>
  <c r="V1539" i="2"/>
  <c r="W1539" i="2"/>
  <c r="V904" i="2"/>
  <c r="W904" i="2"/>
  <c r="X895" i="2"/>
  <c r="X197" i="2"/>
  <c r="V559" i="2" l="1"/>
  <c r="W559" i="2"/>
  <c r="V1637" i="2"/>
  <c r="W1637" i="2"/>
  <c r="V1654" i="2"/>
  <c r="W1654" i="2"/>
  <c r="X498" i="2"/>
  <c r="X816" i="2"/>
  <c r="V669" i="2"/>
  <c r="W669" i="2"/>
  <c r="X669" i="2" s="1"/>
  <c r="X925" i="2"/>
  <c r="V488" i="2"/>
  <c r="W488" i="2"/>
  <c r="V525" i="2"/>
  <c r="W525" i="2"/>
  <c r="V1415" i="2"/>
  <c r="W1415" i="2"/>
  <c r="V1473" i="2"/>
  <c r="W1473" i="2"/>
  <c r="X559" i="2"/>
  <c r="V543" i="2"/>
  <c r="W543" i="2"/>
  <c r="X543" i="2" s="1"/>
  <c r="X1381" i="2"/>
  <c r="V1802" i="2"/>
  <c r="W1802" i="2"/>
  <c r="V498" i="2"/>
  <c r="W498" i="2"/>
  <c r="V816" i="2"/>
  <c r="W816" i="2"/>
  <c r="X1213" i="2"/>
  <c r="V586" i="2"/>
  <c r="W586" i="2"/>
  <c r="V1888" i="2"/>
  <c r="W1888" i="2"/>
  <c r="V1650" i="2"/>
  <c r="W1650" i="2"/>
  <c r="V1167" i="2"/>
  <c r="W1167" i="2"/>
  <c r="V774" i="2"/>
  <c r="W774" i="2"/>
  <c r="V925" i="2"/>
  <c r="W925" i="2"/>
  <c r="X488" i="2"/>
  <c r="V1890" i="2"/>
  <c r="W1890" i="2"/>
  <c r="V1645" i="2"/>
  <c r="W1645" i="2"/>
  <c r="V1981" i="2"/>
  <c r="W1981" i="2"/>
  <c r="V1639" i="2"/>
  <c r="W1639" i="2"/>
  <c r="V1142" i="2"/>
  <c r="W1142" i="2"/>
  <c r="X32" i="2"/>
  <c r="X1473" i="2"/>
  <c r="V550" i="2"/>
  <c r="W550" i="2"/>
  <c r="X550" i="2" s="1"/>
  <c r="V1884" i="2"/>
  <c r="W1884" i="2"/>
  <c r="V1652" i="2"/>
  <c r="W1652" i="2"/>
  <c r="V1398" i="2"/>
  <c r="W1398" i="2"/>
  <c r="V1381" i="2"/>
  <c r="W1381" i="2"/>
  <c r="X722" i="2"/>
  <c r="V1843" i="2"/>
  <c r="W1843" i="2"/>
  <c r="V1978" i="2"/>
  <c r="W1978" i="2"/>
  <c r="V1842" i="2"/>
  <c r="W1842" i="2"/>
  <c r="V1805" i="2"/>
  <c r="W1805" i="2"/>
  <c r="V1617" i="2"/>
  <c r="W1617" i="2"/>
  <c r="V1946" i="2"/>
  <c r="W1946" i="2"/>
  <c r="V1626" i="2"/>
  <c r="W1626" i="2"/>
  <c r="V1656" i="2"/>
  <c r="W1656" i="2"/>
  <c r="V1944" i="2"/>
  <c r="W1944" i="2"/>
  <c r="V1213" i="2"/>
  <c r="W1213" i="2"/>
  <c r="X586" i="2"/>
  <c r="V497" i="2"/>
  <c r="W497" i="2"/>
  <c r="X497" i="2" s="1"/>
  <c r="X1167" i="2"/>
  <c r="X774" i="2"/>
  <c r="V646" i="2"/>
  <c r="W646" i="2"/>
  <c r="V697" i="2"/>
  <c r="W697" i="2"/>
  <c r="X697" i="2" s="1"/>
  <c r="V1801" i="2"/>
  <c r="W1801" i="2"/>
  <c r="V1029" i="2"/>
  <c r="W1029" i="2"/>
  <c r="X1029" i="2" s="1"/>
  <c r="V1875" i="2"/>
  <c r="W1875" i="2"/>
  <c r="X1142" i="2"/>
  <c r="V32" i="2"/>
  <c r="W32" i="2"/>
  <c r="V1839" i="2"/>
  <c r="W1839" i="2"/>
  <c r="V54" i="2"/>
  <c r="W54" i="2"/>
  <c r="V1949" i="2"/>
  <c r="W1949" i="2"/>
  <c r="X1398" i="2"/>
  <c r="V508" i="2"/>
  <c r="W508" i="2"/>
  <c r="X508" i="2" s="1"/>
  <c r="V1941" i="2"/>
  <c r="W1941" i="2"/>
  <c r="V722" i="2"/>
  <c r="W722" i="2"/>
  <c r="V1848" i="2"/>
  <c r="W1848" i="2"/>
  <c r="V1804" i="2"/>
  <c r="W1804" i="2"/>
  <c r="V1880" i="2"/>
  <c r="W1880" i="2"/>
  <c r="V1491" i="2"/>
  <c r="W1491" i="2"/>
  <c r="V1881" i="2"/>
  <c r="W1881" i="2"/>
  <c r="V74" i="2"/>
  <c r="W74" i="2"/>
  <c r="X74" i="2" s="1"/>
  <c r="X477" i="2"/>
  <c r="X468" i="2"/>
  <c r="V775" i="2"/>
  <c r="W775" i="2"/>
  <c r="X775" i="2" s="1"/>
  <c r="V1627" i="2"/>
  <c r="W1627" i="2"/>
  <c r="V1482" i="2"/>
  <c r="W1482" i="2"/>
  <c r="X1482" i="2" s="1"/>
  <c r="V707" i="2"/>
  <c r="W707" i="2"/>
  <c r="X707" i="2" s="1"/>
  <c r="V53" i="2"/>
  <c r="W53" i="2"/>
  <c r="X53" i="2" s="1"/>
  <c r="X50" i="2"/>
  <c r="X526" i="2"/>
  <c r="V1983" i="2"/>
  <c r="W1983" i="2"/>
  <c r="X1183" i="2"/>
  <c r="V1644" i="2"/>
  <c r="W1644" i="2"/>
  <c r="V1185" i="2"/>
  <c r="W1185" i="2"/>
  <c r="X1185" i="2" s="1"/>
  <c r="X457" i="2"/>
  <c r="V1150" i="2"/>
  <c r="W1150" i="2"/>
  <c r="X1150" i="2" s="1"/>
  <c r="V709" i="2"/>
  <c r="W709" i="2"/>
  <c r="V1479" i="2"/>
  <c r="W1479" i="2"/>
  <c r="V69" i="2"/>
  <c r="W69" i="2"/>
  <c r="V1651" i="2"/>
  <c r="W1651" i="2"/>
  <c r="V1642" i="2"/>
  <c r="W1642" i="2"/>
  <c r="V1076" i="2"/>
  <c r="W1076" i="2"/>
  <c r="X1076" i="2" s="1"/>
  <c r="V47" i="2"/>
  <c r="W47" i="2"/>
  <c r="V1979" i="2"/>
  <c r="W1979" i="2"/>
  <c r="V50" i="2"/>
  <c r="W50" i="2"/>
  <c r="V526" i="2"/>
  <c r="W526" i="2"/>
  <c r="V1847" i="2"/>
  <c r="W1847" i="2"/>
  <c r="V1800" i="2"/>
  <c r="W1800" i="2"/>
  <c r="X525" i="2"/>
  <c r="V477" i="2"/>
  <c r="W477" i="2"/>
  <c r="V1202" i="2"/>
  <c r="W1202" i="2"/>
  <c r="X54" i="2"/>
  <c r="V999" i="2"/>
  <c r="W999" i="2"/>
  <c r="X999" i="2" s="1"/>
  <c r="V1765" i="2"/>
  <c r="W1765" i="2"/>
  <c r="V1945" i="2"/>
  <c r="W1945" i="2"/>
  <c r="V1183" i="2"/>
  <c r="W1183" i="2"/>
  <c r="V1982" i="2"/>
  <c r="W1982" i="2"/>
  <c r="V1041" i="2"/>
  <c r="W1041" i="2"/>
  <c r="X1041" i="2" s="1"/>
  <c r="V1658" i="2"/>
  <c r="W1658" i="2"/>
  <c r="V671" i="2"/>
  <c r="W671" i="2"/>
  <c r="X671" i="2" s="1"/>
  <c r="V1655" i="2"/>
  <c r="W1655" i="2"/>
  <c r="V1893" i="2"/>
  <c r="W1893" i="2"/>
  <c r="V1764" i="2"/>
  <c r="W1764" i="2"/>
  <c r="V502" i="2"/>
  <c r="W502" i="2"/>
  <c r="V696" i="2"/>
  <c r="W696" i="2"/>
  <c r="X696" i="2" s="1"/>
  <c r="V674" i="2"/>
  <c r="W674" i="2"/>
  <c r="V1646" i="2"/>
  <c r="W1646" i="2"/>
  <c r="V457" i="2"/>
  <c r="W457" i="2"/>
  <c r="X709" i="2"/>
  <c r="X1479" i="2"/>
  <c r="V1806" i="2"/>
  <c r="W1806" i="2"/>
  <c r="X69" i="2"/>
  <c r="V1886" i="2"/>
  <c r="W1886" i="2"/>
  <c r="V1878" i="2"/>
  <c r="W1878" i="2"/>
  <c r="V1420" i="2"/>
  <c r="W1420" i="2"/>
  <c r="X47" i="2"/>
  <c r="V683" i="2"/>
  <c r="W683" i="2"/>
  <c r="X683" i="2" s="1"/>
  <c r="V1401" i="2"/>
  <c r="W1401" i="2"/>
  <c r="V1936" i="2"/>
  <c r="W1936" i="2"/>
  <c r="V1648" i="2"/>
  <c r="W1648" i="2"/>
  <c r="V1935" i="2"/>
  <c r="W1935" i="2"/>
  <c r="V1176" i="2"/>
  <c r="W1176" i="2"/>
  <c r="X1176" i="2" s="1"/>
  <c r="V1943" i="2"/>
  <c r="W1943" i="2"/>
  <c r="V1799" i="2"/>
  <c r="W1799" i="2"/>
  <c r="V66" i="2"/>
  <c r="W66" i="2"/>
  <c r="X66" i="2" s="1"/>
  <c r="V81" i="2"/>
  <c r="W81" i="2"/>
  <c r="V533" i="2"/>
  <c r="W533" i="2"/>
  <c r="X533" i="2" s="1"/>
  <c r="V524" i="2"/>
  <c r="W524" i="2"/>
  <c r="X524" i="2" s="1"/>
  <c r="V103" i="2"/>
  <c r="W103" i="2"/>
  <c r="V975" i="2"/>
  <c r="W975" i="2"/>
  <c r="V956" i="2"/>
  <c r="W956" i="2"/>
  <c r="X956" i="2" s="1"/>
  <c r="V1980" i="2"/>
  <c r="W1980" i="2"/>
  <c r="V561" i="2"/>
  <c r="W561" i="2"/>
  <c r="V1939" i="2"/>
  <c r="W1939" i="2"/>
  <c r="V1402" i="2"/>
  <c r="W1402" i="2"/>
  <c r="V1845" i="2"/>
  <c r="W1845" i="2"/>
  <c r="X502" i="2"/>
  <c r="X674" i="2"/>
  <c r="V699" i="2"/>
  <c r="W699" i="2"/>
  <c r="X699" i="2" s="1"/>
  <c r="V1462" i="2"/>
  <c r="W1462" i="2"/>
  <c r="V1809" i="2"/>
  <c r="W1809" i="2"/>
  <c r="V1001" i="2"/>
  <c r="W1001" i="2"/>
  <c r="X1001" i="2" s="1"/>
  <c r="V75" i="2"/>
  <c r="W75" i="2"/>
  <c r="V558" i="2"/>
  <c r="W558" i="2"/>
  <c r="V1042" i="2"/>
  <c r="W1042" i="2"/>
  <c r="X1042" i="2" s="1"/>
  <c r="V1889" i="2"/>
  <c r="W1889" i="2"/>
  <c r="V1846" i="2"/>
  <c r="W1846" i="2"/>
  <c r="V740" i="2"/>
  <c r="W740" i="2"/>
  <c r="V1653" i="2"/>
  <c r="W1653" i="2"/>
  <c r="V1947" i="2"/>
  <c r="W1947" i="2"/>
  <c r="V579" i="2"/>
  <c r="W579" i="2"/>
  <c r="V471" i="2"/>
  <c r="W471" i="2"/>
  <c r="V1004" i="2"/>
  <c r="W1004" i="2"/>
  <c r="X1420" i="2"/>
  <c r="V1019" i="2"/>
  <c r="W1019" i="2"/>
  <c r="X1019" i="2" s="1"/>
  <c r="V1874" i="2"/>
  <c r="W1874" i="2"/>
  <c r="X1401" i="2"/>
  <c r="V511" i="2"/>
  <c r="W511" i="2"/>
  <c r="V979" i="2"/>
  <c r="W979" i="2"/>
  <c r="X979" i="2" s="1"/>
  <c r="V731" i="2"/>
  <c r="W731" i="2"/>
  <c r="X731" i="2" s="1"/>
  <c r="V1840" i="2"/>
  <c r="W1840" i="2"/>
  <c r="V1798" i="2"/>
  <c r="W1798" i="2"/>
  <c r="V1657" i="2"/>
  <c r="W1657" i="2"/>
  <c r="V468" i="2"/>
  <c r="W468" i="2"/>
  <c r="X646" i="2"/>
  <c r="V1879" i="2"/>
  <c r="W1879" i="2"/>
  <c r="V1937" i="2"/>
  <c r="W1937" i="2"/>
  <c r="V1876" i="2"/>
  <c r="W1876" i="2"/>
  <c r="V1984" i="2"/>
  <c r="W1984" i="2"/>
  <c r="V1938" i="2"/>
  <c r="W1938" i="2"/>
  <c r="V1844" i="2"/>
  <c r="W1844" i="2"/>
  <c r="V1883" i="2"/>
  <c r="W1883" i="2"/>
  <c r="V1934" i="2"/>
  <c r="W1934" i="2"/>
  <c r="V1638" i="2"/>
  <c r="W1638" i="2"/>
  <c r="X561" i="2"/>
  <c r="X1402" i="2"/>
  <c r="V1808" i="2"/>
  <c r="W1808" i="2"/>
  <c r="V548" i="2"/>
  <c r="W548" i="2"/>
  <c r="X548" i="2" s="1"/>
  <c r="V1882" i="2"/>
  <c r="W1882" i="2"/>
  <c r="V1891" i="2"/>
  <c r="W1891" i="2"/>
  <c r="V1887" i="2"/>
  <c r="W1887" i="2"/>
  <c r="V1985" i="2"/>
  <c r="W1985" i="2"/>
  <c r="V1948" i="2"/>
  <c r="W1948" i="2"/>
  <c r="X1462" i="2"/>
  <c r="V807" i="2"/>
  <c r="W807" i="2"/>
  <c r="X807" i="2" s="1"/>
  <c r="X75" i="2"/>
  <c r="X558" i="2"/>
  <c r="V1649" i="2"/>
  <c r="W1649" i="2"/>
  <c r="V61" i="2"/>
  <c r="W61" i="2"/>
  <c r="V1885" i="2"/>
  <c r="W1885" i="2"/>
  <c r="V40" i="2"/>
  <c r="W40" i="2"/>
  <c r="X40" i="2" s="1"/>
  <c r="X740" i="2"/>
  <c r="V1034" i="2"/>
  <c r="W1034" i="2"/>
  <c r="X1034" i="2" s="1"/>
  <c r="V1640" i="2"/>
  <c r="W1640" i="2"/>
  <c r="V517" i="2"/>
  <c r="W517" i="2"/>
  <c r="X517" i="2" s="1"/>
  <c r="X579" i="2"/>
  <c r="X471" i="2"/>
  <c r="X1004" i="2"/>
  <c r="V1838" i="2"/>
  <c r="W1838" i="2"/>
  <c r="X511" i="2"/>
  <c r="X960" i="2"/>
  <c r="V1841" i="2"/>
  <c r="W1841" i="2"/>
  <c r="V1803" i="2"/>
  <c r="W1803" i="2"/>
  <c r="X1415" i="2"/>
  <c r="V1636" i="2"/>
  <c r="W1636" i="2"/>
  <c r="V1000" i="2"/>
  <c r="W1000" i="2"/>
  <c r="X1000" i="2" s="1"/>
  <c r="V1940" i="2"/>
  <c r="W1940" i="2"/>
  <c r="V1045" i="2"/>
  <c r="W1045" i="2"/>
  <c r="X1045" i="2" s="1"/>
  <c r="V1641" i="2"/>
  <c r="W1641" i="2"/>
  <c r="X1202" i="2"/>
  <c r="X975" i="2"/>
  <c r="X1491" i="2"/>
  <c r="X81" i="2"/>
  <c r="V1877" i="2"/>
  <c r="W1877" i="2"/>
  <c r="V1065" i="2"/>
  <c r="W1065" i="2"/>
  <c r="X1065" i="2" s="1"/>
  <c r="X103" i="2"/>
  <c r="V1616" i="2"/>
  <c r="W1616" i="2"/>
  <c r="V1501" i="2"/>
  <c r="W1501" i="2"/>
  <c r="X1501" i="2" s="1"/>
  <c r="V988" i="2"/>
  <c r="W988" i="2"/>
  <c r="X988" i="2" s="1"/>
  <c r="V768" i="2"/>
  <c r="W768" i="2"/>
  <c r="X768" i="2" s="1"/>
  <c r="V1659" i="2"/>
  <c r="W1659" i="2"/>
  <c r="V1849" i="2"/>
  <c r="W1849" i="2"/>
  <c r="X61" i="2"/>
  <c r="V1892" i="2"/>
  <c r="W1892" i="2"/>
  <c r="V96" i="2"/>
  <c r="W96" i="2"/>
  <c r="X96" i="2" s="1"/>
  <c r="V1942" i="2"/>
  <c r="W1942" i="2"/>
  <c r="V495" i="2"/>
  <c r="W495" i="2"/>
  <c r="X495" i="2" s="1"/>
  <c r="V1647" i="2"/>
  <c r="W1647" i="2"/>
  <c r="V1807" i="2"/>
  <c r="W1807" i="2"/>
  <c r="V1643" i="2"/>
  <c r="W1643" i="2"/>
  <c r="V960" i="2"/>
  <c r="W960" i="2"/>
</calcChain>
</file>

<file path=xl/sharedStrings.xml><?xml version="1.0" encoding="utf-8"?>
<sst xmlns="http://schemas.openxmlformats.org/spreadsheetml/2006/main" count="13446" uniqueCount="116">
  <si>
    <t>Row Labels</t>
  </si>
  <si>
    <t>Count of LOOT</t>
  </si>
  <si>
    <t>FAIL</t>
  </si>
  <si>
    <t>PASS</t>
  </si>
  <si>
    <t>Grand Total</t>
  </si>
  <si>
    <t>TEAM</t>
  </si>
  <si>
    <t>ROOM</t>
  </si>
  <si>
    <t>CONCAT</t>
  </si>
  <si>
    <t>TIME</t>
  </si>
  <si>
    <t>P</t>
  </si>
  <si>
    <t>R1</t>
  </si>
  <si>
    <t>R2</t>
  </si>
  <si>
    <t>Q</t>
  </si>
  <si>
    <t>R</t>
  </si>
  <si>
    <t>S</t>
  </si>
  <si>
    <t>T</t>
  </si>
  <si>
    <t>U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</si>
  <si>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</si>
  <si>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</si>
  <si>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</si>
  <si>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</si>
  <si>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</si>
  <si>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</si>
  <si>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</si>
  <si>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</si>
  <si>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</si>
  <si>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</si>
  <si>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</si>
  <si>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</si>
  <si>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</si>
  <si>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</si>
  <si>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</si>
  <si>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</si>
  <si>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</si>
  <si>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</si>
  <si>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 xml:space="preserve"> </t>
  </si>
  <si>
    <t>NUM OF MEM</t>
  </si>
  <si>
    <t>TRC</t>
  </si>
  <si>
    <t>COMBINATION</t>
  </si>
  <si>
    <t>DISGUISE</t>
  </si>
  <si>
    <t>DRC</t>
  </si>
  <si>
    <t>WEAPON</t>
  </si>
  <si>
    <t>WRC</t>
  </si>
  <si>
    <t>EXIT</t>
  </si>
  <si>
    <t>ERC</t>
  </si>
  <si>
    <t>EQUIPMENT</t>
  </si>
  <si>
    <t>EQRC</t>
  </si>
  <si>
    <t>LOOT</t>
  </si>
  <si>
    <t>ROOM TIME</t>
  </si>
  <si>
    <t>GUARD TIME</t>
  </si>
  <si>
    <t>TOTAL TIME TAKEN</t>
  </si>
  <si>
    <t>TOTAL TIME</t>
  </si>
  <si>
    <t>TIME DIFFERENCE</t>
  </si>
  <si>
    <t>PASS/FAIL</t>
  </si>
  <si>
    <t>TOTAL COST</t>
  </si>
  <si>
    <t>COST WITH SECURITY</t>
  </si>
  <si>
    <t>PROFIT</t>
  </si>
  <si>
    <t>FINAL PROFIT</t>
  </si>
  <si>
    <t>D2</t>
  </si>
  <si>
    <t>W2</t>
  </si>
  <si>
    <t>E1</t>
  </si>
  <si>
    <t>NO</t>
  </si>
  <si>
    <t>D1</t>
  </si>
  <si>
    <t>W1</t>
  </si>
  <si>
    <t>E2</t>
  </si>
  <si>
    <t>YES</t>
  </si>
  <si>
    <t>W3</t>
  </si>
  <si>
    <t>Teams</t>
  </si>
  <si>
    <t>COST</t>
  </si>
  <si>
    <t>RISK</t>
  </si>
  <si>
    <t>RC</t>
  </si>
  <si>
    <t>OPTIMIZER</t>
  </si>
  <si>
    <t>MINIMIZE</t>
  </si>
  <si>
    <t>OPTIMIZE</t>
  </si>
  <si>
    <t>L-RC</t>
  </si>
  <si>
    <t>security fees</t>
  </si>
  <si>
    <t>A</t>
  </si>
  <si>
    <t>REAL COST</t>
  </si>
  <si>
    <t>B</t>
  </si>
  <si>
    <t>RC FOR 2</t>
  </si>
  <si>
    <t>C</t>
  </si>
  <si>
    <t>D</t>
  </si>
  <si>
    <t>GOOGLE FORM PADHKE 6 ROOM KA PATA NA CHALE</t>
  </si>
  <si>
    <t>E</t>
  </si>
  <si>
    <t>RISK KO KUCH AUR BULAO</t>
  </si>
  <si>
    <t>POSSIBLE TEAMS</t>
  </si>
  <si>
    <t>MEMBERS</t>
  </si>
  <si>
    <t>NO OF MEM</t>
  </si>
  <si>
    <t>c per mem</t>
  </si>
  <si>
    <t>SECURITY FEES</t>
  </si>
  <si>
    <t>ABE</t>
  </si>
  <si>
    <t>ADE</t>
  </si>
  <si>
    <t>BCD</t>
  </si>
  <si>
    <t>AD</t>
  </si>
  <si>
    <t xml:space="preserve">CE </t>
  </si>
  <si>
    <t>BC</t>
  </si>
  <si>
    <t>EFFICIENCY</t>
  </si>
  <si>
    <t>COST/MEMBER</t>
  </si>
  <si>
    <t>TIME MULTIPLIER</t>
  </si>
  <si>
    <t>CREW</t>
  </si>
  <si>
    <t>TIME AFTER EFIICIENCY</t>
  </si>
  <si>
    <t>CONACT</t>
  </si>
  <si>
    <t>AVG</t>
  </si>
  <si>
    <t>TIME PER GUARD</t>
  </si>
  <si>
    <t>N0 OF ARTIFACTS</t>
  </si>
  <si>
    <t>TIME PER ARTIFACT</t>
  </si>
  <si>
    <t>VALUE PER ARTIFACT</t>
  </si>
  <si>
    <t>LOOT TOTAL</t>
  </si>
  <si>
    <t>TIME TOTAL</t>
  </si>
  <si>
    <t>MAXIMIZE</t>
  </si>
  <si>
    <t>GUARD</t>
  </si>
  <si>
    <t>WITH EQUIPMENT</t>
  </si>
  <si>
    <t>NUMBER</t>
  </si>
  <si>
    <t>COMB</t>
  </si>
  <si>
    <t>NO FOR GUARD</t>
  </si>
  <si>
    <t>COST PER MEM 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</si>
</sst>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6"/>
      <color rgb="FF111111"/>
      <name val="Roboto"/>
      <family val="2"/>
    </font>
  </fonts>
  <fills count="5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FFFFFF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2" fillId="0" borderId="2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4" fontId="2" fillId="0" borderId="6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left"/>
    </xf>
    <xf numFmtId="3" fontId="2" fillId="0" borderId="11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2" fillId="0" borderId="12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4" fontId="2" fillId="2" borderId="7" xfId="0" applyNumberFormat="1" applyFont="1" applyFill="1" applyBorder="1" applyAlignment="1">
      <alignment horizontal="right"/>
    </xf>
    <xf numFmtId="3" fontId="2" fillId="0" borderId="14" xfId="0" applyNumberFormat="1" applyFont="1" applyBorder="1" applyAlignment="1">
      <alignment horizontal="left"/>
    </xf>
    <xf numFmtId="3" fontId="2" fillId="0" borderId="15" xfId="0" applyNumberFormat="1" applyFont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left"/>
    </xf>
    <xf numFmtId="3" fontId="2" fillId="3" borderId="18" xfId="0" applyNumberFormat="1" applyFont="1" applyFill="1" applyBorder="1" applyAlignment="1">
      <alignment horizontal="left"/>
    </xf>
    <xf numFmtId="3" fontId="2" fillId="3" borderId="19" xfId="0" applyNumberFormat="1" applyFont="1" applyFill="1" applyBorder="1" applyAlignment="1">
      <alignment horizontal="left"/>
    </xf>
    <xf numFmtId="3" fontId="2" fillId="3" borderId="20" xfId="0" applyNumberFormat="1" applyFont="1" applyFill="1" applyBorder="1" applyAlignment="1">
      <alignment horizontal="left"/>
    </xf>
    <xf numFmtId="3" fontId="2" fillId="3" borderId="2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3" fontId="2" fillId="3" borderId="22" xfId="0" applyNumberFormat="1" applyFont="1" applyFill="1" applyBorder="1" applyAlignment="1">
      <alignment horizontal="left"/>
    </xf>
    <xf numFmtId="3" fontId="2" fillId="3" borderId="23" xfId="0" applyNumberFormat="1" applyFont="1" applyFill="1" applyBorder="1" applyAlignment="1">
      <alignment horizontal="left"/>
    </xf>
    <xf numFmtId="3" fontId="2" fillId="3" borderId="24" xfId="0" applyNumberFormat="1" applyFont="1" applyFill="1" applyBorder="1" applyAlignment="1">
      <alignment horizontal="left"/>
    </xf>
    <xf numFmtId="4" fontId="2" fillId="3" borderId="19" xfId="0" applyNumberFormat="1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left"/>
    </xf>
    <xf numFmtId="4" fontId="2" fillId="3" borderId="21" xfId="0" applyNumberFormat="1" applyFont="1" applyFill="1" applyBorder="1" applyAlignment="1">
      <alignment horizontal="left"/>
    </xf>
    <xf numFmtId="4" fontId="2" fillId="3" borderId="24" xfId="0" applyNumberFormat="1" applyFont="1" applyFill="1" applyBorder="1" applyAlignment="1">
      <alignment horizontal="left"/>
    </xf>
    <xf numFmtId="4" fontId="2" fillId="3" borderId="7" xfId="0" applyNumberFormat="1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3" fontId="2" fillId="3" borderId="21" xfId="0" applyNumberFormat="1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left"/>
    </xf>
    <xf numFmtId="4" fontId="2" fillId="3" borderId="25" xfId="0" applyNumberFormat="1" applyFont="1" applyFill="1" applyBorder="1" applyAlignment="1">
      <alignment horizontal="left"/>
    </xf>
    <xf numFmtId="4" fontId="2" fillId="3" borderId="23" xfId="0" applyNumberFormat="1" applyFont="1" applyFill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4" fontId="2" fillId="0" borderId="9" xfId="0" applyNumberFormat="1" applyFont="1" applyBorder="1" applyAlignment="1">
      <alignment horizontal="left"/>
    </xf>
    <xf numFmtId="4" fontId="2" fillId="0" borderId="10" xfId="0" applyNumberFormat="1" applyFont="1" applyBorder="1" applyAlignment="1">
      <alignment horizontal="left"/>
    </xf>
    <xf numFmtId="4" fontId="2" fillId="0" borderId="13" xfId="0" applyNumberFormat="1" applyFont="1" applyBorder="1" applyAlignment="1">
      <alignment horizontal="left"/>
    </xf>
    <xf numFmtId="3" fontId="2" fillId="0" borderId="12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4" fontId="2" fillId="0" borderId="5" xfId="0" applyNumberFormat="1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4" fontId="2" fillId="0" borderId="14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2" fillId="4" borderId="26" xfId="0" applyNumberFormat="1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left"/>
    </xf>
    <xf numFmtId="4" fontId="2" fillId="4" borderId="28" xfId="0" applyNumberFormat="1" applyFont="1" applyFill="1" applyBorder="1" applyAlignment="1">
      <alignment horizontal="left"/>
    </xf>
    <xf numFmtId="3" fontId="2" fillId="4" borderId="29" xfId="0" applyNumberFormat="1" applyFont="1" applyFill="1" applyBorder="1" applyAlignment="1">
      <alignment horizontal="left"/>
    </xf>
    <xf numFmtId="3" fontId="2" fillId="4" borderId="7" xfId="0" applyNumberFormat="1" applyFont="1" applyFill="1" applyBorder="1" applyAlignment="1">
      <alignment horizontal="left"/>
    </xf>
    <xf numFmtId="4" fontId="2" fillId="4" borderId="7" xfId="0" applyNumberFormat="1" applyFont="1" applyFill="1" applyBorder="1" applyAlignment="1">
      <alignment horizontal="left"/>
    </xf>
    <xf numFmtId="3" fontId="2" fillId="4" borderId="30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161" totalsRowShown="0">
  <autoFilter ref="A1:X2161" xr:uid="{00000000-0009-0000-0100-000001000000}"/>
  <tableColumns count="24">
    <tableColumn id="1" xr3:uid="{00000000-0010-0000-0000-000001000000}" name="TEAM"/>
    <tableColumn id="2" xr3:uid="{00000000-0010-0000-0000-000002000000}" name="NUM OF MEM"/>
    <tableColumn id="3" xr3:uid="{00000000-0010-0000-0000-000003000000}" name="TRC"/>
    <tableColumn id="4" xr3:uid="{00000000-0010-0000-0000-000004000000}" name="ROOM"/>
    <tableColumn id="5" xr3:uid="{00000000-0010-0000-0000-000005000000}" name="COMBINATION"/>
    <tableColumn id="6" xr3:uid="{00000000-0010-0000-0000-000006000000}" name="DISGUISE"/>
    <tableColumn id="7" xr3:uid="{00000000-0010-0000-0000-000007000000}" name="DRC"/>
    <tableColumn id="8" xr3:uid="{00000000-0010-0000-0000-000008000000}" name="WEAPON"/>
    <tableColumn id="9" xr3:uid="{00000000-0010-0000-0000-000009000000}" name="WRC"/>
    <tableColumn id="10" xr3:uid="{00000000-0010-0000-0000-00000A000000}" name="EXIT"/>
    <tableColumn id="11" xr3:uid="{00000000-0010-0000-0000-00000B000000}" name="ERC"/>
    <tableColumn id="12" xr3:uid="{00000000-0010-0000-0000-00000C000000}" name="EQUIPMENT"/>
    <tableColumn id="13" xr3:uid="{00000000-0010-0000-0000-00000D000000}" name="EQRC"/>
    <tableColumn id="14" xr3:uid="{00000000-0010-0000-0000-00000E000000}" name="LOOT"/>
    <tableColumn id="15" xr3:uid="{00000000-0010-0000-0000-00000F000000}" name="ROOM TIME"/>
    <tableColumn id="16" xr3:uid="{00000000-0010-0000-0000-000010000000}" name="GUARD TIME"/>
    <tableColumn id="17" xr3:uid="{00000000-0010-0000-0000-000011000000}" name="TOTAL TIME TAKEN"/>
    <tableColumn id="18" xr3:uid="{00000000-0010-0000-0000-000012000000}" name="TOTAL TIME"/>
    <tableColumn id="19" xr3:uid="{00000000-0010-0000-0000-000013000000}" name="TIME DIFFERENCE"/>
    <tableColumn id="20" xr3:uid="{00000000-0010-0000-0000-000014000000}" name="PASS/FAIL"/>
    <tableColumn id="21" xr3:uid="{00000000-0010-0000-0000-000015000000}" name="TOTAL COST"/>
    <tableColumn id="22" xr3:uid="{00000000-0010-0000-0000-000016000000}" name="COST WITH SECURITY"/>
    <tableColumn id="23" xr3:uid="{00000000-0010-0000-0000-000017000000}" name="PROFIT"/>
    <tableColumn id="24" xr3:uid="{00000000-0010-0000-0000-000018000000}" name="FINAL PROF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O74"/>
  <sheetViews>
    <sheetView tabSelected="1" topLeftCell="A30" workbookViewId="0">
      <selection activeCell="P20" sqref="P20"/>
    </sheetView>
  </sheetViews>
  <sheetFormatPr defaultRowHeight="14.25" x14ac:dyDescent="0.45"/>
  <cols>
    <col min="1" max="1" width="14.1328125" style="74" bestFit="1" customWidth="1"/>
    <col min="2" max="2" width="20.3984375" style="74" bestFit="1" customWidth="1"/>
    <col min="3" max="3" width="16.265625" style="75" bestFit="1" customWidth="1"/>
    <col min="4" max="4" width="17.59765625" style="76" bestFit="1" customWidth="1"/>
    <col min="5" max="5" width="11.1328125" style="12" bestFit="1" customWidth="1"/>
    <col min="6" max="6" width="10.73046875" style="12" bestFit="1" customWidth="1"/>
    <col min="7" max="7" width="20.1328125" style="12" bestFit="1" customWidth="1"/>
    <col min="8" max="8" width="16.3984375" style="77" bestFit="1" customWidth="1"/>
    <col min="9" max="9" width="17.73046875" style="12" bestFit="1" customWidth="1"/>
    <col min="10" max="11" width="14.1328125" style="76" bestFit="1" customWidth="1"/>
    <col min="12" max="13" width="14.1328125" bestFit="1" customWidth="1"/>
    <col min="14" max="14" width="14.1328125" style="76" bestFit="1" customWidth="1"/>
    <col min="15" max="15" width="10.73046875" style="12" bestFit="1" customWidth="1"/>
    <col min="16" max="24" width="14.1328125" style="12" bestFit="1" customWidth="1"/>
    <col min="25" max="26" width="14.1328125" style="76" bestFit="1" customWidth="1"/>
    <col min="27" max="28" width="14.1328125" bestFit="1" customWidth="1"/>
    <col min="29" max="29" width="14.1328125" style="12" bestFit="1" customWidth="1"/>
    <col min="30" max="31" width="14.1328125" bestFit="1" customWidth="1"/>
    <col min="32" max="32" width="14.1328125" style="76" bestFit="1" customWidth="1"/>
    <col min="33" max="34" width="14.1328125" bestFit="1" customWidth="1"/>
    <col min="35" max="40" width="14.1328125" style="12" bestFit="1" customWidth="1"/>
    <col min="41" max="41" width="14.1328125" style="76" bestFit="1" customWidth="1"/>
  </cols>
  <sheetData>
    <row r="1" spans="1:41" ht="21" customHeight="1" x14ac:dyDescent="0.45">
      <c r="A1" s="16" t="s">
        <v>67</v>
      </c>
      <c r="B1" s="17"/>
      <c r="C1" s="18"/>
      <c r="D1" s="8"/>
      <c r="E1" s="2"/>
      <c r="F1" s="2"/>
      <c r="G1" s="2"/>
      <c r="H1" s="19"/>
      <c r="I1" s="2"/>
      <c r="J1" s="8"/>
      <c r="K1" s="8"/>
      <c r="N1" s="8"/>
      <c r="O1" s="2"/>
      <c r="P1" s="2"/>
      <c r="Q1" s="2"/>
      <c r="R1" s="2"/>
      <c r="S1" s="2"/>
      <c r="T1" s="2"/>
      <c r="U1" s="8"/>
      <c r="V1" s="2"/>
      <c r="W1" s="8"/>
      <c r="X1" s="8"/>
      <c r="Y1" s="8"/>
      <c r="Z1" s="8"/>
      <c r="AC1" s="2"/>
      <c r="AF1" s="8"/>
      <c r="AI1" s="8"/>
      <c r="AJ1" s="8"/>
      <c r="AK1" s="8"/>
      <c r="AL1" s="8"/>
      <c r="AM1" s="8"/>
      <c r="AN1" s="8"/>
      <c r="AO1" s="8"/>
    </row>
    <row r="2" spans="1:41" ht="21" customHeight="1" x14ac:dyDescent="0.45">
      <c r="A2" s="20"/>
      <c r="B2" s="10" t="s">
        <v>68</v>
      </c>
      <c r="C2" s="21" t="s">
        <v>69</v>
      </c>
      <c r="D2" s="22" t="s">
        <v>70</v>
      </c>
      <c r="E2" s="23" t="s">
        <v>71</v>
      </c>
      <c r="F2" s="10" t="s">
        <v>72</v>
      </c>
      <c r="G2" s="2"/>
      <c r="H2" s="19"/>
      <c r="I2" s="10" t="s">
        <v>73</v>
      </c>
      <c r="J2" s="8"/>
      <c r="K2" s="22" t="s">
        <v>74</v>
      </c>
      <c r="N2" s="8"/>
      <c r="O2" s="24" t="s">
        <v>75</v>
      </c>
      <c r="P2" s="25">
        <v>0.05</v>
      </c>
      <c r="Q2" s="26"/>
      <c r="R2" s="2"/>
      <c r="S2" s="2"/>
      <c r="T2" s="2"/>
      <c r="U2" s="8"/>
      <c r="V2" s="2"/>
      <c r="W2" s="8"/>
      <c r="X2" s="8"/>
      <c r="Y2" s="8"/>
      <c r="Z2" s="8"/>
      <c r="AC2" s="2"/>
      <c r="AF2" s="8"/>
      <c r="AI2" s="8"/>
      <c r="AJ2" s="8"/>
      <c r="AK2" s="8"/>
      <c r="AL2" s="8"/>
      <c r="AM2" s="8"/>
      <c r="AN2" s="8"/>
      <c r="AO2" s="8"/>
    </row>
    <row r="3" spans="1:41" ht="20.25" customHeight="1" x14ac:dyDescent="0.45">
      <c r="A3" s="20" t="s">
        <v>76</v>
      </c>
      <c r="B3" s="27">
        <v>2000000</v>
      </c>
      <c r="C3" s="28">
        <v>0.1</v>
      </c>
      <c r="D3" s="4">
        <f>B3*(1+C3)</f>
        <v>2200000</v>
      </c>
      <c r="E3" s="29">
        <f>D3</f>
        <v>2200000</v>
      </c>
      <c r="F3" s="2"/>
      <c r="G3" s="2"/>
      <c r="H3" s="19"/>
      <c r="I3" s="10" t="s">
        <v>51</v>
      </c>
      <c r="J3" s="8"/>
      <c r="K3" s="4">
        <v>60</v>
      </c>
      <c r="N3" s="8"/>
      <c r="O3" s="30" t="s">
        <v>77</v>
      </c>
      <c r="P3" s="2"/>
      <c r="Q3" s="31"/>
      <c r="R3" s="2"/>
      <c r="S3" s="2"/>
      <c r="T3" s="2"/>
      <c r="U3" s="8"/>
      <c r="V3" s="2"/>
      <c r="W3" s="8"/>
      <c r="X3" s="8"/>
      <c r="Y3" s="8"/>
      <c r="Z3" s="8"/>
      <c r="AC3" s="2"/>
      <c r="AF3" s="8"/>
      <c r="AI3" s="8"/>
      <c r="AJ3" s="8"/>
      <c r="AK3" s="8"/>
      <c r="AL3" s="8"/>
      <c r="AM3" s="8"/>
      <c r="AN3" s="8"/>
      <c r="AO3" s="8"/>
    </row>
    <row r="4" spans="1:41" ht="20.25" customHeight="1" x14ac:dyDescent="0.45">
      <c r="A4" s="20" t="s">
        <v>78</v>
      </c>
      <c r="B4" s="27">
        <v>1800000</v>
      </c>
      <c r="C4" s="28">
        <v>0.15</v>
      </c>
      <c r="D4" s="9">
        <f>B4*(1+C4)</f>
        <v>2069999.9999999998</v>
      </c>
      <c r="E4" s="32">
        <f>D4</f>
        <v>2069999.9999999998</v>
      </c>
      <c r="F4" s="2"/>
      <c r="G4" s="2"/>
      <c r="H4" s="19"/>
      <c r="I4" s="10" t="s">
        <v>79</v>
      </c>
      <c r="J4" s="8"/>
      <c r="K4" s="9">
        <v>1.48</v>
      </c>
      <c r="N4" s="8"/>
      <c r="O4" s="30" t="s">
        <v>76</v>
      </c>
      <c r="P4" s="4">
        <f>B3/10</f>
        <v>200000</v>
      </c>
      <c r="Q4" s="31"/>
      <c r="R4" s="2"/>
      <c r="S4" s="2"/>
      <c r="T4" s="2"/>
      <c r="U4" s="8"/>
      <c r="V4" s="2"/>
      <c r="W4" s="8"/>
      <c r="X4" s="8"/>
      <c r="Y4" s="8"/>
      <c r="Z4" s="8"/>
      <c r="AC4" s="2"/>
      <c r="AF4" s="8"/>
      <c r="AI4" s="8"/>
      <c r="AJ4" s="8"/>
      <c r="AK4" s="8"/>
      <c r="AL4" s="8"/>
      <c r="AM4" s="8"/>
      <c r="AN4" s="8"/>
      <c r="AO4" s="8"/>
    </row>
    <row r="5" spans="1:41" ht="20.25" customHeight="1" x14ac:dyDescent="0.45">
      <c r="A5" s="20" t="s">
        <v>80</v>
      </c>
      <c r="B5" s="27">
        <v>1700000</v>
      </c>
      <c r="C5" s="28">
        <v>0.2</v>
      </c>
      <c r="D5" s="4">
        <f>B5*(1+C5)</f>
        <v>2040000</v>
      </c>
      <c r="E5" s="29">
        <f>D5</f>
        <v>2040000</v>
      </c>
      <c r="F5" s="2"/>
      <c r="G5" s="2"/>
      <c r="H5" s="19"/>
      <c r="I5" s="2"/>
      <c r="J5" s="8"/>
      <c r="K5" s="8"/>
      <c r="N5" s="8"/>
      <c r="O5" s="30" t="s">
        <v>78</v>
      </c>
      <c r="P5" s="4">
        <f>B4/10</f>
        <v>180000</v>
      </c>
      <c r="Q5" s="31"/>
      <c r="R5" s="2"/>
      <c r="S5" s="2"/>
      <c r="T5" s="2"/>
      <c r="U5" s="8"/>
      <c r="V5" s="2"/>
      <c r="W5" s="8"/>
      <c r="X5" s="8"/>
      <c r="Y5" s="8"/>
      <c r="Z5" s="8"/>
      <c r="AC5" s="2"/>
      <c r="AF5" s="8"/>
      <c r="AI5" s="8"/>
      <c r="AJ5" s="8"/>
      <c r="AK5" s="8"/>
      <c r="AL5" s="8"/>
      <c r="AM5" s="8"/>
      <c r="AN5" s="8"/>
      <c r="AO5" s="8"/>
    </row>
    <row r="6" spans="1:41" ht="20.25" customHeight="1" x14ac:dyDescent="0.45">
      <c r="A6" s="20" t="s">
        <v>81</v>
      </c>
      <c r="B6" s="27">
        <v>1400000</v>
      </c>
      <c r="C6" s="28">
        <v>0.3</v>
      </c>
      <c r="D6" s="4">
        <f>B6*(1+C6)</f>
        <v>1820000</v>
      </c>
      <c r="E6" s="29">
        <f>D6</f>
        <v>1820000</v>
      </c>
      <c r="F6" s="2"/>
      <c r="G6" s="2"/>
      <c r="H6" s="19"/>
      <c r="I6" s="10" t="s">
        <v>82</v>
      </c>
      <c r="J6" s="8"/>
      <c r="K6" s="8"/>
      <c r="N6" s="8"/>
      <c r="O6" s="30" t="s">
        <v>80</v>
      </c>
      <c r="P6" s="4">
        <f>B5/10</f>
        <v>170000</v>
      </c>
      <c r="Q6" s="31"/>
      <c r="R6" s="2"/>
      <c r="S6" s="2"/>
      <c r="T6" s="2"/>
      <c r="U6" s="8"/>
      <c r="V6" s="2"/>
      <c r="W6" s="8"/>
      <c r="X6" s="8"/>
      <c r="Y6" s="8"/>
      <c r="Z6" s="8"/>
      <c r="AC6" s="2"/>
      <c r="AF6" s="8"/>
      <c r="AI6" s="8"/>
      <c r="AJ6" s="8"/>
      <c r="AK6" s="8"/>
      <c r="AL6" s="8"/>
      <c r="AM6" s="8"/>
      <c r="AN6" s="8"/>
      <c r="AO6" s="8"/>
    </row>
    <row r="7" spans="1:41" ht="21" customHeight="1" x14ac:dyDescent="0.45">
      <c r="A7" s="33" t="s">
        <v>83</v>
      </c>
      <c r="B7" s="27">
        <v>1575000</v>
      </c>
      <c r="C7" s="28">
        <v>0.25</v>
      </c>
      <c r="D7" s="4">
        <f>B7*(1+C7)</f>
        <v>1968750</v>
      </c>
      <c r="E7" s="29">
        <f>D7</f>
        <v>1968750</v>
      </c>
      <c r="F7" s="2"/>
      <c r="G7" s="2"/>
      <c r="H7" s="19"/>
      <c r="I7" s="10" t="s">
        <v>84</v>
      </c>
      <c r="J7" s="8"/>
      <c r="K7" s="8"/>
      <c r="N7" s="8"/>
      <c r="O7" s="30" t="s">
        <v>81</v>
      </c>
      <c r="P7" s="4">
        <f>B6/10</f>
        <v>140000</v>
      </c>
      <c r="Q7" s="31"/>
      <c r="R7" s="2"/>
      <c r="S7" s="2"/>
      <c r="T7" s="2"/>
      <c r="U7" s="8"/>
      <c r="V7" s="2"/>
      <c r="W7" s="8"/>
      <c r="X7" s="8"/>
      <c r="Y7" s="8"/>
      <c r="Z7" s="8"/>
      <c r="AC7" s="2"/>
      <c r="AF7" s="8"/>
      <c r="AI7" s="8"/>
      <c r="AJ7" s="8"/>
      <c r="AK7" s="8"/>
      <c r="AL7" s="8"/>
      <c r="AM7" s="8"/>
      <c r="AN7" s="8"/>
      <c r="AO7" s="8"/>
    </row>
    <row r="8" spans="1:41" ht="20.25" customHeight="1" x14ac:dyDescent="0.45">
      <c r="A8" s="2"/>
      <c r="B8" s="2"/>
      <c r="C8" s="8"/>
      <c r="D8" s="8"/>
      <c r="E8" s="2"/>
      <c r="F8" s="2"/>
      <c r="G8" s="2"/>
      <c r="H8" s="19"/>
      <c r="I8" s="2"/>
      <c r="J8" s="8"/>
      <c r="K8" s="8"/>
      <c r="N8" s="8"/>
      <c r="O8" s="34" t="s">
        <v>83</v>
      </c>
      <c r="P8" s="35">
        <f>B7/10</f>
        <v>157500</v>
      </c>
      <c r="Q8" s="36"/>
      <c r="R8" s="2"/>
      <c r="S8" s="2"/>
      <c r="T8" s="2"/>
      <c r="U8" s="8"/>
      <c r="V8" s="2"/>
      <c r="W8" s="8"/>
      <c r="X8" s="8"/>
      <c r="Y8" s="8"/>
      <c r="Z8" s="8"/>
      <c r="AC8" s="2"/>
      <c r="AF8" s="8"/>
      <c r="AI8" s="8"/>
      <c r="AJ8" s="8"/>
      <c r="AK8" s="8"/>
      <c r="AL8" s="8"/>
      <c r="AM8" s="8"/>
      <c r="AN8" s="8"/>
      <c r="AO8" s="8"/>
    </row>
    <row r="9" spans="1:41" ht="21" customHeight="1" x14ac:dyDescent="0.45">
      <c r="A9" s="37" t="s">
        <v>85</v>
      </c>
      <c r="B9" s="38"/>
      <c r="C9" s="8"/>
      <c r="D9" s="8"/>
      <c r="E9" s="2"/>
      <c r="F9" s="2"/>
      <c r="G9" s="2"/>
      <c r="H9" s="19"/>
      <c r="I9" s="2"/>
      <c r="J9" s="8"/>
      <c r="K9" s="8"/>
      <c r="N9" s="8"/>
      <c r="O9" s="2"/>
      <c r="P9" s="2"/>
      <c r="Q9" s="2"/>
      <c r="R9" s="2"/>
      <c r="S9" s="2"/>
      <c r="T9" s="2"/>
      <c r="U9" s="8"/>
      <c r="V9" s="2"/>
      <c r="W9" s="8"/>
      <c r="X9" s="8"/>
      <c r="Y9" s="8"/>
      <c r="Z9" s="8"/>
      <c r="AC9" s="2"/>
      <c r="AF9" s="8"/>
      <c r="AI9" s="8"/>
      <c r="AJ9" s="8"/>
      <c r="AK9" s="8"/>
      <c r="AL9" s="8"/>
      <c r="AM9" s="8"/>
      <c r="AN9" s="8"/>
      <c r="AO9" s="8"/>
    </row>
    <row r="10" spans="1:41" ht="20.25" customHeight="1" x14ac:dyDescent="0.45">
      <c r="A10" s="39"/>
      <c r="B10" s="40"/>
      <c r="C10" s="8"/>
      <c r="D10" s="8"/>
      <c r="E10" s="2"/>
      <c r="F10" s="2"/>
      <c r="G10" s="2"/>
      <c r="H10" s="19"/>
      <c r="I10" s="2"/>
      <c r="J10" s="8"/>
      <c r="K10" s="8"/>
      <c r="N10" s="8"/>
      <c r="O10" s="2"/>
      <c r="P10" s="2"/>
      <c r="Q10" s="2"/>
      <c r="R10" s="2"/>
      <c r="S10" s="2"/>
      <c r="T10" s="2"/>
      <c r="U10" s="8"/>
      <c r="V10" s="2"/>
      <c r="W10" s="8"/>
      <c r="X10" s="8"/>
      <c r="Y10" s="8"/>
      <c r="Z10" s="8"/>
      <c r="AC10" s="2"/>
      <c r="AF10" s="8"/>
      <c r="AI10" s="8"/>
      <c r="AJ10" s="8"/>
      <c r="AK10" s="8"/>
      <c r="AL10" s="8"/>
      <c r="AM10" s="8"/>
      <c r="AN10" s="8"/>
      <c r="AO10" s="8"/>
    </row>
    <row r="11" spans="1:41" ht="20.25" customHeight="1" x14ac:dyDescent="0.45">
      <c r="A11" s="39"/>
      <c r="B11" s="40" t="s">
        <v>86</v>
      </c>
      <c r="C11" s="8"/>
      <c r="D11" s="8"/>
      <c r="E11" s="2"/>
      <c r="F11" s="10" t="s">
        <v>87</v>
      </c>
      <c r="G11" s="10" t="s">
        <v>68</v>
      </c>
      <c r="H11" s="19" t="s">
        <v>88</v>
      </c>
      <c r="I11" s="10" t="s">
        <v>89</v>
      </c>
      <c r="J11" s="9">
        <v>0.05</v>
      </c>
      <c r="K11" s="9"/>
      <c r="L11" s="9"/>
      <c r="M11" s="9"/>
      <c r="N11" s="9"/>
      <c r="O11" s="2"/>
      <c r="P11" s="2"/>
      <c r="Q11" s="2"/>
      <c r="R11" s="2"/>
      <c r="S11" s="2"/>
      <c r="T11" s="2"/>
      <c r="U11" s="8"/>
      <c r="V11" s="2"/>
      <c r="W11" s="8"/>
      <c r="X11" s="8"/>
      <c r="Y11" s="8"/>
      <c r="Z11" s="8"/>
      <c r="AC11" s="2"/>
      <c r="AF11" s="8"/>
      <c r="AI11" s="8"/>
      <c r="AJ11" s="8"/>
      <c r="AK11" s="8"/>
      <c r="AL11" s="8"/>
      <c r="AM11" s="8"/>
      <c r="AN11" s="8"/>
      <c r="AO11" s="8"/>
    </row>
    <row r="12" spans="1:41" ht="20.25" customHeight="1" x14ac:dyDescent="0.45">
      <c r="A12" s="39" t="s">
        <v>9</v>
      </c>
      <c r="B12" s="40" t="s">
        <v>90</v>
      </c>
      <c r="C12" s="8" t="str">
        <f t="shared" ref="C12:C17" si="0">LEFT(B12,1)</f>
        <v>A</v>
      </c>
      <c r="D12" s="8" t="str">
        <f t="shared" ref="D12:D17" si="1">MID(B12,2,1)</f>
        <v>B</v>
      </c>
      <c r="E12" s="2" t="str">
        <f t="shared" ref="E12:E17" si="2">IF(LEN(B12)=3,RIGHT(B12,1),"")</f>
        <v>E</v>
      </c>
      <c r="F12" s="4">
        <v>3</v>
      </c>
      <c r="G12" s="9">
        <f>_xlfn.XLOOKUP(C12,$A$3:$A$7,$D$3:$D$7)+_xlfn.XLOOKUP(D12,$A$3:$A$7,$D$3:$D$7)+_xlfn.XLOOKUP(E12,$A$3:$A$7,$D$3:$D$7)</f>
        <v>6238750</v>
      </c>
      <c r="H12" s="41">
        <f t="shared" ref="H12:H17" si="3">G12/F12</f>
        <v>2079583.3333333333</v>
      </c>
      <c r="I12" s="9">
        <f t="shared" ref="I12:I17" si="4">$J$11*G12</f>
        <v>311937.5</v>
      </c>
      <c r="J12" s="8"/>
      <c r="K12" s="8"/>
      <c r="N12" s="8"/>
      <c r="O12" s="2"/>
      <c r="P12" s="2"/>
      <c r="Q12" s="2"/>
      <c r="R12" s="2"/>
      <c r="S12" s="2"/>
      <c r="T12" s="2"/>
      <c r="U12" s="8"/>
      <c r="V12" s="2"/>
      <c r="W12" s="8"/>
      <c r="X12" s="8"/>
      <c r="Y12" s="8"/>
      <c r="Z12" s="8"/>
      <c r="AC12" s="2"/>
      <c r="AF12" s="8"/>
      <c r="AI12" s="8"/>
      <c r="AJ12" s="8"/>
      <c r="AK12" s="8"/>
      <c r="AL12" s="8"/>
      <c r="AM12" s="8"/>
      <c r="AN12" s="8"/>
      <c r="AO12" s="8"/>
    </row>
    <row r="13" spans="1:41" ht="20.25" customHeight="1" x14ac:dyDescent="0.45">
      <c r="A13" s="39" t="s">
        <v>12</v>
      </c>
      <c r="B13" s="40" t="s">
        <v>91</v>
      </c>
      <c r="C13" s="8" t="str">
        <f t="shared" si="0"/>
        <v>A</v>
      </c>
      <c r="D13" s="8" t="str">
        <f t="shared" si="1"/>
        <v>D</v>
      </c>
      <c r="E13" s="2" t="str">
        <f t="shared" si="2"/>
        <v>E</v>
      </c>
      <c r="F13" s="4">
        <v>3</v>
      </c>
      <c r="G13" s="9">
        <f>_xlfn.XLOOKUP(C13,$A$3:$A$7,$D$3:$D$7)+_xlfn.XLOOKUP(D13,$A$3:$A$7,$D$3:$D$7)+_xlfn.XLOOKUP(E13,$A$3:$A$7,$D$3:$D$7)</f>
        <v>5988750</v>
      </c>
      <c r="H13" s="41">
        <f t="shared" si="3"/>
        <v>1996250</v>
      </c>
      <c r="I13" s="9">
        <f t="shared" si="4"/>
        <v>299437.5</v>
      </c>
      <c r="J13" s="8"/>
      <c r="K13" s="8"/>
      <c r="N13" s="8"/>
      <c r="O13" s="2"/>
      <c r="P13" s="2"/>
      <c r="Q13" s="2"/>
      <c r="R13" s="2"/>
      <c r="S13" s="2"/>
      <c r="T13" s="2"/>
      <c r="U13" s="8"/>
      <c r="V13" s="2"/>
      <c r="W13" s="8"/>
      <c r="X13" s="8"/>
      <c r="Y13" s="8"/>
      <c r="Z13" s="8"/>
      <c r="AC13" s="2"/>
      <c r="AF13" s="8"/>
      <c r="AI13" s="8"/>
      <c r="AJ13" s="8"/>
      <c r="AK13" s="8"/>
      <c r="AL13" s="8"/>
      <c r="AM13" s="8"/>
      <c r="AN13" s="8"/>
      <c r="AO13" s="8"/>
    </row>
    <row r="14" spans="1:41" ht="20.25" customHeight="1" x14ac:dyDescent="0.45">
      <c r="A14" s="39" t="s">
        <v>13</v>
      </c>
      <c r="B14" s="40" t="s">
        <v>92</v>
      </c>
      <c r="C14" s="8" t="str">
        <f t="shared" si="0"/>
        <v>B</v>
      </c>
      <c r="D14" s="8" t="str">
        <f t="shared" si="1"/>
        <v>C</v>
      </c>
      <c r="E14" s="2" t="str">
        <f t="shared" si="2"/>
        <v>D</v>
      </c>
      <c r="F14" s="4">
        <v>3</v>
      </c>
      <c r="G14" s="9">
        <f>_xlfn.XLOOKUP(C14,$A$3:$A$7,$D$3:$D$7)+_xlfn.XLOOKUP(D14,$A$3:$A$7,$D$3:$D$7)+_xlfn.XLOOKUP(E14,$A$3:$A$7,$D$3:$D$7)</f>
        <v>5930000</v>
      </c>
      <c r="H14" s="41">
        <f t="shared" si="3"/>
        <v>1976666.6666666667</v>
      </c>
      <c r="I14" s="4">
        <f t="shared" si="4"/>
        <v>296500</v>
      </c>
      <c r="J14" s="8"/>
      <c r="K14" s="8"/>
      <c r="N14" s="8"/>
      <c r="O14" s="2"/>
      <c r="P14" s="2"/>
      <c r="Q14" s="2"/>
      <c r="R14" s="2"/>
      <c r="S14" s="2"/>
      <c r="T14" s="2"/>
      <c r="U14" s="8"/>
      <c r="V14" s="2"/>
      <c r="W14" s="8"/>
      <c r="X14" s="8"/>
      <c r="Y14" s="8"/>
      <c r="Z14" s="8"/>
      <c r="AC14" s="2"/>
      <c r="AF14" s="8"/>
      <c r="AI14" s="8"/>
      <c r="AJ14" s="8"/>
      <c r="AK14" s="8"/>
      <c r="AL14" s="8"/>
      <c r="AM14" s="8"/>
      <c r="AN14" s="8"/>
      <c r="AO14" s="8"/>
    </row>
    <row r="15" spans="1:41" ht="20.25" customHeight="1" x14ac:dyDescent="0.45">
      <c r="A15" s="39" t="s">
        <v>14</v>
      </c>
      <c r="B15" s="40" t="s">
        <v>93</v>
      </c>
      <c r="C15" s="8" t="str">
        <f t="shared" si="0"/>
        <v>A</v>
      </c>
      <c r="D15" s="8" t="str">
        <f t="shared" si="1"/>
        <v>D</v>
      </c>
      <c r="E15" s="2" t="str">
        <f t="shared" si="2"/>
        <v/>
      </c>
      <c r="F15" s="4">
        <v>2</v>
      </c>
      <c r="G15" s="9">
        <f>(_xlfn.XLOOKUP(C15,$A$3:$A$7,$D$3:$D$7)+_xlfn.XLOOKUP(D15,$A$3:$A$7,$D$3:$D$7))*$K$4</f>
        <v>5949600</v>
      </c>
      <c r="H15" s="41">
        <f t="shared" si="3"/>
        <v>2974800</v>
      </c>
      <c r="I15" s="4">
        <f t="shared" si="4"/>
        <v>297480</v>
      </c>
      <c r="J15" s="8"/>
      <c r="K15" s="8"/>
      <c r="N15" s="8"/>
      <c r="O15" s="2"/>
      <c r="P15" s="2"/>
      <c r="Q15" s="2"/>
      <c r="R15" s="2"/>
      <c r="S15" s="2"/>
      <c r="T15" s="2"/>
      <c r="U15" s="8"/>
      <c r="V15" s="2"/>
      <c r="W15" s="8"/>
      <c r="X15" s="8"/>
      <c r="Y15" s="8"/>
      <c r="Z15" s="8"/>
      <c r="AC15" s="2"/>
      <c r="AF15" s="8"/>
      <c r="AI15" s="8"/>
      <c r="AJ15" s="8"/>
      <c r="AK15" s="8"/>
      <c r="AL15" s="8"/>
      <c r="AM15" s="8"/>
      <c r="AN15" s="8"/>
      <c r="AO15" s="8"/>
    </row>
    <row r="16" spans="1:41" ht="20.25" customHeight="1" x14ac:dyDescent="0.45">
      <c r="A16" s="39" t="s">
        <v>15</v>
      </c>
      <c r="B16" s="40" t="s">
        <v>94</v>
      </c>
      <c r="C16" s="8" t="str">
        <f t="shared" si="0"/>
        <v>C</v>
      </c>
      <c r="D16" s="8" t="str">
        <f t="shared" si="1"/>
        <v>E</v>
      </c>
      <c r="E16" s="2" t="str">
        <f t="shared" si="2"/>
        <v xml:space="preserve"> </v>
      </c>
      <c r="F16" s="4">
        <v>2</v>
      </c>
      <c r="G16" s="9">
        <f>(_xlfn.XLOOKUP(C16,$A$3:$A$7,$D$3:$D$7)+_xlfn.XLOOKUP(D16,$A$3:$A$7,$D$3:$D$7))*$K$4</f>
        <v>5932950</v>
      </c>
      <c r="H16" s="41">
        <f t="shared" si="3"/>
        <v>2966475</v>
      </c>
      <c r="I16" s="9">
        <f t="shared" si="4"/>
        <v>296647.5</v>
      </c>
      <c r="J16" s="8"/>
      <c r="K16" s="8"/>
      <c r="N16" s="8"/>
      <c r="O16" s="2"/>
      <c r="P16" s="2"/>
      <c r="Q16" s="2"/>
      <c r="R16" s="2"/>
      <c r="S16" s="2"/>
      <c r="T16" s="2"/>
      <c r="U16" s="8"/>
      <c r="V16" s="2"/>
      <c r="W16" s="8"/>
      <c r="X16" s="8"/>
      <c r="Y16" s="8"/>
      <c r="Z16" s="8"/>
      <c r="AC16" s="2"/>
      <c r="AF16" s="8"/>
      <c r="AI16" s="8"/>
      <c r="AJ16" s="8"/>
      <c r="AK16" s="8"/>
      <c r="AL16" s="8"/>
      <c r="AM16" s="8"/>
      <c r="AN16" s="8"/>
      <c r="AO16" s="8"/>
    </row>
    <row r="17" spans="1:41" ht="21" customHeight="1" x14ac:dyDescent="0.45">
      <c r="A17" s="42" t="s">
        <v>16</v>
      </c>
      <c r="B17" s="43" t="s">
        <v>95</v>
      </c>
      <c r="C17" s="8" t="str">
        <f t="shared" si="0"/>
        <v>B</v>
      </c>
      <c r="D17" s="8" t="str">
        <f t="shared" si="1"/>
        <v>C</v>
      </c>
      <c r="E17" s="2" t="str">
        <f t="shared" si="2"/>
        <v/>
      </c>
      <c r="F17" s="4">
        <v>2</v>
      </c>
      <c r="G17" s="9">
        <f>(_xlfn.XLOOKUP(C17,$A$3:$A$7,$D$3:$D$7)+_xlfn.XLOOKUP(D17,$A$3:$A$7,$D$3:$D$7))*$K$4</f>
        <v>6082800</v>
      </c>
      <c r="H17" s="41">
        <f t="shared" si="3"/>
        <v>3041400</v>
      </c>
      <c r="I17" s="4">
        <f t="shared" si="4"/>
        <v>304140</v>
      </c>
      <c r="J17" s="8"/>
      <c r="K17" s="8"/>
      <c r="N17" s="8"/>
      <c r="O17" s="37" t="s">
        <v>96</v>
      </c>
      <c r="P17" s="44"/>
      <c r="Q17" s="44"/>
      <c r="R17" s="44"/>
      <c r="S17" s="44"/>
      <c r="T17" s="44"/>
      <c r="U17" s="45"/>
      <c r="V17" s="2"/>
      <c r="W17" s="8"/>
      <c r="X17" s="8"/>
      <c r="Y17" s="8"/>
      <c r="Z17" s="8"/>
      <c r="AC17" s="2"/>
      <c r="AF17" s="8"/>
      <c r="AI17" s="8"/>
      <c r="AJ17" s="8"/>
      <c r="AK17" s="8"/>
      <c r="AL17" s="8"/>
      <c r="AM17" s="8"/>
      <c r="AN17" s="8"/>
      <c r="AO17" s="8"/>
    </row>
    <row r="18" spans="1:41" ht="20.25" customHeight="1" x14ac:dyDescent="0.45">
      <c r="A18" s="2"/>
      <c r="B18" s="2"/>
      <c r="C18" s="8"/>
      <c r="D18" s="8"/>
      <c r="E18" s="2"/>
      <c r="F18" s="2"/>
      <c r="G18" s="2"/>
      <c r="H18" s="19"/>
      <c r="I18" s="2"/>
      <c r="J18" s="8"/>
      <c r="K18" s="8"/>
      <c r="N18" s="8"/>
      <c r="O18" s="39"/>
      <c r="P18" s="46"/>
      <c r="Q18" s="46"/>
      <c r="R18" s="46"/>
      <c r="S18" s="46"/>
      <c r="T18" s="46"/>
      <c r="U18" s="47"/>
      <c r="V18" s="2"/>
      <c r="W18" s="8"/>
      <c r="X18" s="8"/>
      <c r="Y18" s="8"/>
      <c r="Z18" s="8"/>
      <c r="AC18" s="2"/>
      <c r="AF18" s="8"/>
      <c r="AI18" s="8"/>
      <c r="AJ18" s="8"/>
      <c r="AK18" s="8"/>
      <c r="AL18" s="8"/>
      <c r="AM18" s="8"/>
      <c r="AN18" s="8"/>
      <c r="AO18" s="8"/>
    </row>
    <row r="19" spans="1:41" ht="21" customHeight="1" x14ac:dyDescent="0.45">
      <c r="A19" s="37" t="s">
        <v>39</v>
      </c>
      <c r="B19" s="44"/>
      <c r="C19" s="48"/>
      <c r="D19" s="45"/>
      <c r="E19" s="10" t="s">
        <v>71</v>
      </c>
      <c r="F19" s="10" t="s">
        <v>72</v>
      </c>
      <c r="G19" s="2"/>
      <c r="H19" s="19"/>
      <c r="I19" s="2"/>
      <c r="J19" s="8"/>
      <c r="K19" s="8"/>
      <c r="N19" s="8"/>
      <c r="O19" s="39" t="s">
        <v>6</v>
      </c>
      <c r="P19" s="46"/>
      <c r="Q19" s="46"/>
      <c r="R19" s="46"/>
      <c r="S19" s="46"/>
      <c r="T19" s="46"/>
      <c r="U19" s="47"/>
      <c r="V19" s="2"/>
      <c r="W19" s="8"/>
      <c r="X19" s="8"/>
      <c r="Y19" s="8"/>
      <c r="Z19" s="8"/>
      <c r="AC19" s="2"/>
      <c r="AF19" s="8"/>
      <c r="AI19" s="8"/>
      <c r="AJ19" s="8"/>
      <c r="AK19" s="8"/>
      <c r="AL19" s="8"/>
      <c r="AM19" s="8"/>
      <c r="AN19" s="8"/>
      <c r="AO19" s="8"/>
    </row>
    <row r="20" spans="1:41" ht="20.25" customHeight="1" x14ac:dyDescent="0.45">
      <c r="A20" s="39"/>
      <c r="B20" s="46" t="s">
        <v>97</v>
      </c>
      <c r="C20" s="49" t="s">
        <v>69</v>
      </c>
      <c r="D20" s="47" t="s">
        <v>98</v>
      </c>
      <c r="E20" s="2"/>
      <c r="F20" s="2"/>
      <c r="G20" s="2"/>
      <c r="H20" s="19"/>
      <c r="I20" s="2"/>
      <c r="J20" s="8"/>
      <c r="K20" s="8"/>
      <c r="N20" s="8"/>
      <c r="O20" s="39" t="s">
        <v>99</v>
      </c>
      <c r="P20" s="50">
        <v>1</v>
      </c>
      <c r="Q20" s="50">
        <v>2</v>
      </c>
      <c r="R20" s="50">
        <v>3</v>
      </c>
      <c r="S20" s="50">
        <v>4</v>
      </c>
      <c r="T20" s="50">
        <v>5</v>
      </c>
      <c r="U20" s="51">
        <v>6</v>
      </c>
      <c r="V20" s="2"/>
      <c r="W20" s="8"/>
      <c r="X20" s="8"/>
      <c r="Y20" s="8"/>
      <c r="Z20" s="8"/>
      <c r="AC20" s="2"/>
      <c r="AF20" s="8"/>
      <c r="AI20" s="8"/>
      <c r="AJ20" s="8"/>
      <c r="AK20" s="8"/>
      <c r="AL20" s="8"/>
      <c r="AM20" s="8"/>
      <c r="AN20" s="8"/>
      <c r="AO20" s="8"/>
    </row>
    <row r="21" spans="1:41" ht="20.25" customHeight="1" x14ac:dyDescent="0.45">
      <c r="A21" s="39" t="s">
        <v>62</v>
      </c>
      <c r="B21" s="27">
        <v>4000</v>
      </c>
      <c r="C21" s="28">
        <v>0.3</v>
      </c>
      <c r="D21" s="28">
        <v>1.1000000000000001</v>
      </c>
      <c r="E21" s="41">
        <f>B21*(1+C21)/D21</f>
        <v>4727.272727272727</v>
      </c>
      <c r="F21" s="2"/>
      <c r="G21" s="2"/>
      <c r="H21" s="19"/>
      <c r="I21" s="2"/>
      <c r="J21" s="8"/>
      <c r="K21" s="8"/>
      <c r="N21" s="8"/>
      <c r="O21" s="39" t="s">
        <v>76</v>
      </c>
      <c r="P21" s="9">
        <v>0.45999999999999996</v>
      </c>
      <c r="Q21" s="9">
        <v>0.50999999999999979</v>
      </c>
      <c r="R21" s="9">
        <v>0.42999999999999994</v>
      </c>
      <c r="S21" s="9">
        <v>0.48999999999999994</v>
      </c>
      <c r="T21" s="9">
        <v>0.53999999999999981</v>
      </c>
      <c r="U21" s="9">
        <v>0.55999999999999983</v>
      </c>
      <c r="V21" s="2"/>
      <c r="W21" s="8"/>
      <c r="X21" s="8"/>
      <c r="Y21" s="8"/>
      <c r="Z21" s="8"/>
      <c r="AC21" s="2"/>
      <c r="AF21" s="8"/>
      <c r="AI21" s="8"/>
      <c r="AJ21" s="8"/>
      <c r="AK21" s="8"/>
      <c r="AL21" s="8"/>
      <c r="AM21" s="8"/>
      <c r="AN21" s="8"/>
      <c r="AO21" s="8"/>
    </row>
    <row r="22" spans="1:41" ht="21" customHeight="1" x14ac:dyDescent="0.45">
      <c r="A22" s="39" t="s">
        <v>58</v>
      </c>
      <c r="B22" s="27">
        <v>8000</v>
      </c>
      <c r="C22" s="28">
        <v>0.6</v>
      </c>
      <c r="D22" s="28">
        <v>1.1499999999999999</v>
      </c>
      <c r="E22" s="41">
        <f>B22*(1+C22)/D22</f>
        <v>11130.434782608696</v>
      </c>
      <c r="F22" s="2"/>
      <c r="G22" s="2"/>
      <c r="H22" s="19"/>
      <c r="I22" s="2"/>
      <c r="J22" s="8"/>
      <c r="K22" s="8"/>
      <c r="N22" s="8"/>
      <c r="O22" s="39" t="s">
        <v>78</v>
      </c>
      <c r="P22" s="9">
        <v>0.50999999999999979</v>
      </c>
      <c r="Q22" s="9">
        <v>0.58999999999999986</v>
      </c>
      <c r="R22" s="9">
        <v>0.45999999999999996</v>
      </c>
      <c r="S22" s="9">
        <v>0.54999999999999982</v>
      </c>
      <c r="T22" s="9">
        <v>0.60999999999999988</v>
      </c>
      <c r="U22" s="9">
        <v>0.62999999999999978</v>
      </c>
      <c r="V22" s="2"/>
      <c r="W22" s="8"/>
      <c r="X22" s="8"/>
      <c r="Y22" s="8"/>
      <c r="Z22" s="8"/>
      <c r="AC22" s="2"/>
      <c r="AF22" s="8"/>
      <c r="AI22" s="8"/>
      <c r="AJ22" s="8"/>
      <c r="AK22" s="8"/>
      <c r="AL22" s="8"/>
      <c r="AM22" s="8"/>
      <c r="AN22" s="8"/>
      <c r="AO22" s="8"/>
    </row>
    <row r="23" spans="1:41" ht="20.25" customHeight="1" x14ac:dyDescent="0.45">
      <c r="A23" s="42"/>
      <c r="B23" s="52"/>
      <c r="C23" s="53"/>
      <c r="D23" s="54"/>
      <c r="E23" s="2"/>
      <c r="F23" s="2"/>
      <c r="G23" s="2"/>
      <c r="H23" s="19"/>
      <c r="I23" s="2"/>
      <c r="J23" s="8"/>
      <c r="K23" s="8"/>
      <c r="N23" s="8"/>
      <c r="O23" s="39" t="s">
        <v>80</v>
      </c>
      <c r="P23" s="9">
        <v>0.53999999999999981</v>
      </c>
      <c r="Q23" s="9">
        <v>0.58999999999999986</v>
      </c>
      <c r="R23" s="9">
        <v>0.50999999999999979</v>
      </c>
      <c r="S23" s="9">
        <v>0.56999999999999984</v>
      </c>
      <c r="T23" s="9">
        <v>0.60999999999999988</v>
      </c>
      <c r="U23" s="9">
        <v>0.6499999999999998</v>
      </c>
      <c r="V23" s="2"/>
      <c r="W23" s="8"/>
      <c r="X23" s="8"/>
      <c r="Y23" s="8"/>
      <c r="Z23" s="8"/>
      <c r="AC23" s="2"/>
      <c r="AF23" s="8"/>
      <c r="AI23" s="8"/>
      <c r="AJ23" s="8"/>
      <c r="AK23" s="8"/>
      <c r="AL23" s="8"/>
      <c r="AM23" s="8"/>
      <c r="AN23" s="8"/>
      <c r="AO23" s="8"/>
    </row>
    <row r="24" spans="1:41" ht="20.25" customHeight="1" x14ac:dyDescent="0.45">
      <c r="A24" s="2"/>
      <c r="B24" s="2"/>
      <c r="C24" s="8"/>
      <c r="D24" s="8"/>
      <c r="E24" s="2"/>
      <c r="F24" s="2"/>
      <c r="G24" s="2"/>
      <c r="H24" s="19"/>
      <c r="I24" s="2"/>
      <c r="J24" s="8"/>
      <c r="K24" s="8"/>
      <c r="N24" s="8"/>
      <c r="O24" s="39" t="s">
        <v>81</v>
      </c>
      <c r="P24" s="9">
        <v>0.59999999999999987</v>
      </c>
      <c r="Q24" s="9">
        <v>0.6399999999999999</v>
      </c>
      <c r="R24" s="9">
        <v>0.57999999999999985</v>
      </c>
      <c r="S24" s="9">
        <v>0.60999999999999988</v>
      </c>
      <c r="T24" s="9">
        <v>0.68999999999999984</v>
      </c>
      <c r="U24" s="9">
        <v>0.70999999999999985</v>
      </c>
      <c r="V24" s="2"/>
      <c r="W24" s="8"/>
      <c r="X24" s="8"/>
      <c r="Y24" s="8"/>
      <c r="Z24" s="8"/>
      <c r="AC24" s="10" t="s">
        <v>100</v>
      </c>
      <c r="AF24" s="8"/>
      <c r="AI24" s="8"/>
      <c r="AJ24" s="8"/>
      <c r="AK24" s="8"/>
      <c r="AL24" s="8"/>
      <c r="AM24" s="8"/>
      <c r="AN24" s="8"/>
      <c r="AO24" s="8"/>
    </row>
    <row r="25" spans="1:41" ht="21" customHeight="1" x14ac:dyDescent="0.45">
      <c r="A25" s="24" t="s">
        <v>41</v>
      </c>
      <c r="B25" s="55"/>
      <c r="C25" s="56"/>
      <c r="D25" s="57"/>
      <c r="E25" s="2"/>
      <c r="F25" s="2"/>
      <c r="G25" s="2"/>
      <c r="H25" s="19"/>
      <c r="I25" s="2"/>
      <c r="J25" s="8"/>
      <c r="K25" s="8"/>
      <c r="N25" s="8"/>
      <c r="O25" s="42" t="s">
        <v>83</v>
      </c>
      <c r="P25" s="9">
        <v>0.5199999999999998</v>
      </c>
      <c r="Q25" s="9">
        <v>0.56999999999999984</v>
      </c>
      <c r="R25" s="9">
        <v>0.50999999999999979</v>
      </c>
      <c r="S25" s="9">
        <v>0.53999999999999981</v>
      </c>
      <c r="T25" s="9">
        <v>0.58999999999999986</v>
      </c>
      <c r="U25" s="9">
        <v>0.63999999999999979</v>
      </c>
      <c r="V25" s="2"/>
      <c r="W25" s="8"/>
      <c r="X25" s="8"/>
      <c r="Y25" s="8"/>
      <c r="Z25" s="8"/>
      <c r="AC25" s="2"/>
      <c r="AE25" t="s">
        <v>101</v>
      </c>
      <c r="AF25" s="8"/>
      <c r="AI25" s="4">
        <v>1</v>
      </c>
      <c r="AJ25" s="4">
        <v>2</v>
      </c>
      <c r="AK25" s="4">
        <v>3</v>
      </c>
      <c r="AL25" s="4">
        <v>4</v>
      </c>
      <c r="AM25" s="4">
        <v>5</v>
      </c>
      <c r="AN25" s="4">
        <v>6</v>
      </c>
      <c r="AO25" s="22" t="s">
        <v>102</v>
      </c>
    </row>
    <row r="26" spans="1:41" ht="20.25" customHeight="1" x14ac:dyDescent="0.45">
      <c r="A26" s="30"/>
      <c r="B26" s="10" t="s">
        <v>97</v>
      </c>
      <c r="C26" s="22" t="s">
        <v>69</v>
      </c>
      <c r="D26" s="58" t="s">
        <v>103</v>
      </c>
      <c r="E26" s="10" t="s">
        <v>71</v>
      </c>
      <c r="F26" s="10" t="s">
        <v>72</v>
      </c>
      <c r="G26" s="2"/>
      <c r="H26" s="19"/>
      <c r="I26" s="2"/>
      <c r="J26" s="8"/>
      <c r="K26" s="8"/>
      <c r="N26" s="8"/>
      <c r="O26" s="2"/>
      <c r="P26" s="2"/>
      <c r="Q26" s="2"/>
      <c r="R26" s="2"/>
      <c r="S26" s="2"/>
      <c r="T26" s="2"/>
      <c r="U26" s="8"/>
      <c r="V26" s="2"/>
      <c r="W26" s="8"/>
      <c r="X26" s="8"/>
      <c r="Y26" s="8"/>
      <c r="Z26" s="8"/>
      <c r="AC26" s="4">
        <v>1</v>
      </c>
      <c r="AD26" t="s">
        <v>9</v>
      </c>
      <c r="AE26" t="str">
        <f t="shared" ref="AE26:AE61" si="5">_xlfn.CONCAT(AD26,AC26)</f>
        <v>P1</v>
      </c>
      <c r="AF26" s="9">
        <f t="shared" ref="AF26:AF31" si="6">_xlfn.XLOOKUP(AC26,$A$33:$A$38,$G$33:$G$38)*_xlfn.XLOOKUP(AD26,$N$29:$N$34,$S$29:$S$34)</f>
        <v>37.99499999999999</v>
      </c>
      <c r="AH26" t="s">
        <v>9</v>
      </c>
      <c r="AI26" s="9">
        <f t="shared" ref="AI26:AN31" si="7">_xlfn.XLOOKUP($AH26,$N$29:$N$34,$S$29:$S$34)*_xlfn.XLOOKUP(AI$25,$A$33:$A$38,$G$33:$G$38)</f>
        <v>37.99499999999999</v>
      </c>
      <c r="AJ26" s="9">
        <f t="shared" si="7"/>
        <v>35.759999999999991</v>
      </c>
      <c r="AK26" s="9">
        <f t="shared" si="7"/>
        <v>43.458333333333321</v>
      </c>
      <c r="AL26" s="9">
        <f t="shared" si="7"/>
        <v>36.008333333333326</v>
      </c>
      <c r="AM26" s="9">
        <f t="shared" si="7"/>
        <v>31.786666666666658</v>
      </c>
      <c r="AN26" s="9">
        <f t="shared" si="7"/>
        <v>24.833333333333325</v>
      </c>
      <c r="AO26" s="9">
        <f t="shared" ref="AO26:AO31" si="8">AVERAGE(AJ26:AN26)</f>
        <v>34.369333333333323</v>
      </c>
    </row>
    <row r="27" spans="1:41" ht="20.25" customHeight="1" x14ac:dyDescent="0.45">
      <c r="A27" s="30" t="s">
        <v>63</v>
      </c>
      <c r="B27" s="27">
        <v>20000</v>
      </c>
      <c r="C27" s="28">
        <v>0.15</v>
      </c>
      <c r="D27" s="28">
        <v>1.35</v>
      </c>
      <c r="E27" s="9">
        <f>B27*(1+C27)</f>
        <v>23000</v>
      </c>
      <c r="F27" s="2"/>
      <c r="G27" s="2"/>
      <c r="H27" s="19"/>
      <c r="I27" s="2"/>
      <c r="J27" s="8"/>
      <c r="K27" s="8"/>
      <c r="N27" s="8"/>
      <c r="O27" s="2"/>
      <c r="P27" s="2"/>
      <c r="Q27" s="2"/>
      <c r="R27" s="2"/>
      <c r="S27" s="2"/>
      <c r="T27" s="2"/>
      <c r="U27" s="8"/>
      <c r="V27" s="2"/>
      <c r="W27" s="8"/>
      <c r="X27" s="8"/>
      <c r="Y27" s="8"/>
      <c r="Z27" s="8"/>
      <c r="AC27" s="4">
        <v>1</v>
      </c>
      <c r="AD27" t="s">
        <v>12</v>
      </c>
      <c r="AE27" t="str">
        <f t="shared" si="5"/>
        <v>Q1</v>
      </c>
      <c r="AF27" s="9">
        <f t="shared" si="6"/>
        <v>40.289999999999985</v>
      </c>
      <c r="AH27" t="s">
        <v>12</v>
      </c>
      <c r="AI27" s="9">
        <f t="shared" si="7"/>
        <v>40.289999999999985</v>
      </c>
      <c r="AJ27" s="9">
        <f t="shared" si="7"/>
        <v>37.919999999999987</v>
      </c>
      <c r="AK27" s="9">
        <f t="shared" si="7"/>
        <v>46.083333333333321</v>
      </c>
      <c r="AL27" s="9">
        <f t="shared" si="7"/>
        <v>38.183333333333323</v>
      </c>
      <c r="AM27" s="9">
        <f t="shared" si="7"/>
        <v>33.706666666666656</v>
      </c>
      <c r="AN27" s="9">
        <f t="shared" si="7"/>
        <v>26.333333333333325</v>
      </c>
      <c r="AO27" s="9">
        <f t="shared" si="8"/>
        <v>36.445333333333323</v>
      </c>
    </row>
    <row r="28" spans="1:41" ht="20.25" customHeight="1" x14ac:dyDescent="0.45">
      <c r="A28" s="30" t="s">
        <v>59</v>
      </c>
      <c r="B28" s="27">
        <v>35000</v>
      </c>
      <c r="C28" s="28">
        <v>0.3</v>
      </c>
      <c r="D28" s="28">
        <v>1.1499999999999999</v>
      </c>
      <c r="E28" s="9">
        <f>B28*(1+C28)</f>
        <v>45500</v>
      </c>
      <c r="F28" s="2"/>
      <c r="G28" s="2"/>
      <c r="H28" s="19"/>
      <c r="I28" s="2"/>
      <c r="J28" s="8"/>
      <c r="K28" s="8"/>
      <c r="N28" s="8"/>
      <c r="O28" s="10" t="s">
        <v>5</v>
      </c>
      <c r="P28" s="2"/>
      <c r="Q28" s="2"/>
      <c r="R28" s="2"/>
      <c r="S28" s="4">
        <v>1</v>
      </c>
      <c r="T28" s="4">
        <v>2</v>
      </c>
      <c r="U28" s="4">
        <v>3</v>
      </c>
      <c r="V28" s="4">
        <v>4</v>
      </c>
      <c r="W28" s="4">
        <v>5</v>
      </c>
      <c r="X28" s="4">
        <v>6</v>
      </c>
      <c r="Y28" s="8"/>
      <c r="Z28" s="8"/>
      <c r="AC28" s="4">
        <v>1</v>
      </c>
      <c r="AD28" t="s">
        <v>13</v>
      </c>
      <c r="AE28" t="str">
        <f t="shared" si="5"/>
        <v>R1</v>
      </c>
      <c r="AF28" s="9">
        <f t="shared" si="6"/>
        <v>42.074999999999989</v>
      </c>
      <c r="AH28" t="s">
        <v>13</v>
      </c>
      <c r="AI28" s="9">
        <f t="shared" si="7"/>
        <v>42.074999999999989</v>
      </c>
      <c r="AJ28" s="9">
        <f t="shared" si="7"/>
        <v>39.599999999999987</v>
      </c>
      <c r="AK28" s="9">
        <f t="shared" si="7"/>
        <v>48.124999999999986</v>
      </c>
      <c r="AL28" s="9">
        <f t="shared" si="7"/>
        <v>39.874999999999986</v>
      </c>
      <c r="AM28" s="9">
        <f t="shared" si="7"/>
        <v>35.199999999999989</v>
      </c>
      <c r="AN28" s="9">
        <f t="shared" si="7"/>
        <v>27.499999999999993</v>
      </c>
      <c r="AO28" s="9">
        <f t="shared" si="8"/>
        <v>38.059999999999988</v>
      </c>
    </row>
    <row r="29" spans="1:41" ht="21" customHeight="1" x14ac:dyDescent="0.45">
      <c r="A29" s="34" t="s">
        <v>66</v>
      </c>
      <c r="B29" s="27">
        <v>30000</v>
      </c>
      <c r="C29" s="28">
        <v>0.2</v>
      </c>
      <c r="D29" s="28">
        <v>1.25</v>
      </c>
      <c r="E29" s="9">
        <f>B29*(1+C29)</f>
        <v>36000</v>
      </c>
      <c r="F29" s="2"/>
      <c r="G29" s="2"/>
      <c r="H29" s="19"/>
      <c r="I29" s="2"/>
      <c r="J29" s="8"/>
      <c r="K29" s="8"/>
      <c r="N29" s="22" t="s">
        <v>9</v>
      </c>
      <c r="O29" s="2" t="str">
        <f t="shared" ref="O29:O34" si="9">B12</f>
        <v>ABE</v>
      </c>
      <c r="P29" s="2" t="str">
        <f t="shared" ref="P29:P34" si="10">LEFT(O29,1)</f>
        <v>A</v>
      </c>
      <c r="Q29" s="2" t="str">
        <f t="shared" ref="Q29:Q34" si="11">MID(O29,2,1)</f>
        <v>B</v>
      </c>
      <c r="R29" s="2" t="str">
        <f t="shared" ref="R29:R34" si="12">IF(LEN(O29)=3,RIGHT(O29,1),"")</f>
        <v>E</v>
      </c>
      <c r="S29" s="9">
        <f t="shared" ref="S29:X29" si="13">AVERAGE(_xlfn.XLOOKUP($P29,$O$21:$O$25,P$21:P$25),_xlfn.XLOOKUP($Q29,$O$21:$O$25,P$21:P$25),_xlfn.XLOOKUP($R29,$O$21:$O$25,P$21:P$25))</f>
        <v>0.49666666666666653</v>
      </c>
      <c r="T29" s="9">
        <f t="shared" si="13"/>
        <v>0.55666666666666653</v>
      </c>
      <c r="U29" s="9">
        <f t="shared" si="13"/>
        <v>0.46666666666666656</v>
      </c>
      <c r="V29" s="9">
        <f t="shared" si="13"/>
        <v>0.52666666666666651</v>
      </c>
      <c r="W29" s="9">
        <f t="shared" si="13"/>
        <v>0.57999999999999985</v>
      </c>
      <c r="X29" s="9">
        <f t="shared" si="13"/>
        <v>0.60999999999999976</v>
      </c>
      <c r="Y29" s="8"/>
      <c r="Z29" s="8"/>
      <c r="AC29" s="4">
        <v>1</v>
      </c>
      <c r="AD29" t="s">
        <v>14</v>
      </c>
      <c r="AE29" t="str">
        <f t="shared" si="5"/>
        <v>S1</v>
      </c>
      <c r="AF29" s="9">
        <f t="shared" si="6"/>
        <v>40.544999999999995</v>
      </c>
      <c r="AH29" t="s">
        <v>14</v>
      </c>
      <c r="AI29" s="9">
        <f t="shared" si="7"/>
        <v>40.544999999999995</v>
      </c>
      <c r="AJ29" s="9">
        <f t="shared" si="7"/>
        <v>38.159999999999997</v>
      </c>
      <c r="AK29" s="9">
        <f t="shared" si="7"/>
        <v>46.374999999999993</v>
      </c>
      <c r="AL29" s="9">
        <f t="shared" si="7"/>
        <v>38.424999999999997</v>
      </c>
      <c r="AM29" s="9">
        <f t="shared" si="7"/>
        <v>33.919999999999995</v>
      </c>
      <c r="AN29" s="9">
        <f t="shared" si="7"/>
        <v>26.499999999999996</v>
      </c>
      <c r="AO29" s="9">
        <f t="shared" si="8"/>
        <v>36.676000000000002</v>
      </c>
    </row>
    <row r="30" spans="1:41" ht="19.5" customHeight="1" x14ac:dyDescent="0.45">
      <c r="A30" s="2"/>
      <c r="B30" s="2"/>
      <c r="C30" s="8"/>
      <c r="D30" s="8"/>
      <c r="E30" s="2"/>
      <c r="F30" s="2"/>
      <c r="G30" s="2"/>
      <c r="H30" s="19"/>
      <c r="I30" s="2"/>
      <c r="J30" s="8"/>
      <c r="K30" s="8"/>
      <c r="N30" s="22" t="s">
        <v>12</v>
      </c>
      <c r="O30" s="2" t="str">
        <f t="shared" si="9"/>
        <v>ADE</v>
      </c>
      <c r="P30" s="2" t="str">
        <f t="shared" si="10"/>
        <v>A</v>
      </c>
      <c r="Q30" s="2" t="str">
        <f t="shared" si="11"/>
        <v>D</v>
      </c>
      <c r="R30" s="2" t="str">
        <f t="shared" si="12"/>
        <v>E</v>
      </c>
      <c r="S30" s="9">
        <f>AVERAGE(_xlfn.XLOOKUP($P30,$O$21:$O$25,$P$21:$P$25),_xlfn.XLOOKUP($Q30,$O$21:$O$25,$P$21:$P$25),_xlfn.XLOOKUP($R30,$O$21:$O$25,$P$21:$P$25))</f>
        <v>0.52666666666666651</v>
      </c>
      <c r="T30" s="9">
        <f t="shared" ref="T30:X31" si="14">AVERAGE(_xlfn.XLOOKUP($P30,$O$21:$O$25,Q$21:Q$25),_xlfn.XLOOKUP($Q30,$O$21:$O$25,Q$21:Q$25),_xlfn.XLOOKUP($R30,$O$21:$O$25,Q$21:Q$25))</f>
        <v>0.57333333333333314</v>
      </c>
      <c r="U30" s="9">
        <f t="shared" si="14"/>
        <v>0.50666666666666649</v>
      </c>
      <c r="V30" s="9">
        <f t="shared" si="14"/>
        <v>0.54666666666666652</v>
      </c>
      <c r="W30" s="9">
        <f t="shared" si="14"/>
        <v>0.60666666666666647</v>
      </c>
      <c r="X30" s="9">
        <f t="shared" si="14"/>
        <v>0.63666666666666638</v>
      </c>
      <c r="Y30" s="8"/>
      <c r="Z30" s="8"/>
      <c r="AC30" s="4">
        <v>1</v>
      </c>
      <c r="AD30" t="s">
        <v>15</v>
      </c>
      <c r="AE30" t="str">
        <f t="shared" si="5"/>
        <v>T1</v>
      </c>
      <c r="AF30" s="9">
        <f t="shared" si="6"/>
        <v>40.544999999999987</v>
      </c>
      <c r="AH30" t="s">
        <v>15</v>
      </c>
      <c r="AI30" s="9">
        <f t="shared" si="7"/>
        <v>40.544999999999987</v>
      </c>
      <c r="AJ30" s="9">
        <f t="shared" si="7"/>
        <v>38.159999999999982</v>
      </c>
      <c r="AK30" s="9">
        <f t="shared" si="7"/>
        <v>46.374999999999986</v>
      </c>
      <c r="AL30" s="9">
        <f t="shared" si="7"/>
        <v>38.424999999999983</v>
      </c>
      <c r="AM30" s="9">
        <f t="shared" si="7"/>
        <v>33.919999999999987</v>
      </c>
      <c r="AN30" s="9">
        <f t="shared" si="7"/>
        <v>26.499999999999989</v>
      </c>
      <c r="AO30" s="9">
        <f t="shared" si="8"/>
        <v>36.675999999999988</v>
      </c>
    </row>
    <row r="31" spans="1:41" ht="19.5" customHeight="1" x14ac:dyDescent="0.45">
      <c r="A31" s="24" t="s">
        <v>6</v>
      </c>
      <c r="B31" s="55"/>
      <c r="C31" s="56"/>
      <c r="D31" s="57"/>
      <c r="E31" s="2"/>
      <c r="F31" s="2"/>
      <c r="G31" s="2"/>
      <c r="H31" s="19"/>
      <c r="I31" s="2"/>
      <c r="J31" s="8"/>
      <c r="K31" s="8"/>
      <c r="N31" s="22" t="s">
        <v>13</v>
      </c>
      <c r="O31" s="2" t="str">
        <f t="shared" si="9"/>
        <v>BCD</v>
      </c>
      <c r="P31" s="2" t="str">
        <f t="shared" si="10"/>
        <v>B</v>
      </c>
      <c r="Q31" s="2" t="str">
        <f t="shared" si="11"/>
        <v>C</v>
      </c>
      <c r="R31" s="2" t="str">
        <f t="shared" si="12"/>
        <v>D</v>
      </c>
      <c r="S31" s="9">
        <f>AVERAGE(_xlfn.XLOOKUP($P31,$O$21:$O$25,$P$21:$P$25),_xlfn.XLOOKUP($Q31,$O$21:$O$25,$P$21:$P$25),_xlfn.XLOOKUP($R31,$O$21:$O$25,$P$21:$P$25))</f>
        <v>0.54999999999999982</v>
      </c>
      <c r="T31" s="9">
        <f t="shared" si="14"/>
        <v>0.60666666666666658</v>
      </c>
      <c r="U31" s="9">
        <f t="shared" si="14"/>
        <v>0.5166666666666665</v>
      </c>
      <c r="V31" s="9">
        <f t="shared" si="14"/>
        <v>0.57666666666666655</v>
      </c>
      <c r="W31" s="9">
        <f t="shared" si="14"/>
        <v>0.6366666666666666</v>
      </c>
      <c r="X31" s="9">
        <f t="shared" si="14"/>
        <v>0.66333333333333311</v>
      </c>
      <c r="Y31" s="8"/>
      <c r="Z31" s="8"/>
      <c r="AC31" s="4">
        <v>1</v>
      </c>
      <c r="AD31" t="s">
        <v>16</v>
      </c>
      <c r="AE31" t="str">
        <f t="shared" si="5"/>
        <v>U1</v>
      </c>
      <c r="AF31" s="9">
        <f t="shared" si="6"/>
        <v>40.162499999999987</v>
      </c>
      <c r="AH31" t="s">
        <v>16</v>
      </c>
      <c r="AI31" s="9">
        <f t="shared" si="7"/>
        <v>40.162499999999987</v>
      </c>
      <c r="AJ31" s="9">
        <f t="shared" si="7"/>
        <v>37.799999999999983</v>
      </c>
      <c r="AK31" s="9">
        <f t="shared" si="7"/>
        <v>45.937499999999986</v>
      </c>
      <c r="AL31" s="9">
        <f t="shared" si="7"/>
        <v>38.062499999999986</v>
      </c>
      <c r="AM31" s="9">
        <f t="shared" si="7"/>
        <v>33.599999999999987</v>
      </c>
      <c r="AN31" s="9">
        <f t="shared" si="7"/>
        <v>26.249999999999989</v>
      </c>
      <c r="AO31" s="9">
        <f t="shared" si="8"/>
        <v>36.329999999999991</v>
      </c>
    </row>
    <row r="32" spans="1:41" ht="19.5" customHeight="1" x14ac:dyDescent="0.45">
      <c r="A32" s="30"/>
      <c r="B32" s="10" t="s">
        <v>104</v>
      </c>
      <c r="C32" s="22" t="s">
        <v>105</v>
      </c>
      <c r="D32" s="58" t="s">
        <v>106</v>
      </c>
      <c r="E32" s="2"/>
      <c r="F32" s="10" t="s">
        <v>107</v>
      </c>
      <c r="G32" s="10" t="s">
        <v>108</v>
      </c>
      <c r="H32" s="19" t="s">
        <v>71</v>
      </c>
      <c r="I32" s="10" t="s">
        <v>109</v>
      </c>
      <c r="J32" s="8"/>
      <c r="K32" s="8"/>
      <c r="N32" s="22" t="s">
        <v>14</v>
      </c>
      <c r="O32" s="2" t="str">
        <f t="shared" si="9"/>
        <v>AD</v>
      </c>
      <c r="P32" s="2" t="str">
        <f t="shared" si="10"/>
        <v>A</v>
      </c>
      <c r="Q32" s="2" t="str">
        <f t="shared" si="11"/>
        <v>D</v>
      </c>
      <c r="R32" s="2" t="str">
        <f t="shared" si="12"/>
        <v/>
      </c>
      <c r="S32" s="9">
        <f>AVERAGE(_xlfn.XLOOKUP($P32,$O$21:$O$25,$P$21:$P$25),_xlfn.XLOOKUP($Q32,$O$21:$O$25,$P$21:$P$25))</f>
        <v>0.52999999999999992</v>
      </c>
      <c r="T32" s="9">
        <f t="shared" ref="T32:X34" si="15">AVERAGE(_xlfn.XLOOKUP($P32,$O$21:$O$25,Q$21:Q$25),_xlfn.XLOOKUP($Q32,$O$21:$O$25,Q$21:Q$25))</f>
        <v>0.57499999999999984</v>
      </c>
      <c r="U32" s="9">
        <f t="shared" si="15"/>
        <v>0.50499999999999989</v>
      </c>
      <c r="V32" s="9">
        <f t="shared" si="15"/>
        <v>0.54999999999999993</v>
      </c>
      <c r="W32" s="9">
        <f t="shared" si="15"/>
        <v>0.61499999999999977</v>
      </c>
      <c r="X32" s="9">
        <f t="shared" si="15"/>
        <v>0.63499999999999979</v>
      </c>
      <c r="Y32" s="8"/>
      <c r="Z32" s="8"/>
      <c r="AC32" s="4">
        <v>2</v>
      </c>
      <c r="AD32" t="s">
        <v>9</v>
      </c>
      <c r="AE32" t="str">
        <f t="shared" si="5"/>
        <v>P2</v>
      </c>
      <c r="AF32" s="9">
        <f t="shared" ref="AF32:AF37" si="16">_xlfn.XLOOKUP(AC32,$A$33:$A$38,$G$33:$G$38)*_xlfn.XLOOKUP(AD32,$N$29:$N$34,$T$29:$T$34)</f>
        <v>40.079999999999991</v>
      </c>
      <c r="AI32" s="8"/>
      <c r="AJ32" s="8"/>
      <c r="AK32" s="8"/>
      <c r="AL32" s="8"/>
      <c r="AM32" s="8"/>
      <c r="AN32" s="8"/>
      <c r="AO32" s="8"/>
    </row>
    <row r="33" spans="1:41" ht="19.5" customHeight="1" x14ac:dyDescent="0.45">
      <c r="A33" s="59">
        <v>1</v>
      </c>
      <c r="B33" s="27">
        <v>9</v>
      </c>
      <c r="C33" s="28">
        <v>8.5</v>
      </c>
      <c r="D33" s="27">
        <v>650000</v>
      </c>
      <c r="E33" s="2"/>
      <c r="F33" s="4">
        <f t="shared" ref="F33:F38" si="17">B33*D33</f>
        <v>5850000</v>
      </c>
      <c r="G33" s="9">
        <f t="shared" ref="G33:G38" si="18">B33*C33</f>
        <v>76.5</v>
      </c>
      <c r="H33" s="41">
        <f t="shared" ref="H33:H38" si="19">F33/G33</f>
        <v>76470.588235294112</v>
      </c>
      <c r="I33" s="2"/>
      <c r="J33" s="8"/>
      <c r="K33" s="8"/>
      <c r="N33" s="22" t="s">
        <v>15</v>
      </c>
      <c r="O33" s="2" t="str">
        <f t="shared" si="9"/>
        <v xml:space="preserve">CE </v>
      </c>
      <c r="P33" s="2" t="str">
        <f t="shared" si="10"/>
        <v>C</v>
      </c>
      <c r="Q33" s="2" t="str">
        <f t="shared" si="11"/>
        <v>E</v>
      </c>
      <c r="R33" s="2" t="str">
        <f t="shared" si="12"/>
        <v xml:space="preserve"> </v>
      </c>
      <c r="S33" s="9">
        <f>AVERAGE(_xlfn.XLOOKUP($P33,$O$21:$O$25,$P$21:$P$25),_xlfn.XLOOKUP($Q33,$O$21:$O$25,$P$21:$P$25))</f>
        <v>0.5299999999999998</v>
      </c>
      <c r="T33" s="9">
        <f t="shared" si="15"/>
        <v>0.57999999999999985</v>
      </c>
      <c r="U33" s="9">
        <f t="shared" si="15"/>
        <v>0.50999999999999979</v>
      </c>
      <c r="V33" s="9">
        <f t="shared" si="15"/>
        <v>0.55499999999999983</v>
      </c>
      <c r="W33" s="9">
        <f t="shared" si="15"/>
        <v>0.59999999999999987</v>
      </c>
      <c r="X33" s="9">
        <f t="shared" si="15"/>
        <v>0.6449999999999998</v>
      </c>
      <c r="Y33" s="8"/>
      <c r="Z33" s="8"/>
      <c r="AC33" s="4">
        <v>2</v>
      </c>
      <c r="AD33" t="s">
        <v>12</v>
      </c>
      <c r="AE33" t="str">
        <f t="shared" si="5"/>
        <v>Q2</v>
      </c>
      <c r="AF33" s="9">
        <f t="shared" si="16"/>
        <v>41.279999999999987</v>
      </c>
      <c r="AI33" s="8"/>
      <c r="AJ33" s="8"/>
      <c r="AK33" s="8"/>
      <c r="AL33" s="8"/>
      <c r="AM33" s="8"/>
      <c r="AN33" s="8"/>
      <c r="AO33" s="8"/>
    </row>
    <row r="34" spans="1:41" ht="19.5" customHeight="1" x14ac:dyDescent="0.45">
      <c r="A34" s="59">
        <v>2</v>
      </c>
      <c r="B34" s="27">
        <v>6</v>
      </c>
      <c r="C34" s="27">
        <v>12</v>
      </c>
      <c r="D34" s="27">
        <v>950000</v>
      </c>
      <c r="E34" s="2"/>
      <c r="F34" s="4">
        <f t="shared" si="17"/>
        <v>5700000</v>
      </c>
      <c r="G34" s="4">
        <f t="shared" si="18"/>
        <v>72</v>
      </c>
      <c r="H34" s="41">
        <f t="shared" si="19"/>
        <v>79166.666666666672</v>
      </c>
      <c r="I34" s="2"/>
      <c r="J34" s="8"/>
      <c r="K34" s="8"/>
      <c r="N34" s="22" t="s">
        <v>16</v>
      </c>
      <c r="O34" s="2" t="str">
        <f t="shared" si="9"/>
        <v>BC</v>
      </c>
      <c r="P34" s="2" t="str">
        <f t="shared" si="10"/>
        <v>B</v>
      </c>
      <c r="Q34" s="2" t="str">
        <f t="shared" si="11"/>
        <v>C</v>
      </c>
      <c r="R34" s="2" t="str">
        <f t="shared" si="12"/>
        <v/>
      </c>
      <c r="S34" s="9">
        <f>AVERAGE(_xlfn.XLOOKUP($P34,$O$21:$O$25,$P$21:$P$25),_xlfn.XLOOKUP($Q34,$O$21:$O$25,$P$21:$P$25))</f>
        <v>0.5249999999999998</v>
      </c>
      <c r="T34" s="9">
        <f t="shared" si="15"/>
        <v>0.58999999999999986</v>
      </c>
      <c r="U34" s="9">
        <f t="shared" si="15"/>
        <v>0.48499999999999988</v>
      </c>
      <c r="V34" s="9">
        <f t="shared" si="15"/>
        <v>0.55999999999999983</v>
      </c>
      <c r="W34" s="9">
        <f t="shared" si="15"/>
        <v>0.60999999999999988</v>
      </c>
      <c r="X34" s="9">
        <f t="shared" si="15"/>
        <v>0.63999999999999979</v>
      </c>
      <c r="Y34" s="8"/>
      <c r="Z34" s="8"/>
      <c r="AC34" s="4">
        <v>2</v>
      </c>
      <c r="AD34" t="s">
        <v>13</v>
      </c>
      <c r="AE34" t="str">
        <f t="shared" si="5"/>
        <v>R2</v>
      </c>
      <c r="AF34" s="9">
        <f t="shared" si="16"/>
        <v>43.679999999999993</v>
      </c>
      <c r="AI34" s="8"/>
      <c r="AJ34" s="8"/>
      <c r="AK34" s="8"/>
      <c r="AL34" s="8"/>
      <c r="AM34" s="8"/>
      <c r="AN34" s="8"/>
      <c r="AO34" s="8"/>
    </row>
    <row r="35" spans="1:41" ht="19.5" customHeight="1" x14ac:dyDescent="0.45">
      <c r="A35" s="59">
        <v>3</v>
      </c>
      <c r="B35" s="27">
        <v>7</v>
      </c>
      <c r="C35" s="28">
        <v>12.5</v>
      </c>
      <c r="D35" s="27">
        <v>900000</v>
      </c>
      <c r="E35" s="2"/>
      <c r="F35" s="4">
        <f t="shared" si="17"/>
        <v>6300000</v>
      </c>
      <c r="G35" s="9">
        <f t="shared" si="18"/>
        <v>87.5</v>
      </c>
      <c r="H35" s="41">
        <f t="shared" si="19"/>
        <v>72000</v>
      </c>
      <c r="I35" s="2"/>
      <c r="J35" s="8"/>
      <c r="K35" s="8"/>
      <c r="N35" s="8"/>
      <c r="O35" s="2"/>
      <c r="P35" s="2"/>
      <c r="Q35" s="2"/>
      <c r="R35" s="2"/>
      <c r="S35" s="2"/>
      <c r="T35" s="2"/>
      <c r="U35" s="8"/>
      <c r="V35" s="2"/>
      <c r="W35" s="8"/>
      <c r="X35" s="8"/>
      <c r="Y35" s="8"/>
      <c r="Z35" s="8"/>
      <c r="AC35" s="4">
        <v>2</v>
      </c>
      <c r="AD35" t="s">
        <v>14</v>
      </c>
      <c r="AE35" t="str">
        <f t="shared" si="5"/>
        <v>S2</v>
      </c>
      <c r="AF35" s="9">
        <f t="shared" si="16"/>
        <v>41.399999999999991</v>
      </c>
      <c r="AI35" s="8"/>
      <c r="AJ35" s="8"/>
      <c r="AK35" s="8"/>
      <c r="AL35" s="8"/>
      <c r="AM35" s="8"/>
      <c r="AN35" s="8"/>
      <c r="AO35" s="8"/>
    </row>
    <row r="36" spans="1:41" ht="19.5" customHeight="1" x14ac:dyDescent="0.45">
      <c r="A36" s="59">
        <v>4</v>
      </c>
      <c r="B36" s="27">
        <v>5</v>
      </c>
      <c r="C36" s="28">
        <v>14.5</v>
      </c>
      <c r="D36" s="27">
        <v>1180000</v>
      </c>
      <c r="E36" s="2"/>
      <c r="F36" s="4">
        <f t="shared" si="17"/>
        <v>5900000</v>
      </c>
      <c r="G36" s="9">
        <f t="shared" si="18"/>
        <v>72.5</v>
      </c>
      <c r="H36" s="41">
        <f t="shared" si="19"/>
        <v>81379.31034482758</v>
      </c>
      <c r="I36" s="2"/>
      <c r="J36" s="8"/>
      <c r="K36" s="8"/>
      <c r="N36" s="8"/>
      <c r="O36" s="2"/>
      <c r="P36" s="2"/>
      <c r="Q36" s="2"/>
      <c r="R36" s="2"/>
      <c r="S36" s="2"/>
      <c r="T36" s="2"/>
      <c r="U36" s="8"/>
      <c r="V36" s="2"/>
      <c r="W36" s="8"/>
      <c r="X36" s="8"/>
      <c r="Y36" s="8"/>
      <c r="Z36" s="8"/>
      <c r="AC36" s="4">
        <v>2</v>
      </c>
      <c r="AD36" t="s">
        <v>15</v>
      </c>
      <c r="AE36" t="str">
        <f t="shared" si="5"/>
        <v>T2</v>
      </c>
      <c r="AF36" s="9">
        <f t="shared" si="16"/>
        <v>41.759999999999991</v>
      </c>
      <c r="AI36" s="8"/>
      <c r="AJ36" s="8"/>
      <c r="AK36" s="8"/>
      <c r="AL36" s="8"/>
      <c r="AM36" s="8"/>
      <c r="AN36" s="8"/>
      <c r="AO36" s="8"/>
    </row>
    <row r="37" spans="1:41" ht="19.5" customHeight="1" x14ac:dyDescent="0.45">
      <c r="A37" s="59">
        <v>5</v>
      </c>
      <c r="B37" s="27">
        <v>4</v>
      </c>
      <c r="C37" s="27">
        <v>16</v>
      </c>
      <c r="D37" s="27">
        <v>1450000</v>
      </c>
      <c r="E37" s="2"/>
      <c r="F37" s="4">
        <f t="shared" si="17"/>
        <v>5800000</v>
      </c>
      <c r="G37" s="4">
        <f t="shared" si="18"/>
        <v>64</v>
      </c>
      <c r="H37" s="41">
        <f t="shared" si="19"/>
        <v>90625</v>
      </c>
      <c r="I37" s="2"/>
      <c r="J37" s="8"/>
      <c r="K37" s="8"/>
      <c r="N37" s="8"/>
      <c r="O37" s="2"/>
      <c r="P37" s="2"/>
      <c r="Q37" s="2"/>
      <c r="R37" s="2"/>
      <c r="S37" s="2"/>
      <c r="T37" s="2"/>
      <c r="U37" s="8"/>
      <c r="V37" s="2"/>
      <c r="W37" s="8"/>
      <c r="X37" s="8"/>
      <c r="Y37" s="8"/>
      <c r="Z37" s="8"/>
      <c r="AC37" s="4">
        <v>2</v>
      </c>
      <c r="AD37" t="s">
        <v>16</v>
      </c>
      <c r="AE37" t="str">
        <f t="shared" si="5"/>
        <v>U2</v>
      </c>
      <c r="AF37" s="9">
        <f t="shared" si="16"/>
        <v>42.47999999999999</v>
      </c>
      <c r="AI37" s="8"/>
      <c r="AJ37" s="8"/>
      <c r="AK37" s="8"/>
      <c r="AL37" s="8"/>
      <c r="AM37" s="8"/>
      <c r="AN37" s="8"/>
      <c r="AO37" s="8"/>
    </row>
    <row r="38" spans="1:41" ht="19.5" customHeight="1" x14ac:dyDescent="0.45">
      <c r="A38" s="60">
        <v>6</v>
      </c>
      <c r="B38" s="27">
        <v>1</v>
      </c>
      <c r="C38" s="27">
        <v>50</v>
      </c>
      <c r="D38" s="27">
        <v>6000000</v>
      </c>
      <c r="E38" s="2"/>
      <c r="F38" s="4">
        <f t="shared" si="17"/>
        <v>6000000</v>
      </c>
      <c r="G38" s="4">
        <f t="shared" si="18"/>
        <v>50</v>
      </c>
      <c r="H38" s="41">
        <f t="shared" si="19"/>
        <v>120000</v>
      </c>
      <c r="I38" s="2"/>
      <c r="J38" s="8"/>
      <c r="K38" s="8"/>
      <c r="N38" s="8"/>
      <c r="O38" s="2"/>
      <c r="P38" s="2"/>
      <c r="Q38" s="2"/>
      <c r="R38" s="2"/>
      <c r="S38" s="2"/>
      <c r="T38" s="2"/>
      <c r="U38" s="8"/>
      <c r="V38" s="2"/>
      <c r="W38" s="8"/>
      <c r="X38" s="8"/>
      <c r="Y38" s="8"/>
      <c r="Z38" s="8"/>
      <c r="AC38" s="4">
        <v>3</v>
      </c>
      <c r="AD38" t="s">
        <v>9</v>
      </c>
      <c r="AE38" t="str">
        <f t="shared" si="5"/>
        <v>P3</v>
      </c>
      <c r="AF38" s="9">
        <f t="shared" ref="AF38:AF43" si="20">_xlfn.XLOOKUP(AC38,$A$33:$A$38,$G$33:$G$38)*_xlfn.XLOOKUP(AD38,$N$29:$N$34,$U$29:$U$34)</f>
        <v>40.833333333333321</v>
      </c>
      <c r="AI38" s="8"/>
      <c r="AJ38" s="8"/>
      <c r="AK38" s="8"/>
      <c r="AL38" s="8"/>
      <c r="AM38" s="8"/>
      <c r="AN38" s="8"/>
      <c r="AO38" s="8"/>
    </row>
    <row r="39" spans="1:41" ht="19.5" customHeight="1" x14ac:dyDescent="0.45">
      <c r="A39" s="2"/>
      <c r="B39" s="2"/>
      <c r="C39" s="8"/>
      <c r="D39" s="8"/>
      <c r="E39" s="2"/>
      <c r="F39" s="2"/>
      <c r="G39" s="2"/>
      <c r="H39" s="19"/>
      <c r="I39" s="2"/>
      <c r="J39" s="8"/>
      <c r="K39" s="8"/>
      <c r="N39" s="8"/>
      <c r="O39" s="2"/>
      <c r="P39" s="2"/>
      <c r="Q39" s="2"/>
      <c r="R39" s="2"/>
      <c r="S39" s="2"/>
      <c r="T39" s="2"/>
      <c r="U39" s="8"/>
      <c r="V39" s="2"/>
      <c r="W39" s="8"/>
      <c r="X39" s="8"/>
      <c r="Y39" s="8"/>
      <c r="Z39" s="8"/>
      <c r="AC39" s="4">
        <v>3</v>
      </c>
      <c r="AD39" t="s">
        <v>12</v>
      </c>
      <c r="AE39" t="str">
        <f t="shared" si="5"/>
        <v>Q3</v>
      </c>
      <c r="AF39" s="9">
        <f t="shared" si="20"/>
        <v>44.333333333333314</v>
      </c>
      <c r="AI39" s="8"/>
      <c r="AJ39" s="8"/>
      <c r="AK39" s="8"/>
      <c r="AL39" s="8"/>
      <c r="AM39" s="8"/>
      <c r="AN39" s="8"/>
      <c r="AO39" s="8"/>
    </row>
    <row r="40" spans="1:41" ht="19.5" customHeight="1" x14ac:dyDescent="0.45">
      <c r="A40" s="2"/>
      <c r="B40" s="2"/>
      <c r="C40" s="8"/>
      <c r="D40" s="8"/>
      <c r="E40" s="2"/>
      <c r="F40" s="2"/>
      <c r="G40" s="2"/>
      <c r="H40" s="19"/>
      <c r="I40" s="2"/>
      <c r="J40" s="8"/>
      <c r="K40" s="8"/>
      <c r="N40" s="61" t="s">
        <v>110</v>
      </c>
      <c r="O40" s="17"/>
      <c r="P40" s="17"/>
      <c r="Q40" s="17"/>
      <c r="R40" s="17"/>
      <c r="S40" s="17"/>
      <c r="T40" s="62"/>
      <c r="U40" s="8"/>
      <c r="V40" s="2"/>
      <c r="W40" s="8"/>
      <c r="X40" s="8"/>
      <c r="Y40" s="8"/>
      <c r="Z40" s="8"/>
      <c r="AC40" s="4">
        <v>3</v>
      </c>
      <c r="AD40" t="s">
        <v>13</v>
      </c>
      <c r="AE40" t="str">
        <f t="shared" si="5"/>
        <v>R3</v>
      </c>
      <c r="AF40" s="9">
        <f t="shared" si="20"/>
        <v>45.208333333333321</v>
      </c>
      <c r="AI40" s="8"/>
      <c r="AJ40" s="8"/>
      <c r="AK40" s="8"/>
      <c r="AL40" s="8"/>
      <c r="AM40" s="8"/>
      <c r="AN40" s="8"/>
      <c r="AO40" s="8"/>
    </row>
    <row r="41" spans="1:41" ht="19.5" customHeight="1" x14ac:dyDescent="0.45">
      <c r="A41" s="2"/>
      <c r="B41" s="2"/>
      <c r="C41" s="8"/>
      <c r="D41" s="8"/>
      <c r="E41" s="2"/>
      <c r="F41" s="2"/>
      <c r="G41" s="2"/>
      <c r="H41" s="19"/>
      <c r="I41" s="2"/>
      <c r="J41" s="8"/>
      <c r="K41" s="8"/>
      <c r="N41" s="63" t="s">
        <v>6</v>
      </c>
      <c r="O41" s="4">
        <v>1</v>
      </c>
      <c r="P41" s="4">
        <v>2</v>
      </c>
      <c r="Q41" s="4">
        <v>3</v>
      </c>
      <c r="R41" s="4">
        <v>4</v>
      </c>
      <c r="S41" s="4">
        <v>5</v>
      </c>
      <c r="T41" s="64">
        <v>6</v>
      </c>
      <c r="U41" s="8"/>
      <c r="V41" s="2"/>
      <c r="W41" s="8"/>
      <c r="X41" s="8"/>
      <c r="Y41" s="8"/>
      <c r="Z41" s="8"/>
      <c r="AC41" s="4">
        <v>3</v>
      </c>
      <c r="AD41" t="s">
        <v>14</v>
      </c>
      <c r="AE41" t="str">
        <f t="shared" si="5"/>
        <v>S3</v>
      </c>
      <c r="AF41" s="9">
        <f t="shared" si="20"/>
        <v>44.187499999999993</v>
      </c>
      <c r="AI41" s="8"/>
      <c r="AJ41" s="8"/>
      <c r="AK41" s="8"/>
      <c r="AL41" s="8"/>
      <c r="AM41" s="8"/>
      <c r="AN41" s="8"/>
      <c r="AO41" s="8"/>
    </row>
    <row r="42" spans="1:41" ht="19.5" customHeight="1" x14ac:dyDescent="0.45">
      <c r="A42" s="2"/>
      <c r="B42" s="37" t="s">
        <v>111</v>
      </c>
      <c r="C42" s="48"/>
      <c r="D42" s="45"/>
      <c r="E42" s="2"/>
      <c r="F42" s="2"/>
      <c r="G42" s="2"/>
      <c r="H42" s="19"/>
      <c r="I42" s="2"/>
      <c r="J42" s="8"/>
      <c r="K42" s="8"/>
      <c r="N42" s="65" t="s">
        <v>112</v>
      </c>
      <c r="O42" s="27">
        <v>3</v>
      </c>
      <c r="P42" s="27">
        <v>4</v>
      </c>
      <c r="Q42" s="27">
        <v>5</v>
      </c>
      <c r="R42" s="27">
        <v>4</v>
      </c>
      <c r="S42" s="27">
        <v>3</v>
      </c>
      <c r="T42" s="27">
        <v>4</v>
      </c>
      <c r="U42" s="8"/>
      <c r="V42" s="2"/>
      <c r="W42" s="8"/>
      <c r="X42" s="8"/>
      <c r="Y42" s="8"/>
      <c r="Z42" s="8"/>
      <c r="AC42" s="4">
        <v>3</v>
      </c>
      <c r="AD42" t="s">
        <v>15</v>
      </c>
      <c r="AE42" t="str">
        <f t="shared" si="5"/>
        <v>T3</v>
      </c>
      <c r="AF42" s="9">
        <f t="shared" si="20"/>
        <v>44.624999999999979</v>
      </c>
      <c r="AI42" s="8"/>
      <c r="AJ42" s="8"/>
      <c r="AK42" s="8"/>
      <c r="AL42" s="8"/>
      <c r="AM42" s="8"/>
      <c r="AN42" s="8"/>
      <c r="AO42" s="8"/>
    </row>
    <row r="43" spans="1:41" ht="19.5" customHeight="1" x14ac:dyDescent="0.45">
      <c r="A43" s="2"/>
      <c r="B43" s="39"/>
      <c r="C43" s="49" t="s">
        <v>68</v>
      </c>
      <c r="D43" s="47" t="s">
        <v>69</v>
      </c>
      <c r="E43" s="2"/>
      <c r="F43" s="2"/>
      <c r="G43" s="2"/>
      <c r="H43" s="19"/>
      <c r="I43" s="2"/>
      <c r="J43" s="8"/>
      <c r="K43" s="8"/>
      <c r="N43" s="8"/>
      <c r="O43" s="2"/>
      <c r="P43" s="2"/>
      <c r="Q43" s="2"/>
      <c r="R43" s="2"/>
      <c r="S43" s="2"/>
      <c r="T43" s="2"/>
      <c r="U43" s="8"/>
      <c r="V43" s="2"/>
      <c r="W43" s="8"/>
      <c r="X43" s="8"/>
      <c r="Y43" s="8"/>
      <c r="Z43" s="8"/>
      <c r="AC43" s="4">
        <v>3</v>
      </c>
      <c r="AD43" t="s">
        <v>16</v>
      </c>
      <c r="AE43" t="str">
        <f t="shared" si="5"/>
        <v>U3</v>
      </c>
      <c r="AF43" s="9">
        <f t="shared" si="20"/>
        <v>42.437499999999986</v>
      </c>
      <c r="AI43" s="8"/>
      <c r="AJ43" s="8"/>
      <c r="AK43" s="8"/>
      <c r="AL43" s="8"/>
      <c r="AM43" s="8"/>
      <c r="AN43" s="8"/>
      <c r="AO43" s="8"/>
    </row>
    <row r="44" spans="1:41" ht="19.5" customHeight="1" x14ac:dyDescent="0.45">
      <c r="A44" s="2"/>
      <c r="B44" s="42"/>
      <c r="C44" s="27">
        <v>205000</v>
      </c>
      <c r="D44" s="28">
        <v>0.5</v>
      </c>
      <c r="E44" s="2"/>
      <c r="F44" s="2"/>
      <c r="G44" s="2"/>
      <c r="H44" s="19"/>
      <c r="I44" s="2"/>
      <c r="J44" s="8"/>
      <c r="K44" s="8"/>
      <c r="N44" s="8"/>
      <c r="O44" s="2"/>
      <c r="P44" s="2"/>
      <c r="Q44" s="2"/>
      <c r="R44" s="2"/>
      <c r="S44" s="2"/>
      <c r="T44" s="2"/>
      <c r="U44" s="8"/>
      <c r="V44" s="2"/>
      <c r="W44" s="8"/>
      <c r="X44" s="8"/>
      <c r="Y44" s="8"/>
      <c r="Z44" s="8"/>
      <c r="AC44" s="4">
        <v>4</v>
      </c>
      <c r="AD44" t="s">
        <v>9</v>
      </c>
      <c r="AE44" t="str">
        <f t="shared" si="5"/>
        <v>P4</v>
      </c>
      <c r="AF44" s="9">
        <f t="shared" ref="AF44:AF49" si="21">_xlfn.XLOOKUP(AC44,$A$33:$A$38,$G$33:$G$38)*_xlfn.XLOOKUP(AD44,$N$29:$N$34,$V$29:$V$34)</f>
        <v>38.183333333333323</v>
      </c>
      <c r="AI44" s="8"/>
      <c r="AJ44" s="8"/>
      <c r="AK44" s="8"/>
      <c r="AL44" s="8"/>
      <c r="AM44" s="8"/>
      <c r="AN44" s="8"/>
      <c r="AO44" s="8"/>
    </row>
    <row r="45" spans="1:41" ht="19.5" customHeight="1" x14ac:dyDescent="0.45">
      <c r="A45" s="2"/>
      <c r="B45" s="2"/>
      <c r="C45" s="8"/>
      <c r="D45" s="8"/>
      <c r="E45" s="2"/>
      <c r="F45" s="2"/>
      <c r="G45" s="2"/>
      <c r="H45" s="19"/>
      <c r="I45" s="4">
        <v>205000</v>
      </c>
      <c r="J45" s="8"/>
      <c r="K45" s="8"/>
      <c r="N45" s="8"/>
      <c r="O45" s="2"/>
      <c r="P45" s="2"/>
      <c r="Q45" s="2"/>
      <c r="R45" s="2"/>
      <c r="S45" s="2"/>
      <c r="T45" s="2"/>
      <c r="U45" s="8"/>
      <c r="V45" s="2"/>
      <c r="W45" s="8"/>
      <c r="X45" s="8"/>
      <c r="Y45" s="8"/>
      <c r="Z45" s="8"/>
      <c r="AC45" s="4">
        <v>4</v>
      </c>
      <c r="AD45" t="s">
        <v>12</v>
      </c>
      <c r="AE45" t="str">
        <f t="shared" si="5"/>
        <v>Q4</v>
      </c>
      <c r="AF45" s="9">
        <f t="shared" si="21"/>
        <v>39.633333333333326</v>
      </c>
      <c r="AI45" s="8"/>
      <c r="AJ45" s="8"/>
      <c r="AK45" s="8"/>
      <c r="AL45" s="8"/>
      <c r="AM45" s="8"/>
      <c r="AN45" s="8"/>
      <c r="AO45" s="8"/>
    </row>
    <row r="46" spans="1:41" ht="19.5" customHeight="1" x14ac:dyDescent="0.45">
      <c r="A46" s="2"/>
      <c r="B46" s="10" t="s">
        <v>113</v>
      </c>
      <c r="C46" s="8"/>
      <c r="D46" s="8"/>
      <c r="E46" s="2"/>
      <c r="F46" s="10" t="s">
        <v>47</v>
      </c>
      <c r="G46" s="2"/>
      <c r="H46" s="19"/>
      <c r="I46" s="2"/>
      <c r="J46" s="8"/>
      <c r="K46" s="8"/>
      <c r="N46" s="8"/>
      <c r="O46" s="2"/>
      <c r="P46" s="2"/>
      <c r="Q46" s="2"/>
      <c r="R46" s="2"/>
      <c r="S46" s="2"/>
      <c r="T46" s="2"/>
      <c r="U46" s="8"/>
      <c r="V46" s="2"/>
      <c r="W46" s="8"/>
      <c r="X46" s="10" t="s">
        <v>8</v>
      </c>
      <c r="Y46" s="8"/>
      <c r="Z46" s="8"/>
      <c r="AC46" s="4">
        <v>4</v>
      </c>
      <c r="AD46" t="s">
        <v>13</v>
      </c>
      <c r="AE46" t="str">
        <f t="shared" si="5"/>
        <v>R4</v>
      </c>
      <c r="AF46" s="9">
        <f t="shared" si="21"/>
        <v>41.808333333333323</v>
      </c>
      <c r="AI46" s="8"/>
      <c r="AJ46" s="8"/>
      <c r="AK46" s="8"/>
      <c r="AL46" s="8"/>
      <c r="AM46" s="8"/>
      <c r="AN46" s="8"/>
      <c r="AO46" s="8"/>
    </row>
    <row r="47" spans="1:41" ht="19.5" customHeight="1" x14ac:dyDescent="0.45">
      <c r="A47" s="10" t="s">
        <v>10</v>
      </c>
      <c r="B47" s="4">
        <v>123</v>
      </c>
      <c r="C47" s="4">
        <f t="shared" ref="C47:E66" si="22">_xlfn.NUMBERVALUE(MID($B47,COLUMN()-(COLUMN($C47)-1),1))</f>
        <v>1</v>
      </c>
      <c r="D47" s="4">
        <f t="shared" si="22"/>
        <v>2</v>
      </c>
      <c r="E47" s="4">
        <f t="shared" si="22"/>
        <v>3</v>
      </c>
      <c r="F47" s="4">
        <f t="shared" ref="F47:F66" si="23">_xlfn.XLOOKUP(C47,$A$33:$A$38,$F$33:$F$38)+_xlfn.XLOOKUP(D47,$A$33:$A$38,$F$33:$F$38)+_xlfn.XLOOKUP(E47,$A$33:$A$38,$F$33:$F$38)</f>
        <v>17850000</v>
      </c>
      <c r="G47" s="2"/>
      <c r="H47" s="19"/>
      <c r="I47" s="2"/>
      <c r="J47" s="8"/>
      <c r="K47" s="66"/>
      <c r="N47" s="8"/>
      <c r="O47" s="2"/>
      <c r="P47" s="2"/>
      <c r="Q47" s="2"/>
      <c r="R47" s="2"/>
      <c r="S47" s="2"/>
      <c r="T47" s="2"/>
      <c r="U47" s="8"/>
      <c r="V47" s="10" t="s">
        <v>114</v>
      </c>
      <c r="W47" s="8"/>
      <c r="X47" s="10" t="s">
        <v>63</v>
      </c>
      <c r="Y47" s="22" t="s">
        <v>59</v>
      </c>
      <c r="Z47" s="22" t="s">
        <v>66</v>
      </c>
      <c r="AC47" s="4">
        <v>4</v>
      </c>
      <c r="AD47" t="s">
        <v>14</v>
      </c>
      <c r="AE47" t="str">
        <f t="shared" si="5"/>
        <v>S4</v>
      </c>
      <c r="AF47" s="9">
        <f t="shared" si="21"/>
        <v>39.874999999999993</v>
      </c>
      <c r="AI47" s="8"/>
      <c r="AJ47" s="8"/>
      <c r="AK47" s="8"/>
      <c r="AL47" s="8"/>
      <c r="AM47" s="8"/>
      <c r="AN47" s="8"/>
      <c r="AO47" s="8"/>
    </row>
    <row r="48" spans="1:41" ht="19.5" customHeight="1" x14ac:dyDescent="0.45">
      <c r="A48" s="10" t="s">
        <v>11</v>
      </c>
      <c r="B48" s="4">
        <v>124</v>
      </c>
      <c r="C48" s="4">
        <f t="shared" si="22"/>
        <v>1</v>
      </c>
      <c r="D48" s="4">
        <f t="shared" si="22"/>
        <v>2</v>
      </c>
      <c r="E48" s="4">
        <f t="shared" si="22"/>
        <v>4</v>
      </c>
      <c r="F48" s="4">
        <f t="shared" si="23"/>
        <v>17450000</v>
      </c>
      <c r="G48" s="2"/>
      <c r="H48" s="19"/>
      <c r="I48" s="2"/>
      <c r="J48" s="8"/>
      <c r="K48" s="8"/>
      <c r="N48" s="8"/>
      <c r="O48" s="2"/>
      <c r="P48" s="10" t="s">
        <v>10</v>
      </c>
      <c r="Q48" s="4">
        <v>123</v>
      </c>
      <c r="R48" s="4">
        <f t="shared" ref="R48:R67" si="24">VALUE(LEFT(Q48,1))</f>
        <v>1</v>
      </c>
      <c r="S48" s="4">
        <f t="shared" ref="S48:S67" si="25">VALUE(MID(Q48,2,1))</f>
        <v>2</v>
      </c>
      <c r="T48" s="4">
        <f t="shared" ref="T48:T67" si="26">VALUE(RIGHT(Q48,1))</f>
        <v>3</v>
      </c>
      <c r="U48" s="8"/>
      <c r="V48" s="4">
        <f t="shared" ref="V48:V67" si="27">_xlfn.XLOOKUP($R48,$O$41:$T$41,$O$42:$T$42)+_xlfn.XLOOKUP($S48,$O$41:$T$41,$O$42:$T$42)+_xlfn.XLOOKUP($T48,$O$41:$T$41,$O$42:$T$42)</f>
        <v>12</v>
      </c>
      <c r="W48" s="8"/>
      <c r="X48" s="9">
        <f t="shared" ref="X48:X67" si="28">V48*$D$27</f>
        <v>16.200000000000003</v>
      </c>
      <c r="Y48" s="9">
        <f t="shared" ref="Y48:Y67" si="29">V48*$D$28</f>
        <v>13.799999999999999</v>
      </c>
      <c r="Z48" s="4">
        <f t="shared" ref="Z48:Z67" si="30">V48*$D$29</f>
        <v>15</v>
      </c>
      <c r="AC48" s="4">
        <v>4</v>
      </c>
      <c r="AD48" t="s">
        <v>15</v>
      </c>
      <c r="AE48" t="str">
        <f t="shared" si="5"/>
        <v>T4</v>
      </c>
      <c r="AF48" s="9">
        <f t="shared" si="21"/>
        <v>40.23749999999999</v>
      </c>
      <c r="AI48" s="8"/>
      <c r="AJ48" s="8"/>
      <c r="AK48" s="8"/>
      <c r="AL48" s="8"/>
      <c r="AM48" s="8"/>
      <c r="AN48" s="8"/>
      <c r="AO48" s="8"/>
    </row>
    <row r="49" spans="1:41" ht="19.5" customHeight="1" x14ac:dyDescent="0.45">
      <c r="A49" s="10" t="s">
        <v>17</v>
      </c>
      <c r="B49" s="4">
        <v>125</v>
      </c>
      <c r="C49" s="4">
        <f t="shared" si="22"/>
        <v>1</v>
      </c>
      <c r="D49" s="4">
        <f t="shared" si="22"/>
        <v>2</v>
      </c>
      <c r="E49" s="4">
        <f t="shared" si="22"/>
        <v>5</v>
      </c>
      <c r="F49" s="4">
        <f t="shared" si="23"/>
        <v>17350000</v>
      </c>
      <c r="G49" s="2"/>
      <c r="H49" s="19"/>
      <c r="I49" s="2"/>
      <c r="J49" s="8"/>
      <c r="K49" s="8"/>
      <c r="N49" s="8"/>
      <c r="O49" s="2"/>
      <c r="P49" s="10" t="s">
        <v>11</v>
      </c>
      <c r="Q49" s="4">
        <v>124</v>
      </c>
      <c r="R49" s="4">
        <f t="shared" si="24"/>
        <v>1</v>
      </c>
      <c r="S49" s="4">
        <f t="shared" si="25"/>
        <v>2</v>
      </c>
      <c r="T49" s="4">
        <f t="shared" si="26"/>
        <v>4</v>
      </c>
      <c r="U49" s="8"/>
      <c r="V49" s="4">
        <f t="shared" si="27"/>
        <v>11</v>
      </c>
      <c r="W49" s="8"/>
      <c r="X49" s="9">
        <f t="shared" si="28"/>
        <v>14.850000000000001</v>
      </c>
      <c r="Y49" s="9">
        <f t="shared" si="29"/>
        <v>12.649999999999999</v>
      </c>
      <c r="Z49" s="9">
        <f t="shared" si="30"/>
        <v>13.75</v>
      </c>
      <c r="AC49" s="4">
        <v>4</v>
      </c>
      <c r="AD49" t="s">
        <v>16</v>
      </c>
      <c r="AE49" t="str">
        <f t="shared" si="5"/>
        <v>U4</v>
      </c>
      <c r="AF49" s="9">
        <f t="shared" si="21"/>
        <v>40.599999999999987</v>
      </c>
      <c r="AI49" s="8"/>
      <c r="AJ49" s="8"/>
      <c r="AK49" s="8"/>
      <c r="AL49" s="8"/>
      <c r="AM49" s="8"/>
      <c r="AN49" s="8"/>
      <c r="AO49" s="8"/>
    </row>
    <row r="50" spans="1:41" ht="19.5" customHeight="1" x14ac:dyDescent="0.45">
      <c r="A50" s="10" t="s">
        <v>18</v>
      </c>
      <c r="B50" s="4">
        <v>134</v>
      </c>
      <c r="C50" s="4">
        <f t="shared" si="22"/>
        <v>1</v>
      </c>
      <c r="D50" s="4">
        <f t="shared" si="22"/>
        <v>3</v>
      </c>
      <c r="E50" s="4">
        <f t="shared" si="22"/>
        <v>4</v>
      </c>
      <c r="F50" s="4">
        <f t="shared" si="23"/>
        <v>18050000</v>
      </c>
      <c r="G50" s="2"/>
      <c r="H50" s="19"/>
      <c r="I50" s="2"/>
      <c r="J50" s="8"/>
      <c r="K50" s="8"/>
      <c r="N50" s="8"/>
      <c r="O50" s="2"/>
      <c r="P50" s="10" t="s">
        <v>17</v>
      </c>
      <c r="Q50" s="4">
        <v>125</v>
      </c>
      <c r="R50" s="4">
        <f t="shared" si="24"/>
        <v>1</v>
      </c>
      <c r="S50" s="4">
        <f t="shared" si="25"/>
        <v>2</v>
      </c>
      <c r="T50" s="4">
        <f t="shared" si="26"/>
        <v>5</v>
      </c>
      <c r="U50" s="8"/>
      <c r="V50" s="4">
        <f t="shared" si="27"/>
        <v>10</v>
      </c>
      <c r="W50" s="8"/>
      <c r="X50" s="9">
        <f t="shared" si="28"/>
        <v>13.5</v>
      </c>
      <c r="Y50" s="9">
        <f t="shared" si="29"/>
        <v>11.5</v>
      </c>
      <c r="Z50" s="9">
        <f t="shared" si="30"/>
        <v>12.5</v>
      </c>
      <c r="AC50" s="4">
        <v>5</v>
      </c>
      <c r="AD50" t="s">
        <v>9</v>
      </c>
      <c r="AE50" t="str">
        <f t="shared" si="5"/>
        <v>P5</v>
      </c>
      <c r="AF50" s="9">
        <f t="shared" ref="AF50:AF55" si="31">_xlfn.XLOOKUP(AC50,$A$33:$A$38,$G$33:$G$38)*_xlfn.XLOOKUP(AD50,$N$29:$N$34,$W$29:$W$34)</f>
        <v>37.11999999999999</v>
      </c>
      <c r="AI50" s="8"/>
      <c r="AJ50" s="8"/>
      <c r="AK50" s="8"/>
      <c r="AL50" s="8"/>
      <c r="AM50" s="8"/>
      <c r="AN50" s="8"/>
      <c r="AO50" s="8"/>
    </row>
    <row r="51" spans="1:41" ht="19.5" customHeight="1" x14ac:dyDescent="0.45">
      <c r="A51" s="10" t="s">
        <v>19</v>
      </c>
      <c r="B51" s="4">
        <v>135</v>
      </c>
      <c r="C51" s="4">
        <f t="shared" si="22"/>
        <v>1</v>
      </c>
      <c r="D51" s="4">
        <f t="shared" si="22"/>
        <v>3</v>
      </c>
      <c r="E51" s="4">
        <f t="shared" si="22"/>
        <v>5</v>
      </c>
      <c r="F51" s="4">
        <f t="shared" si="23"/>
        <v>17950000</v>
      </c>
      <c r="G51" s="2"/>
      <c r="H51" s="19"/>
      <c r="I51" s="2"/>
      <c r="J51" s="8"/>
      <c r="K51" s="8"/>
      <c r="N51" s="8"/>
      <c r="O51" s="2"/>
      <c r="P51" s="10" t="s">
        <v>18</v>
      </c>
      <c r="Q51" s="4">
        <v>134</v>
      </c>
      <c r="R51" s="4">
        <f t="shared" si="24"/>
        <v>1</v>
      </c>
      <c r="S51" s="4">
        <f t="shared" si="25"/>
        <v>3</v>
      </c>
      <c r="T51" s="4">
        <f t="shared" si="26"/>
        <v>4</v>
      </c>
      <c r="U51" s="8"/>
      <c r="V51" s="4">
        <f t="shared" si="27"/>
        <v>12</v>
      </c>
      <c r="W51" s="8"/>
      <c r="X51" s="9">
        <f t="shared" si="28"/>
        <v>16.200000000000003</v>
      </c>
      <c r="Y51" s="9">
        <f t="shared" si="29"/>
        <v>13.799999999999999</v>
      </c>
      <c r="Z51" s="4">
        <f t="shared" si="30"/>
        <v>15</v>
      </c>
      <c r="AC51" s="4">
        <v>5</v>
      </c>
      <c r="AD51" t="s">
        <v>12</v>
      </c>
      <c r="AE51" t="str">
        <f t="shared" si="5"/>
        <v>Q5</v>
      </c>
      <c r="AF51" s="9">
        <f t="shared" si="31"/>
        <v>38.826666666666654</v>
      </c>
      <c r="AI51" s="8"/>
      <c r="AJ51" s="8"/>
      <c r="AK51" s="8"/>
      <c r="AL51" s="8"/>
      <c r="AM51" s="8"/>
      <c r="AN51" s="8"/>
      <c r="AO51" s="8"/>
    </row>
    <row r="52" spans="1:41" ht="19.5" customHeight="1" x14ac:dyDescent="0.45">
      <c r="A52" s="10" t="s">
        <v>20</v>
      </c>
      <c r="B52" s="4">
        <v>145</v>
      </c>
      <c r="C52" s="4">
        <f t="shared" si="22"/>
        <v>1</v>
      </c>
      <c r="D52" s="4">
        <f t="shared" si="22"/>
        <v>4</v>
      </c>
      <c r="E52" s="4">
        <f t="shared" si="22"/>
        <v>5</v>
      </c>
      <c r="F52" s="4">
        <f t="shared" si="23"/>
        <v>17550000</v>
      </c>
      <c r="G52" s="2"/>
      <c r="H52" s="19"/>
      <c r="I52" s="2"/>
      <c r="J52" s="8"/>
      <c r="K52" s="8"/>
      <c r="N52" s="8"/>
      <c r="O52" s="2"/>
      <c r="P52" s="10" t="s">
        <v>19</v>
      </c>
      <c r="Q52" s="4">
        <v>135</v>
      </c>
      <c r="R52" s="4">
        <f t="shared" si="24"/>
        <v>1</v>
      </c>
      <c r="S52" s="4">
        <f t="shared" si="25"/>
        <v>3</v>
      </c>
      <c r="T52" s="4">
        <f t="shared" si="26"/>
        <v>5</v>
      </c>
      <c r="U52" s="8"/>
      <c r="V52" s="4">
        <f t="shared" si="27"/>
        <v>11</v>
      </c>
      <c r="W52" s="8"/>
      <c r="X52" s="9">
        <f t="shared" si="28"/>
        <v>14.850000000000001</v>
      </c>
      <c r="Y52" s="9">
        <f t="shared" si="29"/>
        <v>12.649999999999999</v>
      </c>
      <c r="Z52" s="9">
        <f t="shared" si="30"/>
        <v>13.75</v>
      </c>
      <c r="AC52" s="4">
        <v>5</v>
      </c>
      <c r="AD52" t="s">
        <v>13</v>
      </c>
      <c r="AE52" t="str">
        <f t="shared" si="5"/>
        <v>R5</v>
      </c>
      <c r="AF52" s="9">
        <f t="shared" si="31"/>
        <v>40.746666666666663</v>
      </c>
      <c r="AI52" s="8"/>
      <c r="AJ52" s="8"/>
      <c r="AK52" s="8"/>
      <c r="AL52" s="8"/>
      <c r="AM52" s="8"/>
      <c r="AN52" s="8"/>
      <c r="AO52" s="8"/>
    </row>
    <row r="53" spans="1:41" ht="19.5" customHeight="1" x14ac:dyDescent="0.45">
      <c r="A53" s="10" t="s">
        <v>21</v>
      </c>
      <c r="B53" s="4">
        <v>234</v>
      </c>
      <c r="C53" s="4">
        <f t="shared" si="22"/>
        <v>2</v>
      </c>
      <c r="D53" s="4">
        <f t="shared" si="22"/>
        <v>3</v>
      </c>
      <c r="E53" s="4">
        <f t="shared" si="22"/>
        <v>4</v>
      </c>
      <c r="F53" s="4">
        <f t="shared" si="23"/>
        <v>17900000</v>
      </c>
      <c r="G53" s="2"/>
      <c r="H53" s="19"/>
      <c r="I53" s="2"/>
      <c r="J53" s="8"/>
      <c r="K53" s="8"/>
      <c r="N53" s="9">
        <f>13.8/2</f>
        <v>6.9</v>
      </c>
      <c r="O53" s="2"/>
      <c r="P53" s="10" t="s">
        <v>20</v>
      </c>
      <c r="Q53" s="4">
        <v>145</v>
      </c>
      <c r="R53" s="4">
        <f t="shared" si="24"/>
        <v>1</v>
      </c>
      <c r="S53" s="4">
        <f t="shared" si="25"/>
        <v>4</v>
      </c>
      <c r="T53" s="4">
        <f t="shared" si="26"/>
        <v>5</v>
      </c>
      <c r="U53" s="8"/>
      <c r="V53" s="4">
        <f t="shared" si="27"/>
        <v>10</v>
      </c>
      <c r="W53" s="8"/>
      <c r="X53" s="9">
        <f t="shared" si="28"/>
        <v>13.5</v>
      </c>
      <c r="Y53" s="9">
        <f t="shared" si="29"/>
        <v>11.5</v>
      </c>
      <c r="Z53" s="9">
        <f t="shared" si="30"/>
        <v>12.5</v>
      </c>
      <c r="AC53" s="4">
        <v>5</v>
      </c>
      <c r="AD53" t="s">
        <v>14</v>
      </c>
      <c r="AE53" t="str">
        <f t="shared" si="5"/>
        <v>S5</v>
      </c>
      <c r="AF53" s="9">
        <f t="shared" si="31"/>
        <v>39.359999999999985</v>
      </c>
      <c r="AI53" s="8"/>
      <c r="AJ53" s="8"/>
      <c r="AK53" s="8"/>
      <c r="AL53" s="8"/>
      <c r="AM53" s="8"/>
      <c r="AN53" s="8"/>
      <c r="AO53" s="8"/>
    </row>
    <row r="54" spans="1:41" ht="19.5" customHeight="1" x14ac:dyDescent="0.45">
      <c r="A54" s="10" t="s">
        <v>22</v>
      </c>
      <c r="B54" s="4">
        <v>235</v>
      </c>
      <c r="C54" s="4">
        <f t="shared" si="22"/>
        <v>2</v>
      </c>
      <c r="D54" s="4">
        <f t="shared" si="22"/>
        <v>3</v>
      </c>
      <c r="E54" s="4">
        <f t="shared" si="22"/>
        <v>5</v>
      </c>
      <c r="F54" s="4">
        <f t="shared" si="23"/>
        <v>17800000</v>
      </c>
      <c r="G54" s="2"/>
      <c r="H54" s="19"/>
      <c r="I54" s="2"/>
      <c r="J54" s="8"/>
      <c r="K54" s="8"/>
      <c r="N54" s="8"/>
      <c r="O54" s="2"/>
      <c r="P54" s="10" t="s">
        <v>21</v>
      </c>
      <c r="Q54" s="4">
        <v>234</v>
      </c>
      <c r="R54" s="4">
        <f t="shared" si="24"/>
        <v>2</v>
      </c>
      <c r="S54" s="4">
        <f t="shared" si="25"/>
        <v>3</v>
      </c>
      <c r="T54" s="4">
        <f t="shared" si="26"/>
        <v>4</v>
      </c>
      <c r="U54" s="8"/>
      <c r="V54" s="4">
        <f t="shared" si="27"/>
        <v>13</v>
      </c>
      <c r="W54" s="8"/>
      <c r="X54" s="9">
        <f t="shared" si="28"/>
        <v>17.55</v>
      </c>
      <c r="Y54" s="9">
        <f t="shared" si="29"/>
        <v>14.95</v>
      </c>
      <c r="Z54" s="9">
        <f t="shared" si="30"/>
        <v>16.25</v>
      </c>
      <c r="AC54" s="4">
        <v>5</v>
      </c>
      <c r="AD54" t="s">
        <v>15</v>
      </c>
      <c r="AE54" t="str">
        <f t="shared" si="5"/>
        <v>T5</v>
      </c>
      <c r="AF54" s="9">
        <f t="shared" si="31"/>
        <v>38.399999999999991</v>
      </c>
      <c r="AI54" s="8"/>
      <c r="AJ54" s="8"/>
      <c r="AK54" s="8"/>
      <c r="AL54" s="8"/>
      <c r="AM54" s="8"/>
      <c r="AN54" s="8"/>
      <c r="AO54" s="8"/>
    </row>
    <row r="55" spans="1:41" ht="19.5" customHeight="1" x14ac:dyDescent="0.45">
      <c r="A55" s="10" t="s">
        <v>23</v>
      </c>
      <c r="B55" s="4">
        <v>245</v>
      </c>
      <c r="C55" s="4">
        <f t="shared" si="22"/>
        <v>2</v>
      </c>
      <c r="D55" s="4">
        <f t="shared" si="22"/>
        <v>4</v>
      </c>
      <c r="E55" s="4">
        <f t="shared" si="22"/>
        <v>5</v>
      </c>
      <c r="F55" s="4">
        <f t="shared" si="23"/>
        <v>17400000</v>
      </c>
      <c r="G55" s="2"/>
      <c r="H55" s="19"/>
      <c r="I55" s="2"/>
      <c r="J55" s="8"/>
      <c r="K55" s="8"/>
      <c r="N55" s="8"/>
      <c r="O55" s="2"/>
      <c r="P55" s="10" t="s">
        <v>22</v>
      </c>
      <c r="Q55" s="4">
        <v>235</v>
      </c>
      <c r="R55" s="4">
        <f t="shared" si="24"/>
        <v>2</v>
      </c>
      <c r="S55" s="4">
        <f t="shared" si="25"/>
        <v>3</v>
      </c>
      <c r="T55" s="4">
        <f t="shared" si="26"/>
        <v>5</v>
      </c>
      <c r="U55" s="8"/>
      <c r="V55" s="4">
        <f t="shared" si="27"/>
        <v>12</v>
      </c>
      <c r="W55" s="8"/>
      <c r="X55" s="9">
        <f t="shared" si="28"/>
        <v>16.200000000000003</v>
      </c>
      <c r="Y55" s="9">
        <f t="shared" si="29"/>
        <v>13.799999999999999</v>
      </c>
      <c r="Z55" s="4">
        <f t="shared" si="30"/>
        <v>15</v>
      </c>
      <c r="AC55" s="4">
        <v>5</v>
      </c>
      <c r="AD55" t="s">
        <v>16</v>
      </c>
      <c r="AE55" t="str">
        <f t="shared" si="5"/>
        <v>U5</v>
      </c>
      <c r="AF55" s="9">
        <f t="shared" si="31"/>
        <v>39.039999999999992</v>
      </c>
      <c r="AI55" s="8"/>
      <c r="AJ55" s="8"/>
      <c r="AK55" s="8"/>
      <c r="AL55" s="8"/>
      <c r="AM55" s="8"/>
      <c r="AN55" s="8"/>
      <c r="AO55" s="8"/>
    </row>
    <row r="56" spans="1:41" ht="19.5" customHeight="1" x14ac:dyDescent="0.45">
      <c r="A56" s="10" t="s">
        <v>24</v>
      </c>
      <c r="B56" s="4">
        <v>345</v>
      </c>
      <c r="C56" s="4">
        <f t="shared" si="22"/>
        <v>3</v>
      </c>
      <c r="D56" s="4">
        <f t="shared" si="22"/>
        <v>4</v>
      </c>
      <c r="E56" s="4">
        <f t="shared" si="22"/>
        <v>5</v>
      </c>
      <c r="F56" s="4">
        <f t="shared" si="23"/>
        <v>18000000</v>
      </c>
      <c r="G56" s="2"/>
      <c r="H56" s="19"/>
      <c r="I56" s="2"/>
      <c r="J56" s="8"/>
      <c r="K56" s="8"/>
      <c r="N56" s="8"/>
      <c r="O56" s="2"/>
      <c r="P56" s="10" t="s">
        <v>23</v>
      </c>
      <c r="Q56" s="4">
        <v>245</v>
      </c>
      <c r="R56" s="4">
        <f t="shared" si="24"/>
        <v>2</v>
      </c>
      <c r="S56" s="4">
        <f t="shared" si="25"/>
        <v>4</v>
      </c>
      <c r="T56" s="4">
        <f t="shared" si="26"/>
        <v>5</v>
      </c>
      <c r="U56" s="8"/>
      <c r="V56" s="4">
        <f t="shared" si="27"/>
        <v>11</v>
      </c>
      <c r="W56" s="8"/>
      <c r="X56" s="9">
        <f t="shared" si="28"/>
        <v>14.850000000000001</v>
      </c>
      <c r="Y56" s="9">
        <f t="shared" si="29"/>
        <v>12.649999999999999</v>
      </c>
      <c r="Z56" s="9">
        <f t="shared" si="30"/>
        <v>13.75</v>
      </c>
      <c r="AC56" s="4">
        <v>6</v>
      </c>
      <c r="AD56" t="s">
        <v>9</v>
      </c>
      <c r="AE56" t="str">
        <f t="shared" si="5"/>
        <v>P6</v>
      </c>
      <c r="AF56" s="9">
        <f t="shared" ref="AF56:AF61" si="32">_xlfn.XLOOKUP(AC56,$A$33:$A$38,$G$33:$G$38)*_xlfn.XLOOKUP(AD56,$N$29:$N$34,$X$29:$X$34)</f>
        <v>30.499999999999989</v>
      </c>
      <c r="AI56" s="8"/>
      <c r="AJ56" s="8"/>
      <c r="AK56" s="8"/>
      <c r="AL56" s="8"/>
      <c r="AM56" s="8"/>
      <c r="AN56" s="8"/>
      <c r="AO56" s="8"/>
    </row>
    <row r="57" spans="1:41" ht="19.5" customHeight="1" x14ac:dyDescent="0.45">
      <c r="A57" s="10" t="s">
        <v>25</v>
      </c>
      <c r="B57" s="4">
        <v>126</v>
      </c>
      <c r="C57" s="4">
        <f t="shared" si="22"/>
        <v>1</v>
      </c>
      <c r="D57" s="4">
        <f t="shared" si="22"/>
        <v>2</v>
      </c>
      <c r="E57" s="4">
        <f t="shared" si="22"/>
        <v>6</v>
      </c>
      <c r="F57" s="4">
        <f t="shared" si="23"/>
        <v>17550000</v>
      </c>
      <c r="G57" s="2"/>
      <c r="H57" s="19"/>
      <c r="I57" s="2"/>
      <c r="J57" s="8"/>
      <c r="K57" s="8"/>
      <c r="N57" s="8"/>
      <c r="O57" s="2"/>
      <c r="P57" s="10" t="s">
        <v>24</v>
      </c>
      <c r="Q57" s="4">
        <v>345</v>
      </c>
      <c r="R57" s="4">
        <f t="shared" si="24"/>
        <v>3</v>
      </c>
      <c r="S57" s="4">
        <f t="shared" si="25"/>
        <v>4</v>
      </c>
      <c r="T57" s="4">
        <f t="shared" si="26"/>
        <v>5</v>
      </c>
      <c r="U57" s="8"/>
      <c r="V57" s="4">
        <f t="shared" si="27"/>
        <v>12</v>
      </c>
      <c r="W57" s="8"/>
      <c r="X57" s="9">
        <f t="shared" si="28"/>
        <v>16.200000000000003</v>
      </c>
      <c r="Y57" s="9">
        <f t="shared" si="29"/>
        <v>13.799999999999999</v>
      </c>
      <c r="Z57" s="4">
        <f t="shared" si="30"/>
        <v>15</v>
      </c>
      <c r="AC57" s="4">
        <v>6</v>
      </c>
      <c r="AD57" t="s">
        <v>12</v>
      </c>
      <c r="AE57" t="str">
        <f t="shared" si="5"/>
        <v>Q6</v>
      </c>
      <c r="AF57" s="9">
        <f t="shared" si="32"/>
        <v>31.833333333333318</v>
      </c>
      <c r="AI57" s="8"/>
      <c r="AJ57" s="8"/>
      <c r="AK57" s="8"/>
      <c r="AL57" s="8"/>
      <c r="AM57" s="8"/>
      <c r="AN57" s="8"/>
      <c r="AO57" s="8"/>
    </row>
    <row r="58" spans="1:41" ht="19.5" customHeight="1" x14ac:dyDescent="0.45">
      <c r="A58" s="10" t="s">
        <v>26</v>
      </c>
      <c r="B58" s="4">
        <v>136</v>
      </c>
      <c r="C58" s="4">
        <f t="shared" si="22"/>
        <v>1</v>
      </c>
      <c r="D58" s="4">
        <f t="shared" si="22"/>
        <v>3</v>
      </c>
      <c r="E58" s="4">
        <f t="shared" si="22"/>
        <v>6</v>
      </c>
      <c r="F58" s="4">
        <f t="shared" si="23"/>
        <v>18150000</v>
      </c>
      <c r="G58" s="2"/>
      <c r="H58" s="19"/>
      <c r="I58" s="2"/>
      <c r="J58" s="8"/>
      <c r="K58" s="8"/>
      <c r="N58" s="8"/>
      <c r="O58" s="2"/>
      <c r="P58" s="10" t="s">
        <v>25</v>
      </c>
      <c r="Q58" s="4">
        <v>126</v>
      </c>
      <c r="R58" s="4">
        <f t="shared" si="24"/>
        <v>1</v>
      </c>
      <c r="S58" s="4">
        <f t="shared" si="25"/>
        <v>2</v>
      </c>
      <c r="T58" s="4">
        <f t="shared" si="26"/>
        <v>6</v>
      </c>
      <c r="U58" s="8"/>
      <c r="V58" s="4">
        <f t="shared" si="27"/>
        <v>11</v>
      </c>
      <c r="W58" s="8"/>
      <c r="X58" s="9">
        <f t="shared" si="28"/>
        <v>14.850000000000001</v>
      </c>
      <c r="Y58" s="9">
        <f t="shared" si="29"/>
        <v>12.649999999999999</v>
      </c>
      <c r="Z58" s="9">
        <f t="shared" si="30"/>
        <v>13.75</v>
      </c>
      <c r="AC58" s="4">
        <v>6</v>
      </c>
      <c r="AD58" t="s">
        <v>13</v>
      </c>
      <c r="AE58" t="str">
        <f t="shared" si="5"/>
        <v>R6</v>
      </c>
      <c r="AF58" s="9">
        <f t="shared" si="32"/>
        <v>33.166666666666657</v>
      </c>
      <c r="AI58" s="8"/>
      <c r="AJ58" s="8"/>
      <c r="AK58" s="8"/>
      <c r="AL58" s="8"/>
      <c r="AM58" s="8"/>
      <c r="AN58" s="8"/>
      <c r="AO58" s="8"/>
    </row>
    <row r="59" spans="1:41" ht="19.5" customHeight="1" x14ac:dyDescent="0.45">
      <c r="A59" s="10" t="s">
        <v>27</v>
      </c>
      <c r="B59" s="4">
        <v>146</v>
      </c>
      <c r="C59" s="4">
        <f t="shared" si="22"/>
        <v>1</v>
      </c>
      <c r="D59" s="4">
        <f t="shared" si="22"/>
        <v>4</v>
      </c>
      <c r="E59" s="4">
        <f t="shared" si="22"/>
        <v>6</v>
      </c>
      <c r="F59" s="4">
        <f t="shared" si="23"/>
        <v>17750000</v>
      </c>
      <c r="G59" s="2"/>
      <c r="H59" s="19"/>
      <c r="I59" s="2"/>
      <c r="J59" s="8"/>
      <c r="K59" s="8"/>
      <c r="N59" s="8"/>
      <c r="O59" s="2"/>
      <c r="P59" s="10" t="s">
        <v>26</v>
      </c>
      <c r="Q59" s="4">
        <v>136</v>
      </c>
      <c r="R59" s="4">
        <f t="shared" si="24"/>
        <v>1</v>
      </c>
      <c r="S59" s="4">
        <f t="shared" si="25"/>
        <v>3</v>
      </c>
      <c r="T59" s="4">
        <f t="shared" si="26"/>
        <v>6</v>
      </c>
      <c r="U59" s="8"/>
      <c r="V59" s="4">
        <f t="shared" si="27"/>
        <v>12</v>
      </c>
      <c r="W59" s="8"/>
      <c r="X59" s="9">
        <f t="shared" si="28"/>
        <v>16.200000000000003</v>
      </c>
      <c r="Y59" s="9">
        <f t="shared" si="29"/>
        <v>13.799999999999999</v>
      </c>
      <c r="Z59" s="4">
        <f t="shared" si="30"/>
        <v>15</v>
      </c>
      <c r="AC59" s="4">
        <v>6</v>
      </c>
      <c r="AD59" t="s">
        <v>14</v>
      </c>
      <c r="AE59" t="str">
        <f t="shared" si="5"/>
        <v>S6</v>
      </c>
      <c r="AF59" s="9">
        <f t="shared" si="32"/>
        <v>31.749999999999989</v>
      </c>
      <c r="AI59" s="8"/>
      <c r="AJ59" s="8"/>
      <c r="AK59" s="8"/>
      <c r="AL59" s="8"/>
      <c r="AM59" s="8"/>
      <c r="AN59" s="8"/>
      <c r="AO59" s="8"/>
    </row>
    <row r="60" spans="1:41" ht="19.5" customHeight="1" x14ac:dyDescent="0.45">
      <c r="A60" s="10" t="s">
        <v>28</v>
      </c>
      <c r="B60" s="4">
        <v>156</v>
      </c>
      <c r="C60" s="4">
        <f t="shared" si="22"/>
        <v>1</v>
      </c>
      <c r="D60" s="4">
        <f t="shared" si="22"/>
        <v>5</v>
      </c>
      <c r="E60" s="4">
        <f t="shared" si="22"/>
        <v>6</v>
      </c>
      <c r="F60" s="4">
        <f t="shared" si="23"/>
        <v>17650000</v>
      </c>
      <c r="G60" s="2"/>
      <c r="H60" s="19"/>
      <c r="I60" s="2"/>
      <c r="J60" s="8"/>
      <c r="K60" s="8"/>
      <c r="N60" s="8"/>
      <c r="O60" s="2"/>
      <c r="P60" s="10" t="s">
        <v>27</v>
      </c>
      <c r="Q60" s="4">
        <v>146</v>
      </c>
      <c r="R60" s="4">
        <f t="shared" si="24"/>
        <v>1</v>
      </c>
      <c r="S60" s="4">
        <f t="shared" si="25"/>
        <v>4</v>
      </c>
      <c r="T60" s="4">
        <f t="shared" si="26"/>
        <v>6</v>
      </c>
      <c r="U60" s="8"/>
      <c r="V60" s="4">
        <f t="shared" si="27"/>
        <v>11</v>
      </c>
      <c r="W60" s="8"/>
      <c r="X60" s="9">
        <f t="shared" si="28"/>
        <v>14.850000000000001</v>
      </c>
      <c r="Y60" s="9">
        <f t="shared" si="29"/>
        <v>12.649999999999999</v>
      </c>
      <c r="Z60" s="9">
        <f t="shared" si="30"/>
        <v>13.75</v>
      </c>
      <c r="AC60" s="4">
        <v>6</v>
      </c>
      <c r="AD60" t="s">
        <v>15</v>
      </c>
      <c r="AE60" t="str">
        <f t="shared" si="5"/>
        <v>T6</v>
      </c>
      <c r="AF60" s="9">
        <f t="shared" si="32"/>
        <v>32.249999999999993</v>
      </c>
      <c r="AI60" s="8"/>
      <c r="AJ60" s="8"/>
      <c r="AK60" s="8"/>
      <c r="AL60" s="8"/>
      <c r="AM60" s="8"/>
      <c r="AN60" s="8"/>
      <c r="AO60" s="8"/>
    </row>
    <row r="61" spans="1:41" ht="19.5" customHeight="1" x14ac:dyDescent="0.45">
      <c r="A61" s="10" t="s">
        <v>29</v>
      </c>
      <c r="B61" s="4">
        <v>236</v>
      </c>
      <c r="C61" s="4">
        <f t="shared" si="22"/>
        <v>2</v>
      </c>
      <c r="D61" s="4">
        <f t="shared" si="22"/>
        <v>3</v>
      </c>
      <c r="E61" s="4">
        <f t="shared" si="22"/>
        <v>6</v>
      </c>
      <c r="F61" s="4">
        <f t="shared" si="23"/>
        <v>18000000</v>
      </c>
      <c r="G61" s="2"/>
      <c r="H61" s="19"/>
      <c r="I61" s="2"/>
      <c r="J61" s="8"/>
      <c r="K61" s="8"/>
      <c r="N61" s="8"/>
      <c r="O61" s="2"/>
      <c r="P61" s="10" t="s">
        <v>28</v>
      </c>
      <c r="Q61" s="4">
        <v>156</v>
      </c>
      <c r="R61" s="4">
        <f t="shared" si="24"/>
        <v>1</v>
      </c>
      <c r="S61" s="4">
        <f t="shared" si="25"/>
        <v>5</v>
      </c>
      <c r="T61" s="4">
        <f t="shared" si="26"/>
        <v>6</v>
      </c>
      <c r="U61" s="8"/>
      <c r="V61" s="4">
        <f t="shared" si="27"/>
        <v>10</v>
      </c>
      <c r="W61" s="8"/>
      <c r="X61" s="9">
        <f t="shared" si="28"/>
        <v>13.5</v>
      </c>
      <c r="Y61" s="9">
        <f t="shared" si="29"/>
        <v>11.5</v>
      </c>
      <c r="Z61" s="9">
        <f t="shared" si="30"/>
        <v>12.5</v>
      </c>
      <c r="AC61" s="4">
        <v>6</v>
      </c>
      <c r="AD61" t="s">
        <v>16</v>
      </c>
      <c r="AE61" t="str">
        <f t="shared" si="5"/>
        <v>U6</v>
      </c>
      <c r="AF61" s="9">
        <f t="shared" si="32"/>
        <v>31.999999999999989</v>
      </c>
      <c r="AI61" s="8"/>
      <c r="AJ61" s="8"/>
      <c r="AK61" s="8"/>
      <c r="AL61" s="8"/>
      <c r="AM61" s="8"/>
      <c r="AN61" s="8"/>
      <c r="AO61" s="8"/>
    </row>
    <row r="62" spans="1:41" ht="19.5" customHeight="1" x14ac:dyDescent="0.45">
      <c r="A62" s="10" t="s">
        <v>30</v>
      </c>
      <c r="B62" s="4">
        <v>246</v>
      </c>
      <c r="C62" s="4">
        <f t="shared" si="22"/>
        <v>2</v>
      </c>
      <c r="D62" s="4">
        <f t="shared" si="22"/>
        <v>4</v>
      </c>
      <c r="E62" s="4">
        <f t="shared" si="22"/>
        <v>6</v>
      </c>
      <c r="F62" s="4">
        <f t="shared" si="23"/>
        <v>17600000</v>
      </c>
      <c r="G62" s="2"/>
      <c r="H62" s="19"/>
      <c r="I62" s="2"/>
      <c r="J62" s="8"/>
      <c r="K62" s="8"/>
      <c r="N62" s="8"/>
      <c r="O62" s="2"/>
      <c r="P62" s="10" t="s">
        <v>29</v>
      </c>
      <c r="Q62" s="4">
        <v>236</v>
      </c>
      <c r="R62" s="4">
        <f t="shared" si="24"/>
        <v>2</v>
      </c>
      <c r="S62" s="4">
        <f t="shared" si="25"/>
        <v>3</v>
      </c>
      <c r="T62" s="4">
        <f t="shared" si="26"/>
        <v>6</v>
      </c>
      <c r="U62" s="8"/>
      <c r="V62" s="4">
        <f t="shared" si="27"/>
        <v>13</v>
      </c>
      <c r="W62" s="8"/>
      <c r="X62" s="9">
        <f t="shared" si="28"/>
        <v>17.55</v>
      </c>
      <c r="Y62" s="9">
        <f t="shared" si="29"/>
        <v>14.95</v>
      </c>
      <c r="Z62" s="9">
        <f t="shared" si="30"/>
        <v>16.25</v>
      </c>
      <c r="AC62" s="2"/>
      <c r="AF62" s="8"/>
      <c r="AI62" s="8"/>
      <c r="AJ62" s="8"/>
      <c r="AK62" s="8"/>
      <c r="AL62" s="8"/>
      <c r="AM62" s="8"/>
      <c r="AN62" s="8"/>
      <c r="AO62" s="8"/>
    </row>
    <row r="63" spans="1:41" ht="19.5" customHeight="1" x14ac:dyDescent="0.45">
      <c r="A63" s="10" t="s">
        <v>31</v>
      </c>
      <c r="B63" s="4">
        <v>256</v>
      </c>
      <c r="C63" s="4">
        <f t="shared" si="22"/>
        <v>2</v>
      </c>
      <c r="D63" s="4">
        <f t="shared" si="22"/>
        <v>5</v>
      </c>
      <c r="E63" s="4">
        <f t="shared" si="22"/>
        <v>6</v>
      </c>
      <c r="F63" s="4">
        <f t="shared" si="23"/>
        <v>17500000</v>
      </c>
      <c r="G63" s="2"/>
      <c r="H63" s="19"/>
      <c r="I63" s="2"/>
      <c r="J63" s="8"/>
      <c r="K63" s="8"/>
      <c r="N63" s="8"/>
      <c r="O63" s="2"/>
      <c r="P63" s="10" t="s">
        <v>30</v>
      </c>
      <c r="Q63" s="4">
        <v>246</v>
      </c>
      <c r="R63" s="4">
        <f t="shared" si="24"/>
        <v>2</v>
      </c>
      <c r="S63" s="4">
        <f t="shared" si="25"/>
        <v>4</v>
      </c>
      <c r="T63" s="4">
        <f t="shared" si="26"/>
        <v>6</v>
      </c>
      <c r="U63" s="8"/>
      <c r="V63" s="4">
        <f t="shared" si="27"/>
        <v>12</v>
      </c>
      <c r="W63" s="8"/>
      <c r="X63" s="9">
        <f t="shared" si="28"/>
        <v>16.200000000000003</v>
      </c>
      <c r="Y63" s="9">
        <f t="shared" si="29"/>
        <v>13.799999999999999</v>
      </c>
      <c r="Z63" s="4">
        <f t="shared" si="30"/>
        <v>15</v>
      </c>
      <c r="AC63" s="2"/>
      <c r="AF63" s="8"/>
      <c r="AI63" s="8"/>
      <c r="AJ63" s="8"/>
      <c r="AK63" s="8"/>
      <c r="AL63" s="8"/>
      <c r="AM63" s="8"/>
      <c r="AN63" s="8"/>
      <c r="AO63" s="8"/>
    </row>
    <row r="64" spans="1:41" ht="19.5" customHeight="1" x14ac:dyDescent="0.45">
      <c r="A64" s="10" t="s">
        <v>32</v>
      </c>
      <c r="B64" s="4">
        <v>346</v>
      </c>
      <c r="C64" s="4">
        <f t="shared" si="22"/>
        <v>3</v>
      </c>
      <c r="D64" s="4">
        <f t="shared" si="22"/>
        <v>4</v>
      </c>
      <c r="E64" s="4">
        <f t="shared" si="22"/>
        <v>6</v>
      </c>
      <c r="F64" s="4">
        <f t="shared" si="23"/>
        <v>18200000</v>
      </c>
      <c r="G64" s="2"/>
      <c r="H64" s="19"/>
      <c r="I64" s="2"/>
      <c r="J64" s="8"/>
      <c r="K64" s="8"/>
      <c r="N64" s="8"/>
      <c r="O64" s="2"/>
      <c r="P64" s="10" t="s">
        <v>31</v>
      </c>
      <c r="Q64" s="4">
        <v>256</v>
      </c>
      <c r="R64" s="4">
        <f t="shared" si="24"/>
        <v>2</v>
      </c>
      <c r="S64" s="4">
        <f t="shared" si="25"/>
        <v>5</v>
      </c>
      <c r="T64" s="4">
        <f t="shared" si="26"/>
        <v>6</v>
      </c>
      <c r="U64" s="8"/>
      <c r="V64" s="4">
        <f t="shared" si="27"/>
        <v>11</v>
      </c>
      <c r="W64" s="8"/>
      <c r="X64" s="9">
        <f t="shared" si="28"/>
        <v>14.850000000000001</v>
      </c>
      <c r="Y64" s="9">
        <f t="shared" si="29"/>
        <v>12.649999999999999</v>
      </c>
      <c r="Z64" s="9">
        <f t="shared" si="30"/>
        <v>13.75</v>
      </c>
      <c r="AC64" s="2"/>
      <c r="AF64" s="8"/>
      <c r="AI64" s="8"/>
      <c r="AJ64" s="8"/>
      <c r="AK64" s="8"/>
      <c r="AL64" s="8"/>
      <c r="AM64" s="8"/>
      <c r="AN64" s="8"/>
      <c r="AO64" s="8"/>
    </row>
    <row r="65" spans="1:41" ht="19.5" customHeight="1" x14ac:dyDescent="0.45">
      <c r="A65" s="10" t="s">
        <v>33</v>
      </c>
      <c r="B65" s="4">
        <v>356</v>
      </c>
      <c r="C65" s="4">
        <f t="shared" si="22"/>
        <v>3</v>
      </c>
      <c r="D65" s="4">
        <f t="shared" si="22"/>
        <v>5</v>
      </c>
      <c r="E65" s="4">
        <f t="shared" si="22"/>
        <v>6</v>
      </c>
      <c r="F65" s="4">
        <f t="shared" si="23"/>
        <v>18100000</v>
      </c>
      <c r="G65" s="2"/>
      <c r="H65" s="19"/>
      <c r="I65" s="2"/>
      <c r="J65" s="8"/>
      <c r="K65" s="8"/>
      <c r="N65" s="8"/>
      <c r="O65" s="2"/>
      <c r="P65" s="10" t="s">
        <v>32</v>
      </c>
      <c r="Q65" s="4">
        <v>346</v>
      </c>
      <c r="R65" s="4">
        <f t="shared" si="24"/>
        <v>3</v>
      </c>
      <c r="S65" s="4">
        <f t="shared" si="25"/>
        <v>4</v>
      </c>
      <c r="T65" s="4">
        <f t="shared" si="26"/>
        <v>6</v>
      </c>
      <c r="U65" s="8"/>
      <c r="V65" s="4">
        <f t="shared" si="27"/>
        <v>13</v>
      </c>
      <c r="W65" s="8"/>
      <c r="X65" s="9">
        <f t="shared" si="28"/>
        <v>17.55</v>
      </c>
      <c r="Y65" s="9">
        <f t="shared" si="29"/>
        <v>14.95</v>
      </c>
      <c r="Z65" s="9">
        <f t="shared" si="30"/>
        <v>16.25</v>
      </c>
      <c r="AC65" s="2"/>
      <c r="AF65" s="8"/>
      <c r="AI65" s="8"/>
      <c r="AJ65" s="8"/>
      <c r="AK65" s="8"/>
      <c r="AL65" s="8"/>
      <c r="AM65" s="8"/>
      <c r="AN65" s="8"/>
      <c r="AO65" s="8"/>
    </row>
    <row r="66" spans="1:41" ht="19.5" customHeight="1" x14ac:dyDescent="0.45">
      <c r="A66" s="10" t="s">
        <v>34</v>
      </c>
      <c r="B66" s="4">
        <v>456</v>
      </c>
      <c r="C66" s="4">
        <f t="shared" si="22"/>
        <v>4</v>
      </c>
      <c r="D66" s="4">
        <f t="shared" si="22"/>
        <v>5</v>
      </c>
      <c r="E66" s="4">
        <f t="shared" si="22"/>
        <v>6</v>
      </c>
      <c r="F66" s="4">
        <f t="shared" si="23"/>
        <v>17700000</v>
      </c>
      <c r="G66" s="2"/>
      <c r="H66" s="19"/>
      <c r="I66" s="2"/>
      <c r="J66" s="8"/>
      <c r="K66" s="8"/>
      <c r="N66" s="8"/>
      <c r="O66" s="2"/>
      <c r="P66" s="10" t="s">
        <v>33</v>
      </c>
      <c r="Q66" s="4">
        <v>356</v>
      </c>
      <c r="R66" s="4">
        <f t="shared" si="24"/>
        <v>3</v>
      </c>
      <c r="S66" s="4">
        <f t="shared" si="25"/>
        <v>5</v>
      </c>
      <c r="T66" s="4">
        <f t="shared" si="26"/>
        <v>6</v>
      </c>
      <c r="U66" s="8"/>
      <c r="V66" s="4">
        <f t="shared" si="27"/>
        <v>12</v>
      </c>
      <c r="W66" s="8"/>
      <c r="X66" s="9">
        <f t="shared" si="28"/>
        <v>16.200000000000003</v>
      </c>
      <c r="Y66" s="9">
        <f t="shared" si="29"/>
        <v>13.799999999999999</v>
      </c>
      <c r="Z66" s="4">
        <f t="shared" si="30"/>
        <v>15</v>
      </c>
      <c r="AC66" s="2"/>
      <c r="AF66" s="8"/>
      <c r="AI66" s="8"/>
      <c r="AJ66" s="8"/>
      <c r="AK66" s="8"/>
      <c r="AL66" s="8"/>
      <c r="AM66" s="8"/>
      <c r="AN66" s="8"/>
      <c r="AO66" s="8"/>
    </row>
    <row r="67" spans="1:41" ht="19.5" customHeight="1" x14ac:dyDescent="0.45">
      <c r="A67" s="2"/>
      <c r="B67" s="2"/>
      <c r="C67" s="8"/>
      <c r="D67" s="8"/>
      <c r="E67" s="2"/>
      <c r="F67" s="2"/>
      <c r="G67" s="2"/>
      <c r="H67" s="19"/>
      <c r="I67" s="2"/>
      <c r="J67" s="8"/>
      <c r="K67" s="8"/>
      <c r="N67" s="8"/>
      <c r="O67" s="2"/>
      <c r="P67" s="10" t="s">
        <v>34</v>
      </c>
      <c r="Q67" s="4">
        <v>456</v>
      </c>
      <c r="R67" s="4">
        <f t="shared" si="24"/>
        <v>4</v>
      </c>
      <c r="S67" s="4">
        <f t="shared" si="25"/>
        <v>5</v>
      </c>
      <c r="T67" s="4">
        <f t="shared" si="26"/>
        <v>6</v>
      </c>
      <c r="U67" s="8"/>
      <c r="V67" s="4">
        <f t="shared" si="27"/>
        <v>11</v>
      </c>
      <c r="W67" s="8"/>
      <c r="X67" s="9">
        <f t="shared" si="28"/>
        <v>14.850000000000001</v>
      </c>
      <c r="Y67" s="9">
        <f t="shared" si="29"/>
        <v>12.649999999999999</v>
      </c>
      <c r="Z67" s="9">
        <f t="shared" si="30"/>
        <v>13.75</v>
      </c>
      <c r="AC67" s="2"/>
      <c r="AF67" s="8"/>
      <c r="AI67" s="8"/>
      <c r="AJ67" s="8"/>
      <c r="AK67" s="8"/>
      <c r="AL67" s="8"/>
      <c r="AM67" s="8"/>
      <c r="AN67" s="8"/>
      <c r="AO67" s="8"/>
    </row>
    <row r="68" spans="1:41" ht="19.5" customHeight="1" x14ac:dyDescent="0.45">
      <c r="A68" s="37" t="s">
        <v>43</v>
      </c>
      <c r="B68" s="44"/>
      <c r="C68" s="45"/>
      <c r="D68" s="8"/>
      <c r="E68" s="2"/>
      <c r="F68" s="2"/>
      <c r="G68" s="2"/>
      <c r="H68" s="19"/>
      <c r="I68" s="2"/>
      <c r="J68" s="8"/>
      <c r="K68" s="8"/>
      <c r="N68" s="8"/>
      <c r="O68" s="2"/>
      <c r="P68" s="2"/>
      <c r="Q68" s="2"/>
      <c r="R68" s="2"/>
      <c r="S68" s="2"/>
      <c r="T68" s="2"/>
      <c r="U68" s="8"/>
      <c r="V68" s="2"/>
      <c r="W68" s="10" t="s">
        <v>102</v>
      </c>
      <c r="X68" s="9">
        <f>AVERAGE(X48:X67)</f>
        <v>15.525000000000006</v>
      </c>
      <c r="Y68" s="9">
        <f>AVERAGE(Y48:Y67)</f>
        <v>13.225</v>
      </c>
      <c r="Z68" s="9">
        <f>AVERAGE(Z48:Z67)</f>
        <v>14.375</v>
      </c>
      <c r="AC68" s="2"/>
      <c r="AF68" s="8"/>
      <c r="AI68" s="8"/>
      <c r="AJ68" s="8"/>
      <c r="AK68" s="8"/>
      <c r="AL68" s="8"/>
      <c r="AM68" s="8"/>
      <c r="AN68" s="8"/>
      <c r="AO68" s="8"/>
    </row>
    <row r="69" spans="1:41" ht="19.5" customHeight="1" x14ac:dyDescent="0.45">
      <c r="A69" s="39"/>
      <c r="B69" s="46" t="s">
        <v>115</v>
      </c>
      <c r="C69" s="47" t="s">
        <v>69</v>
      </c>
      <c r="D69" s="8"/>
      <c r="E69" s="2"/>
      <c r="F69" s="2"/>
      <c r="G69" s="2"/>
      <c r="H69" s="19"/>
      <c r="I69" s="2"/>
      <c r="J69" s="8"/>
      <c r="K69" s="8"/>
      <c r="N69" s="8"/>
      <c r="O69" s="2"/>
      <c r="P69" s="2"/>
      <c r="Q69" s="2"/>
      <c r="R69" s="2"/>
      <c r="S69" s="2"/>
      <c r="T69" s="2"/>
      <c r="U69" s="8"/>
      <c r="V69" s="2"/>
      <c r="W69" s="8"/>
      <c r="X69" s="8"/>
      <c r="Y69" s="8"/>
      <c r="Z69" s="8"/>
      <c r="AC69" s="2"/>
      <c r="AF69" s="8"/>
      <c r="AI69" s="8"/>
      <c r="AJ69" s="8"/>
      <c r="AK69" s="8"/>
      <c r="AL69" s="8"/>
      <c r="AM69" s="8"/>
      <c r="AN69" s="8"/>
      <c r="AO69" s="8"/>
    </row>
    <row r="70" spans="1:41" ht="19.5" customHeight="1" x14ac:dyDescent="0.45">
      <c r="A70" s="39" t="s">
        <v>60</v>
      </c>
      <c r="B70" s="27">
        <v>8850</v>
      </c>
      <c r="C70" s="28">
        <v>0.45</v>
      </c>
      <c r="D70" s="9">
        <f>B70*(1+C70)</f>
        <v>12832.5</v>
      </c>
      <c r="E70" s="2"/>
      <c r="F70" s="2"/>
      <c r="G70" s="2"/>
      <c r="H70" s="19"/>
      <c r="I70" s="2"/>
      <c r="J70" s="8"/>
      <c r="K70" s="8"/>
      <c r="N70" s="8"/>
      <c r="O70" s="2"/>
      <c r="P70" s="2"/>
      <c r="Q70" s="2"/>
      <c r="R70" s="2"/>
      <c r="S70" s="2"/>
      <c r="T70" s="2"/>
      <c r="U70" s="8"/>
      <c r="V70" s="2"/>
      <c r="W70" s="8"/>
      <c r="X70" s="8"/>
      <c r="Y70" s="8"/>
      <c r="Z70" s="8"/>
      <c r="AC70" s="2"/>
      <c r="AF70" s="8"/>
      <c r="AI70" s="8"/>
      <c r="AJ70" s="8"/>
      <c r="AK70" s="8"/>
      <c r="AL70" s="8"/>
      <c r="AM70" s="8"/>
      <c r="AN70" s="8"/>
      <c r="AO70" s="8"/>
    </row>
    <row r="71" spans="1:41" ht="19.5" customHeight="1" x14ac:dyDescent="0.45">
      <c r="A71" s="39" t="s">
        <v>64</v>
      </c>
      <c r="B71" s="27">
        <v>10800</v>
      </c>
      <c r="C71" s="28">
        <v>0.2</v>
      </c>
      <c r="D71" s="9">
        <f>B71*(1+C71)</f>
        <v>12960</v>
      </c>
      <c r="E71" s="2"/>
      <c r="F71" s="2"/>
      <c r="G71" s="2"/>
      <c r="H71" s="19"/>
      <c r="I71" s="2"/>
      <c r="J71" s="8"/>
      <c r="K71" s="8"/>
      <c r="N71" s="8"/>
      <c r="O71" s="2"/>
      <c r="P71" s="2"/>
      <c r="Q71" s="2"/>
      <c r="R71" s="2"/>
      <c r="S71" s="2"/>
      <c r="T71" s="2"/>
      <c r="U71" s="8"/>
      <c r="V71" s="2"/>
      <c r="W71" s="8"/>
      <c r="X71" s="8"/>
      <c r="Y71" s="8"/>
      <c r="Z71" s="8"/>
      <c r="AC71" s="2"/>
      <c r="AF71" s="8"/>
      <c r="AI71" s="8"/>
      <c r="AJ71" s="8"/>
      <c r="AK71" s="8"/>
      <c r="AL71" s="8"/>
      <c r="AM71" s="8"/>
      <c r="AN71" s="8"/>
      <c r="AO71" s="8"/>
    </row>
    <row r="72" spans="1:41" ht="19.5" customHeight="1" x14ac:dyDescent="0.45">
      <c r="A72" s="67"/>
      <c r="B72" s="68"/>
      <c r="C72" s="69"/>
      <c r="D72" s="8"/>
      <c r="E72" s="2"/>
      <c r="F72" s="2"/>
      <c r="G72" s="2"/>
      <c r="H72" s="19"/>
      <c r="I72" s="2"/>
      <c r="J72" s="8"/>
      <c r="K72" s="8"/>
      <c r="N72" s="8"/>
      <c r="O72" s="2"/>
      <c r="P72" s="2"/>
      <c r="Q72" s="2"/>
      <c r="R72" s="2"/>
      <c r="S72" s="2"/>
      <c r="T72" s="2"/>
      <c r="U72" s="8"/>
      <c r="V72" s="2"/>
      <c r="W72" s="8"/>
      <c r="X72" s="8"/>
      <c r="Y72" s="8"/>
      <c r="Z72" s="8"/>
      <c r="AC72" s="2"/>
      <c r="AF72" s="8"/>
      <c r="AI72" s="8"/>
      <c r="AJ72" s="8"/>
      <c r="AK72" s="8"/>
      <c r="AL72" s="8"/>
      <c r="AM72" s="8"/>
      <c r="AN72" s="8"/>
      <c r="AO72" s="8"/>
    </row>
    <row r="73" spans="1:41" ht="19.5" customHeight="1" x14ac:dyDescent="0.45">
      <c r="A73" s="70"/>
      <c r="B73" s="71"/>
      <c r="C73" s="72"/>
      <c r="D73" s="8"/>
      <c r="E73" s="2"/>
      <c r="F73" s="2"/>
      <c r="G73" s="2"/>
      <c r="H73" s="19"/>
      <c r="I73" s="2"/>
      <c r="J73" s="8"/>
      <c r="K73" s="8"/>
      <c r="N73" s="8"/>
      <c r="O73" s="2"/>
      <c r="P73" s="2"/>
      <c r="Q73" s="2"/>
      <c r="R73" s="2"/>
      <c r="S73" s="2"/>
      <c r="T73" s="2"/>
      <c r="U73" s="8"/>
      <c r="V73" s="2"/>
      <c r="W73" s="8"/>
      <c r="X73" s="8"/>
      <c r="Y73" s="8"/>
      <c r="Z73" s="8"/>
      <c r="AC73" s="2"/>
      <c r="AF73" s="8"/>
      <c r="AI73" s="8"/>
      <c r="AJ73" s="8"/>
      <c r="AK73" s="8"/>
      <c r="AL73" s="8"/>
      <c r="AM73" s="8"/>
      <c r="AN73" s="8"/>
      <c r="AO73" s="8"/>
    </row>
    <row r="74" spans="1:41" ht="19.5" customHeight="1" x14ac:dyDescent="0.45">
      <c r="A74" s="73"/>
      <c r="B74" s="71"/>
      <c r="C74" s="72"/>
      <c r="D74" s="8"/>
      <c r="E74" s="2"/>
      <c r="F74" s="2"/>
      <c r="G74" s="2"/>
      <c r="H74" s="19"/>
      <c r="I74" s="2"/>
      <c r="J74" s="8"/>
      <c r="K74" s="8"/>
      <c r="N74" s="8"/>
      <c r="O74" s="2"/>
      <c r="P74" s="2"/>
      <c r="Q74" s="2"/>
      <c r="R74" s="2"/>
      <c r="S74" s="2"/>
      <c r="T74" s="2"/>
      <c r="U74" s="8"/>
      <c r="V74" s="2"/>
      <c r="W74" s="8"/>
      <c r="X74" s="8"/>
      <c r="Y74" s="8"/>
      <c r="Z74" s="8"/>
      <c r="AC74" s="2"/>
      <c r="AF74" s="8"/>
      <c r="AI74" s="8"/>
      <c r="AJ74" s="8"/>
      <c r="AK74" s="8"/>
      <c r="AL74" s="8"/>
      <c r="AM74" s="8"/>
      <c r="AN74" s="8"/>
      <c r="AO7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2161"/>
  <sheetViews>
    <sheetView workbookViewId="0"/>
  </sheetViews>
  <sheetFormatPr defaultRowHeight="14.25" x14ac:dyDescent="0.45"/>
  <cols>
    <col min="1" max="1" width="7.73046875" bestFit="1" customWidth="1"/>
    <col min="2" max="2" width="15.1328125" style="15" bestFit="1" customWidth="1"/>
    <col min="3" max="3" width="9.73046875" style="15" bestFit="1" customWidth="1"/>
    <col min="4" max="4" width="14.1328125" bestFit="1" customWidth="1"/>
    <col min="5" max="5" width="15.1328125" style="11" bestFit="1" customWidth="1"/>
    <col min="6" max="6" width="10.86328125" bestFit="1" customWidth="1"/>
    <col min="7" max="7" width="6.73046875" style="11" bestFit="1" customWidth="1"/>
    <col min="8" max="8" width="13.3984375" style="15" bestFit="1" customWidth="1"/>
    <col min="9" max="9" width="10" style="11" bestFit="1" customWidth="1"/>
    <col min="10" max="10" width="7.3984375" bestFit="1" customWidth="1"/>
    <col min="11" max="11" width="11.1328125" style="11" bestFit="1" customWidth="1"/>
    <col min="12" max="12" width="13.86328125" style="15" bestFit="1" customWidth="1"/>
    <col min="13" max="13" width="7.86328125" style="11" bestFit="1" customWidth="1"/>
    <col min="14" max="14" width="14.1328125" style="11" bestFit="1" customWidth="1"/>
    <col min="15" max="15" width="12.86328125" style="11" bestFit="1" customWidth="1"/>
    <col min="16" max="16" width="13.3984375" style="11" bestFit="1" customWidth="1"/>
    <col min="17" max="17" width="19.265625" style="11" bestFit="1" customWidth="1"/>
    <col min="18" max="18" width="13.265625" style="11" bestFit="1" customWidth="1"/>
    <col min="19" max="19" width="17.86328125" style="11" bestFit="1" customWidth="1"/>
    <col min="20" max="20" width="12.265625" bestFit="1" customWidth="1"/>
    <col min="21" max="21" width="13.73046875" style="11" bestFit="1" customWidth="1"/>
    <col min="22" max="22" width="20.265625" style="11" bestFit="1" customWidth="1"/>
    <col min="23" max="24" width="14.1328125" style="11" bestFit="1" customWidth="1"/>
  </cols>
  <sheetData>
    <row r="1" spans="1:24" ht="19.5" customHeight="1" x14ac:dyDescent="0.45">
      <c r="A1" t="s">
        <v>5</v>
      </c>
      <c r="B1" s="13" t="s">
        <v>36</v>
      </c>
      <c r="C1" s="13" t="s">
        <v>37</v>
      </c>
      <c r="D1" t="s">
        <v>6</v>
      </c>
      <c r="E1" s="7" t="s">
        <v>38</v>
      </c>
      <c r="F1" t="s">
        <v>39</v>
      </c>
      <c r="G1" s="7" t="s">
        <v>40</v>
      </c>
      <c r="H1" s="13" t="s">
        <v>41</v>
      </c>
      <c r="I1" s="7" t="s">
        <v>42</v>
      </c>
      <c r="J1" t="s">
        <v>43</v>
      </c>
      <c r="K1" s="7" t="s">
        <v>44</v>
      </c>
      <c r="L1" s="13" t="s">
        <v>45</v>
      </c>
      <c r="M1" s="7" t="s">
        <v>46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7" t="s">
        <v>52</v>
      </c>
      <c r="T1" t="s">
        <v>53</v>
      </c>
      <c r="U1" s="7" t="s">
        <v>54</v>
      </c>
      <c r="V1" s="7" t="s">
        <v>55</v>
      </c>
      <c r="W1" s="7" t="s">
        <v>56</v>
      </c>
      <c r="X1" s="7" t="s">
        <v>57</v>
      </c>
    </row>
    <row r="2" spans="1:24" ht="19.5" customHeight="1" x14ac:dyDescent="0.45">
      <c r="A2" t="s">
        <v>15</v>
      </c>
      <c r="B2" s="14">
        <f>_xlfn.XLOOKUP(Table1[[#This Row], [TEAM]],Sheet1!$A$12:$A$17,Sheet1!$F$12:$F$17)</f>
        <v>2</v>
      </c>
      <c r="C2" s="14">
        <f>_xlfn.XLOOKUP(Table1[[#This Row], [TEAM]],Sheet1!$A$12:$A$17,Sheet1!$G$12:$G$17)</f>
        <v>5932950</v>
      </c>
      <c r="D2" t="s">
        <v>24</v>
      </c>
      <c r="E2" s="4">
        <f>_xlfn.XLOOKUP(Table1[[#This Row], [ROOM]],Sheet1!$A$47:$A$66,Sheet1!$B$47:$B$66)</f>
        <v>345</v>
      </c>
      <c r="F2" t="s">
        <v>58</v>
      </c>
      <c r="G2" s="4">
        <f>_xlfn.XLOOKUP(Table1[[#This Row], [DISGUISE]],Sheet1!$A$21:$A$23,Sheet1!$B$21:$B$23)*Table1[[#This Row], [NUM OF MEM]]*(1+_xlfn.XLOOKUP(Table1[[#This Row], [DISGUISE]],Sheet1!$A$21:$A$23,Sheet1!$C$21:$C$23))</f>
        <v>25600</v>
      </c>
      <c r="H2" s="13" t="s">
        <v>59</v>
      </c>
      <c r="I2" s="4">
        <f>_xlfn.XLOOKUP(Table1[[#This Row], [WEAPON]],Sheet1!$A$27:$A$29,Sheet1!$B$27:$B$29)*Table1[[#This Row], [NUM OF MEM]]*(1+_xlfn.XLOOKUP(Table1[[#This Row], [WEAPON]],Sheet1!$A$27:$A$29,Sheet1!$C$27:$C$29))</f>
        <v>91000</v>
      </c>
      <c r="J2" t="s">
        <v>60</v>
      </c>
      <c r="K2" s="9">
        <f>Table1[[#This Row], [NUM OF MEM]]*Table1[[#This Row], [TOTAL TIME TAKEN]]*_xlfn.XLOOKUP(Table1[[#This Row], [EXIT]],Sheet1!$A$70:$A$71,Sheet1!$B$70:$B$71)*(1+_xlfn.XLOOKUP(Table1[[#This Row], [EXIT]],Sheet1!$A$70:$A$71,Sheet1!$C$70:$C$71))</f>
        <v>1758854.5312499995</v>
      </c>
      <c r="L2" s="13" t="s">
        <v>61</v>
      </c>
      <c r="M2" s="4">
        <f>IF(Table1[[#This Row], [EQUIPMENT]]="YES",Sheet1!$C$44*(1+Sheet1!$D$44),0)</f>
        <v>0</v>
      </c>
      <c r="N2" s="4">
        <f>_xlfn.XLOOKUP(Table1[[#This Row], [ROOM]],Sheet1!$A$47:$A$66,Sheet1!$F$47:$F$66)</f>
        <v>18000000</v>
      </c>
      <c r="O2" s="9">
        <f>_xlfn.XLOOKUP(_xlfn.CONCAT(Table1[[#This Row], [TEAM]],Table1[[#This Row], [ROOM]]),'ROOM TIME'!$H$2:$H$121,'ROOM TIME'!$J$2:$J$121)</f>
        <v>61.63124999999998</v>
      </c>
      <c r="P2" s="9">
        <f>(INDEX(Sheet1!$X$48:$Z$67,MATCH(Table1[[#This Row], [ROOM]],Sheet1!$P$48:$P$67,0),MATCH(Table1[[#This Row], [WEAPON]],Sheet1!$X$47:$Z$47,0)))/Table1[[#This Row], [NUM OF MEM]]</f>
        <v>6.8999999999999995</v>
      </c>
      <c r="Q2" s="9">
        <f>Table1[[#This Row], [ROOM TIME]]+Table1[[#This Row], [GUARD TIME]]</f>
        <v>68.531249999999986</v>
      </c>
      <c r="R2" s="4">
        <f>Sheet1!$K$3*_xlfn.XLOOKUP(Table1[[#This Row], [DISGUISE]],Sheet1!$A$21:$A$23,Sheet1!$D$21:$D$23)</f>
        <v>69</v>
      </c>
      <c r="S2" s="9">
        <f>Table1[[#This Row], [TOTAL TIME]]-Table1[[#This Row], [TOTAL TIME TAKEN]]</f>
        <v>0.46875000000001421</v>
      </c>
      <c r="T2" t="str">
        <f>IF(Table1[[#This Row], [TIME DIFFERENCE]]&gt;=0,"PASS","FAIL")</f>
        <v>PASS</v>
      </c>
      <c r="U2" s="9">
        <f>Table1[[#This Row], [TRC]]+Table1[[#This Row], [DRC]]+Table1[[#This Row], [WRC]]+Table1[[#This Row], [ERC]]+Table1[[#This Row], [EQRC]]</f>
        <v>7808404.53125</v>
      </c>
      <c r="V2" s="9">
        <f>Table1[[#This Row], [TOTAL COST]]+_xlfn.XLOOKUP(Table1[[#This Row], [TEAM]],Sheet1!$A$12:$A$17,Sheet1!$I$12:$I$17)</f>
        <v>8105052.03125</v>
      </c>
      <c r="W2" s="9">
        <f>Table1[[#This Row], [LOOT]]-Table1[[#This Row], [TOTAL COST]]</f>
        <v>10191595.46875</v>
      </c>
      <c r="X2" s="9">
        <f>IF(Table1[[#This Row], [PASS/FAIL]]="FAIL",0,Table1[[#This Row], [PROFIT]])</f>
        <v>10191595.46875</v>
      </c>
    </row>
    <row r="3" spans="1:24" ht="19.5" customHeight="1" x14ac:dyDescent="0.45">
      <c r="A3" t="s">
        <v>12</v>
      </c>
      <c r="B3" s="14">
        <f>_xlfn.XLOOKUP(Table1[[#This Row], [TEAM]],Sheet1!$A$12:$A$17,Sheet1!$F$12:$F$17)</f>
        <v>3</v>
      </c>
      <c r="C3" s="14">
        <f>_xlfn.XLOOKUP(Table1[[#This Row], [TEAM]],Sheet1!$A$12:$A$17,Sheet1!$G$12:$G$17)</f>
        <v>5988750</v>
      </c>
      <c r="D3" t="s">
        <v>18</v>
      </c>
      <c r="E3" s="4">
        <f>_xlfn.XLOOKUP(Table1[[#This Row], [ROOM]],Sheet1!$A$47:$A$66,Sheet1!$B$47:$B$66)</f>
        <v>134</v>
      </c>
      <c r="F3" t="s">
        <v>62</v>
      </c>
      <c r="G3" s="4">
        <f>_xlfn.XLOOKUP(Table1[[#This Row], [DISGUISE]],Sheet1!$A$21:$A$23,Sheet1!$B$21:$B$23)*Table1[[#This Row], [NUM OF MEM]]*(1+_xlfn.XLOOKUP(Table1[[#This Row], [DISGUISE]],Sheet1!$A$21:$A$23,Sheet1!$C$21:$C$23))</f>
        <v>15600</v>
      </c>
      <c r="H3" s="13" t="s">
        <v>63</v>
      </c>
      <c r="I3" s="4">
        <f>_xlfn.XLOOKUP(Table1[[#This Row], [WEAPON]],Sheet1!$A$27:$A$29,Sheet1!$B$27:$B$29)*Table1[[#This Row], [NUM OF MEM]]*(1+_xlfn.XLOOKUP(Table1[[#This Row], [WEAPON]],Sheet1!$A$27:$A$29,Sheet1!$C$27:$C$29))</f>
        <v>69000</v>
      </c>
      <c r="J3" t="s">
        <v>60</v>
      </c>
      <c r="K3" s="9">
        <f>Table1[[#This Row], [NUM OF MEM]]*Table1[[#This Row], [TOTAL TIME TAKEN]]*_xlfn.XLOOKUP(Table1[[#This Row], [EXIT]],Sheet1!$A$70:$A$71,Sheet1!$B$70:$B$71)*(1+_xlfn.XLOOKUP(Table1[[#This Row], [EXIT]],Sheet1!$A$70:$A$71,Sheet1!$C$70:$C$71))</f>
        <v>1802410.1749999996</v>
      </c>
      <c r="L3" s="13" t="s">
        <v>61</v>
      </c>
      <c r="M3" s="4">
        <f>IF(Table1[[#This Row], [EQUIPMENT]]="YES",Sheet1!$C$44*(1+Sheet1!$D$44),0)</f>
        <v>0</v>
      </c>
      <c r="N3" s="4">
        <f>_xlfn.XLOOKUP(Table1[[#This Row], [ROOM]],Sheet1!$A$47:$A$66,Sheet1!$F$47:$F$66)</f>
        <v>18050000</v>
      </c>
      <c r="O3" s="9">
        <f>_xlfn.XLOOKUP(_xlfn.CONCAT(Table1[[#This Row], [TEAM]],Table1[[#This Row], [ROOM]]),'ROOM TIME'!$H$2:$H$121,'ROOM TIME'!$J$2:$J$121)</f>
        <v>41.41888888888888</v>
      </c>
      <c r="P3" s="9">
        <f>(INDEX(Sheet1!$X$48:$Z$67,MATCH(Table1[[#This Row], [ROOM]],Sheet1!$P$48:$P$67,0),MATCH(Table1[[#This Row], [WEAPON]],Sheet1!$X$47:$Z$47,0)))/Table1[[#This Row], [NUM OF MEM]]</f>
        <v>5.4000000000000012</v>
      </c>
      <c r="Q3" s="9">
        <f>Table1[[#This Row], [ROOM TIME]]+Table1[[#This Row], [GUARD TIME]]</f>
        <v>46.818888888888878</v>
      </c>
      <c r="R3" s="4">
        <f>Sheet1!$K$3*_xlfn.XLOOKUP(Table1[[#This Row], [DISGUISE]],Sheet1!$A$21:$A$23,Sheet1!$D$21:$D$23)</f>
        <v>66</v>
      </c>
      <c r="S3" s="9">
        <f>Table1[[#This Row], [TOTAL TIME]]-Table1[[#This Row], [TOTAL TIME TAKEN]]</f>
        <v>19.181111111111122</v>
      </c>
      <c r="T3" t="str">
        <f>IF(Table1[[#This Row], [TIME DIFFERENCE]]&gt;=0,"PASS","FAIL")</f>
        <v>PASS</v>
      </c>
      <c r="U3" s="9">
        <f>Table1[[#This Row], [TRC]]+Table1[[#This Row], [DRC]]+Table1[[#This Row], [WRC]]+Table1[[#This Row], [ERC]]+Table1[[#This Row], [EQRC]]</f>
        <v>7875760.1749999998</v>
      </c>
      <c r="V3" s="9">
        <f>Table1[[#This Row], [TOTAL COST]]+_xlfn.XLOOKUP(Table1[[#This Row], [TEAM]],Sheet1!$A$12:$A$17,Sheet1!$I$12:$I$17)</f>
        <v>8175197.6749999998</v>
      </c>
      <c r="W3" s="9">
        <f>Table1[[#This Row], [LOOT]]-Table1[[#This Row], [TOTAL COST]]</f>
        <v>10174239.824999999</v>
      </c>
      <c r="X3" s="9">
        <f>IF(Table1[[#This Row], [PASS/FAIL]]="FAIL",0,Table1[[#This Row], [PROFIT]])</f>
        <v>10174239.824999999</v>
      </c>
    </row>
    <row r="4" spans="1:24" ht="19.5" customHeight="1" x14ac:dyDescent="0.45">
      <c r="A4" t="s">
        <v>15</v>
      </c>
      <c r="B4" s="14">
        <f>_xlfn.XLOOKUP(Table1[[#This Row], [TEAM]],Sheet1!$A$12:$A$17,Sheet1!$F$12:$F$17)</f>
        <v>2</v>
      </c>
      <c r="C4" s="14">
        <f>_xlfn.XLOOKUP(Table1[[#This Row], [TEAM]],Sheet1!$A$12:$A$17,Sheet1!$G$12:$G$17)</f>
        <v>5932950</v>
      </c>
      <c r="D4" t="s">
        <v>24</v>
      </c>
      <c r="E4" s="4">
        <f>_xlfn.XLOOKUP(Table1[[#This Row], [ROOM]],Sheet1!$A$47:$A$66,Sheet1!$B$47:$B$66)</f>
        <v>345</v>
      </c>
      <c r="F4" t="s">
        <v>58</v>
      </c>
      <c r="G4" s="4">
        <f>_xlfn.XLOOKUP(Table1[[#This Row], [DISGUISE]],Sheet1!$A$21:$A$23,Sheet1!$B$21:$B$23)*Table1[[#This Row], [NUM OF MEM]]*(1+_xlfn.XLOOKUP(Table1[[#This Row], [DISGUISE]],Sheet1!$A$21:$A$23,Sheet1!$C$21:$C$23))</f>
        <v>25600</v>
      </c>
      <c r="H4" s="13" t="s">
        <v>59</v>
      </c>
      <c r="I4" s="4">
        <f>_xlfn.XLOOKUP(Table1[[#This Row], [WEAPON]],Sheet1!$A$27:$A$29,Sheet1!$B$27:$B$29)*Table1[[#This Row], [NUM OF MEM]]*(1+_xlfn.XLOOKUP(Table1[[#This Row], [WEAPON]],Sheet1!$A$27:$A$29,Sheet1!$C$27:$C$29))</f>
        <v>91000</v>
      </c>
      <c r="J4" t="s">
        <v>64</v>
      </c>
      <c r="K4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1776329.9999999998</v>
      </c>
      <c r="L4" s="13" t="s">
        <v>61</v>
      </c>
      <c r="M4" s="4">
        <f>IF(Table1[[#This Row], [EQUIPMENT]]="YES",Sheet1!$C$44*(1+Sheet1!$D$44),0)</f>
        <v>0</v>
      </c>
      <c r="N4" s="4">
        <f>_xlfn.XLOOKUP(Table1[[#This Row], [ROOM]],Sheet1!$A$47:$A$66,Sheet1!$F$47:$F$66)</f>
        <v>18000000</v>
      </c>
      <c r="O4" s="9">
        <f>_xlfn.XLOOKUP(_xlfn.CONCAT(Table1[[#This Row], [TEAM]],Table1[[#This Row], [ROOM]]),'ROOM TIME'!$H$2:$H$121,'ROOM TIME'!$J$2:$J$121)</f>
        <v>61.63124999999998</v>
      </c>
      <c r="P4" s="9">
        <f>(INDEX(Sheet1!$X$48:$Z$67,MATCH(Table1[[#This Row], [ROOM]],Sheet1!$P$48:$P$67,0),MATCH(Table1[[#This Row], [WEAPON]],Sheet1!$X$47:$Z$47,0)))/Table1[[#This Row], [NUM OF MEM]]</f>
        <v>6.8999999999999995</v>
      </c>
      <c r="Q4" s="9">
        <f>Table1[[#This Row], [ROOM TIME]]+Table1[[#This Row], [GUARD TIME]]</f>
        <v>68.531249999999986</v>
      </c>
      <c r="R4" s="4">
        <f>Sheet1!$K$3*_xlfn.XLOOKUP(Table1[[#This Row], [DISGUISE]],Sheet1!$A$21:$A$23,Sheet1!$D$21:$D$23)</f>
        <v>69</v>
      </c>
      <c r="S4" s="9">
        <f>Table1[[#This Row], [TOTAL TIME]]-Table1[[#This Row], [TOTAL TIME TAKEN]]</f>
        <v>0.46875000000001421</v>
      </c>
      <c r="T4" t="str">
        <f>IF(Table1[[#This Row], [TIME DIFFERENCE]]&gt;=0,"PASS","FAIL")</f>
        <v>PASS</v>
      </c>
      <c r="U4" s="4">
        <f>Table1[[#This Row], [TRC]]+Table1[[#This Row], [DRC]]+Table1[[#This Row], [WRC]]+Table1[[#This Row], [ERC]]+Table1[[#This Row], [EQRC]]</f>
        <v>7825880</v>
      </c>
      <c r="V4" s="9">
        <f>Table1[[#This Row], [TOTAL COST]]+_xlfn.XLOOKUP(Table1[[#This Row], [TEAM]],Sheet1!$A$12:$A$17,Sheet1!$I$12:$I$17)</f>
        <v>8122527.5</v>
      </c>
      <c r="W4" s="4">
        <f>Table1[[#This Row], [LOOT]]-Table1[[#This Row], [TOTAL COST]]</f>
        <v>10174120</v>
      </c>
      <c r="X4" s="4">
        <f>IF(Table1[[#This Row], [PASS/FAIL]]="FAIL",0,Table1[[#This Row], [PROFIT]])</f>
        <v>10174120</v>
      </c>
    </row>
    <row r="5" spans="1:24" ht="19.5" customHeight="1" x14ac:dyDescent="0.45">
      <c r="A5" t="s">
        <v>14</v>
      </c>
      <c r="B5" s="14">
        <f>_xlfn.XLOOKUP(Table1[[#This Row], [TEAM]],Sheet1!$A$12:$A$17,Sheet1!$F$12:$F$17)</f>
        <v>2</v>
      </c>
      <c r="C5" s="14">
        <f>_xlfn.XLOOKUP(Table1[[#This Row], [TEAM]],Sheet1!$A$12:$A$17,Sheet1!$G$12:$G$17)</f>
        <v>5949600</v>
      </c>
      <c r="D5" t="s">
        <v>24</v>
      </c>
      <c r="E5" s="4">
        <f>_xlfn.XLOOKUP(Table1[[#This Row], [ROOM]],Sheet1!$A$47:$A$66,Sheet1!$B$47:$B$66)</f>
        <v>345</v>
      </c>
      <c r="F5" t="s">
        <v>58</v>
      </c>
      <c r="G5" s="4">
        <f>_xlfn.XLOOKUP(Table1[[#This Row], [DISGUISE]],Sheet1!$A$21:$A$23,Sheet1!$B$21:$B$23)*Table1[[#This Row], [NUM OF MEM]]*(1+_xlfn.XLOOKUP(Table1[[#This Row], [DISGUISE]],Sheet1!$A$21:$A$23,Sheet1!$C$21:$C$23))</f>
        <v>25600</v>
      </c>
      <c r="H5" s="13" t="s">
        <v>59</v>
      </c>
      <c r="I5" s="4">
        <f>_xlfn.XLOOKUP(Table1[[#This Row], [WEAPON]],Sheet1!$A$27:$A$29,Sheet1!$B$27:$B$29)*Table1[[#This Row], [NUM OF MEM]]*(1+_xlfn.XLOOKUP(Table1[[#This Row], [WEAPON]],Sheet1!$A$27:$A$29,Sheet1!$C$27:$C$29))</f>
        <v>91000</v>
      </c>
      <c r="J5" t="s">
        <v>60</v>
      </c>
      <c r="K5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1760907.7312499997</v>
      </c>
      <c r="L5" s="13" t="s">
        <v>61</v>
      </c>
      <c r="M5" s="4">
        <f>IF(Table1[[#This Row], [EQUIPMENT]]="YES",Sheet1!$C$44*(1+Sheet1!$D$44),0)</f>
        <v>0</v>
      </c>
      <c r="N5" s="4">
        <f>_xlfn.XLOOKUP(Table1[[#This Row], [ROOM]],Sheet1!$A$47:$A$66,Sheet1!$F$47:$F$66)</f>
        <v>18000000</v>
      </c>
      <c r="O5" s="9">
        <f>_xlfn.XLOOKUP(_xlfn.CONCAT(Table1[[#This Row], [TEAM]],Table1[[#This Row], [ROOM]]),'ROOM TIME'!$H$2:$H$121,'ROOM TIME'!$J$2:$J$121)</f>
        <v>61.711249999999986</v>
      </c>
      <c r="P5" s="9">
        <f>(INDEX(Sheet1!$X$48:$Z$67,MATCH(Table1[[#This Row], [ROOM]],Sheet1!$P$48:$P$67,0),MATCH(Table1[[#This Row], [WEAPON]],Sheet1!$X$47:$Z$47,0)))/Table1[[#This Row], [NUM OF MEM]]</f>
        <v>6.8999999999999995</v>
      </c>
      <c r="Q5" s="9">
        <f>Table1[[#This Row], [ROOM TIME]]+Table1[[#This Row], [GUARD TIME]]</f>
        <v>68.611249999999984</v>
      </c>
      <c r="R5" s="4">
        <f>Sheet1!$K$3*_xlfn.XLOOKUP(Table1[[#This Row], [DISGUISE]],Sheet1!$A$21:$A$23,Sheet1!$D$21:$D$23)</f>
        <v>69</v>
      </c>
      <c r="S5" s="9">
        <f>Table1[[#This Row], [TOTAL TIME]]-Table1[[#This Row], [TOTAL TIME TAKEN]]</f>
        <v>0.38875000000001592</v>
      </c>
      <c r="T5" t="str">
        <f>IF(Table1[[#This Row], [TIME DIFFERENCE]]&gt;=0,"PASS","FAIL")</f>
        <v>PASS</v>
      </c>
      <c r="U5" s="9">
        <f>Table1[[#This Row], [TRC]]+Table1[[#This Row], [DRC]]+Table1[[#This Row], [WRC]]+Table1[[#This Row], [ERC]]+Table1[[#This Row], [EQRC]]</f>
        <v>7827107.7312499993</v>
      </c>
      <c r="V5" s="9">
        <f>Table1[[#This Row], [TOTAL COST]]+_xlfn.XLOOKUP(Table1[[#This Row], [TEAM]],Sheet1!$A$12:$A$17,Sheet1!$I$12:$I$17)</f>
        <v>8124587.7312499993</v>
      </c>
      <c r="W5" s="9">
        <f>Table1[[#This Row], [LOOT]]-Table1[[#This Row], [TOTAL COST]]</f>
        <v>10172892.268750001</v>
      </c>
      <c r="X5" s="9">
        <f>IF(Table1[[#This Row], [PASS/FAIL]]="FAIL",0,Table1[[#This Row], [PROFIT]])</f>
        <v>10172892.268750001</v>
      </c>
    </row>
    <row r="6" spans="1:24" ht="19.5" customHeight="1" x14ac:dyDescent="0.45">
      <c r="A6" t="s">
        <v>13</v>
      </c>
      <c r="B6" s="14">
        <f>_xlfn.XLOOKUP(Table1[[#This Row], [TEAM]],Sheet1!$A$12:$A$17,Sheet1!$F$12:$F$17)</f>
        <v>3</v>
      </c>
      <c r="C6" s="14">
        <f>_xlfn.XLOOKUP(Table1[[#This Row], [TEAM]],Sheet1!$A$12:$A$17,Sheet1!$G$12:$G$17)</f>
        <v>5930000</v>
      </c>
      <c r="D6" t="s">
        <v>18</v>
      </c>
      <c r="E6" s="4">
        <f>_xlfn.XLOOKUP(Table1[[#This Row], [ROOM]],Sheet1!$A$47:$A$66,Sheet1!$B$47:$B$66)</f>
        <v>134</v>
      </c>
      <c r="F6" t="s">
        <v>62</v>
      </c>
      <c r="G6" s="4">
        <f>_xlfn.XLOOKUP(Table1[[#This Row], [DISGUISE]],Sheet1!$A$21:$A$23,Sheet1!$B$21:$B$23)*Table1[[#This Row], [NUM OF MEM]]*(1+_xlfn.XLOOKUP(Table1[[#This Row], [DISGUISE]],Sheet1!$A$21:$A$23,Sheet1!$C$21:$C$23))</f>
        <v>15600</v>
      </c>
      <c r="H6" s="13" t="s">
        <v>63</v>
      </c>
      <c r="I6" s="4">
        <f>_xlfn.XLOOKUP(Table1[[#This Row], [WEAPON]],Sheet1!$A$27:$A$29,Sheet1!$B$27:$B$29)*Table1[[#This Row], [NUM OF MEM]]*(1+_xlfn.XLOOKUP(Table1[[#This Row], [WEAPON]],Sheet1!$A$27:$A$29,Sheet1!$C$27:$C$29))</f>
        <v>69000</v>
      </c>
      <c r="J6" t="s">
        <v>60</v>
      </c>
      <c r="K6" s="9">
        <f>Table1[[#This Row], [NUM OF MEM]]*Table1[[#This Row], [TOTAL TIME TAKEN]]*_xlfn.XLOOKUP(Table1[[#This Row], [EXIT]],Sheet1!$A$70:$A$71,Sheet1!$B$70:$B$71)*(1+_xlfn.XLOOKUP(Table1[[#This Row], [EXIT]],Sheet1!$A$70:$A$71,Sheet1!$C$70:$C$71))</f>
        <v>1864455.3124999995</v>
      </c>
      <c r="L6" s="13" t="s">
        <v>61</v>
      </c>
      <c r="M6" s="4">
        <f>IF(Table1[[#This Row], [EQUIPMENT]]="YES",Sheet1!$C$44*(1+Sheet1!$D$44),0)</f>
        <v>0</v>
      </c>
      <c r="N6" s="4">
        <f>_xlfn.XLOOKUP(Table1[[#This Row], [ROOM]],Sheet1!$A$47:$A$66,Sheet1!$F$47:$F$66)</f>
        <v>18050000</v>
      </c>
      <c r="O6" s="9">
        <f>_xlfn.XLOOKUP(_xlfn.CONCAT(Table1[[#This Row], [TEAM]],Table1[[#This Row], [ROOM]]),'ROOM TIME'!$H$2:$H$121,'ROOM TIME'!$J$2:$J$121)</f>
        <v>43.030555555555544</v>
      </c>
      <c r="P6" s="9">
        <f>(INDEX(Sheet1!$X$48:$Z$67,MATCH(Table1[[#This Row], [ROOM]],Sheet1!$P$48:$P$67,0),MATCH(Table1[[#This Row], [WEAPON]],Sheet1!$X$47:$Z$47,0)))/Table1[[#This Row], [NUM OF MEM]]</f>
        <v>5.4000000000000012</v>
      </c>
      <c r="Q6" s="9">
        <f>Table1[[#This Row], [ROOM TIME]]+Table1[[#This Row], [GUARD TIME]]</f>
        <v>48.430555555555543</v>
      </c>
      <c r="R6" s="4">
        <f>Sheet1!$K$3*_xlfn.XLOOKUP(Table1[[#This Row], [DISGUISE]],Sheet1!$A$21:$A$23,Sheet1!$D$21:$D$23)</f>
        <v>66</v>
      </c>
      <c r="S6" s="9">
        <f>Table1[[#This Row], [TOTAL TIME]]-Table1[[#This Row], [TOTAL TIME TAKEN]]</f>
        <v>17.569444444444457</v>
      </c>
      <c r="T6" t="str">
        <f>IF(Table1[[#This Row], [TIME DIFFERENCE]]&gt;=0,"PASS","FAIL")</f>
        <v>PASS</v>
      </c>
      <c r="U6" s="9">
        <f>Table1[[#This Row], [TRC]]+Table1[[#This Row], [DRC]]+Table1[[#This Row], [WRC]]+Table1[[#This Row], [ERC]]+Table1[[#This Row], [EQRC]]</f>
        <v>7879055.3125</v>
      </c>
      <c r="V6" s="9">
        <f>Table1[[#This Row], [TOTAL COST]]+_xlfn.XLOOKUP(Table1[[#This Row], [TEAM]],Sheet1!$A$12:$A$17,Sheet1!$I$12:$I$17)</f>
        <v>8175555.3125</v>
      </c>
      <c r="W6" s="9">
        <f>Table1[[#This Row], [LOOT]]-Table1[[#This Row], [TOTAL COST]]</f>
        <v>10170944.6875</v>
      </c>
      <c r="X6" s="9">
        <f>IF(Table1[[#This Row], [PASS/FAIL]]="FAIL",0,Table1[[#This Row], [PROFIT]])</f>
        <v>10170944.6875</v>
      </c>
    </row>
    <row r="7" spans="1:24" ht="19.5" customHeight="1" x14ac:dyDescent="0.45">
      <c r="A7" t="s">
        <v>14</v>
      </c>
      <c r="B7" s="14">
        <f>_xlfn.XLOOKUP(Table1[[#This Row], [TEAM]],Sheet1!$A$12:$A$17,Sheet1!$F$12:$F$17)</f>
        <v>2</v>
      </c>
      <c r="C7" s="14">
        <f>_xlfn.XLOOKUP(Table1[[#This Row], [TEAM]],Sheet1!$A$12:$A$17,Sheet1!$G$12:$G$17)</f>
        <v>5949600</v>
      </c>
      <c r="D7" t="s">
        <v>32</v>
      </c>
      <c r="E7" s="4">
        <f>_xlfn.XLOOKUP(Table1[[#This Row], [ROOM]],Sheet1!$A$47:$A$66,Sheet1!$B$47:$B$66)</f>
        <v>346</v>
      </c>
      <c r="F7" t="s">
        <v>62</v>
      </c>
      <c r="G7" s="4">
        <f>_xlfn.XLOOKUP(Table1[[#This Row], [DISGUISE]],Sheet1!$A$21:$A$23,Sheet1!$B$21:$B$23)*Table1[[#This Row], [NUM OF MEM]]*(1+_xlfn.XLOOKUP(Table1[[#This Row], [DISGUISE]],Sheet1!$A$21:$A$23,Sheet1!$C$21:$C$23))</f>
        <v>10400</v>
      </c>
      <c r="H7" s="13" t="s">
        <v>59</v>
      </c>
      <c r="I7" s="4">
        <f>_xlfn.XLOOKUP(Table1[[#This Row], [WEAPON]],Sheet1!$A$27:$A$29,Sheet1!$B$27:$B$29)*Table1[[#This Row], [NUM OF MEM]]*(1+_xlfn.XLOOKUP(Table1[[#This Row], [WEAPON]],Sheet1!$A$27:$A$29,Sheet1!$C$27:$C$29))</f>
        <v>91000</v>
      </c>
      <c r="J7" t="s">
        <v>60</v>
      </c>
      <c r="K7" s="9">
        <f>Table1[[#This Row], [NUM OF MEM]]*Table1[[#This Row], [TOTAL TIME TAKEN]]*_xlfn.XLOOKUP(Table1[[#This Row], [EXIT]],Sheet1!$A$70:$A$71,Sheet1!$B$70:$B$71)*(1+_xlfn.XLOOKUP(Table1[[#This Row], [EXIT]],Sheet1!$A$70:$A$71,Sheet1!$C$70:$C$71))</f>
        <v>1678009.7812499993</v>
      </c>
      <c r="L7" s="13" t="s">
        <v>65</v>
      </c>
      <c r="M7" s="4">
        <f>IF(Table1[[#This Row], [EQUIPMENT]]="YES",Sheet1!$C$44*(1+Sheet1!$D$44),0)</f>
        <v>307500</v>
      </c>
      <c r="N7" s="4">
        <f>_xlfn.XLOOKUP(Table1[[#This Row], [ROOM]],Sheet1!$A$47:$A$66,Sheet1!$F$47:$F$66)</f>
        <v>18200000</v>
      </c>
      <c r="O7" s="9">
        <f>_xlfn.XLOOKUP(_xlfn.CONCAT(Table1[[#This Row], [TEAM]],Table1[[#This Row], [ROOM]]),'ROOM TIME'!$H$2:$H$121,'ROOM TIME'!$J$2:$J$121)</f>
        <v>57.906249999999986</v>
      </c>
      <c r="P7" s="9">
        <f>(INDEX(Sheet1!$X$48:$Z$67,MATCH(Table1[[#This Row], [ROOM]],Sheet1!$P$48:$P$67,0),MATCH(Table1[[#This Row], [WEAPON]],Sheet1!$X$47:$Z$47,0)))/Table1[[#This Row], [NUM OF MEM]]</f>
        <v>7.4749999999999996</v>
      </c>
      <c r="Q7" s="9">
        <f>Table1[[#This Row], [ROOM TIME]]+Table1[[#This Row], [GUARD TIME]]</f>
        <v>65.38124999999998</v>
      </c>
      <c r="R7" s="4">
        <f>Sheet1!$K$3*_xlfn.XLOOKUP(Table1[[#This Row], [DISGUISE]],Sheet1!$A$21:$A$23,Sheet1!$D$21:$D$23)</f>
        <v>66</v>
      </c>
      <c r="S7" s="9">
        <f>Table1[[#This Row], [TOTAL TIME]]-Table1[[#This Row], [TOTAL TIME TAKEN]]</f>
        <v>0.6187500000000199</v>
      </c>
      <c r="T7" t="str">
        <f>IF(Table1[[#This Row], [TIME DIFFERENCE]]&gt;=0,"PASS","FAIL")</f>
        <v>PASS</v>
      </c>
      <c r="U7" s="9">
        <f>Table1[[#This Row], [TRC]]+Table1[[#This Row], [DRC]]+Table1[[#This Row], [WRC]]+Table1[[#This Row], [ERC]]+Table1[[#This Row], [EQRC]]</f>
        <v>8036509.7812499991</v>
      </c>
      <c r="V7" s="9">
        <f>Table1[[#This Row], [TOTAL COST]]+_xlfn.XLOOKUP(Table1[[#This Row], [TEAM]],Sheet1!$A$12:$A$17,Sheet1!$I$12:$I$17)</f>
        <v>8333989.7812499991</v>
      </c>
      <c r="W7" s="9">
        <f>Table1[[#This Row], [LOOT]]-Table1[[#This Row], [TOTAL COST]]</f>
        <v>10163490.21875</v>
      </c>
      <c r="X7" s="9">
        <f>IF(Table1[[#This Row], [PASS/FAIL]]="FAIL",0,Table1[[#This Row], [PROFIT]])</f>
        <v>10163490.21875</v>
      </c>
    </row>
    <row r="8" spans="1:24" ht="19.5" customHeight="1" x14ac:dyDescent="0.45">
      <c r="A8" t="s">
        <v>14</v>
      </c>
      <c r="B8" s="14">
        <f>_xlfn.XLOOKUP(Table1[[#This Row], [TEAM]],Sheet1!$A$12:$A$17,Sheet1!$F$12:$F$17)</f>
        <v>2</v>
      </c>
      <c r="C8" s="14">
        <f>_xlfn.XLOOKUP(Table1[[#This Row], [TEAM]],Sheet1!$A$12:$A$17,Sheet1!$G$12:$G$17)</f>
        <v>5949600</v>
      </c>
      <c r="D8" t="s">
        <v>32</v>
      </c>
      <c r="E8" s="4">
        <f>_xlfn.XLOOKUP(Table1[[#This Row], [ROOM]],Sheet1!$A$47:$A$66,Sheet1!$B$47:$B$66)</f>
        <v>346</v>
      </c>
      <c r="F8" t="s">
        <v>58</v>
      </c>
      <c r="G8" s="4">
        <f>_xlfn.XLOOKUP(Table1[[#This Row], [DISGUISE]],Sheet1!$A$21:$A$23,Sheet1!$B$21:$B$23)*Table1[[#This Row], [NUM OF MEM]]*(1+_xlfn.XLOOKUP(Table1[[#This Row], [DISGUISE]],Sheet1!$A$21:$A$23,Sheet1!$C$21:$C$23))</f>
        <v>25600</v>
      </c>
      <c r="H8" s="13" t="s">
        <v>63</v>
      </c>
      <c r="I8" s="4">
        <f>_xlfn.XLOOKUP(Table1[[#This Row], [WEAPON]],Sheet1!$A$27:$A$29,Sheet1!$B$27:$B$29)*Table1[[#This Row], [NUM OF MEM]]*(1+_xlfn.XLOOKUP(Table1[[#This Row], [WEAPON]],Sheet1!$A$27:$A$29,Sheet1!$C$27:$C$29))</f>
        <v>46000</v>
      </c>
      <c r="J8" t="s">
        <v>60</v>
      </c>
      <c r="K8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1711374.2812499995</v>
      </c>
      <c r="L8" s="13" t="s">
        <v>65</v>
      </c>
      <c r="M8" s="4">
        <f>IF(Table1[[#This Row], [EQUIPMENT]]="YES",Sheet1!$C$44*(1+Sheet1!$D$44),0)</f>
        <v>307500</v>
      </c>
      <c r="N8" s="4">
        <f>_xlfn.XLOOKUP(Table1[[#This Row], [ROOM]],Sheet1!$A$47:$A$66,Sheet1!$F$47:$F$66)</f>
        <v>18200000</v>
      </c>
      <c r="O8" s="9">
        <f>_xlfn.XLOOKUP(_xlfn.CONCAT(Table1[[#This Row], [TEAM]],Table1[[#This Row], [ROOM]]),'ROOM TIME'!$H$2:$H$121,'ROOM TIME'!$J$2:$J$121)</f>
        <v>57.906249999999986</v>
      </c>
      <c r="P8" s="9">
        <f>(INDEX(Sheet1!$X$48:$Z$67,MATCH(Table1[[#This Row], [ROOM]],Sheet1!$P$48:$P$67,0),MATCH(Table1[[#This Row], [WEAPON]],Sheet1!$X$47:$Z$47,0)))/Table1[[#This Row], [NUM OF MEM]]</f>
        <v>8.7750000000000004</v>
      </c>
      <c r="Q8" s="9">
        <f>Table1[[#This Row], [ROOM TIME]]+Table1[[#This Row], [GUARD TIME]]</f>
        <v>66.681249999999991</v>
      </c>
      <c r="R8" s="4">
        <f>Sheet1!$K$3*_xlfn.XLOOKUP(Table1[[#This Row], [DISGUISE]],Sheet1!$A$21:$A$23,Sheet1!$D$21:$D$23)</f>
        <v>69</v>
      </c>
      <c r="S8" s="9">
        <f>Table1[[#This Row], [TOTAL TIME]]-Table1[[#This Row], [TOTAL TIME TAKEN]]</f>
        <v>2.3187500000000085</v>
      </c>
      <c r="T8" t="str">
        <f>IF(Table1[[#This Row], [TIME DIFFERENCE]]&gt;=0,"PASS","FAIL")</f>
        <v>PASS</v>
      </c>
      <c r="U8" s="9">
        <f>Table1[[#This Row], [TRC]]+Table1[[#This Row], [DRC]]+Table1[[#This Row], [WRC]]+Table1[[#This Row], [ERC]]+Table1[[#This Row], [EQRC]]</f>
        <v>8040074.28125</v>
      </c>
      <c r="V8" s="9">
        <f>Table1[[#This Row], [TOTAL COST]]+_xlfn.XLOOKUP(Table1[[#This Row], [TEAM]],Sheet1!$A$12:$A$17,Sheet1!$I$12:$I$17)</f>
        <v>8337554.28125</v>
      </c>
      <c r="W8" s="9">
        <f>Table1[[#This Row], [LOOT]]-Table1[[#This Row], [TOTAL COST]]</f>
        <v>10159925.71875</v>
      </c>
      <c r="X8" s="9">
        <f>IF(Table1[[#This Row], [PASS/FAIL]]="FAIL",0,Table1[[#This Row], [PROFIT]])</f>
        <v>10159925.71875</v>
      </c>
    </row>
    <row r="9" spans="1:24" ht="19.5" customHeight="1" x14ac:dyDescent="0.45">
      <c r="A9" t="s">
        <v>15</v>
      </c>
      <c r="B9" s="14">
        <f>_xlfn.XLOOKUP(Table1[[#This Row], [TEAM]],Sheet1!$A$12:$A$17,Sheet1!$F$12:$F$17)</f>
        <v>2</v>
      </c>
      <c r="C9" s="14">
        <f>_xlfn.XLOOKUP(Table1[[#This Row], [TEAM]],Sheet1!$A$12:$A$17,Sheet1!$G$12:$G$17)</f>
        <v>5932950</v>
      </c>
      <c r="D9" t="s">
        <v>32</v>
      </c>
      <c r="E9" s="4">
        <f>_xlfn.XLOOKUP(Table1[[#This Row], [ROOM]],Sheet1!$A$47:$A$66,Sheet1!$B$47:$B$66)</f>
        <v>346</v>
      </c>
      <c r="F9" t="s">
        <v>58</v>
      </c>
      <c r="G9" s="4">
        <f>_xlfn.XLOOKUP(Table1[[#This Row], [DISGUISE]],Sheet1!$A$21:$A$23,Sheet1!$B$21:$B$23)*Table1[[#This Row], [NUM OF MEM]]*(1+_xlfn.XLOOKUP(Table1[[#This Row], [DISGUISE]],Sheet1!$A$21:$A$23,Sheet1!$C$21:$C$23))</f>
        <v>25600</v>
      </c>
      <c r="H9" s="13" t="s">
        <v>63</v>
      </c>
      <c r="I9" s="4">
        <f>_xlfn.XLOOKUP(Table1[[#This Row], [WEAPON]],Sheet1!$A$27:$A$29,Sheet1!$B$27:$B$29)*Table1[[#This Row], [NUM OF MEM]]*(1+_xlfn.XLOOKUP(Table1[[#This Row], [WEAPON]],Sheet1!$A$27:$A$29,Sheet1!$C$27:$C$29))</f>
        <v>46000</v>
      </c>
      <c r="J9" t="s">
        <v>60</v>
      </c>
      <c r="K9" s="9">
        <f>Table1[[#This Row], [NUM OF MEM]]*Table1[[#This Row], [TOTAL TIME TAKEN]]*_xlfn.XLOOKUP(Table1[[#This Row], [EXIT]],Sheet1!$A$70:$A$71,Sheet1!$B$70:$B$71)*(1+_xlfn.XLOOKUP(Table1[[#This Row], [EXIT]],Sheet1!$A$70:$A$71,Sheet1!$C$70:$C$71))</f>
        <v>1728056.5312499995</v>
      </c>
      <c r="L9" s="13" t="s">
        <v>65</v>
      </c>
      <c r="M9" s="4">
        <f>IF(Table1[[#This Row], [EQUIPMENT]]="YES",Sheet1!$C$44*(1+Sheet1!$D$44),0)</f>
        <v>307500</v>
      </c>
      <c r="N9" s="4">
        <f>_xlfn.XLOOKUP(Table1[[#This Row], [ROOM]],Sheet1!$A$47:$A$66,Sheet1!$F$47:$F$66)</f>
        <v>18200000</v>
      </c>
      <c r="O9" s="9">
        <f>_xlfn.XLOOKUP(_xlfn.CONCAT(Table1[[#This Row], [TEAM]],Table1[[#This Row], [ROOM]]),'ROOM TIME'!$H$2:$H$121,'ROOM TIME'!$J$2:$J$121)</f>
        <v>58.556249999999977</v>
      </c>
      <c r="P9" s="9">
        <f>(INDEX(Sheet1!$X$48:$Z$67,MATCH(Table1[[#This Row], [ROOM]],Sheet1!$P$48:$P$67,0),MATCH(Table1[[#This Row], [WEAPON]],Sheet1!$X$47:$Z$47,0)))/Table1[[#This Row], [NUM OF MEM]]</f>
        <v>8.7750000000000004</v>
      </c>
      <c r="Q9" s="9">
        <f>Table1[[#This Row], [ROOM TIME]]+Table1[[#This Row], [GUARD TIME]]</f>
        <v>67.331249999999983</v>
      </c>
      <c r="R9" s="4">
        <f>Sheet1!$K$3*_xlfn.XLOOKUP(Table1[[#This Row], [DISGUISE]],Sheet1!$A$21:$A$23,Sheet1!$D$21:$D$23)</f>
        <v>69</v>
      </c>
      <c r="S9" s="9">
        <f>Table1[[#This Row], [TOTAL TIME]]-Table1[[#This Row], [TOTAL TIME TAKEN]]</f>
        <v>1.6687500000000171</v>
      </c>
      <c r="T9" t="str">
        <f>IF(Table1[[#This Row], [TIME DIFFERENCE]]&gt;=0,"PASS","FAIL")</f>
        <v>PASS</v>
      </c>
      <c r="U9" s="9">
        <f>Table1[[#This Row], [TRC]]+Table1[[#This Row], [DRC]]+Table1[[#This Row], [WRC]]+Table1[[#This Row], [ERC]]+Table1[[#This Row], [EQRC]]</f>
        <v>8040106.53125</v>
      </c>
      <c r="V9" s="9">
        <f>Table1[[#This Row], [TOTAL COST]]+_xlfn.XLOOKUP(Table1[[#This Row], [TEAM]],Sheet1!$A$12:$A$17,Sheet1!$I$12:$I$17)</f>
        <v>8336754.03125</v>
      </c>
      <c r="W9" s="9">
        <f>Table1[[#This Row], [LOOT]]-Table1[[#This Row], [TOTAL COST]]</f>
        <v>10159893.46875</v>
      </c>
      <c r="X9" s="9">
        <f>IF(Table1[[#This Row], [PASS/FAIL]]="FAIL",0,Table1[[#This Row], [PROFIT]])</f>
        <v>10159893.46875</v>
      </c>
    </row>
    <row r="10" spans="1:24" ht="19.5" customHeight="1" x14ac:dyDescent="0.45">
      <c r="A10" t="s">
        <v>15</v>
      </c>
      <c r="B10" s="14">
        <f>_xlfn.XLOOKUP(Table1[[#This Row], [TEAM]],Sheet1!$A$12:$A$17,Sheet1!$F$12:$F$17)</f>
        <v>2</v>
      </c>
      <c r="C10" s="14">
        <f>_xlfn.XLOOKUP(Table1[[#This Row], [TEAM]],Sheet1!$A$12:$A$17,Sheet1!$G$12:$G$17)</f>
        <v>5932950</v>
      </c>
      <c r="D10" t="s">
        <v>19</v>
      </c>
      <c r="E10" s="4">
        <f>_xlfn.XLOOKUP(Table1[[#This Row], [ROOM]],Sheet1!$A$47:$A$66,Sheet1!$B$47:$B$66)</f>
        <v>135</v>
      </c>
      <c r="F10" t="s">
        <v>58</v>
      </c>
      <c r="G10" s="4">
        <f>_xlfn.XLOOKUP(Table1[[#This Row], [DISGUISE]],Sheet1!$A$21:$A$23,Sheet1!$B$21:$B$23)*Table1[[#This Row], [NUM OF MEM]]*(1+_xlfn.XLOOKUP(Table1[[#This Row], [DISGUISE]],Sheet1!$A$21:$A$23,Sheet1!$C$21:$C$23))</f>
        <v>25600</v>
      </c>
      <c r="H10" s="13" t="s">
        <v>66</v>
      </c>
      <c r="I10" s="4">
        <f>_xlfn.XLOOKUP(Table1[[#This Row], [WEAPON]],Sheet1!$A$27:$A$29,Sheet1!$B$27:$B$29)*Table1[[#This Row], [NUM OF MEM]]*(1+_xlfn.XLOOKUP(Table1[[#This Row], [WEAPON]],Sheet1!$A$27:$A$29,Sheet1!$C$27:$C$29))</f>
        <v>72000</v>
      </c>
      <c r="J10" t="s">
        <v>60</v>
      </c>
      <c r="K10" s="9">
        <f>Table1[[#This Row], [NUM OF MEM]]*Table1[[#This Row], [TOTAL TIME TAKEN]]*_xlfn.XLOOKUP(Table1[[#This Row], [EXIT]],Sheet1!$A$70:$A$71,Sheet1!$B$70:$B$71)*(1+_xlfn.XLOOKUP(Table1[[#This Row], [EXIT]],Sheet1!$A$70:$A$71,Sheet1!$C$70:$C$71))</f>
        <v>1762158.8999999992</v>
      </c>
      <c r="L10" s="13" t="s">
        <v>61</v>
      </c>
      <c r="M10" s="4">
        <f>IF(Table1[[#This Row], [EQUIPMENT]]="YES",Sheet1!$C$44*(1+Sheet1!$D$44),0)</f>
        <v>0</v>
      </c>
      <c r="N10" s="4">
        <f>_xlfn.XLOOKUP(Table1[[#This Row], [ROOM]],Sheet1!$A$47:$A$66,Sheet1!$F$47:$F$66)</f>
        <v>17950000</v>
      </c>
      <c r="O10" s="9">
        <f>_xlfn.XLOOKUP(_xlfn.CONCAT(Table1[[#This Row], [TEAM]],Table1[[#This Row], [ROOM]]),'ROOM TIME'!$H$2:$H$121,'ROOM TIME'!$J$2:$J$121)</f>
        <v>61.784999999999975</v>
      </c>
      <c r="P10" s="9">
        <f>(INDEX(Sheet1!$X$48:$Z$67,MATCH(Table1[[#This Row], [ROOM]],Sheet1!$P$48:$P$67,0),MATCH(Table1[[#This Row], [WEAPON]],Sheet1!$X$47:$Z$47,0)))/Table1[[#This Row], [NUM OF MEM]]</f>
        <v>6.875</v>
      </c>
      <c r="Q10" s="9">
        <f>Table1[[#This Row], [ROOM TIME]]+Table1[[#This Row], [GUARD TIME]]</f>
        <v>68.659999999999968</v>
      </c>
      <c r="R10" s="4">
        <f>Sheet1!$K$3*_xlfn.XLOOKUP(Table1[[#This Row], [DISGUISE]],Sheet1!$A$21:$A$23,Sheet1!$D$21:$D$23)</f>
        <v>69</v>
      </c>
      <c r="S10" s="9">
        <f>Table1[[#This Row], [TOTAL TIME]]-Table1[[#This Row], [TOTAL TIME TAKEN]]</f>
        <v>0.34000000000003183</v>
      </c>
      <c r="T10" t="str">
        <f>IF(Table1[[#This Row], [TIME DIFFERENCE]]&gt;=0,"PASS","FAIL")</f>
        <v>PASS</v>
      </c>
      <c r="U10" s="9">
        <f>Table1[[#This Row], [TRC]]+Table1[[#This Row], [DRC]]+Table1[[#This Row], [WRC]]+Table1[[#This Row], [ERC]]+Table1[[#This Row], [EQRC]]</f>
        <v>7792708.8999999994</v>
      </c>
      <c r="V10" s="9">
        <f>Table1[[#This Row], [TOTAL COST]]+_xlfn.XLOOKUP(Table1[[#This Row], [TEAM]],Sheet1!$A$12:$A$17,Sheet1!$I$12:$I$17)</f>
        <v>8089356.3999999994</v>
      </c>
      <c r="W10" s="9">
        <f>Table1[[#This Row], [LOOT]]-Table1[[#This Row], [TOTAL COST]]</f>
        <v>10157291.100000001</v>
      </c>
      <c r="X10" s="9">
        <f>IF(Table1[[#This Row], [PASS/FAIL]]="FAIL",0,Table1[[#This Row], [PROFIT]])</f>
        <v>10157291.100000001</v>
      </c>
    </row>
    <row r="11" spans="1:24" ht="19.5" customHeight="1" x14ac:dyDescent="0.45">
      <c r="A11" t="s">
        <v>12</v>
      </c>
      <c r="B11" s="14">
        <f>_xlfn.XLOOKUP(Table1[[#This Row], [TEAM]],Sheet1!$A$12:$A$17,Sheet1!$F$12:$F$17)</f>
        <v>3</v>
      </c>
      <c r="C11" s="14">
        <f>_xlfn.XLOOKUP(Table1[[#This Row], [TEAM]],Sheet1!$A$12:$A$17,Sheet1!$G$12:$G$17)</f>
        <v>5988750</v>
      </c>
      <c r="D11" t="s">
        <v>18</v>
      </c>
      <c r="E11" s="4">
        <f>_xlfn.XLOOKUP(Table1[[#This Row], [ROOM]],Sheet1!$A$47:$A$66,Sheet1!$B$47:$B$66)</f>
        <v>134</v>
      </c>
      <c r="F11" t="s">
        <v>62</v>
      </c>
      <c r="G1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" s="13" t="s">
        <v>63</v>
      </c>
      <c r="I11" s="4">
        <f>_xlfn.XLOOKUP(Table1[[#This Row], [WEAPON]],Sheet1!$A$27:$A$29,Sheet1!$B$27:$B$29)*Table1[[#This Row], [NUM OF MEM]]*(1+_xlfn.XLOOKUP(Table1[[#This Row], [WEAPON]],Sheet1!$A$27:$A$29,Sheet1!$C$27:$C$29))</f>
        <v>69000</v>
      </c>
      <c r="J11" t="s">
        <v>64</v>
      </c>
      <c r="K11" s="9">
        <f>Table1[[#This Row], [NUM OF MEM]]*Table1[[#This Row], [TOTAL TIME TAKEN]]*_xlfn.XLOOKUP(Table1[[#This Row], [EXIT]],Sheet1!$A$70:$A$71,Sheet1!$B$70:$B$71)*(1+_xlfn.XLOOKUP(Table1[[#This Row], [EXIT]],Sheet1!$A$70:$A$71,Sheet1!$C$70:$C$71))</f>
        <v>1820318.3999999997</v>
      </c>
      <c r="L11" s="13" t="s">
        <v>61</v>
      </c>
      <c r="M11" s="4">
        <f>IF(Table1[[#This Row], [EQUIPMENT]]="YES",Sheet1!$C$44*(1+Sheet1!$D$44),0)</f>
        <v>0</v>
      </c>
      <c r="N11" s="4">
        <f>_xlfn.XLOOKUP(Table1[[#This Row], [ROOM]],Sheet1!$A$47:$A$66,Sheet1!$F$47:$F$66)</f>
        <v>18050000</v>
      </c>
      <c r="O11" s="9">
        <f>_xlfn.XLOOKUP(_xlfn.CONCAT(Table1[[#This Row], [TEAM]],Table1[[#This Row], [ROOM]]),'ROOM TIME'!$H$2:$H$121,'ROOM TIME'!$J$2:$J$121)</f>
        <v>41.41888888888888</v>
      </c>
      <c r="P11" s="9">
        <f>(INDEX(Sheet1!$X$48:$Z$67,MATCH(Table1[[#This Row], [ROOM]],Sheet1!$P$48:$P$67,0),MATCH(Table1[[#This Row], [WEAPON]],Sheet1!$X$47:$Z$47,0)))/Table1[[#This Row], [NUM OF MEM]]</f>
        <v>5.4000000000000012</v>
      </c>
      <c r="Q11" s="9">
        <f>Table1[[#This Row], [ROOM TIME]]+Table1[[#This Row], [GUARD TIME]]</f>
        <v>46.818888888888878</v>
      </c>
      <c r="R11" s="4">
        <f>Sheet1!$K$3*_xlfn.XLOOKUP(Table1[[#This Row], [DISGUISE]],Sheet1!$A$21:$A$23,Sheet1!$D$21:$D$23)</f>
        <v>66</v>
      </c>
      <c r="S11" s="9">
        <f>Table1[[#This Row], [TOTAL TIME]]-Table1[[#This Row], [TOTAL TIME TAKEN]]</f>
        <v>19.181111111111122</v>
      </c>
      <c r="T11" t="str">
        <f>IF(Table1[[#This Row], [TIME DIFFERENCE]]&gt;=0,"PASS","FAIL")</f>
        <v>PASS</v>
      </c>
      <c r="U11" s="9">
        <f>Table1[[#This Row], [TRC]]+Table1[[#This Row], [DRC]]+Table1[[#This Row], [WRC]]+Table1[[#This Row], [ERC]]+Table1[[#This Row], [EQRC]]</f>
        <v>7893668.3999999994</v>
      </c>
      <c r="V11" s="9">
        <f>Table1[[#This Row], [TOTAL COST]]+_xlfn.XLOOKUP(Table1[[#This Row], [TEAM]],Sheet1!$A$12:$A$17,Sheet1!$I$12:$I$17)</f>
        <v>8193105.8999999994</v>
      </c>
      <c r="W11" s="9">
        <f>Table1[[#This Row], [LOOT]]-Table1[[#This Row], [TOTAL COST]]</f>
        <v>10156331.600000001</v>
      </c>
      <c r="X11" s="9">
        <f>IF(Table1[[#This Row], [PASS/FAIL]]="FAIL",0,Table1[[#This Row], [PROFIT]])</f>
        <v>10156331.600000001</v>
      </c>
    </row>
    <row r="12" spans="1:24" ht="19.5" customHeight="1" x14ac:dyDescent="0.45">
      <c r="A12" t="s">
        <v>14</v>
      </c>
      <c r="B12" s="14">
        <f>_xlfn.XLOOKUP(Table1[[#This Row], [TEAM]],Sheet1!$A$12:$A$17,Sheet1!$F$12:$F$17)</f>
        <v>2</v>
      </c>
      <c r="C12" s="14">
        <f>_xlfn.XLOOKUP(Table1[[#This Row], [TEAM]],Sheet1!$A$12:$A$17,Sheet1!$G$12:$G$17)</f>
        <v>5949600</v>
      </c>
      <c r="D12" t="s">
        <v>24</v>
      </c>
      <c r="E12" s="4">
        <f>_xlfn.XLOOKUP(Table1[[#This Row], [ROOM]],Sheet1!$A$47:$A$66,Sheet1!$B$47:$B$66)</f>
        <v>345</v>
      </c>
      <c r="F12" t="s">
        <v>58</v>
      </c>
      <c r="G12" s="4">
        <f>_xlfn.XLOOKUP(Table1[[#This Row], [DISGUISE]],Sheet1!$A$21:$A$23,Sheet1!$B$21:$B$23)*Table1[[#This Row], [NUM OF MEM]]*(1+_xlfn.XLOOKUP(Table1[[#This Row], [DISGUISE]],Sheet1!$A$21:$A$23,Sheet1!$C$21:$C$23))</f>
        <v>25600</v>
      </c>
      <c r="H12" s="13" t="s">
        <v>59</v>
      </c>
      <c r="I12" s="4">
        <f>_xlfn.XLOOKUP(Table1[[#This Row], [WEAPON]],Sheet1!$A$27:$A$29,Sheet1!$B$27:$B$29)*Table1[[#This Row], [NUM OF MEM]]*(1+_xlfn.XLOOKUP(Table1[[#This Row], [WEAPON]],Sheet1!$A$27:$A$29,Sheet1!$C$27:$C$29))</f>
        <v>91000</v>
      </c>
      <c r="J12" t="s">
        <v>64</v>
      </c>
      <c r="K12" s="9">
        <f>Table1[[#This Row], [NUM OF MEM]]*Table1[[#This Row], [TOTAL TIME TAKEN]]*_xlfn.XLOOKUP(Table1[[#This Row], [EXIT]],Sheet1!$A$70:$A$71,Sheet1!$B$70:$B$71)*(1+_xlfn.XLOOKUP(Table1[[#This Row], [EXIT]],Sheet1!$A$70:$A$71,Sheet1!$C$70:$C$71))</f>
        <v>1778403.5999999996</v>
      </c>
      <c r="L12" s="13" t="s">
        <v>61</v>
      </c>
      <c r="M12" s="4">
        <f>IF(Table1[[#This Row], [EQUIPMENT]]="YES",Sheet1!$C$44*(1+Sheet1!$D$44),0)</f>
        <v>0</v>
      </c>
      <c r="N12" s="4">
        <f>_xlfn.XLOOKUP(Table1[[#This Row], [ROOM]],Sheet1!$A$47:$A$66,Sheet1!$F$47:$F$66)</f>
        <v>18000000</v>
      </c>
      <c r="O12" s="9">
        <f>_xlfn.XLOOKUP(_xlfn.CONCAT(Table1[[#This Row], [TEAM]],Table1[[#This Row], [ROOM]]),'ROOM TIME'!$H$2:$H$121,'ROOM TIME'!$J$2:$J$121)</f>
        <v>61.711249999999986</v>
      </c>
      <c r="P12" s="9">
        <f>(INDEX(Sheet1!$X$48:$Z$67,MATCH(Table1[[#This Row], [ROOM]],Sheet1!$P$48:$P$67,0),MATCH(Table1[[#This Row], [WEAPON]],Sheet1!$X$47:$Z$47,0)))/Table1[[#This Row], [NUM OF MEM]]</f>
        <v>6.8999999999999995</v>
      </c>
      <c r="Q12" s="9">
        <f>Table1[[#This Row], [ROOM TIME]]+Table1[[#This Row], [GUARD TIME]]</f>
        <v>68.611249999999984</v>
      </c>
      <c r="R12" s="4">
        <f>Sheet1!$K$3*_xlfn.XLOOKUP(Table1[[#This Row], [DISGUISE]],Sheet1!$A$21:$A$23,Sheet1!$D$21:$D$23)</f>
        <v>69</v>
      </c>
      <c r="S12" s="9">
        <f>Table1[[#This Row], [TOTAL TIME]]-Table1[[#This Row], [TOTAL TIME TAKEN]]</f>
        <v>0.38875000000001592</v>
      </c>
      <c r="T12" t="str">
        <f>IF(Table1[[#This Row], [TIME DIFFERENCE]]&gt;=0,"PASS","FAIL")</f>
        <v>PASS</v>
      </c>
      <c r="U12" s="9">
        <f>Table1[[#This Row], [TRC]]+Table1[[#This Row], [DRC]]+Table1[[#This Row], [WRC]]+Table1[[#This Row], [ERC]]+Table1[[#This Row], [EQRC]]</f>
        <v>7844603.5999999996</v>
      </c>
      <c r="V12" s="9">
        <f>Table1[[#This Row], [TOTAL COST]]+_xlfn.XLOOKUP(Table1[[#This Row], [TEAM]],Sheet1!$A$12:$A$17,Sheet1!$I$12:$I$17)</f>
        <v>8142083.5999999996</v>
      </c>
      <c r="W12" s="9">
        <f>Table1[[#This Row], [LOOT]]-Table1[[#This Row], [TOTAL COST]]</f>
        <v>10155396.4</v>
      </c>
      <c r="X12" s="9">
        <f>IF(Table1[[#This Row], [PASS/FAIL]]="FAIL",0,Table1[[#This Row], [PROFIT]])</f>
        <v>10155396.4</v>
      </c>
    </row>
    <row r="13" spans="1:24" ht="19.5" customHeight="1" x14ac:dyDescent="0.45">
      <c r="A13" t="s">
        <v>13</v>
      </c>
      <c r="B13" s="14">
        <f>_xlfn.XLOOKUP(Table1[[#This Row], [TEAM]],Sheet1!$A$12:$A$17,Sheet1!$F$12:$F$17)</f>
        <v>3</v>
      </c>
      <c r="C13" s="14">
        <f>_xlfn.XLOOKUP(Table1[[#This Row], [TEAM]],Sheet1!$A$12:$A$17,Sheet1!$G$12:$G$17)</f>
        <v>5930000</v>
      </c>
      <c r="D13" t="s">
        <v>18</v>
      </c>
      <c r="E13" s="4">
        <f>_xlfn.XLOOKUP(Table1[[#This Row], [ROOM]],Sheet1!$A$47:$A$66,Sheet1!$B$47:$B$66)</f>
        <v>134</v>
      </c>
      <c r="F13" t="s">
        <v>62</v>
      </c>
      <c r="G13" s="4">
        <f>_xlfn.XLOOKUP(Table1[[#This Row], [DISGUISE]],Sheet1!$A$21:$A$23,Sheet1!$B$21:$B$23)*Table1[[#This Row], [NUM OF MEM]]*(1+_xlfn.XLOOKUP(Table1[[#This Row], [DISGUISE]],Sheet1!$A$21:$A$23,Sheet1!$C$21:$C$23))</f>
        <v>15600</v>
      </c>
      <c r="H13" s="13" t="s">
        <v>63</v>
      </c>
      <c r="I13" s="4">
        <f>_xlfn.XLOOKUP(Table1[[#This Row], [WEAPON]],Sheet1!$A$27:$A$29,Sheet1!$B$27:$B$29)*Table1[[#This Row], [NUM OF MEM]]*(1+_xlfn.XLOOKUP(Table1[[#This Row], [WEAPON]],Sheet1!$A$27:$A$29,Sheet1!$C$27:$C$29))</f>
        <v>69000</v>
      </c>
      <c r="J13" t="s">
        <v>64</v>
      </c>
      <c r="K13" s="9">
        <f>Table1[[#This Row], [NUM OF MEM]]*Table1[[#This Row], [TOTAL TIME TAKEN]]*_xlfn.XLOOKUP(Table1[[#This Row], [EXIT]],Sheet1!$A$70:$A$71,Sheet1!$B$70:$B$71)*(1+_xlfn.XLOOKUP(Table1[[#This Row], [EXIT]],Sheet1!$A$70:$A$71,Sheet1!$C$70:$C$71))</f>
        <v>1882979.9999999993</v>
      </c>
      <c r="L13" s="13" t="s">
        <v>61</v>
      </c>
      <c r="M13" s="4">
        <f>IF(Table1[[#This Row], [EQUIPMENT]]="YES",Sheet1!$C$44*(1+Sheet1!$D$44),0)</f>
        <v>0</v>
      </c>
      <c r="N13" s="4">
        <f>_xlfn.XLOOKUP(Table1[[#This Row], [ROOM]],Sheet1!$A$47:$A$66,Sheet1!$F$47:$F$66)</f>
        <v>18050000</v>
      </c>
      <c r="O13" s="9">
        <f>_xlfn.XLOOKUP(_xlfn.CONCAT(Table1[[#This Row], [TEAM]],Table1[[#This Row], [ROOM]]),'ROOM TIME'!$H$2:$H$121,'ROOM TIME'!$J$2:$J$121)</f>
        <v>43.030555555555544</v>
      </c>
      <c r="P13" s="9">
        <f>(INDEX(Sheet1!$X$48:$Z$67,MATCH(Table1[[#This Row], [ROOM]],Sheet1!$P$48:$P$67,0),MATCH(Table1[[#This Row], [WEAPON]],Sheet1!$X$47:$Z$47,0)))/Table1[[#This Row], [NUM OF MEM]]</f>
        <v>5.4000000000000012</v>
      </c>
      <c r="Q13" s="9">
        <f>Table1[[#This Row], [ROOM TIME]]+Table1[[#This Row], [GUARD TIME]]</f>
        <v>48.430555555555543</v>
      </c>
      <c r="R13" s="4">
        <f>Sheet1!$K$3*_xlfn.XLOOKUP(Table1[[#This Row], [DISGUISE]],Sheet1!$A$21:$A$23,Sheet1!$D$21:$D$23)</f>
        <v>66</v>
      </c>
      <c r="S13" s="9">
        <f>Table1[[#This Row], [TOTAL TIME]]-Table1[[#This Row], [TOTAL TIME TAKEN]]</f>
        <v>17.569444444444457</v>
      </c>
      <c r="T13" t="str">
        <f>IF(Table1[[#This Row], [TIME DIFFERENCE]]&gt;=0,"PASS","FAIL")</f>
        <v>PASS</v>
      </c>
      <c r="U13" s="9">
        <f>Table1[[#This Row], [TRC]]+Table1[[#This Row], [DRC]]+Table1[[#This Row], [WRC]]+Table1[[#This Row], [ERC]]+Table1[[#This Row], [EQRC]]</f>
        <v>7897579.9999999991</v>
      </c>
      <c r="V13" s="9">
        <f>Table1[[#This Row], [TOTAL COST]]+_xlfn.XLOOKUP(Table1[[#This Row], [TEAM]],Sheet1!$A$12:$A$17,Sheet1!$I$12:$I$17)</f>
        <v>8194079.9999999991</v>
      </c>
      <c r="W13" s="4">
        <f>Table1[[#This Row], [LOOT]]-Table1[[#This Row], [TOTAL COST]]</f>
        <v>10152420</v>
      </c>
      <c r="X13" s="4">
        <f>IF(Table1[[#This Row], [PASS/FAIL]]="FAIL",0,Table1[[#This Row], [PROFIT]])</f>
        <v>10152420</v>
      </c>
    </row>
    <row r="14" spans="1:24" ht="19.5" customHeight="1" x14ac:dyDescent="0.45">
      <c r="A14" t="s">
        <v>15</v>
      </c>
      <c r="B14" s="14">
        <f>_xlfn.XLOOKUP(Table1[[#This Row], [TEAM]],Sheet1!$A$12:$A$17,Sheet1!$F$12:$F$17)</f>
        <v>2</v>
      </c>
      <c r="C14" s="14">
        <f>_xlfn.XLOOKUP(Table1[[#This Row], [TEAM]],Sheet1!$A$12:$A$17,Sheet1!$G$12:$G$17)</f>
        <v>5932950</v>
      </c>
      <c r="D14" t="s">
        <v>19</v>
      </c>
      <c r="E14" s="4">
        <f>_xlfn.XLOOKUP(Table1[[#This Row], [ROOM]],Sheet1!$A$47:$A$66,Sheet1!$B$47:$B$66)</f>
        <v>135</v>
      </c>
      <c r="F14" t="s">
        <v>58</v>
      </c>
      <c r="G14" s="4">
        <f>_xlfn.XLOOKUP(Table1[[#This Row], [DISGUISE]],Sheet1!$A$21:$A$23,Sheet1!$B$21:$B$23)*Table1[[#This Row], [NUM OF MEM]]*(1+_xlfn.XLOOKUP(Table1[[#This Row], [DISGUISE]],Sheet1!$A$21:$A$23,Sheet1!$C$21:$C$23))</f>
        <v>25600</v>
      </c>
      <c r="H14" s="13" t="s">
        <v>59</v>
      </c>
      <c r="I14" s="4">
        <f>_xlfn.XLOOKUP(Table1[[#This Row], [WEAPON]],Sheet1!$A$27:$A$29,Sheet1!$B$27:$B$29)*Table1[[#This Row], [NUM OF MEM]]*(1+_xlfn.XLOOKUP(Table1[[#This Row], [WEAPON]],Sheet1!$A$27:$A$29,Sheet1!$C$27:$C$29))</f>
        <v>91000</v>
      </c>
      <c r="J14" t="s">
        <v>60</v>
      </c>
      <c r="K14" s="9">
        <f>Table1[[#This Row], [NUM OF MEM]]*Table1[[#This Row], [TOTAL TIME TAKEN]]*_xlfn.XLOOKUP(Table1[[#This Row], [EXIT]],Sheet1!$A$70:$A$71,Sheet1!$B$70:$B$71)*(1+_xlfn.XLOOKUP(Table1[[#This Row], [EXIT]],Sheet1!$A$70:$A$71,Sheet1!$C$70:$C$71))</f>
        <v>1748043.1499999992</v>
      </c>
      <c r="L14" s="13" t="s">
        <v>61</v>
      </c>
      <c r="M14" s="4">
        <f>IF(Table1[[#This Row], [EQUIPMENT]]="YES",Sheet1!$C$44*(1+Sheet1!$D$44),0)</f>
        <v>0</v>
      </c>
      <c r="N14" s="4">
        <f>_xlfn.XLOOKUP(Table1[[#This Row], [ROOM]],Sheet1!$A$47:$A$66,Sheet1!$F$47:$F$66)</f>
        <v>17950000</v>
      </c>
      <c r="O14" s="9">
        <f>_xlfn.XLOOKUP(_xlfn.CONCAT(Table1[[#This Row], [TEAM]],Table1[[#This Row], [ROOM]]),'ROOM TIME'!$H$2:$H$121,'ROOM TIME'!$J$2:$J$121)</f>
        <v>61.784999999999975</v>
      </c>
      <c r="P14" s="9">
        <f>(INDEX(Sheet1!$X$48:$Z$67,MATCH(Table1[[#This Row], [ROOM]],Sheet1!$P$48:$P$67,0),MATCH(Table1[[#This Row], [WEAPON]],Sheet1!$X$47:$Z$47,0)))/Table1[[#This Row], [NUM OF MEM]]</f>
        <v>6.3249999999999993</v>
      </c>
      <c r="Q14" s="9">
        <f>Table1[[#This Row], [ROOM TIME]]+Table1[[#This Row], [GUARD TIME]]</f>
        <v>68.109999999999971</v>
      </c>
      <c r="R14" s="4">
        <f>Sheet1!$K$3*_xlfn.XLOOKUP(Table1[[#This Row], [DISGUISE]],Sheet1!$A$21:$A$23,Sheet1!$D$21:$D$23)</f>
        <v>69</v>
      </c>
      <c r="S14" s="9">
        <f>Table1[[#This Row], [TOTAL TIME]]-Table1[[#This Row], [TOTAL TIME TAKEN]]</f>
        <v>0.89000000000002899</v>
      </c>
      <c r="T14" t="str">
        <f>IF(Table1[[#This Row], [TIME DIFFERENCE]]&gt;=0,"PASS","FAIL")</f>
        <v>PASS</v>
      </c>
      <c r="U14" s="9">
        <f>Table1[[#This Row], [TRC]]+Table1[[#This Row], [DRC]]+Table1[[#This Row], [WRC]]+Table1[[#This Row], [ERC]]+Table1[[#This Row], [EQRC]]</f>
        <v>7797593.1499999994</v>
      </c>
      <c r="V14" s="9">
        <f>Table1[[#This Row], [TOTAL COST]]+_xlfn.XLOOKUP(Table1[[#This Row], [TEAM]],Sheet1!$A$12:$A$17,Sheet1!$I$12:$I$17)</f>
        <v>8094240.6499999994</v>
      </c>
      <c r="W14" s="9">
        <f>Table1[[#This Row], [LOOT]]-Table1[[#This Row], [TOTAL COST]]</f>
        <v>10152406.850000001</v>
      </c>
      <c r="X14" s="9">
        <f>IF(Table1[[#This Row], [PASS/FAIL]]="FAIL",0,Table1[[#This Row], [PROFIT]])</f>
        <v>10152406.850000001</v>
      </c>
    </row>
    <row r="15" spans="1:24" ht="19.5" customHeight="1" x14ac:dyDescent="0.45">
      <c r="A15" t="s">
        <v>12</v>
      </c>
      <c r="B15" s="14">
        <f>_xlfn.XLOOKUP(Table1[[#This Row], [TEAM]],Sheet1!$A$12:$A$17,Sheet1!$F$12:$F$17)</f>
        <v>3</v>
      </c>
      <c r="C15" s="14">
        <f>_xlfn.XLOOKUP(Table1[[#This Row], [TEAM]],Sheet1!$A$12:$A$17,Sheet1!$G$12:$G$17)</f>
        <v>5988750</v>
      </c>
      <c r="D15" t="s">
        <v>18</v>
      </c>
      <c r="E15" s="4">
        <f>_xlfn.XLOOKUP(Table1[[#This Row], [ROOM]],Sheet1!$A$47:$A$66,Sheet1!$B$47:$B$66)</f>
        <v>134</v>
      </c>
      <c r="F15" t="s">
        <v>58</v>
      </c>
      <c r="G15" s="4">
        <f>_xlfn.XLOOKUP(Table1[[#This Row], [DISGUISE]],Sheet1!$A$21:$A$23,Sheet1!$B$21:$B$23)*Table1[[#This Row], [NUM OF MEM]]*(1+_xlfn.XLOOKUP(Table1[[#This Row], [DISGUISE]],Sheet1!$A$21:$A$23,Sheet1!$C$21:$C$23))</f>
        <v>38400</v>
      </c>
      <c r="H15" s="13" t="s">
        <v>63</v>
      </c>
      <c r="I15" s="4">
        <f>_xlfn.XLOOKUP(Table1[[#This Row], [WEAPON]],Sheet1!$A$27:$A$29,Sheet1!$B$27:$B$29)*Table1[[#This Row], [NUM OF MEM]]*(1+_xlfn.XLOOKUP(Table1[[#This Row], [WEAPON]],Sheet1!$A$27:$A$29,Sheet1!$C$27:$C$29))</f>
        <v>69000</v>
      </c>
      <c r="J15" t="s">
        <v>60</v>
      </c>
      <c r="K15" s="9">
        <f>Table1[[#This Row], [NUM OF MEM]]*Table1[[#This Row], [TOTAL TIME TAKEN]]*_xlfn.XLOOKUP(Table1[[#This Row], [EXIT]],Sheet1!$A$70:$A$71,Sheet1!$B$70:$B$71)*(1+_xlfn.XLOOKUP(Table1[[#This Row], [EXIT]],Sheet1!$A$70:$A$71,Sheet1!$C$70:$C$71))</f>
        <v>1802410.1749999996</v>
      </c>
      <c r="L15" s="13" t="s">
        <v>61</v>
      </c>
      <c r="M15" s="4">
        <f>IF(Table1[[#This Row], [EQUIPMENT]]="YES",Sheet1!$C$44*(1+Sheet1!$D$44),0)</f>
        <v>0</v>
      </c>
      <c r="N15" s="4">
        <f>_xlfn.XLOOKUP(Table1[[#This Row], [ROOM]],Sheet1!$A$47:$A$66,Sheet1!$F$47:$F$66)</f>
        <v>18050000</v>
      </c>
      <c r="O15" s="9">
        <f>_xlfn.XLOOKUP(_xlfn.CONCAT(Table1[[#This Row], [TEAM]],Table1[[#This Row], [ROOM]]),'ROOM TIME'!$H$2:$H$121,'ROOM TIME'!$J$2:$J$121)</f>
        <v>41.41888888888888</v>
      </c>
      <c r="P15" s="9">
        <f>(INDEX(Sheet1!$X$48:$Z$67,MATCH(Table1[[#This Row], [ROOM]],Sheet1!$P$48:$P$67,0),MATCH(Table1[[#This Row], [WEAPON]],Sheet1!$X$47:$Z$47,0)))/Table1[[#This Row], [NUM OF MEM]]</f>
        <v>5.4000000000000012</v>
      </c>
      <c r="Q15" s="9">
        <f>Table1[[#This Row], [ROOM TIME]]+Table1[[#This Row], [GUARD TIME]]</f>
        <v>46.818888888888878</v>
      </c>
      <c r="R15" s="4">
        <f>Sheet1!$K$3*_xlfn.XLOOKUP(Table1[[#This Row], [DISGUISE]],Sheet1!$A$21:$A$23,Sheet1!$D$21:$D$23)</f>
        <v>69</v>
      </c>
      <c r="S15" s="9">
        <f>Table1[[#This Row], [TOTAL TIME]]-Table1[[#This Row], [TOTAL TIME TAKEN]]</f>
        <v>22.181111111111122</v>
      </c>
      <c r="T15" t="str">
        <f>IF(Table1[[#This Row], [TIME DIFFERENCE]]&gt;=0,"PASS","FAIL")</f>
        <v>PASS</v>
      </c>
      <c r="U15" s="9">
        <f>Table1[[#This Row], [TRC]]+Table1[[#This Row], [DRC]]+Table1[[#This Row], [WRC]]+Table1[[#This Row], [ERC]]+Table1[[#This Row], [EQRC]]</f>
        <v>7898560.1749999998</v>
      </c>
      <c r="V15" s="9">
        <f>Table1[[#This Row], [TOTAL COST]]+_xlfn.XLOOKUP(Table1[[#This Row], [TEAM]],Sheet1!$A$12:$A$17,Sheet1!$I$12:$I$17)</f>
        <v>8197997.6749999998</v>
      </c>
      <c r="W15" s="9">
        <f>Table1[[#This Row], [LOOT]]-Table1[[#This Row], [TOTAL COST]]</f>
        <v>10151439.824999999</v>
      </c>
      <c r="X15" s="9">
        <f>IF(Table1[[#This Row], [PASS/FAIL]]="FAIL",0,Table1[[#This Row], [PROFIT]])</f>
        <v>10151439.824999999</v>
      </c>
    </row>
    <row r="16" spans="1:24" ht="19.5" customHeight="1" x14ac:dyDescent="0.45">
      <c r="A16" t="s">
        <v>12</v>
      </c>
      <c r="B16" s="14">
        <f>_xlfn.XLOOKUP(Table1[[#This Row], [TEAM]],Sheet1!$A$12:$A$17,Sheet1!$F$12:$F$17)</f>
        <v>3</v>
      </c>
      <c r="C16" s="14">
        <f>_xlfn.XLOOKUP(Table1[[#This Row], [TEAM]],Sheet1!$A$12:$A$17,Sheet1!$G$12:$G$17)</f>
        <v>5988750</v>
      </c>
      <c r="D16" t="s">
        <v>18</v>
      </c>
      <c r="E16" s="4">
        <f>_xlfn.XLOOKUP(Table1[[#This Row], [ROOM]],Sheet1!$A$47:$A$66,Sheet1!$B$47:$B$66)</f>
        <v>134</v>
      </c>
      <c r="F16" t="s">
        <v>62</v>
      </c>
      <c r="G16" s="4">
        <f>_xlfn.XLOOKUP(Table1[[#This Row], [DISGUISE]],Sheet1!$A$21:$A$23,Sheet1!$B$21:$B$23)*Table1[[#This Row], [NUM OF MEM]]*(1+_xlfn.XLOOKUP(Table1[[#This Row], [DISGUISE]],Sheet1!$A$21:$A$23,Sheet1!$C$21:$C$23))</f>
        <v>15600</v>
      </c>
      <c r="H16" s="13" t="s">
        <v>66</v>
      </c>
      <c r="I16" s="4">
        <f>_xlfn.XLOOKUP(Table1[[#This Row], [WEAPON]],Sheet1!$A$27:$A$29,Sheet1!$B$27:$B$29)*Table1[[#This Row], [NUM OF MEM]]*(1+_xlfn.XLOOKUP(Table1[[#This Row], [WEAPON]],Sheet1!$A$27:$A$29,Sheet1!$C$27:$C$29))</f>
        <v>108000</v>
      </c>
      <c r="J16" t="s">
        <v>60</v>
      </c>
      <c r="K16" s="9">
        <f>Table1[[#This Row], [NUM OF MEM]]*Table1[[#This Row], [TOTAL TIME TAKEN]]*_xlfn.XLOOKUP(Table1[[#This Row], [EXIT]],Sheet1!$A$70:$A$71,Sheet1!$B$70:$B$71)*(1+_xlfn.XLOOKUP(Table1[[#This Row], [EXIT]],Sheet1!$A$70:$A$71,Sheet1!$C$70:$C$71))</f>
        <v>1787011.1749999996</v>
      </c>
      <c r="L16" s="13" t="s">
        <v>61</v>
      </c>
      <c r="M16" s="4">
        <f>IF(Table1[[#This Row], [EQUIPMENT]]="YES",Sheet1!$C$44*(1+Sheet1!$D$44),0)</f>
        <v>0</v>
      </c>
      <c r="N16" s="4">
        <f>_xlfn.XLOOKUP(Table1[[#This Row], [ROOM]],Sheet1!$A$47:$A$66,Sheet1!$F$47:$F$66)</f>
        <v>18050000</v>
      </c>
      <c r="O16" s="9">
        <f>_xlfn.XLOOKUP(_xlfn.CONCAT(Table1[[#This Row], [TEAM]],Table1[[#This Row], [ROOM]]),'ROOM TIME'!$H$2:$H$121,'ROOM TIME'!$J$2:$J$121)</f>
        <v>41.41888888888888</v>
      </c>
      <c r="P16" s="4">
        <f>(INDEX(Sheet1!$X$48:$Z$67,MATCH(Table1[[#This Row], [ROOM]],Sheet1!$P$48:$P$67,0),MATCH(Table1[[#This Row], [WEAPON]],Sheet1!$X$47:$Z$47,0)))/Table1[[#This Row], [NUM OF MEM]]</f>
        <v>5</v>
      </c>
      <c r="Q16" s="9">
        <f>Table1[[#This Row], [ROOM TIME]]+Table1[[#This Row], [GUARD TIME]]</f>
        <v>46.41888888888888</v>
      </c>
      <c r="R16" s="4">
        <f>Sheet1!$K$3*_xlfn.XLOOKUP(Table1[[#This Row], [DISGUISE]],Sheet1!$A$21:$A$23,Sheet1!$D$21:$D$23)</f>
        <v>66</v>
      </c>
      <c r="S16" s="9">
        <f>Table1[[#This Row], [TOTAL TIME]]-Table1[[#This Row], [TOTAL TIME TAKEN]]</f>
        <v>19.58111111111112</v>
      </c>
      <c r="T16" t="str">
        <f>IF(Table1[[#This Row], [TIME DIFFERENCE]]&gt;=0,"PASS","FAIL")</f>
        <v>PASS</v>
      </c>
      <c r="U16" s="9">
        <f>Table1[[#This Row], [TRC]]+Table1[[#This Row], [DRC]]+Table1[[#This Row], [WRC]]+Table1[[#This Row], [ERC]]+Table1[[#This Row], [EQRC]]</f>
        <v>7899361.1749999998</v>
      </c>
      <c r="V16" s="9">
        <f>Table1[[#This Row], [TOTAL COST]]+_xlfn.XLOOKUP(Table1[[#This Row], [TEAM]],Sheet1!$A$12:$A$17,Sheet1!$I$12:$I$17)</f>
        <v>8198798.6749999998</v>
      </c>
      <c r="W16" s="9">
        <f>Table1[[#This Row], [LOOT]]-Table1[[#This Row], [TOTAL COST]]</f>
        <v>10150638.824999999</v>
      </c>
      <c r="X16" s="9">
        <f>IF(Table1[[#This Row], [PASS/FAIL]]="FAIL",0,Table1[[#This Row], [PROFIT]])</f>
        <v>10150638.824999999</v>
      </c>
    </row>
    <row r="17" spans="1:24" ht="19.5" customHeight="1" x14ac:dyDescent="0.45">
      <c r="A17" t="s">
        <v>14</v>
      </c>
      <c r="B17" s="14">
        <f>_xlfn.XLOOKUP(Table1[[#This Row], [TEAM]],Sheet1!$A$12:$A$17,Sheet1!$F$12:$F$17)</f>
        <v>2</v>
      </c>
      <c r="C17" s="14">
        <f>_xlfn.XLOOKUP(Table1[[#This Row], [TEAM]],Sheet1!$A$12:$A$17,Sheet1!$G$12:$G$17)</f>
        <v>5949600</v>
      </c>
      <c r="D17" t="s">
        <v>32</v>
      </c>
      <c r="E17" s="4">
        <f>_xlfn.XLOOKUP(Table1[[#This Row], [ROOM]],Sheet1!$A$47:$A$66,Sheet1!$B$47:$B$66)</f>
        <v>346</v>
      </c>
      <c r="F17" t="s">
        <v>58</v>
      </c>
      <c r="G17" s="4">
        <f>_xlfn.XLOOKUP(Table1[[#This Row], [DISGUISE]],Sheet1!$A$21:$A$23,Sheet1!$B$21:$B$23)*Table1[[#This Row], [NUM OF MEM]]*(1+_xlfn.XLOOKUP(Table1[[#This Row], [DISGUISE]],Sheet1!$A$21:$A$23,Sheet1!$C$21:$C$23))</f>
        <v>25600</v>
      </c>
      <c r="H17" s="13" t="s">
        <v>66</v>
      </c>
      <c r="I17" s="4">
        <f>_xlfn.XLOOKUP(Table1[[#This Row], [WEAPON]],Sheet1!$A$27:$A$29,Sheet1!$B$27:$B$29)*Table1[[#This Row], [NUM OF MEM]]*(1+_xlfn.XLOOKUP(Table1[[#This Row], [WEAPON]],Sheet1!$A$27:$A$29,Sheet1!$C$27:$C$29))</f>
        <v>72000</v>
      </c>
      <c r="J17" t="s">
        <v>60</v>
      </c>
      <c r="K17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1694692.0312499995</v>
      </c>
      <c r="L17" s="13" t="s">
        <v>65</v>
      </c>
      <c r="M17" s="4">
        <f>IF(Table1[[#This Row], [EQUIPMENT]]="YES",Sheet1!$C$44*(1+Sheet1!$D$44),0)</f>
        <v>307500</v>
      </c>
      <c r="N17" s="4">
        <f>_xlfn.XLOOKUP(Table1[[#This Row], [ROOM]],Sheet1!$A$47:$A$66,Sheet1!$F$47:$F$66)</f>
        <v>18200000</v>
      </c>
      <c r="O17" s="9">
        <f>_xlfn.XLOOKUP(_xlfn.CONCAT(Table1[[#This Row], [TEAM]],Table1[[#This Row], [ROOM]]),'ROOM TIME'!$H$2:$H$121,'ROOM TIME'!$J$2:$J$121)</f>
        <v>57.906249999999986</v>
      </c>
      <c r="P17" s="9">
        <f>(INDEX(Sheet1!$X$48:$Z$67,MATCH(Table1[[#This Row], [ROOM]],Sheet1!$P$48:$P$67,0),MATCH(Table1[[#This Row], [WEAPON]],Sheet1!$X$47:$Z$47,0)))/Table1[[#This Row], [NUM OF MEM]]</f>
        <v>8.125</v>
      </c>
      <c r="Q17" s="9">
        <f>Table1[[#This Row], [ROOM TIME]]+Table1[[#This Row], [GUARD TIME]]</f>
        <v>66.031249999999986</v>
      </c>
      <c r="R17" s="4">
        <f>Sheet1!$K$3*_xlfn.XLOOKUP(Table1[[#This Row], [DISGUISE]],Sheet1!$A$21:$A$23,Sheet1!$D$21:$D$23)</f>
        <v>69</v>
      </c>
      <c r="S17" s="9">
        <f>Table1[[#This Row], [TOTAL TIME]]-Table1[[#This Row], [TOTAL TIME TAKEN]]</f>
        <v>2.9687500000000142</v>
      </c>
      <c r="T17" t="str">
        <f>IF(Table1[[#This Row], [TIME DIFFERENCE]]&gt;=0,"PASS","FAIL")</f>
        <v>PASS</v>
      </c>
      <c r="U17" s="9">
        <f>Table1[[#This Row], [TRC]]+Table1[[#This Row], [DRC]]+Table1[[#This Row], [WRC]]+Table1[[#This Row], [ERC]]+Table1[[#This Row], [EQRC]]</f>
        <v>8049392.03125</v>
      </c>
      <c r="V17" s="9">
        <f>Table1[[#This Row], [TOTAL COST]]+_xlfn.XLOOKUP(Table1[[#This Row], [TEAM]],Sheet1!$A$12:$A$17,Sheet1!$I$12:$I$17)</f>
        <v>8346872.03125</v>
      </c>
      <c r="W17" s="9">
        <f>Table1[[#This Row], [LOOT]]-Table1[[#This Row], [TOTAL COST]]</f>
        <v>10150607.96875</v>
      </c>
      <c r="X17" s="9">
        <f>IF(Table1[[#This Row], [PASS/FAIL]]="FAIL",0,Table1[[#This Row], [PROFIT]])</f>
        <v>10150607.96875</v>
      </c>
    </row>
    <row r="18" spans="1:24" ht="19.5" customHeight="1" x14ac:dyDescent="0.45">
      <c r="A18" t="s">
        <v>15</v>
      </c>
      <c r="B18" s="14">
        <f>_xlfn.XLOOKUP(Table1[[#This Row], [TEAM]],Sheet1!$A$12:$A$17,Sheet1!$F$12:$F$17)</f>
        <v>2</v>
      </c>
      <c r="C18" s="14">
        <f>_xlfn.XLOOKUP(Table1[[#This Row], [TEAM]],Sheet1!$A$12:$A$17,Sheet1!$G$12:$G$17)</f>
        <v>5932950</v>
      </c>
      <c r="D18" t="s">
        <v>32</v>
      </c>
      <c r="E18" s="4">
        <f>_xlfn.XLOOKUP(Table1[[#This Row], [ROOM]],Sheet1!$A$47:$A$66,Sheet1!$B$47:$B$66)</f>
        <v>346</v>
      </c>
      <c r="F18" t="s">
        <v>58</v>
      </c>
      <c r="G18" s="4">
        <f>_xlfn.XLOOKUP(Table1[[#This Row], [DISGUISE]],Sheet1!$A$21:$A$23,Sheet1!$B$21:$B$23)*Table1[[#This Row], [NUM OF MEM]]*(1+_xlfn.XLOOKUP(Table1[[#This Row], [DISGUISE]],Sheet1!$A$21:$A$23,Sheet1!$C$21:$C$23))</f>
        <v>25600</v>
      </c>
      <c r="H18" s="13" t="s">
        <v>66</v>
      </c>
      <c r="I18" s="4">
        <f>_xlfn.XLOOKUP(Table1[[#This Row], [WEAPON]],Sheet1!$A$27:$A$29,Sheet1!$B$27:$B$29)*Table1[[#This Row], [NUM OF MEM]]*(1+_xlfn.XLOOKUP(Table1[[#This Row], [WEAPON]],Sheet1!$A$27:$A$29,Sheet1!$C$27:$C$29))</f>
        <v>72000</v>
      </c>
      <c r="J18" t="s">
        <v>60</v>
      </c>
      <c r="K18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1711374.2812499993</v>
      </c>
      <c r="L18" s="13" t="s">
        <v>65</v>
      </c>
      <c r="M18" s="4">
        <f>IF(Table1[[#This Row], [EQUIPMENT]]="YES",Sheet1!$C$44*(1+Sheet1!$D$44),0)</f>
        <v>307500</v>
      </c>
      <c r="N18" s="4">
        <f>_xlfn.XLOOKUP(Table1[[#This Row], [ROOM]],Sheet1!$A$47:$A$66,Sheet1!$F$47:$F$66)</f>
        <v>18200000</v>
      </c>
      <c r="O18" s="9">
        <f>_xlfn.XLOOKUP(_xlfn.CONCAT(Table1[[#This Row], [TEAM]],Table1[[#This Row], [ROOM]]),'ROOM TIME'!$H$2:$H$121,'ROOM TIME'!$J$2:$J$121)</f>
        <v>58.556249999999977</v>
      </c>
      <c r="P18" s="9">
        <f>(INDEX(Sheet1!$X$48:$Z$67,MATCH(Table1[[#This Row], [ROOM]],Sheet1!$P$48:$P$67,0),MATCH(Table1[[#This Row], [WEAPON]],Sheet1!$X$47:$Z$47,0)))/Table1[[#This Row], [NUM OF MEM]]</f>
        <v>8.125</v>
      </c>
      <c r="Q18" s="9">
        <f>Table1[[#This Row], [ROOM TIME]]+Table1[[#This Row], [GUARD TIME]]</f>
        <v>66.681249999999977</v>
      </c>
      <c r="R18" s="4">
        <f>Sheet1!$K$3*_xlfn.XLOOKUP(Table1[[#This Row], [DISGUISE]],Sheet1!$A$21:$A$23,Sheet1!$D$21:$D$23)</f>
        <v>69</v>
      </c>
      <c r="S18" s="9">
        <f>Table1[[#This Row], [TOTAL TIME]]-Table1[[#This Row], [TOTAL TIME TAKEN]]</f>
        <v>2.3187500000000227</v>
      </c>
      <c r="T18" t="str">
        <f>IF(Table1[[#This Row], [TIME DIFFERENCE]]&gt;=0,"PASS","FAIL")</f>
        <v>PASS</v>
      </c>
      <c r="U18" s="9">
        <f>Table1[[#This Row], [TRC]]+Table1[[#This Row], [DRC]]+Table1[[#This Row], [WRC]]+Table1[[#This Row], [ERC]]+Table1[[#This Row], [EQRC]]</f>
        <v>8049424.2812499991</v>
      </c>
      <c r="V18" s="9">
        <f>Table1[[#This Row], [TOTAL COST]]+_xlfn.XLOOKUP(Table1[[#This Row], [TEAM]],Sheet1!$A$12:$A$17,Sheet1!$I$12:$I$17)</f>
        <v>8346071.7812499991</v>
      </c>
      <c r="W18" s="9">
        <f>Table1[[#This Row], [LOOT]]-Table1[[#This Row], [TOTAL COST]]</f>
        <v>10150575.71875</v>
      </c>
      <c r="X18" s="9">
        <f>IF(Table1[[#This Row], [PASS/FAIL]]="FAIL",0,Table1[[#This Row], [PROFIT]])</f>
        <v>10150575.71875</v>
      </c>
    </row>
    <row r="19" spans="1:24" ht="19.5" customHeight="1" x14ac:dyDescent="0.45">
      <c r="A19" t="s">
        <v>14</v>
      </c>
      <c r="B19" s="14">
        <f>_xlfn.XLOOKUP(Table1[[#This Row], [TEAM]],Sheet1!$A$12:$A$17,Sheet1!$F$12:$F$17)</f>
        <v>2</v>
      </c>
      <c r="C19" s="14">
        <f>_xlfn.XLOOKUP(Table1[[#This Row], [TEAM]],Sheet1!$A$12:$A$17,Sheet1!$G$12:$G$17)</f>
        <v>5949600</v>
      </c>
      <c r="D19" t="s">
        <v>32</v>
      </c>
      <c r="E19" s="4">
        <f>_xlfn.XLOOKUP(Table1[[#This Row], [ROOM]],Sheet1!$A$47:$A$66,Sheet1!$B$47:$B$66)</f>
        <v>346</v>
      </c>
      <c r="F19" t="s">
        <v>58</v>
      </c>
      <c r="G19" s="4">
        <f>_xlfn.XLOOKUP(Table1[[#This Row], [DISGUISE]],Sheet1!$A$21:$A$23,Sheet1!$B$21:$B$23)*Table1[[#This Row], [NUM OF MEM]]*(1+_xlfn.XLOOKUP(Table1[[#This Row], [DISGUISE]],Sheet1!$A$21:$A$23,Sheet1!$C$21:$C$23))</f>
        <v>25600</v>
      </c>
      <c r="H19" s="13" t="s">
        <v>59</v>
      </c>
      <c r="I19" s="4">
        <f>_xlfn.XLOOKUP(Table1[[#This Row], [WEAPON]],Sheet1!$A$27:$A$29,Sheet1!$B$27:$B$29)*Table1[[#This Row], [NUM OF MEM]]*(1+_xlfn.XLOOKUP(Table1[[#This Row], [WEAPON]],Sheet1!$A$27:$A$29,Sheet1!$C$27:$C$29))</f>
        <v>91000</v>
      </c>
      <c r="J19" t="s">
        <v>60</v>
      </c>
      <c r="K19" s="9">
        <f>Table1[[#This Row], [NUM OF MEM]]*Table1[[#This Row], [TOTAL TIME TAKEN]]*_xlfn.XLOOKUP(Table1[[#This Row], [EXIT]],Sheet1!$A$70:$A$71,Sheet1!$B$70:$B$71)*(1+_xlfn.XLOOKUP(Table1[[#This Row], [EXIT]],Sheet1!$A$70:$A$71,Sheet1!$C$70:$C$71))</f>
        <v>1678009.7812499993</v>
      </c>
      <c r="L19" s="13" t="s">
        <v>65</v>
      </c>
      <c r="M19" s="4">
        <f>IF(Table1[[#This Row], [EQUIPMENT]]="YES",Sheet1!$C$44*(1+Sheet1!$D$44),0)</f>
        <v>307500</v>
      </c>
      <c r="N19" s="4">
        <f>_xlfn.XLOOKUP(Table1[[#This Row], [ROOM]],Sheet1!$A$47:$A$66,Sheet1!$F$47:$F$66)</f>
        <v>18200000</v>
      </c>
      <c r="O19" s="9">
        <f>_xlfn.XLOOKUP(_xlfn.CONCAT(Table1[[#This Row], [TEAM]],Table1[[#This Row], [ROOM]]),'ROOM TIME'!$H$2:$H$121,'ROOM TIME'!$J$2:$J$121)</f>
        <v>57.906249999999986</v>
      </c>
      <c r="P19" s="9">
        <f>(INDEX(Sheet1!$X$48:$Z$67,MATCH(Table1[[#This Row], [ROOM]],Sheet1!$P$48:$P$67,0),MATCH(Table1[[#This Row], [WEAPON]],Sheet1!$X$47:$Z$47,0)))/Table1[[#This Row], [NUM OF MEM]]</f>
        <v>7.4749999999999996</v>
      </c>
      <c r="Q19" s="9">
        <f>Table1[[#This Row], [ROOM TIME]]+Table1[[#This Row], [GUARD TIME]]</f>
        <v>65.38124999999998</v>
      </c>
      <c r="R19" s="4">
        <f>Sheet1!$K$3*_xlfn.XLOOKUP(Table1[[#This Row], [DISGUISE]],Sheet1!$A$21:$A$23,Sheet1!$D$21:$D$23)</f>
        <v>69</v>
      </c>
      <c r="S19" s="9">
        <f>Table1[[#This Row], [TOTAL TIME]]-Table1[[#This Row], [TOTAL TIME TAKEN]]</f>
        <v>3.6187500000000199</v>
      </c>
      <c r="T19" t="str">
        <f>IF(Table1[[#This Row], [TIME DIFFERENCE]]&gt;=0,"PASS","FAIL")</f>
        <v>PASS</v>
      </c>
      <c r="U19" s="9">
        <f>Table1[[#This Row], [TRC]]+Table1[[#This Row], [DRC]]+Table1[[#This Row], [WRC]]+Table1[[#This Row], [ERC]]+Table1[[#This Row], [EQRC]]</f>
        <v>8051709.7812499991</v>
      </c>
      <c r="V19" s="9">
        <f>Table1[[#This Row], [TOTAL COST]]+_xlfn.XLOOKUP(Table1[[#This Row], [TEAM]],Sheet1!$A$12:$A$17,Sheet1!$I$12:$I$17)</f>
        <v>8349189.7812499991</v>
      </c>
      <c r="W19" s="9">
        <f>Table1[[#This Row], [LOOT]]-Table1[[#This Row], [TOTAL COST]]</f>
        <v>10148290.21875</v>
      </c>
      <c r="X19" s="9">
        <f>IF(Table1[[#This Row], [PASS/FAIL]]="FAIL",0,Table1[[#This Row], [PROFIT]])</f>
        <v>10148290.21875</v>
      </c>
    </row>
    <row r="20" spans="1:24" ht="19.5" customHeight="1" x14ac:dyDescent="0.45">
      <c r="A20" t="s">
        <v>15</v>
      </c>
      <c r="B20" s="14">
        <f>_xlfn.XLOOKUP(Table1[[#This Row], [TEAM]],Sheet1!$A$12:$A$17,Sheet1!$F$12:$F$17)</f>
        <v>2</v>
      </c>
      <c r="C20" s="14">
        <f>_xlfn.XLOOKUP(Table1[[#This Row], [TEAM]],Sheet1!$A$12:$A$17,Sheet1!$G$12:$G$17)</f>
        <v>5932950</v>
      </c>
      <c r="D20" t="s">
        <v>32</v>
      </c>
      <c r="E20" s="4">
        <f>_xlfn.XLOOKUP(Table1[[#This Row], [ROOM]],Sheet1!$A$47:$A$66,Sheet1!$B$47:$B$66)</f>
        <v>346</v>
      </c>
      <c r="F20" t="s">
        <v>58</v>
      </c>
      <c r="G20" s="4">
        <f>_xlfn.XLOOKUP(Table1[[#This Row], [DISGUISE]],Sheet1!$A$21:$A$23,Sheet1!$B$21:$B$23)*Table1[[#This Row], [NUM OF MEM]]*(1+_xlfn.XLOOKUP(Table1[[#This Row], [DISGUISE]],Sheet1!$A$21:$A$23,Sheet1!$C$21:$C$23))</f>
        <v>25600</v>
      </c>
      <c r="H20" s="13" t="s">
        <v>59</v>
      </c>
      <c r="I20" s="4">
        <f>_xlfn.XLOOKUP(Table1[[#This Row], [WEAPON]],Sheet1!$A$27:$A$29,Sheet1!$B$27:$B$29)*Table1[[#This Row], [NUM OF MEM]]*(1+_xlfn.XLOOKUP(Table1[[#This Row], [WEAPON]],Sheet1!$A$27:$A$29,Sheet1!$C$27:$C$29))</f>
        <v>91000</v>
      </c>
      <c r="J20" t="s">
        <v>60</v>
      </c>
      <c r="K20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1694692.0312499993</v>
      </c>
      <c r="L20" s="13" t="s">
        <v>65</v>
      </c>
      <c r="M20" s="4">
        <f>IF(Table1[[#This Row], [EQUIPMENT]]="YES",Sheet1!$C$44*(1+Sheet1!$D$44),0)</f>
        <v>307500</v>
      </c>
      <c r="N20" s="4">
        <f>_xlfn.XLOOKUP(Table1[[#This Row], [ROOM]],Sheet1!$A$47:$A$66,Sheet1!$F$47:$F$66)</f>
        <v>18200000</v>
      </c>
      <c r="O20" s="9">
        <f>_xlfn.XLOOKUP(_xlfn.CONCAT(Table1[[#This Row], [TEAM]],Table1[[#This Row], [ROOM]]),'ROOM TIME'!$H$2:$H$121,'ROOM TIME'!$J$2:$J$121)</f>
        <v>58.556249999999977</v>
      </c>
      <c r="P20" s="9">
        <f>(INDEX(Sheet1!$X$48:$Z$67,MATCH(Table1[[#This Row], [ROOM]],Sheet1!$P$48:$P$67,0),MATCH(Table1[[#This Row], [WEAPON]],Sheet1!$X$47:$Z$47,0)))/Table1[[#This Row], [NUM OF MEM]]</f>
        <v>7.4749999999999996</v>
      </c>
      <c r="Q20" s="9">
        <f>Table1[[#This Row], [ROOM TIME]]+Table1[[#This Row], [GUARD TIME]]</f>
        <v>66.031249999999972</v>
      </c>
      <c r="R20" s="4">
        <f>Sheet1!$K$3*_xlfn.XLOOKUP(Table1[[#This Row], [DISGUISE]],Sheet1!$A$21:$A$23,Sheet1!$D$21:$D$23)</f>
        <v>69</v>
      </c>
      <c r="S20" s="9">
        <f>Table1[[#This Row], [TOTAL TIME]]-Table1[[#This Row], [TOTAL TIME TAKEN]]</f>
        <v>2.9687500000000284</v>
      </c>
      <c r="T20" t="str">
        <f>IF(Table1[[#This Row], [TIME DIFFERENCE]]&gt;=0,"PASS","FAIL")</f>
        <v>PASS</v>
      </c>
      <c r="U20" s="9">
        <f>Table1[[#This Row], [TRC]]+Table1[[#This Row], [DRC]]+Table1[[#This Row], [WRC]]+Table1[[#This Row], [ERC]]+Table1[[#This Row], [EQRC]]</f>
        <v>8051742.0312499991</v>
      </c>
      <c r="V20" s="9">
        <f>Table1[[#This Row], [TOTAL COST]]+_xlfn.XLOOKUP(Table1[[#This Row], [TEAM]],Sheet1!$A$12:$A$17,Sheet1!$I$12:$I$17)</f>
        <v>8348389.5312499991</v>
      </c>
      <c r="W20" s="9">
        <f>Table1[[#This Row], [LOOT]]-Table1[[#This Row], [TOTAL COST]]</f>
        <v>10148257.96875</v>
      </c>
      <c r="X20" s="9">
        <f>IF(Table1[[#This Row], [PASS/FAIL]]="FAIL",0,Table1[[#This Row], [PROFIT]])</f>
        <v>10148257.96875</v>
      </c>
    </row>
    <row r="21" spans="1:24" ht="19.5" customHeight="1" x14ac:dyDescent="0.45">
      <c r="A21" t="s">
        <v>13</v>
      </c>
      <c r="B21" s="14">
        <f>_xlfn.XLOOKUP(Table1[[#This Row], [TEAM]],Sheet1!$A$12:$A$17,Sheet1!$F$12:$F$17)</f>
        <v>3</v>
      </c>
      <c r="C21" s="14">
        <f>_xlfn.XLOOKUP(Table1[[#This Row], [TEAM]],Sheet1!$A$12:$A$17,Sheet1!$G$12:$G$17)</f>
        <v>5930000</v>
      </c>
      <c r="D21" t="s">
        <v>18</v>
      </c>
      <c r="E21" s="4">
        <f>_xlfn.XLOOKUP(Table1[[#This Row], [ROOM]],Sheet1!$A$47:$A$66,Sheet1!$B$47:$B$66)</f>
        <v>134</v>
      </c>
      <c r="F21" t="s">
        <v>58</v>
      </c>
      <c r="G21" s="4">
        <f>_xlfn.XLOOKUP(Table1[[#This Row], [DISGUISE]],Sheet1!$A$21:$A$23,Sheet1!$B$21:$B$23)*Table1[[#This Row], [NUM OF MEM]]*(1+_xlfn.XLOOKUP(Table1[[#This Row], [DISGUISE]],Sheet1!$A$21:$A$23,Sheet1!$C$21:$C$23))</f>
        <v>38400</v>
      </c>
      <c r="H21" s="13" t="s">
        <v>63</v>
      </c>
      <c r="I21" s="4">
        <f>_xlfn.XLOOKUP(Table1[[#This Row], [WEAPON]],Sheet1!$A$27:$A$29,Sheet1!$B$27:$B$29)*Table1[[#This Row], [NUM OF MEM]]*(1+_xlfn.XLOOKUP(Table1[[#This Row], [WEAPON]],Sheet1!$A$27:$A$29,Sheet1!$C$27:$C$29))</f>
        <v>69000</v>
      </c>
      <c r="J21" t="s">
        <v>60</v>
      </c>
      <c r="K21" s="9">
        <f>Table1[[#This Row], [NUM OF MEM]]*Table1[[#This Row], [TOTAL TIME TAKEN]]*_xlfn.XLOOKUP(Table1[[#This Row], [EXIT]],Sheet1!$A$70:$A$71,Sheet1!$B$70:$B$71)*(1+_xlfn.XLOOKUP(Table1[[#This Row], [EXIT]],Sheet1!$A$70:$A$71,Sheet1!$C$70:$C$71))</f>
        <v>1864455.3124999995</v>
      </c>
      <c r="L21" s="13" t="s">
        <v>61</v>
      </c>
      <c r="M21" s="4">
        <f>IF(Table1[[#This Row], [EQUIPMENT]]="YES",Sheet1!$C$44*(1+Sheet1!$D$44),0)</f>
        <v>0</v>
      </c>
      <c r="N21" s="4">
        <f>_xlfn.XLOOKUP(Table1[[#This Row], [ROOM]],Sheet1!$A$47:$A$66,Sheet1!$F$47:$F$66)</f>
        <v>18050000</v>
      </c>
      <c r="O21" s="9">
        <f>_xlfn.XLOOKUP(_xlfn.CONCAT(Table1[[#This Row], [TEAM]],Table1[[#This Row], [ROOM]]),'ROOM TIME'!$H$2:$H$121,'ROOM TIME'!$J$2:$J$121)</f>
        <v>43.030555555555544</v>
      </c>
      <c r="P21" s="9">
        <f>(INDEX(Sheet1!$X$48:$Z$67,MATCH(Table1[[#This Row], [ROOM]],Sheet1!$P$48:$P$67,0),MATCH(Table1[[#This Row], [WEAPON]],Sheet1!$X$47:$Z$47,0)))/Table1[[#This Row], [NUM OF MEM]]</f>
        <v>5.4000000000000012</v>
      </c>
      <c r="Q21" s="9">
        <f>Table1[[#This Row], [ROOM TIME]]+Table1[[#This Row], [GUARD TIME]]</f>
        <v>48.430555555555543</v>
      </c>
      <c r="R21" s="4">
        <f>Sheet1!$K$3*_xlfn.XLOOKUP(Table1[[#This Row], [DISGUISE]],Sheet1!$A$21:$A$23,Sheet1!$D$21:$D$23)</f>
        <v>69</v>
      </c>
      <c r="S21" s="9">
        <f>Table1[[#This Row], [TOTAL TIME]]-Table1[[#This Row], [TOTAL TIME TAKEN]]</f>
        <v>20.569444444444457</v>
      </c>
      <c r="T21" t="str">
        <f>IF(Table1[[#This Row], [TIME DIFFERENCE]]&gt;=0,"PASS","FAIL")</f>
        <v>PASS</v>
      </c>
      <c r="U21" s="9">
        <f>Table1[[#This Row], [TRC]]+Table1[[#This Row], [DRC]]+Table1[[#This Row], [WRC]]+Table1[[#This Row], [ERC]]+Table1[[#This Row], [EQRC]]</f>
        <v>7901855.3125</v>
      </c>
      <c r="V21" s="9">
        <f>Table1[[#This Row], [TOTAL COST]]+_xlfn.XLOOKUP(Table1[[#This Row], [TEAM]],Sheet1!$A$12:$A$17,Sheet1!$I$12:$I$17)</f>
        <v>8198355.3125</v>
      </c>
      <c r="W21" s="9">
        <f>Table1[[#This Row], [LOOT]]-Table1[[#This Row], [TOTAL COST]]</f>
        <v>10148144.6875</v>
      </c>
      <c r="X21" s="9">
        <f>IF(Table1[[#This Row], [PASS/FAIL]]="FAIL",0,Table1[[#This Row], [PROFIT]])</f>
        <v>10148144.6875</v>
      </c>
    </row>
    <row r="22" spans="1:24" ht="19.5" customHeight="1" x14ac:dyDescent="0.45">
      <c r="A22" t="s">
        <v>13</v>
      </c>
      <c r="B22" s="14">
        <f>_xlfn.XLOOKUP(Table1[[#This Row], [TEAM]],Sheet1!$A$12:$A$17,Sheet1!$F$12:$F$17)</f>
        <v>3</v>
      </c>
      <c r="C22" s="14">
        <f>_xlfn.XLOOKUP(Table1[[#This Row], [TEAM]],Sheet1!$A$12:$A$17,Sheet1!$G$12:$G$17)</f>
        <v>5930000</v>
      </c>
      <c r="D22" t="s">
        <v>18</v>
      </c>
      <c r="E22" s="4">
        <f>_xlfn.XLOOKUP(Table1[[#This Row], [ROOM]],Sheet1!$A$47:$A$66,Sheet1!$B$47:$B$66)</f>
        <v>134</v>
      </c>
      <c r="F22" t="s">
        <v>62</v>
      </c>
      <c r="G22" s="4">
        <f>_xlfn.XLOOKUP(Table1[[#This Row], [DISGUISE]],Sheet1!$A$21:$A$23,Sheet1!$B$21:$B$23)*Table1[[#This Row], [NUM OF MEM]]*(1+_xlfn.XLOOKUP(Table1[[#This Row], [DISGUISE]],Sheet1!$A$21:$A$23,Sheet1!$C$21:$C$23))</f>
        <v>15600</v>
      </c>
      <c r="H22" s="13" t="s">
        <v>66</v>
      </c>
      <c r="I22" s="4">
        <f>_xlfn.XLOOKUP(Table1[[#This Row], [WEAPON]],Sheet1!$A$27:$A$29,Sheet1!$B$27:$B$29)*Table1[[#This Row], [NUM OF MEM]]*(1+_xlfn.XLOOKUP(Table1[[#This Row], [WEAPON]],Sheet1!$A$27:$A$29,Sheet1!$C$27:$C$29))</f>
        <v>108000</v>
      </c>
      <c r="J22" t="s">
        <v>60</v>
      </c>
      <c r="K22" s="9">
        <f>Table1[[#This Row], [NUM OF MEM]]*Table1[[#This Row], [TOTAL TIME TAKEN]]*_xlfn.XLOOKUP(Table1[[#This Row], [EXIT]],Sheet1!$A$70:$A$71,Sheet1!$B$70:$B$71)*(1+_xlfn.XLOOKUP(Table1[[#This Row], [EXIT]],Sheet1!$A$70:$A$71,Sheet1!$C$70:$C$71))</f>
        <v>1849056.3124999995</v>
      </c>
      <c r="L22" s="13" t="s">
        <v>61</v>
      </c>
      <c r="M22" s="4">
        <f>IF(Table1[[#This Row], [EQUIPMENT]]="YES",Sheet1!$C$44*(1+Sheet1!$D$44),0)</f>
        <v>0</v>
      </c>
      <c r="N22" s="4">
        <f>_xlfn.XLOOKUP(Table1[[#This Row], [ROOM]],Sheet1!$A$47:$A$66,Sheet1!$F$47:$F$66)</f>
        <v>18050000</v>
      </c>
      <c r="O22" s="9">
        <f>_xlfn.XLOOKUP(_xlfn.CONCAT(Table1[[#This Row], [TEAM]],Table1[[#This Row], [ROOM]]),'ROOM TIME'!$H$2:$H$121,'ROOM TIME'!$J$2:$J$121)</f>
        <v>43.030555555555544</v>
      </c>
      <c r="P22" s="4">
        <f>(INDEX(Sheet1!$X$48:$Z$67,MATCH(Table1[[#This Row], [ROOM]],Sheet1!$P$48:$P$67,0),MATCH(Table1[[#This Row], [WEAPON]],Sheet1!$X$47:$Z$47,0)))/Table1[[#This Row], [NUM OF MEM]]</f>
        <v>5</v>
      </c>
      <c r="Q22" s="9">
        <f>Table1[[#This Row], [ROOM TIME]]+Table1[[#This Row], [GUARD TIME]]</f>
        <v>48.030555555555544</v>
      </c>
      <c r="R22" s="4">
        <f>Sheet1!$K$3*_xlfn.XLOOKUP(Table1[[#This Row], [DISGUISE]],Sheet1!$A$21:$A$23,Sheet1!$D$21:$D$23)</f>
        <v>66</v>
      </c>
      <c r="S22" s="9">
        <f>Table1[[#This Row], [TOTAL TIME]]-Table1[[#This Row], [TOTAL TIME TAKEN]]</f>
        <v>17.969444444444456</v>
      </c>
      <c r="T22" t="str">
        <f>IF(Table1[[#This Row], [TIME DIFFERENCE]]&gt;=0,"PASS","FAIL")</f>
        <v>PASS</v>
      </c>
      <c r="U22" s="9">
        <f>Table1[[#This Row], [TRC]]+Table1[[#This Row], [DRC]]+Table1[[#This Row], [WRC]]+Table1[[#This Row], [ERC]]+Table1[[#This Row], [EQRC]]</f>
        <v>7902656.3125</v>
      </c>
      <c r="V22" s="9">
        <f>Table1[[#This Row], [TOTAL COST]]+_xlfn.XLOOKUP(Table1[[#This Row], [TEAM]],Sheet1!$A$12:$A$17,Sheet1!$I$12:$I$17)</f>
        <v>8199156.3125</v>
      </c>
      <c r="W22" s="9">
        <f>Table1[[#This Row], [LOOT]]-Table1[[#This Row], [TOTAL COST]]</f>
        <v>10147343.6875</v>
      </c>
      <c r="X22" s="9">
        <f>IF(Table1[[#This Row], [PASS/FAIL]]="FAIL",0,Table1[[#This Row], [PROFIT]])</f>
        <v>10147343.6875</v>
      </c>
    </row>
    <row r="23" spans="1:24" ht="19.5" customHeight="1" x14ac:dyDescent="0.45">
      <c r="A23" t="s">
        <v>14</v>
      </c>
      <c r="B23" s="14">
        <f>_xlfn.XLOOKUP(Table1[[#This Row], [TEAM]],Sheet1!$A$12:$A$17,Sheet1!$F$12:$F$17)</f>
        <v>2</v>
      </c>
      <c r="C23" s="14">
        <f>_xlfn.XLOOKUP(Table1[[#This Row], [TEAM]],Sheet1!$A$12:$A$17,Sheet1!$G$12:$G$17)</f>
        <v>5949600</v>
      </c>
      <c r="D23" t="s">
        <v>32</v>
      </c>
      <c r="E23" s="4">
        <f>_xlfn.XLOOKUP(Table1[[#This Row], [ROOM]],Sheet1!$A$47:$A$66,Sheet1!$B$47:$B$66)</f>
        <v>346</v>
      </c>
      <c r="F23" t="s">
        <v>62</v>
      </c>
      <c r="G23" s="4">
        <f>_xlfn.XLOOKUP(Table1[[#This Row], [DISGUISE]],Sheet1!$A$21:$A$23,Sheet1!$B$21:$B$23)*Table1[[#This Row], [NUM OF MEM]]*(1+_xlfn.XLOOKUP(Table1[[#This Row], [DISGUISE]],Sheet1!$A$21:$A$23,Sheet1!$C$21:$C$23))</f>
        <v>10400</v>
      </c>
      <c r="H23" s="13" t="s">
        <v>59</v>
      </c>
      <c r="I23" s="4">
        <f>_xlfn.XLOOKUP(Table1[[#This Row], [WEAPON]],Sheet1!$A$27:$A$29,Sheet1!$B$27:$B$29)*Table1[[#This Row], [NUM OF MEM]]*(1+_xlfn.XLOOKUP(Table1[[#This Row], [WEAPON]],Sheet1!$A$27:$A$29,Sheet1!$C$27:$C$29))</f>
        <v>91000</v>
      </c>
      <c r="J23" t="s">
        <v>64</v>
      </c>
      <c r="K23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1694681.9999999993</v>
      </c>
      <c r="L23" s="13" t="s">
        <v>65</v>
      </c>
      <c r="M23" s="4">
        <f>IF(Table1[[#This Row], [EQUIPMENT]]="YES",Sheet1!$C$44*(1+Sheet1!$D$44),0)</f>
        <v>307500</v>
      </c>
      <c r="N23" s="4">
        <f>_xlfn.XLOOKUP(Table1[[#This Row], [ROOM]],Sheet1!$A$47:$A$66,Sheet1!$F$47:$F$66)</f>
        <v>18200000</v>
      </c>
      <c r="O23" s="9">
        <f>_xlfn.XLOOKUP(_xlfn.CONCAT(Table1[[#This Row], [TEAM]],Table1[[#This Row], [ROOM]]),'ROOM TIME'!$H$2:$H$121,'ROOM TIME'!$J$2:$J$121)</f>
        <v>57.906249999999986</v>
      </c>
      <c r="P23" s="9">
        <f>(INDEX(Sheet1!$X$48:$Z$67,MATCH(Table1[[#This Row], [ROOM]],Sheet1!$P$48:$P$67,0),MATCH(Table1[[#This Row], [WEAPON]],Sheet1!$X$47:$Z$47,0)))/Table1[[#This Row], [NUM OF MEM]]</f>
        <v>7.4749999999999996</v>
      </c>
      <c r="Q23" s="9">
        <f>Table1[[#This Row], [ROOM TIME]]+Table1[[#This Row], [GUARD TIME]]</f>
        <v>65.38124999999998</v>
      </c>
      <c r="R23" s="4">
        <f>Sheet1!$K$3*_xlfn.XLOOKUP(Table1[[#This Row], [DISGUISE]],Sheet1!$A$21:$A$23,Sheet1!$D$21:$D$23)</f>
        <v>66</v>
      </c>
      <c r="S23" s="9">
        <f>Table1[[#This Row], [TOTAL TIME]]-Table1[[#This Row], [TOTAL TIME TAKEN]]</f>
        <v>0.6187500000000199</v>
      </c>
      <c r="T23" t="str">
        <f>IF(Table1[[#This Row], [TIME DIFFERENCE]]&gt;=0,"PASS","FAIL")</f>
        <v>PASS</v>
      </c>
      <c r="U23" s="9">
        <f>Table1[[#This Row], [TRC]]+Table1[[#This Row], [DRC]]+Table1[[#This Row], [WRC]]+Table1[[#This Row], [ERC]]+Table1[[#This Row], [EQRC]]</f>
        <v>8053181.9999999991</v>
      </c>
      <c r="V23" s="9">
        <f>Table1[[#This Row], [TOTAL COST]]+_xlfn.XLOOKUP(Table1[[#This Row], [TEAM]],Sheet1!$A$12:$A$17,Sheet1!$I$12:$I$17)</f>
        <v>8350661.9999999991</v>
      </c>
      <c r="W23" s="4">
        <f>Table1[[#This Row], [LOOT]]-Table1[[#This Row], [TOTAL COST]]</f>
        <v>10146818</v>
      </c>
      <c r="X23" s="4">
        <f>IF(Table1[[#This Row], [PASS/FAIL]]="FAIL",0,Table1[[#This Row], [PROFIT]])</f>
        <v>10146818</v>
      </c>
    </row>
    <row r="24" spans="1:24" ht="19.5" customHeight="1" x14ac:dyDescent="0.45">
      <c r="A24" t="s">
        <v>12</v>
      </c>
      <c r="B24" s="14">
        <f>_xlfn.XLOOKUP(Table1[[#This Row], [TEAM]],Sheet1!$A$12:$A$17,Sheet1!$F$12:$F$17)</f>
        <v>3</v>
      </c>
      <c r="C24" s="14">
        <f>_xlfn.XLOOKUP(Table1[[#This Row], [TEAM]],Sheet1!$A$12:$A$17,Sheet1!$G$12:$G$17)</f>
        <v>5988750</v>
      </c>
      <c r="D24" t="s">
        <v>24</v>
      </c>
      <c r="E24" s="4">
        <f>_xlfn.XLOOKUP(Table1[[#This Row], [ROOM]],Sheet1!$A$47:$A$66,Sheet1!$B$47:$B$66)</f>
        <v>345</v>
      </c>
      <c r="F24" t="s">
        <v>62</v>
      </c>
      <c r="G24" s="4">
        <f>_xlfn.XLOOKUP(Table1[[#This Row], [DISGUISE]],Sheet1!$A$21:$A$23,Sheet1!$B$21:$B$23)*Table1[[#This Row], [NUM OF MEM]]*(1+_xlfn.XLOOKUP(Table1[[#This Row], [DISGUISE]],Sheet1!$A$21:$A$23,Sheet1!$C$21:$C$23))</f>
        <v>15600</v>
      </c>
      <c r="H24" s="13" t="s">
        <v>63</v>
      </c>
      <c r="I24" s="4">
        <f>_xlfn.XLOOKUP(Table1[[#This Row], [WEAPON]],Sheet1!$A$27:$A$29,Sheet1!$B$27:$B$29)*Table1[[#This Row], [NUM OF MEM]]*(1+_xlfn.XLOOKUP(Table1[[#This Row], [WEAPON]],Sheet1!$A$27:$A$29,Sheet1!$C$27:$C$29))</f>
        <v>69000</v>
      </c>
      <c r="J24" t="s">
        <v>60</v>
      </c>
      <c r="K24" s="9">
        <f>Table1[[#This Row], [NUM OF MEM]]*Table1[[#This Row], [TOTAL TIME TAKEN]]*_xlfn.XLOOKUP(Table1[[#This Row], [EXIT]],Sheet1!$A$70:$A$71,Sheet1!$B$70:$B$71)*(1+_xlfn.XLOOKUP(Table1[[#This Row], [EXIT]],Sheet1!$A$70:$A$71,Sheet1!$C$70:$C$71))</f>
        <v>1783631.9499999993</v>
      </c>
      <c r="L24" s="13" t="s">
        <v>61</v>
      </c>
      <c r="M24" s="4">
        <f>IF(Table1[[#This Row], [EQUIPMENT]]="YES",Sheet1!$C$44*(1+Sheet1!$D$44),0)</f>
        <v>0</v>
      </c>
      <c r="N24" s="4">
        <f>_xlfn.XLOOKUP(Table1[[#This Row], [ROOM]],Sheet1!$A$47:$A$66,Sheet1!$F$47:$F$66)</f>
        <v>18000000</v>
      </c>
      <c r="O24" s="9">
        <f>_xlfn.XLOOKUP(_xlfn.CONCAT(Table1[[#This Row], [TEAM]],Table1[[#This Row], [ROOM]]),'ROOM TIME'!$H$2:$H$121,'ROOM TIME'!$J$2:$J$121)</f>
        <v>40.9311111111111</v>
      </c>
      <c r="P24" s="9">
        <f>(INDEX(Sheet1!$X$48:$Z$67,MATCH(Table1[[#This Row], [ROOM]],Sheet1!$P$48:$P$67,0),MATCH(Table1[[#This Row], [WEAPON]],Sheet1!$X$47:$Z$47,0)))/Table1[[#This Row], [NUM OF MEM]]</f>
        <v>5.4000000000000012</v>
      </c>
      <c r="Q24" s="9">
        <f>Table1[[#This Row], [ROOM TIME]]+Table1[[#This Row], [GUARD TIME]]</f>
        <v>46.331111111111099</v>
      </c>
      <c r="R24" s="4">
        <f>Sheet1!$K$3*_xlfn.XLOOKUP(Table1[[#This Row], [DISGUISE]],Sheet1!$A$21:$A$23,Sheet1!$D$21:$D$23)</f>
        <v>66</v>
      </c>
      <c r="S24" s="9">
        <f>Table1[[#This Row], [TOTAL TIME]]-Table1[[#This Row], [TOTAL TIME TAKEN]]</f>
        <v>19.668888888888901</v>
      </c>
      <c r="T24" t="str">
        <f>IF(Table1[[#This Row], [TIME DIFFERENCE]]&gt;=0,"PASS","FAIL")</f>
        <v>PASS</v>
      </c>
      <c r="U24" s="9">
        <f>Table1[[#This Row], [TRC]]+Table1[[#This Row], [DRC]]+Table1[[#This Row], [WRC]]+Table1[[#This Row], [ERC]]+Table1[[#This Row], [EQRC]]</f>
        <v>7856981.9499999993</v>
      </c>
      <c r="V24" s="9">
        <f>Table1[[#This Row], [TOTAL COST]]+_xlfn.XLOOKUP(Table1[[#This Row], [TEAM]],Sheet1!$A$12:$A$17,Sheet1!$I$12:$I$17)</f>
        <v>8156419.4499999993</v>
      </c>
      <c r="W24" s="9">
        <f>Table1[[#This Row], [LOOT]]-Table1[[#This Row], [TOTAL COST]]</f>
        <v>10143018.050000001</v>
      </c>
      <c r="X24" s="9">
        <f>IF(Table1[[#This Row], [PASS/FAIL]]="FAIL",0,Table1[[#This Row], [PROFIT]])</f>
        <v>10143018.050000001</v>
      </c>
    </row>
    <row r="25" spans="1:24" ht="19.5" customHeight="1" x14ac:dyDescent="0.45">
      <c r="A25" t="s">
        <v>14</v>
      </c>
      <c r="B25" s="14">
        <f>_xlfn.XLOOKUP(Table1[[#This Row], [TEAM]],Sheet1!$A$12:$A$17,Sheet1!$F$12:$F$17)</f>
        <v>2</v>
      </c>
      <c r="C25" s="14">
        <f>_xlfn.XLOOKUP(Table1[[#This Row], [TEAM]],Sheet1!$A$12:$A$17,Sheet1!$G$12:$G$17)</f>
        <v>5949600</v>
      </c>
      <c r="D25" t="s">
        <v>32</v>
      </c>
      <c r="E25" s="4">
        <f>_xlfn.XLOOKUP(Table1[[#This Row], [ROOM]],Sheet1!$A$47:$A$66,Sheet1!$B$47:$B$66)</f>
        <v>346</v>
      </c>
      <c r="F25" t="s">
        <v>58</v>
      </c>
      <c r="G25" s="4">
        <f>_xlfn.XLOOKUP(Table1[[#This Row], [DISGUISE]],Sheet1!$A$21:$A$23,Sheet1!$B$21:$B$23)*Table1[[#This Row], [NUM OF MEM]]*(1+_xlfn.XLOOKUP(Table1[[#This Row], [DISGUISE]],Sheet1!$A$21:$A$23,Sheet1!$C$21:$C$23))</f>
        <v>25600</v>
      </c>
      <c r="H25" s="13" t="s">
        <v>63</v>
      </c>
      <c r="I25" s="4">
        <f>_xlfn.XLOOKUP(Table1[[#This Row], [WEAPON]],Sheet1!$A$27:$A$29,Sheet1!$B$27:$B$29)*Table1[[#This Row], [NUM OF MEM]]*(1+_xlfn.XLOOKUP(Table1[[#This Row], [WEAPON]],Sheet1!$A$27:$A$29,Sheet1!$C$27:$C$29))</f>
        <v>46000</v>
      </c>
      <c r="J25" t="s">
        <v>64</v>
      </c>
      <c r="K25" s="9">
        <f>Table1[[#This Row], [NUM OF MEM]]*Table1[[#This Row], [TOTAL TIME TAKEN]]*_xlfn.XLOOKUP(Table1[[#This Row], [EXIT]],Sheet1!$A$70:$A$71,Sheet1!$B$70:$B$71)*(1+_xlfn.XLOOKUP(Table1[[#This Row], [EXIT]],Sheet1!$A$70:$A$71,Sheet1!$C$70:$C$71))</f>
        <v>1728377.9999999998</v>
      </c>
      <c r="L25" s="13" t="s">
        <v>65</v>
      </c>
      <c r="M25" s="4">
        <f>IF(Table1[[#This Row], [EQUIPMENT]]="YES",Sheet1!$C$44*(1+Sheet1!$D$44),0)</f>
        <v>307500</v>
      </c>
      <c r="N25" s="4">
        <f>_xlfn.XLOOKUP(Table1[[#This Row], [ROOM]],Sheet1!$A$47:$A$66,Sheet1!$F$47:$F$66)</f>
        <v>18200000</v>
      </c>
      <c r="O25" s="9">
        <f>_xlfn.XLOOKUP(_xlfn.CONCAT(Table1[[#This Row], [TEAM]],Table1[[#This Row], [ROOM]]),'ROOM TIME'!$H$2:$H$121,'ROOM TIME'!$J$2:$J$121)</f>
        <v>57.906249999999986</v>
      </c>
      <c r="P25" s="9">
        <f>(INDEX(Sheet1!$X$48:$Z$67,MATCH(Table1[[#This Row], [ROOM]],Sheet1!$P$48:$P$67,0),MATCH(Table1[[#This Row], [WEAPON]],Sheet1!$X$47:$Z$47,0)))/Table1[[#This Row], [NUM OF MEM]]</f>
        <v>8.7750000000000004</v>
      </c>
      <c r="Q25" s="9">
        <f>Table1[[#This Row], [ROOM TIME]]+Table1[[#This Row], [GUARD TIME]]</f>
        <v>66.681249999999991</v>
      </c>
      <c r="R25" s="4">
        <f>Sheet1!$K$3*_xlfn.XLOOKUP(Table1[[#This Row], [DISGUISE]],Sheet1!$A$21:$A$23,Sheet1!$D$21:$D$23)</f>
        <v>69</v>
      </c>
      <c r="S25" s="9">
        <f>Table1[[#This Row], [TOTAL TIME]]-Table1[[#This Row], [TOTAL TIME TAKEN]]</f>
        <v>2.3187500000000085</v>
      </c>
      <c r="T25" t="str">
        <f>IF(Table1[[#This Row], [TIME DIFFERENCE]]&gt;=0,"PASS","FAIL")</f>
        <v>PASS</v>
      </c>
      <c r="U25" s="4">
        <f>Table1[[#This Row], [TRC]]+Table1[[#This Row], [DRC]]+Table1[[#This Row], [WRC]]+Table1[[#This Row], [ERC]]+Table1[[#This Row], [EQRC]]</f>
        <v>8057078</v>
      </c>
      <c r="V25" s="4">
        <f>Table1[[#This Row], [TOTAL COST]]+_xlfn.XLOOKUP(Table1[[#This Row], [TEAM]],Sheet1!$A$12:$A$17,Sheet1!$I$12:$I$17)</f>
        <v>8354558</v>
      </c>
      <c r="W25" s="4">
        <f>Table1[[#This Row], [LOOT]]-Table1[[#This Row], [TOTAL COST]]</f>
        <v>10142922</v>
      </c>
      <c r="X25" s="4">
        <f>IF(Table1[[#This Row], [PASS/FAIL]]="FAIL",0,Table1[[#This Row], [PROFIT]])</f>
        <v>10142922</v>
      </c>
    </row>
    <row r="26" spans="1:24" ht="19.5" customHeight="1" x14ac:dyDescent="0.45">
      <c r="A26" t="s">
        <v>15</v>
      </c>
      <c r="B26" s="14">
        <f>_xlfn.XLOOKUP(Table1[[#This Row], [TEAM]],Sheet1!$A$12:$A$17,Sheet1!$F$12:$F$17)</f>
        <v>2</v>
      </c>
      <c r="C26" s="14">
        <f>_xlfn.XLOOKUP(Table1[[#This Row], [TEAM]],Sheet1!$A$12:$A$17,Sheet1!$G$12:$G$17)</f>
        <v>5932950</v>
      </c>
      <c r="D26" t="s">
        <v>32</v>
      </c>
      <c r="E26" s="4">
        <f>_xlfn.XLOOKUP(Table1[[#This Row], [ROOM]],Sheet1!$A$47:$A$66,Sheet1!$B$47:$B$66)</f>
        <v>346</v>
      </c>
      <c r="F26" t="s">
        <v>58</v>
      </c>
      <c r="G26" s="4">
        <f>_xlfn.XLOOKUP(Table1[[#This Row], [DISGUISE]],Sheet1!$A$21:$A$23,Sheet1!$B$21:$B$23)*Table1[[#This Row], [NUM OF MEM]]*(1+_xlfn.XLOOKUP(Table1[[#This Row], [DISGUISE]],Sheet1!$A$21:$A$23,Sheet1!$C$21:$C$23))</f>
        <v>25600</v>
      </c>
      <c r="H26" s="13" t="s">
        <v>63</v>
      </c>
      <c r="I26" s="4">
        <f>_xlfn.XLOOKUP(Table1[[#This Row], [WEAPON]],Sheet1!$A$27:$A$29,Sheet1!$B$27:$B$29)*Table1[[#This Row], [NUM OF MEM]]*(1+_xlfn.XLOOKUP(Table1[[#This Row], [WEAPON]],Sheet1!$A$27:$A$29,Sheet1!$C$27:$C$29))</f>
        <v>46000</v>
      </c>
      <c r="J26" t="s">
        <v>64</v>
      </c>
      <c r="K26" s="9">
        <f>Table1[[#This Row], [NUM OF MEM]]*Table1[[#This Row], [TOTAL TIME TAKEN]]*_xlfn.XLOOKUP(Table1[[#This Row], [EXIT]],Sheet1!$A$70:$A$71,Sheet1!$B$70:$B$71)*(1+_xlfn.XLOOKUP(Table1[[#This Row], [EXIT]],Sheet1!$A$70:$A$71,Sheet1!$C$70:$C$71))</f>
        <v>1745225.9999999993</v>
      </c>
      <c r="L26" s="13" t="s">
        <v>65</v>
      </c>
      <c r="M26" s="4">
        <f>IF(Table1[[#This Row], [EQUIPMENT]]="YES",Sheet1!$C$44*(1+Sheet1!$D$44),0)</f>
        <v>307500</v>
      </c>
      <c r="N26" s="4">
        <f>_xlfn.XLOOKUP(Table1[[#This Row], [ROOM]],Sheet1!$A$47:$A$66,Sheet1!$F$47:$F$66)</f>
        <v>18200000</v>
      </c>
      <c r="O26" s="9">
        <f>_xlfn.XLOOKUP(_xlfn.CONCAT(Table1[[#This Row], [TEAM]],Table1[[#This Row], [ROOM]]),'ROOM TIME'!$H$2:$H$121,'ROOM TIME'!$J$2:$J$121)</f>
        <v>58.556249999999977</v>
      </c>
      <c r="P26" s="9">
        <f>(INDEX(Sheet1!$X$48:$Z$67,MATCH(Table1[[#This Row], [ROOM]],Sheet1!$P$48:$P$67,0),MATCH(Table1[[#This Row], [WEAPON]],Sheet1!$X$47:$Z$47,0)))/Table1[[#This Row], [NUM OF MEM]]</f>
        <v>8.7750000000000004</v>
      </c>
      <c r="Q26" s="9">
        <f>Table1[[#This Row], [ROOM TIME]]+Table1[[#This Row], [GUARD TIME]]</f>
        <v>67.331249999999983</v>
      </c>
      <c r="R26" s="4">
        <f>Sheet1!$K$3*_xlfn.XLOOKUP(Table1[[#This Row], [DISGUISE]],Sheet1!$A$21:$A$23,Sheet1!$D$21:$D$23)</f>
        <v>69</v>
      </c>
      <c r="S26" s="9">
        <f>Table1[[#This Row], [TOTAL TIME]]-Table1[[#This Row], [TOTAL TIME TAKEN]]</f>
        <v>1.6687500000000171</v>
      </c>
      <c r="T26" t="str">
        <f>IF(Table1[[#This Row], [TIME DIFFERENCE]]&gt;=0,"PASS","FAIL")</f>
        <v>PASS</v>
      </c>
      <c r="U26" s="9">
        <f>Table1[[#This Row], [TRC]]+Table1[[#This Row], [DRC]]+Table1[[#This Row], [WRC]]+Table1[[#This Row], [ERC]]+Table1[[#This Row], [EQRC]]</f>
        <v>8057275.9999999991</v>
      </c>
      <c r="V26" s="9">
        <f>Table1[[#This Row], [TOTAL COST]]+_xlfn.XLOOKUP(Table1[[#This Row], [TEAM]],Sheet1!$A$12:$A$17,Sheet1!$I$12:$I$17)</f>
        <v>8353923.4999999991</v>
      </c>
      <c r="W26" s="4">
        <f>Table1[[#This Row], [LOOT]]-Table1[[#This Row], [TOTAL COST]]</f>
        <v>10142724</v>
      </c>
      <c r="X26" s="4">
        <f>IF(Table1[[#This Row], [PASS/FAIL]]="FAIL",0,Table1[[#This Row], [PROFIT]])</f>
        <v>10142724</v>
      </c>
    </row>
    <row r="27" spans="1:24" ht="19.5" customHeight="1" x14ac:dyDescent="0.45">
      <c r="A27" t="s">
        <v>15</v>
      </c>
      <c r="B27" s="14">
        <f>_xlfn.XLOOKUP(Table1[[#This Row], [TEAM]],Sheet1!$A$12:$A$17,Sheet1!$F$12:$F$17)</f>
        <v>2</v>
      </c>
      <c r="C27" s="14">
        <f>_xlfn.XLOOKUP(Table1[[#This Row], [TEAM]],Sheet1!$A$12:$A$17,Sheet1!$G$12:$G$17)</f>
        <v>5932950</v>
      </c>
      <c r="D27" t="s">
        <v>19</v>
      </c>
      <c r="E27" s="4">
        <f>_xlfn.XLOOKUP(Table1[[#This Row], [ROOM]],Sheet1!$A$47:$A$66,Sheet1!$B$47:$B$66)</f>
        <v>135</v>
      </c>
      <c r="F27" t="s">
        <v>58</v>
      </c>
      <c r="G27" s="4">
        <f>_xlfn.XLOOKUP(Table1[[#This Row], [DISGUISE]],Sheet1!$A$21:$A$23,Sheet1!$B$21:$B$23)*Table1[[#This Row], [NUM OF MEM]]*(1+_xlfn.XLOOKUP(Table1[[#This Row], [DISGUISE]],Sheet1!$A$21:$A$23,Sheet1!$C$21:$C$23))</f>
        <v>25600</v>
      </c>
      <c r="H27" s="13" t="s">
        <v>66</v>
      </c>
      <c r="I27" s="4">
        <f>_xlfn.XLOOKUP(Table1[[#This Row], [WEAPON]],Sheet1!$A$27:$A$29,Sheet1!$B$27:$B$29)*Table1[[#This Row], [NUM OF MEM]]*(1+_xlfn.XLOOKUP(Table1[[#This Row], [WEAPON]],Sheet1!$A$27:$A$29,Sheet1!$C$27:$C$29))</f>
        <v>72000</v>
      </c>
      <c r="J27" t="s">
        <v>64</v>
      </c>
      <c r="K27" s="9">
        <f>Table1[[#This Row], [NUM OF MEM]]*Table1[[#This Row], [TOTAL TIME TAKEN]]*_xlfn.XLOOKUP(Table1[[#This Row], [EXIT]],Sheet1!$A$70:$A$71,Sheet1!$B$70:$B$71)*(1+_xlfn.XLOOKUP(Table1[[#This Row], [EXIT]],Sheet1!$A$70:$A$71,Sheet1!$C$70:$C$71))</f>
        <v>1779667.199999999</v>
      </c>
      <c r="L27" s="13" t="s">
        <v>61</v>
      </c>
      <c r="M27" s="4">
        <f>IF(Table1[[#This Row], [EQUIPMENT]]="YES",Sheet1!$C$44*(1+Sheet1!$D$44),0)</f>
        <v>0</v>
      </c>
      <c r="N27" s="4">
        <f>_xlfn.XLOOKUP(Table1[[#This Row], [ROOM]],Sheet1!$A$47:$A$66,Sheet1!$F$47:$F$66)</f>
        <v>17950000</v>
      </c>
      <c r="O27" s="9">
        <f>_xlfn.XLOOKUP(_xlfn.CONCAT(Table1[[#This Row], [TEAM]],Table1[[#This Row], [ROOM]]),'ROOM TIME'!$H$2:$H$121,'ROOM TIME'!$J$2:$J$121)</f>
        <v>61.784999999999975</v>
      </c>
      <c r="P27" s="9">
        <f>(INDEX(Sheet1!$X$48:$Z$67,MATCH(Table1[[#This Row], [ROOM]],Sheet1!$P$48:$P$67,0),MATCH(Table1[[#This Row], [WEAPON]],Sheet1!$X$47:$Z$47,0)))/Table1[[#This Row], [NUM OF MEM]]</f>
        <v>6.875</v>
      </c>
      <c r="Q27" s="9">
        <f>Table1[[#This Row], [ROOM TIME]]+Table1[[#This Row], [GUARD TIME]]</f>
        <v>68.659999999999968</v>
      </c>
      <c r="R27" s="4">
        <f>Sheet1!$K$3*_xlfn.XLOOKUP(Table1[[#This Row], [DISGUISE]],Sheet1!$A$21:$A$23,Sheet1!$D$21:$D$23)</f>
        <v>69</v>
      </c>
      <c r="S27" s="9">
        <f>Table1[[#This Row], [TOTAL TIME]]-Table1[[#This Row], [TOTAL TIME TAKEN]]</f>
        <v>0.34000000000003183</v>
      </c>
      <c r="T27" t="str">
        <f>IF(Table1[[#This Row], [TIME DIFFERENCE]]&gt;=0,"PASS","FAIL")</f>
        <v>PASS</v>
      </c>
      <c r="U27" s="9">
        <f>Table1[[#This Row], [TRC]]+Table1[[#This Row], [DRC]]+Table1[[#This Row], [WRC]]+Table1[[#This Row], [ERC]]+Table1[[#This Row], [EQRC]]</f>
        <v>7810217.1999999993</v>
      </c>
      <c r="V27" s="9">
        <f>Table1[[#This Row], [TOTAL COST]]+_xlfn.XLOOKUP(Table1[[#This Row], [TEAM]],Sheet1!$A$12:$A$17,Sheet1!$I$12:$I$17)</f>
        <v>8106864.6999999993</v>
      </c>
      <c r="W27" s="9">
        <f>Table1[[#This Row], [LOOT]]-Table1[[#This Row], [TOTAL COST]]</f>
        <v>10139782.800000001</v>
      </c>
      <c r="X27" s="9">
        <f>IF(Table1[[#This Row], [PASS/FAIL]]="FAIL",0,Table1[[#This Row], [PROFIT]])</f>
        <v>10139782.800000001</v>
      </c>
    </row>
    <row r="28" spans="1:24" ht="19.5" customHeight="1" x14ac:dyDescent="0.45">
      <c r="A28" t="s">
        <v>13</v>
      </c>
      <c r="B28" s="14">
        <f>_xlfn.XLOOKUP(Table1[[#This Row], [TEAM]],Sheet1!$A$12:$A$17,Sheet1!$F$12:$F$17)</f>
        <v>3</v>
      </c>
      <c r="C28" s="14">
        <f>_xlfn.XLOOKUP(Table1[[#This Row], [TEAM]],Sheet1!$A$12:$A$17,Sheet1!$G$12:$G$17)</f>
        <v>5930000</v>
      </c>
      <c r="D28" t="s">
        <v>24</v>
      </c>
      <c r="E28" s="4">
        <f>_xlfn.XLOOKUP(Table1[[#This Row], [ROOM]],Sheet1!$A$47:$A$66,Sheet1!$B$47:$B$66)</f>
        <v>345</v>
      </c>
      <c r="F28" t="s">
        <v>62</v>
      </c>
      <c r="G28" s="4">
        <f>_xlfn.XLOOKUP(Table1[[#This Row], [DISGUISE]],Sheet1!$A$21:$A$23,Sheet1!$B$21:$B$23)*Table1[[#This Row], [NUM OF MEM]]*(1+_xlfn.XLOOKUP(Table1[[#This Row], [DISGUISE]],Sheet1!$A$21:$A$23,Sheet1!$C$21:$C$23))</f>
        <v>15600</v>
      </c>
      <c r="H28" s="13" t="s">
        <v>63</v>
      </c>
      <c r="I28" s="4">
        <f>_xlfn.XLOOKUP(Table1[[#This Row], [WEAPON]],Sheet1!$A$27:$A$29,Sheet1!$B$27:$B$29)*Table1[[#This Row], [NUM OF MEM]]*(1+_xlfn.XLOOKUP(Table1[[#This Row], [WEAPON]],Sheet1!$A$27:$A$29,Sheet1!$C$27:$C$29))</f>
        <v>69000</v>
      </c>
      <c r="J28" t="s">
        <v>60</v>
      </c>
      <c r="K28" s="9">
        <f>Table1[[#This Row], [NUM OF MEM]]*Table1[[#This Row], [TOTAL TIME TAKEN]]*_xlfn.XLOOKUP(Table1[[#This Row], [EXIT]],Sheet1!$A$70:$A$71,Sheet1!$B$70:$B$71)*(1+_xlfn.XLOOKUP(Table1[[#This Row], [EXIT]],Sheet1!$A$70:$A$71,Sheet1!$C$70:$C$71))</f>
        <v>1847409.4749999996</v>
      </c>
      <c r="L28" s="13" t="s">
        <v>61</v>
      </c>
      <c r="M28" s="4">
        <f>IF(Table1[[#This Row], [EQUIPMENT]]="YES",Sheet1!$C$44*(1+Sheet1!$D$44),0)</f>
        <v>0</v>
      </c>
      <c r="N28" s="4">
        <f>_xlfn.XLOOKUP(Table1[[#This Row], [ROOM]],Sheet1!$A$47:$A$66,Sheet1!$F$47:$F$66)</f>
        <v>18000000</v>
      </c>
      <c r="O28" s="9">
        <f>_xlfn.XLOOKUP(_xlfn.CONCAT(Table1[[#This Row], [TEAM]],Table1[[#This Row], [ROOM]]),'ROOM TIME'!$H$2:$H$121,'ROOM TIME'!$J$2:$J$121)</f>
        <v>42.587777777777774</v>
      </c>
      <c r="P28" s="9">
        <f>(INDEX(Sheet1!$X$48:$Z$67,MATCH(Table1[[#This Row], [ROOM]],Sheet1!$P$48:$P$67,0),MATCH(Table1[[#This Row], [WEAPON]],Sheet1!$X$47:$Z$47,0)))/Table1[[#This Row], [NUM OF MEM]]</f>
        <v>5.4000000000000012</v>
      </c>
      <c r="Q28" s="9">
        <f>Table1[[#This Row], [ROOM TIME]]+Table1[[#This Row], [GUARD TIME]]</f>
        <v>47.987777777777772</v>
      </c>
      <c r="R28" s="4">
        <f>Sheet1!$K$3*_xlfn.XLOOKUP(Table1[[#This Row], [DISGUISE]],Sheet1!$A$21:$A$23,Sheet1!$D$21:$D$23)</f>
        <v>66</v>
      </c>
      <c r="S28" s="9">
        <f>Table1[[#This Row], [TOTAL TIME]]-Table1[[#This Row], [TOTAL TIME TAKEN]]</f>
        <v>18.012222222222228</v>
      </c>
      <c r="T28" t="str">
        <f>IF(Table1[[#This Row], [TIME DIFFERENCE]]&gt;=0,"PASS","FAIL")</f>
        <v>PASS</v>
      </c>
      <c r="U28" s="9">
        <f>Table1[[#This Row], [TRC]]+Table1[[#This Row], [DRC]]+Table1[[#This Row], [WRC]]+Table1[[#This Row], [ERC]]+Table1[[#This Row], [EQRC]]</f>
        <v>7862009.4749999996</v>
      </c>
      <c r="V28" s="9">
        <f>Table1[[#This Row], [TOTAL COST]]+_xlfn.XLOOKUP(Table1[[#This Row], [TEAM]],Sheet1!$A$12:$A$17,Sheet1!$I$12:$I$17)</f>
        <v>8158509.4749999996</v>
      </c>
      <c r="W28" s="9">
        <f>Table1[[#This Row], [LOOT]]-Table1[[#This Row], [TOTAL COST]]</f>
        <v>10137990.525</v>
      </c>
      <c r="X28" s="9">
        <f>IF(Table1[[#This Row], [PASS/FAIL]]="FAIL",0,Table1[[#This Row], [PROFIT]])</f>
        <v>10137990.525</v>
      </c>
    </row>
    <row r="29" spans="1:24" ht="19.5" customHeight="1" x14ac:dyDescent="0.45">
      <c r="A29" t="s">
        <v>12</v>
      </c>
      <c r="B29" s="14">
        <f>_xlfn.XLOOKUP(Table1[[#This Row], [TEAM]],Sheet1!$A$12:$A$17,Sheet1!$F$12:$F$17)</f>
        <v>3</v>
      </c>
      <c r="C29" s="14">
        <f>_xlfn.XLOOKUP(Table1[[#This Row], [TEAM]],Sheet1!$A$12:$A$17,Sheet1!$G$12:$G$17)</f>
        <v>5988750</v>
      </c>
      <c r="D29" t="s">
        <v>18</v>
      </c>
      <c r="E29" s="4">
        <f>_xlfn.XLOOKUP(Table1[[#This Row], [ROOM]],Sheet1!$A$47:$A$66,Sheet1!$B$47:$B$66)</f>
        <v>134</v>
      </c>
      <c r="F29" t="s">
        <v>62</v>
      </c>
      <c r="G29" s="4">
        <f>_xlfn.XLOOKUP(Table1[[#This Row], [DISGUISE]],Sheet1!$A$21:$A$23,Sheet1!$B$21:$B$23)*Table1[[#This Row], [NUM OF MEM]]*(1+_xlfn.XLOOKUP(Table1[[#This Row], [DISGUISE]],Sheet1!$A$21:$A$23,Sheet1!$C$21:$C$23))</f>
        <v>15600</v>
      </c>
      <c r="H29" s="13" t="s">
        <v>59</v>
      </c>
      <c r="I29" s="4">
        <f>_xlfn.XLOOKUP(Table1[[#This Row], [WEAPON]],Sheet1!$A$27:$A$29,Sheet1!$B$27:$B$29)*Table1[[#This Row], [NUM OF MEM]]*(1+_xlfn.XLOOKUP(Table1[[#This Row], [WEAPON]],Sheet1!$A$27:$A$29,Sheet1!$C$27:$C$29))</f>
        <v>136500</v>
      </c>
      <c r="J29" t="s">
        <v>60</v>
      </c>
      <c r="K29" s="9">
        <f>Table1[[#This Row], [NUM OF MEM]]*Table1[[#This Row], [TOTAL TIME TAKEN]]*_xlfn.XLOOKUP(Table1[[#This Row], [EXIT]],Sheet1!$A$70:$A$71,Sheet1!$B$70:$B$71)*(1+_xlfn.XLOOKUP(Table1[[#This Row], [EXIT]],Sheet1!$A$70:$A$71,Sheet1!$C$70:$C$71))</f>
        <v>1771612.1749999996</v>
      </c>
      <c r="L29" s="13" t="s">
        <v>61</v>
      </c>
      <c r="M29" s="4">
        <f>IF(Table1[[#This Row], [EQUIPMENT]]="YES",Sheet1!$C$44*(1+Sheet1!$D$44),0)</f>
        <v>0</v>
      </c>
      <c r="N29" s="4">
        <f>_xlfn.XLOOKUP(Table1[[#This Row], [ROOM]],Sheet1!$A$47:$A$66,Sheet1!$F$47:$F$66)</f>
        <v>18050000</v>
      </c>
      <c r="O29" s="9">
        <f>_xlfn.XLOOKUP(_xlfn.CONCAT(Table1[[#This Row], [TEAM]],Table1[[#This Row], [ROOM]]),'ROOM TIME'!$H$2:$H$121,'ROOM TIME'!$J$2:$J$121)</f>
        <v>41.41888888888888</v>
      </c>
      <c r="P29" s="9">
        <f>(INDEX(Sheet1!$X$48:$Z$67,MATCH(Table1[[#This Row], [ROOM]],Sheet1!$P$48:$P$67,0),MATCH(Table1[[#This Row], [WEAPON]],Sheet1!$X$47:$Z$47,0)))/Table1[[#This Row], [NUM OF MEM]]</f>
        <v>4.5999999999999996</v>
      </c>
      <c r="Q29" s="9">
        <f>Table1[[#This Row], [ROOM TIME]]+Table1[[#This Row], [GUARD TIME]]</f>
        <v>46.018888888888881</v>
      </c>
      <c r="R29" s="4">
        <f>Sheet1!$K$3*_xlfn.XLOOKUP(Table1[[#This Row], [DISGUISE]],Sheet1!$A$21:$A$23,Sheet1!$D$21:$D$23)</f>
        <v>66</v>
      </c>
      <c r="S29" s="9">
        <f>Table1[[#This Row], [TOTAL TIME]]-Table1[[#This Row], [TOTAL TIME TAKEN]]</f>
        <v>19.981111111111119</v>
      </c>
      <c r="T29" t="str">
        <f>IF(Table1[[#This Row], [TIME DIFFERENCE]]&gt;=0,"PASS","FAIL")</f>
        <v>PASS</v>
      </c>
      <c r="U29" s="9">
        <f>Table1[[#This Row], [TRC]]+Table1[[#This Row], [DRC]]+Table1[[#This Row], [WRC]]+Table1[[#This Row], [ERC]]+Table1[[#This Row], [EQRC]]</f>
        <v>7912462.1749999998</v>
      </c>
      <c r="V29" s="9">
        <f>Table1[[#This Row], [TOTAL COST]]+_xlfn.XLOOKUP(Table1[[#This Row], [TEAM]],Sheet1!$A$12:$A$17,Sheet1!$I$12:$I$17)</f>
        <v>8211899.6749999998</v>
      </c>
      <c r="W29" s="9">
        <f>Table1[[#This Row], [LOOT]]-Table1[[#This Row], [TOTAL COST]]</f>
        <v>10137537.824999999</v>
      </c>
      <c r="X29" s="9">
        <f>IF(Table1[[#This Row], [PASS/FAIL]]="FAIL",0,Table1[[#This Row], [PROFIT]])</f>
        <v>10137537.824999999</v>
      </c>
    </row>
    <row r="30" spans="1:24" ht="19.5" customHeight="1" x14ac:dyDescent="0.45">
      <c r="A30" t="s">
        <v>15</v>
      </c>
      <c r="B30" s="14">
        <f>_xlfn.XLOOKUP(Table1[[#This Row], [TEAM]],Sheet1!$A$12:$A$17,Sheet1!$F$12:$F$17)</f>
        <v>2</v>
      </c>
      <c r="C30" s="14">
        <f>_xlfn.XLOOKUP(Table1[[#This Row], [TEAM]],Sheet1!$A$12:$A$17,Sheet1!$G$12:$G$17)</f>
        <v>5932950</v>
      </c>
      <c r="D30" t="s">
        <v>19</v>
      </c>
      <c r="E30" s="4">
        <f>_xlfn.XLOOKUP(Table1[[#This Row], [ROOM]],Sheet1!$A$47:$A$66,Sheet1!$B$47:$B$66)</f>
        <v>135</v>
      </c>
      <c r="F30" t="s">
        <v>58</v>
      </c>
      <c r="G30" s="4">
        <f>_xlfn.XLOOKUP(Table1[[#This Row], [DISGUISE]],Sheet1!$A$21:$A$23,Sheet1!$B$21:$B$23)*Table1[[#This Row], [NUM OF MEM]]*(1+_xlfn.XLOOKUP(Table1[[#This Row], [DISGUISE]],Sheet1!$A$21:$A$23,Sheet1!$C$21:$C$23))</f>
        <v>25600</v>
      </c>
      <c r="H30" s="13" t="s">
        <v>59</v>
      </c>
      <c r="I30" s="4">
        <f>_xlfn.XLOOKUP(Table1[[#This Row], [WEAPON]],Sheet1!$A$27:$A$29,Sheet1!$B$27:$B$29)*Table1[[#This Row], [NUM OF MEM]]*(1+_xlfn.XLOOKUP(Table1[[#This Row], [WEAPON]],Sheet1!$A$27:$A$29,Sheet1!$C$27:$C$29))</f>
        <v>91000</v>
      </c>
      <c r="J30" t="s">
        <v>64</v>
      </c>
      <c r="K30" s="9">
        <f>Table1[[#This Row], [NUM OF MEM]]*Table1[[#This Row], [TOTAL TIME TAKEN]]*_xlfn.XLOOKUP(Table1[[#This Row], [EXIT]],Sheet1!$A$70:$A$71,Sheet1!$B$70:$B$71)*(1+_xlfn.XLOOKUP(Table1[[#This Row], [EXIT]],Sheet1!$A$70:$A$71,Sheet1!$C$70:$C$71))</f>
        <v>1765411.199999999</v>
      </c>
      <c r="L30" s="13" t="s">
        <v>61</v>
      </c>
      <c r="M30" s="4">
        <f>IF(Table1[[#This Row], [EQUIPMENT]]="YES",Sheet1!$C$44*(1+Sheet1!$D$44),0)</f>
        <v>0</v>
      </c>
      <c r="N30" s="4">
        <f>_xlfn.XLOOKUP(Table1[[#This Row], [ROOM]],Sheet1!$A$47:$A$66,Sheet1!$F$47:$F$66)</f>
        <v>17950000</v>
      </c>
      <c r="O30" s="9">
        <f>_xlfn.XLOOKUP(_xlfn.CONCAT(Table1[[#This Row], [TEAM]],Table1[[#This Row], [ROOM]]),'ROOM TIME'!$H$2:$H$121,'ROOM TIME'!$J$2:$J$121)</f>
        <v>61.784999999999975</v>
      </c>
      <c r="P30" s="9">
        <f>(INDEX(Sheet1!$X$48:$Z$67,MATCH(Table1[[#This Row], [ROOM]],Sheet1!$P$48:$P$67,0),MATCH(Table1[[#This Row], [WEAPON]],Sheet1!$X$47:$Z$47,0)))/Table1[[#This Row], [NUM OF MEM]]</f>
        <v>6.3249999999999993</v>
      </c>
      <c r="Q30" s="9">
        <f>Table1[[#This Row], [ROOM TIME]]+Table1[[#This Row], [GUARD TIME]]</f>
        <v>68.109999999999971</v>
      </c>
      <c r="R30" s="4">
        <f>Sheet1!$K$3*_xlfn.XLOOKUP(Table1[[#This Row], [DISGUISE]],Sheet1!$A$21:$A$23,Sheet1!$D$21:$D$23)</f>
        <v>69</v>
      </c>
      <c r="S30" s="9">
        <f>Table1[[#This Row], [TOTAL TIME]]-Table1[[#This Row], [TOTAL TIME TAKEN]]</f>
        <v>0.89000000000002899</v>
      </c>
      <c r="T30" t="str">
        <f>IF(Table1[[#This Row], [TIME DIFFERENCE]]&gt;=0,"PASS","FAIL")</f>
        <v>PASS</v>
      </c>
      <c r="U30" s="9">
        <f>Table1[[#This Row], [TRC]]+Table1[[#This Row], [DRC]]+Table1[[#This Row], [WRC]]+Table1[[#This Row], [ERC]]+Table1[[#This Row], [EQRC]]</f>
        <v>7814961.1999999993</v>
      </c>
      <c r="V30" s="9">
        <f>Table1[[#This Row], [TOTAL COST]]+_xlfn.XLOOKUP(Table1[[#This Row], [TEAM]],Sheet1!$A$12:$A$17,Sheet1!$I$12:$I$17)</f>
        <v>8111608.6999999993</v>
      </c>
      <c r="W30" s="9">
        <f>Table1[[#This Row], [LOOT]]-Table1[[#This Row], [TOTAL COST]]</f>
        <v>10135038.800000001</v>
      </c>
      <c r="X30" s="9">
        <f>IF(Table1[[#This Row], [PASS/FAIL]]="FAIL",0,Table1[[#This Row], [PROFIT]])</f>
        <v>10135038.800000001</v>
      </c>
    </row>
    <row r="31" spans="1:24" ht="19.5" customHeight="1" x14ac:dyDescent="0.45">
      <c r="A31" t="s">
        <v>13</v>
      </c>
      <c r="B31" s="14">
        <f>_xlfn.XLOOKUP(Table1[[#This Row], [TEAM]],Sheet1!$A$12:$A$17,Sheet1!$F$12:$F$17)</f>
        <v>3</v>
      </c>
      <c r="C31" s="14">
        <f>_xlfn.XLOOKUP(Table1[[#This Row], [TEAM]],Sheet1!$A$12:$A$17,Sheet1!$G$12:$G$17)</f>
        <v>5930000</v>
      </c>
      <c r="D31" t="s">
        <v>18</v>
      </c>
      <c r="E31" s="4">
        <f>_xlfn.XLOOKUP(Table1[[#This Row], [ROOM]],Sheet1!$A$47:$A$66,Sheet1!$B$47:$B$66)</f>
        <v>134</v>
      </c>
      <c r="F31" t="s">
        <v>62</v>
      </c>
      <c r="G31" s="4">
        <f>_xlfn.XLOOKUP(Table1[[#This Row], [DISGUISE]],Sheet1!$A$21:$A$23,Sheet1!$B$21:$B$23)*Table1[[#This Row], [NUM OF MEM]]*(1+_xlfn.XLOOKUP(Table1[[#This Row], [DISGUISE]],Sheet1!$A$21:$A$23,Sheet1!$C$21:$C$23))</f>
        <v>15600</v>
      </c>
      <c r="H31" s="13" t="s">
        <v>59</v>
      </c>
      <c r="I31" s="4">
        <f>_xlfn.XLOOKUP(Table1[[#This Row], [WEAPON]],Sheet1!$A$27:$A$29,Sheet1!$B$27:$B$29)*Table1[[#This Row], [NUM OF MEM]]*(1+_xlfn.XLOOKUP(Table1[[#This Row], [WEAPON]],Sheet1!$A$27:$A$29,Sheet1!$C$27:$C$29))</f>
        <v>136500</v>
      </c>
      <c r="J31" t="s">
        <v>60</v>
      </c>
      <c r="K31" s="9">
        <f>Table1[[#This Row], [NUM OF MEM]]*Table1[[#This Row], [TOTAL TIME TAKEN]]*_xlfn.XLOOKUP(Table1[[#This Row], [EXIT]],Sheet1!$A$70:$A$71,Sheet1!$B$70:$B$71)*(1+_xlfn.XLOOKUP(Table1[[#This Row], [EXIT]],Sheet1!$A$70:$A$71,Sheet1!$C$70:$C$71))</f>
        <v>1833657.3124999995</v>
      </c>
      <c r="L31" s="13" t="s">
        <v>61</v>
      </c>
      <c r="M31" s="4">
        <f>IF(Table1[[#This Row], [EQUIPMENT]]="YES",Sheet1!$C$44*(1+Sheet1!$D$44),0)</f>
        <v>0</v>
      </c>
      <c r="N31" s="4">
        <f>_xlfn.XLOOKUP(Table1[[#This Row], [ROOM]],Sheet1!$A$47:$A$66,Sheet1!$F$47:$F$66)</f>
        <v>18050000</v>
      </c>
      <c r="O31" s="9">
        <f>_xlfn.XLOOKUP(_xlfn.CONCAT(Table1[[#This Row], [TEAM]],Table1[[#This Row], [ROOM]]),'ROOM TIME'!$H$2:$H$121,'ROOM TIME'!$J$2:$J$121)</f>
        <v>43.030555555555544</v>
      </c>
      <c r="P31" s="9">
        <f>(INDEX(Sheet1!$X$48:$Z$67,MATCH(Table1[[#This Row], [ROOM]],Sheet1!$P$48:$P$67,0),MATCH(Table1[[#This Row], [WEAPON]],Sheet1!$X$47:$Z$47,0)))/Table1[[#This Row], [NUM OF MEM]]</f>
        <v>4.5999999999999996</v>
      </c>
      <c r="Q31" s="9">
        <f>Table1[[#This Row], [ROOM TIME]]+Table1[[#This Row], [GUARD TIME]]</f>
        <v>47.630555555555546</v>
      </c>
      <c r="R31" s="4">
        <f>Sheet1!$K$3*_xlfn.XLOOKUP(Table1[[#This Row], [DISGUISE]],Sheet1!$A$21:$A$23,Sheet1!$D$21:$D$23)</f>
        <v>66</v>
      </c>
      <c r="S31" s="9">
        <f>Table1[[#This Row], [TOTAL TIME]]-Table1[[#This Row], [TOTAL TIME TAKEN]]</f>
        <v>18.369444444444454</v>
      </c>
      <c r="T31" t="str">
        <f>IF(Table1[[#This Row], [TIME DIFFERENCE]]&gt;=0,"PASS","FAIL")</f>
        <v>PASS</v>
      </c>
      <c r="U31" s="9">
        <f>Table1[[#This Row], [TRC]]+Table1[[#This Row], [DRC]]+Table1[[#This Row], [WRC]]+Table1[[#This Row], [ERC]]+Table1[[#This Row], [EQRC]]</f>
        <v>7915757.3125</v>
      </c>
      <c r="V31" s="9">
        <f>Table1[[#This Row], [TOTAL COST]]+_xlfn.XLOOKUP(Table1[[#This Row], [TEAM]],Sheet1!$A$12:$A$17,Sheet1!$I$12:$I$17)</f>
        <v>8212257.3125</v>
      </c>
      <c r="W31" s="9">
        <f>Table1[[#This Row], [LOOT]]-Table1[[#This Row], [TOTAL COST]]</f>
        <v>10134242.6875</v>
      </c>
      <c r="X31" s="9">
        <f>IF(Table1[[#This Row], [PASS/FAIL]]="FAIL",0,Table1[[#This Row], [PROFIT]])</f>
        <v>10134242.6875</v>
      </c>
    </row>
    <row r="32" spans="1:24" ht="19.5" customHeight="1" x14ac:dyDescent="0.45">
      <c r="A32" t="s">
        <v>14</v>
      </c>
      <c r="B32" s="14">
        <f>_xlfn.XLOOKUP(Table1[[#This Row], [TEAM]],Sheet1!$A$12:$A$17,Sheet1!$F$12:$F$17)</f>
        <v>2</v>
      </c>
      <c r="C32" s="14">
        <f>_xlfn.XLOOKUP(Table1[[#This Row], [TEAM]],Sheet1!$A$12:$A$17,Sheet1!$G$12:$G$17)</f>
        <v>5949600</v>
      </c>
      <c r="D32" t="s">
        <v>19</v>
      </c>
      <c r="E32" s="4">
        <f>_xlfn.XLOOKUP(Table1[[#This Row], [ROOM]],Sheet1!$A$47:$A$66,Sheet1!$B$47:$B$66)</f>
        <v>135</v>
      </c>
      <c r="F32" t="s">
        <v>58</v>
      </c>
      <c r="G32" s="4">
        <f>_xlfn.XLOOKUP(Table1[[#This Row], [DISGUISE]],Sheet1!$A$21:$A$23,Sheet1!$B$21:$B$23)*Table1[[#This Row], [NUM OF MEM]]*(1+_xlfn.XLOOKUP(Table1[[#This Row], [DISGUISE]],Sheet1!$A$21:$A$23,Sheet1!$C$21:$C$23))</f>
        <v>25600</v>
      </c>
      <c r="H32" s="13" t="s">
        <v>66</v>
      </c>
      <c r="I32" s="4">
        <f>_xlfn.XLOOKUP(Table1[[#This Row], [WEAPON]],Sheet1!$A$27:$A$29,Sheet1!$B$27:$B$29)*Table1[[#This Row], [NUM OF MEM]]*(1+_xlfn.XLOOKUP(Table1[[#This Row], [WEAPON]],Sheet1!$A$27:$A$29,Sheet1!$C$27:$C$29))</f>
        <v>72000</v>
      </c>
      <c r="J32" t="s">
        <v>60</v>
      </c>
      <c r="K32" s="9">
        <f>Table1[[#This Row], [NUM OF MEM]]*Table1[[#This Row], [TOTAL TIME TAKEN]]*_xlfn.XLOOKUP(Table1[[#This Row], [EXIT]],Sheet1!$A$70:$A$71,Sheet1!$B$70:$B$71)*(1+_xlfn.XLOOKUP(Table1[[#This Row], [EXIT]],Sheet1!$A$70:$A$71,Sheet1!$C$70:$C$71))</f>
        <v>1768863.8812499996</v>
      </c>
      <c r="L32" s="13" t="s">
        <v>61</v>
      </c>
      <c r="M32" s="4">
        <f>IF(Table1[[#This Row], [EQUIPMENT]]="YES",Sheet1!$C$44*(1+Sheet1!$D$44),0)</f>
        <v>0</v>
      </c>
      <c r="N32" s="4">
        <f>_xlfn.XLOOKUP(Table1[[#This Row], [ROOM]],Sheet1!$A$47:$A$66,Sheet1!$F$47:$F$66)</f>
        <v>17950000</v>
      </c>
      <c r="O32" s="9">
        <f>_xlfn.XLOOKUP(_xlfn.CONCAT(Table1[[#This Row], [TEAM]],Table1[[#This Row], [ROOM]]),'ROOM TIME'!$H$2:$H$121,'ROOM TIME'!$J$2:$J$121)</f>
        <v>62.046249999999986</v>
      </c>
      <c r="P32" s="9">
        <f>(INDEX(Sheet1!$X$48:$Z$67,MATCH(Table1[[#This Row], [ROOM]],Sheet1!$P$48:$P$67,0),MATCH(Table1[[#This Row], [WEAPON]],Sheet1!$X$47:$Z$47,0)))/Table1[[#This Row], [NUM OF MEM]]</f>
        <v>6.875</v>
      </c>
      <c r="Q32" s="9">
        <f>Table1[[#This Row], [ROOM TIME]]+Table1[[#This Row], [GUARD TIME]]</f>
        <v>68.921249999999986</v>
      </c>
      <c r="R32" s="4">
        <f>Sheet1!$K$3*_xlfn.XLOOKUP(Table1[[#This Row], [DISGUISE]],Sheet1!$A$21:$A$23,Sheet1!$D$21:$D$23)</f>
        <v>69</v>
      </c>
      <c r="S32" s="9">
        <f>Table1[[#This Row], [TOTAL TIME]]-Table1[[#This Row], [TOTAL TIME TAKEN]]</f>
        <v>7.8750000000013642E-2</v>
      </c>
      <c r="T32" t="str">
        <f>IF(Table1[[#This Row], [TIME DIFFERENCE]]&gt;=0,"PASS","FAIL")</f>
        <v>PASS</v>
      </c>
      <c r="U32" s="9">
        <f>Table1[[#This Row], [TRC]]+Table1[[#This Row], [DRC]]+Table1[[#This Row], [WRC]]+Table1[[#This Row], [ERC]]+Table1[[#This Row], [EQRC]]</f>
        <v>7816063.8812499996</v>
      </c>
      <c r="V32" s="9">
        <f>Table1[[#This Row], [TOTAL COST]]+_xlfn.XLOOKUP(Table1[[#This Row], [TEAM]],Sheet1!$A$12:$A$17,Sheet1!$I$12:$I$17)</f>
        <v>8113543.8812499996</v>
      </c>
      <c r="W32" s="9">
        <f>Table1[[#This Row], [LOOT]]-Table1[[#This Row], [TOTAL COST]]</f>
        <v>10133936.11875</v>
      </c>
      <c r="X32" s="9">
        <f>IF(Table1[[#This Row], [PASS/FAIL]]="FAIL",0,Table1[[#This Row], [PROFIT]])</f>
        <v>10133936.11875</v>
      </c>
    </row>
    <row r="33" spans="1:24" ht="19.5" customHeight="1" x14ac:dyDescent="0.45">
      <c r="A33" t="s">
        <v>14</v>
      </c>
      <c r="B33" s="14">
        <f>_xlfn.XLOOKUP(Table1[[#This Row], [TEAM]],Sheet1!$A$12:$A$17,Sheet1!$F$12:$F$17)</f>
        <v>2</v>
      </c>
      <c r="C33" s="14">
        <f>_xlfn.XLOOKUP(Table1[[#This Row], [TEAM]],Sheet1!$A$12:$A$17,Sheet1!$G$12:$G$17)</f>
        <v>5949600</v>
      </c>
      <c r="D33" t="s">
        <v>32</v>
      </c>
      <c r="E33" s="4">
        <f>_xlfn.XLOOKUP(Table1[[#This Row], [ROOM]],Sheet1!$A$47:$A$66,Sheet1!$B$47:$B$66)</f>
        <v>346</v>
      </c>
      <c r="F33" t="s">
        <v>58</v>
      </c>
      <c r="G33" s="4">
        <f>_xlfn.XLOOKUP(Table1[[#This Row], [DISGUISE]],Sheet1!$A$21:$A$23,Sheet1!$B$21:$B$23)*Table1[[#This Row], [NUM OF MEM]]*(1+_xlfn.XLOOKUP(Table1[[#This Row], [DISGUISE]],Sheet1!$A$21:$A$23,Sheet1!$C$21:$C$23))</f>
        <v>25600</v>
      </c>
      <c r="H33" s="13" t="s">
        <v>66</v>
      </c>
      <c r="I33" s="4">
        <f>_xlfn.XLOOKUP(Table1[[#This Row], [WEAPON]],Sheet1!$A$27:$A$29,Sheet1!$B$27:$B$29)*Table1[[#This Row], [NUM OF MEM]]*(1+_xlfn.XLOOKUP(Table1[[#This Row], [WEAPON]],Sheet1!$A$27:$A$29,Sheet1!$C$27:$C$29))</f>
        <v>72000</v>
      </c>
      <c r="J33" t="s">
        <v>64</v>
      </c>
      <c r="K33" s="9">
        <f>Table1[[#This Row], [NUM OF MEM]]*Table1[[#This Row], [TOTAL TIME TAKEN]]*_xlfn.XLOOKUP(Table1[[#This Row], [EXIT]],Sheet1!$A$70:$A$71,Sheet1!$B$70:$B$71)*(1+_xlfn.XLOOKUP(Table1[[#This Row], [EXIT]],Sheet1!$A$70:$A$71,Sheet1!$C$70:$C$71))</f>
        <v>1711529.9999999998</v>
      </c>
      <c r="L33" s="13" t="s">
        <v>65</v>
      </c>
      <c r="M33" s="4">
        <f>IF(Table1[[#This Row], [EQUIPMENT]]="YES",Sheet1!$C$44*(1+Sheet1!$D$44),0)</f>
        <v>307500</v>
      </c>
      <c r="N33" s="4">
        <f>_xlfn.XLOOKUP(Table1[[#This Row], [ROOM]],Sheet1!$A$47:$A$66,Sheet1!$F$47:$F$66)</f>
        <v>18200000</v>
      </c>
      <c r="O33" s="9">
        <f>_xlfn.XLOOKUP(_xlfn.CONCAT(Table1[[#This Row], [TEAM]],Table1[[#This Row], [ROOM]]),'ROOM TIME'!$H$2:$H$121,'ROOM TIME'!$J$2:$J$121)</f>
        <v>57.906249999999986</v>
      </c>
      <c r="P33" s="9">
        <f>(INDEX(Sheet1!$X$48:$Z$67,MATCH(Table1[[#This Row], [ROOM]],Sheet1!$P$48:$P$67,0),MATCH(Table1[[#This Row], [WEAPON]],Sheet1!$X$47:$Z$47,0)))/Table1[[#This Row], [NUM OF MEM]]</f>
        <v>8.125</v>
      </c>
      <c r="Q33" s="9">
        <f>Table1[[#This Row], [ROOM TIME]]+Table1[[#This Row], [GUARD TIME]]</f>
        <v>66.031249999999986</v>
      </c>
      <c r="R33" s="4">
        <f>Sheet1!$K$3*_xlfn.XLOOKUP(Table1[[#This Row], [DISGUISE]],Sheet1!$A$21:$A$23,Sheet1!$D$21:$D$23)</f>
        <v>69</v>
      </c>
      <c r="S33" s="9">
        <f>Table1[[#This Row], [TOTAL TIME]]-Table1[[#This Row], [TOTAL TIME TAKEN]]</f>
        <v>2.9687500000000142</v>
      </c>
      <c r="T33" t="str">
        <f>IF(Table1[[#This Row], [TIME DIFFERENCE]]&gt;=0,"PASS","FAIL")</f>
        <v>PASS</v>
      </c>
      <c r="U33" s="4">
        <f>Table1[[#This Row], [TRC]]+Table1[[#This Row], [DRC]]+Table1[[#This Row], [WRC]]+Table1[[#This Row], [ERC]]+Table1[[#This Row], [EQRC]]</f>
        <v>8066230</v>
      </c>
      <c r="V33" s="4">
        <f>Table1[[#This Row], [TOTAL COST]]+_xlfn.XLOOKUP(Table1[[#This Row], [TEAM]],Sheet1!$A$12:$A$17,Sheet1!$I$12:$I$17)</f>
        <v>8363710</v>
      </c>
      <c r="W33" s="4">
        <f>Table1[[#This Row], [LOOT]]-Table1[[#This Row], [TOTAL COST]]</f>
        <v>10133770</v>
      </c>
      <c r="X33" s="4">
        <f>IF(Table1[[#This Row], [PASS/FAIL]]="FAIL",0,Table1[[#This Row], [PROFIT]])</f>
        <v>10133770</v>
      </c>
    </row>
    <row r="34" spans="1:24" ht="19.5" customHeight="1" x14ac:dyDescent="0.45">
      <c r="A34" t="s">
        <v>15</v>
      </c>
      <c r="B34" s="14">
        <f>_xlfn.XLOOKUP(Table1[[#This Row], [TEAM]],Sheet1!$A$12:$A$17,Sheet1!$F$12:$F$17)</f>
        <v>2</v>
      </c>
      <c r="C34" s="14">
        <f>_xlfn.XLOOKUP(Table1[[#This Row], [TEAM]],Sheet1!$A$12:$A$17,Sheet1!$G$12:$G$17)</f>
        <v>5932950</v>
      </c>
      <c r="D34" t="s">
        <v>32</v>
      </c>
      <c r="E34" s="4">
        <f>_xlfn.XLOOKUP(Table1[[#This Row], [ROOM]],Sheet1!$A$47:$A$66,Sheet1!$B$47:$B$66)</f>
        <v>346</v>
      </c>
      <c r="F34" t="s">
        <v>58</v>
      </c>
      <c r="G34" s="4">
        <f>_xlfn.XLOOKUP(Table1[[#This Row], [DISGUISE]],Sheet1!$A$21:$A$23,Sheet1!$B$21:$B$23)*Table1[[#This Row], [NUM OF MEM]]*(1+_xlfn.XLOOKUP(Table1[[#This Row], [DISGUISE]],Sheet1!$A$21:$A$23,Sheet1!$C$21:$C$23))</f>
        <v>25600</v>
      </c>
      <c r="H34" s="13" t="s">
        <v>66</v>
      </c>
      <c r="I34" s="4">
        <f>_xlfn.XLOOKUP(Table1[[#This Row], [WEAPON]],Sheet1!$A$27:$A$29,Sheet1!$B$27:$B$29)*Table1[[#This Row], [NUM OF MEM]]*(1+_xlfn.XLOOKUP(Table1[[#This Row], [WEAPON]],Sheet1!$A$27:$A$29,Sheet1!$C$27:$C$29))</f>
        <v>72000</v>
      </c>
      <c r="J34" t="s">
        <v>64</v>
      </c>
      <c r="K34" s="9">
        <f>Table1[[#This Row], [NUM OF MEM]]*Table1[[#This Row], [TOTAL TIME TAKEN]]*_xlfn.XLOOKUP(Table1[[#This Row], [EXIT]],Sheet1!$A$70:$A$71,Sheet1!$B$70:$B$71)*(1+_xlfn.XLOOKUP(Table1[[#This Row], [EXIT]],Sheet1!$A$70:$A$71,Sheet1!$C$70:$C$71))</f>
        <v>1728377.9999999993</v>
      </c>
      <c r="L34" s="13" t="s">
        <v>65</v>
      </c>
      <c r="M34" s="4">
        <f>IF(Table1[[#This Row], [EQUIPMENT]]="YES",Sheet1!$C$44*(1+Sheet1!$D$44),0)</f>
        <v>307500</v>
      </c>
      <c r="N34" s="4">
        <f>_xlfn.XLOOKUP(Table1[[#This Row], [ROOM]],Sheet1!$A$47:$A$66,Sheet1!$F$47:$F$66)</f>
        <v>18200000</v>
      </c>
      <c r="O34" s="9">
        <f>_xlfn.XLOOKUP(_xlfn.CONCAT(Table1[[#This Row], [TEAM]],Table1[[#This Row], [ROOM]]),'ROOM TIME'!$H$2:$H$121,'ROOM TIME'!$J$2:$J$121)</f>
        <v>58.556249999999977</v>
      </c>
      <c r="P34" s="9">
        <f>(INDEX(Sheet1!$X$48:$Z$67,MATCH(Table1[[#This Row], [ROOM]],Sheet1!$P$48:$P$67,0),MATCH(Table1[[#This Row], [WEAPON]],Sheet1!$X$47:$Z$47,0)))/Table1[[#This Row], [NUM OF MEM]]</f>
        <v>8.125</v>
      </c>
      <c r="Q34" s="9">
        <f>Table1[[#This Row], [ROOM TIME]]+Table1[[#This Row], [GUARD TIME]]</f>
        <v>66.681249999999977</v>
      </c>
      <c r="R34" s="4">
        <f>Sheet1!$K$3*_xlfn.XLOOKUP(Table1[[#This Row], [DISGUISE]],Sheet1!$A$21:$A$23,Sheet1!$D$21:$D$23)</f>
        <v>69</v>
      </c>
      <c r="S34" s="9">
        <f>Table1[[#This Row], [TOTAL TIME]]-Table1[[#This Row], [TOTAL TIME TAKEN]]</f>
        <v>2.3187500000000227</v>
      </c>
      <c r="T34" t="str">
        <f>IF(Table1[[#This Row], [TIME DIFFERENCE]]&gt;=0,"PASS","FAIL")</f>
        <v>PASS</v>
      </c>
      <c r="U34" s="9">
        <f>Table1[[#This Row], [TRC]]+Table1[[#This Row], [DRC]]+Table1[[#This Row], [WRC]]+Table1[[#This Row], [ERC]]+Table1[[#This Row], [EQRC]]</f>
        <v>8066427.9999999991</v>
      </c>
      <c r="V34" s="9">
        <f>Table1[[#This Row], [TOTAL COST]]+_xlfn.XLOOKUP(Table1[[#This Row], [TEAM]],Sheet1!$A$12:$A$17,Sheet1!$I$12:$I$17)</f>
        <v>8363075.4999999991</v>
      </c>
      <c r="W34" s="4">
        <f>Table1[[#This Row], [LOOT]]-Table1[[#This Row], [TOTAL COST]]</f>
        <v>10133572</v>
      </c>
      <c r="X34" s="4">
        <f>IF(Table1[[#This Row], [PASS/FAIL]]="FAIL",0,Table1[[#This Row], [PROFIT]])</f>
        <v>10133572</v>
      </c>
    </row>
    <row r="35" spans="1:24" ht="19.5" customHeight="1" x14ac:dyDescent="0.45">
      <c r="A35" t="s">
        <v>12</v>
      </c>
      <c r="B35" s="14">
        <f>_xlfn.XLOOKUP(Table1[[#This Row], [TEAM]],Sheet1!$A$12:$A$17,Sheet1!$F$12:$F$17)</f>
        <v>3</v>
      </c>
      <c r="C35" s="14">
        <f>_xlfn.XLOOKUP(Table1[[#This Row], [TEAM]],Sheet1!$A$12:$A$17,Sheet1!$G$12:$G$17)</f>
        <v>5988750</v>
      </c>
      <c r="D35" t="s">
        <v>18</v>
      </c>
      <c r="E35" s="4">
        <f>_xlfn.XLOOKUP(Table1[[#This Row], [ROOM]],Sheet1!$A$47:$A$66,Sheet1!$B$47:$B$66)</f>
        <v>134</v>
      </c>
      <c r="F35" t="s">
        <v>58</v>
      </c>
      <c r="G35" s="4">
        <f>_xlfn.XLOOKUP(Table1[[#This Row], [DISGUISE]],Sheet1!$A$21:$A$23,Sheet1!$B$21:$B$23)*Table1[[#This Row], [NUM OF MEM]]*(1+_xlfn.XLOOKUP(Table1[[#This Row], [DISGUISE]],Sheet1!$A$21:$A$23,Sheet1!$C$21:$C$23))</f>
        <v>38400</v>
      </c>
      <c r="H35" s="13" t="s">
        <v>63</v>
      </c>
      <c r="I35" s="4">
        <f>_xlfn.XLOOKUP(Table1[[#This Row], [WEAPON]],Sheet1!$A$27:$A$29,Sheet1!$B$27:$B$29)*Table1[[#This Row], [NUM OF MEM]]*(1+_xlfn.XLOOKUP(Table1[[#This Row], [WEAPON]],Sheet1!$A$27:$A$29,Sheet1!$C$27:$C$29))</f>
        <v>69000</v>
      </c>
      <c r="J35" t="s">
        <v>64</v>
      </c>
      <c r="K35" s="9">
        <f>Table1[[#This Row], [NUM OF MEM]]*Table1[[#This Row], [TOTAL TIME TAKEN]]*_xlfn.XLOOKUP(Table1[[#This Row], [EXIT]],Sheet1!$A$70:$A$71,Sheet1!$B$70:$B$71)*(1+_xlfn.XLOOKUP(Table1[[#This Row], [EXIT]],Sheet1!$A$70:$A$71,Sheet1!$C$70:$C$71))</f>
        <v>1820318.3999999997</v>
      </c>
      <c r="L35" s="13" t="s">
        <v>61</v>
      </c>
      <c r="M35" s="4">
        <f>IF(Table1[[#This Row], [EQUIPMENT]]="YES",Sheet1!$C$44*(1+Sheet1!$D$44),0)</f>
        <v>0</v>
      </c>
      <c r="N35" s="4">
        <f>_xlfn.XLOOKUP(Table1[[#This Row], [ROOM]],Sheet1!$A$47:$A$66,Sheet1!$F$47:$F$66)</f>
        <v>18050000</v>
      </c>
      <c r="O35" s="9">
        <f>_xlfn.XLOOKUP(_xlfn.CONCAT(Table1[[#This Row], [TEAM]],Table1[[#This Row], [ROOM]]),'ROOM TIME'!$H$2:$H$121,'ROOM TIME'!$J$2:$J$121)</f>
        <v>41.41888888888888</v>
      </c>
      <c r="P35" s="9">
        <f>(INDEX(Sheet1!$X$48:$Z$67,MATCH(Table1[[#This Row], [ROOM]],Sheet1!$P$48:$P$67,0),MATCH(Table1[[#This Row], [WEAPON]],Sheet1!$X$47:$Z$47,0)))/Table1[[#This Row], [NUM OF MEM]]</f>
        <v>5.4000000000000012</v>
      </c>
      <c r="Q35" s="9">
        <f>Table1[[#This Row], [ROOM TIME]]+Table1[[#This Row], [GUARD TIME]]</f>
        <v>46.818888888888878</v>
      </c>
      <c r="R35" s="4">
        <f>Sheet1!$K$3*_xlfn.XLOOKUP(Table1[[#This Row], [DISGUISE]],Sheet1!$A$21:$A$23,Sheet1!$D$21:$D$23)</f>
        <v>69</v>
      </c>
      <c r="S35" s="9">
        <f>Table1[[#This Row], [TOTAL TIME]]-Table1[[#This Row], [TOTAL TIME TAKEN]]</f>
        <v>22.181111111111122</v>
      </c>
      <c r="T35" t="str">
        <f>IF(Table1[[#This Row], [TIME DIFFERENCE]]&gt;=0,"PASS","FAIL")</f>
        <v>PASS</v>
      </c>
      <c r="U35" s="9">
        <f>Table1[[#This Row], [TRC]]+Table1[[#This Row], [DRC]]+Table1[[#This Row], [WRC]]+Table1[[#This Row], [ERC]]+Table1[[#This Row], [EQRC]]</f>
        <v>7916468.3999999994</v>
      </c>
      <c r="V35" s="9">
        <f>Table1[[#This Row], [TOTAL COST]]+_xlfn.XLOOKUP(Table1[[#This Row], [TEAM]],Sheet1!$A$12:$A$17,Sheet1!$I$12:$I$17)</f>
        <v>8215905.8999999994</v>
      </c>
      <c r="W35" s="9">
        <f>Table1[[#This Row], [LOOT]]-Table1[[#This Row], [TOTAL COST]]</f>
        <v>10133531.600000001</v>
      </c>
      <c r="X35" s="9">
        <f>IF(Table1[[#This Row], [PASS/FAIL]]="FAIL",0,Table1[[#This Row], [PROFIT]])</f>
        <v>10133531.600000001</v>
      </c>
    </row>
    <row r="36" spans="1:24" ht="19.5" customHeight="1" x14ac:dyDescent="0.45">
      <c r="A36" t="s">
        <v>12</v>
      </c>
      <c r="B36" s="14">
        <f>_xlfn.XLOOKUP(Table1[[#This Row], [TEAM]],Sheet1!$A$12:$A$17,Sheet1!$F$12:$F$17)</f>
        <v>3</v>
      </c>
      <c r="C36" s="14">
        <f>_xlfn.XLOOKUP(Table1[[#This Row], [TEAM]],Sheet1!$A$12:$A$17,Sheet1!$G$12:$G$17)</f>
        <v>5988750</v>
      </c>
      <c r="D36" t="s">
        <v>18</v>
      </c>
      <c r="E36" s="4">
        <f>_xlfn.XLOOKUP(Table1[[#This Row], [ROOM]],Sheet1!$A$47:$A$66,Sheet1!$B$47:$B$66)</f>
        <v>134</v>
      </c>
      <c r="F36" t="s">
        <v>62</v>
      </c>
      <c r="G36" s="4">
        <f>_xlfn.XLOOKUP(Table1[[#This Row], [DISGUISE]],Sheet1!$A$21:$A$23,Sheet1!$B$21:$B$23)*Table1[[#This Row], [NUM OF MEM]]*(1+_xlfn.XLOOKUP(Table1[[#This Row], [DISGUISE]],Sheet1!$A$21:$A$23,Sheet1!$C$21:$C$23))</f>
        <v>15600</v>
      </c>
      <c r="H36" s="13" t="s">
        <v>66</v>
      </c>
      <c r="I36" s="4">
        <f>_xlfn.XLOOKUP(Table1[[#This Row], [WEAPON]],Sheet1!$A$27:$A$29,Sheet1!$B$27:$B$29)*Table1[[#This Row], [NUM OF MEM]]*(1+_xlfn.XLOOKUP(Table1[[#This Row], [WEAPON]],Sheet1!$A$27:$A$29,Sheet1!$C$27:$C$29))</f>
        <v>108000</v>
      </c>
      <c r="J36" t="s">
        <v>64</v>
      </c>
      <c r="K36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1804766.3999999994</v>
      </c>
      <c r="L36" s="13" t="s">
        <v>61</v>
      </c>
      <c r="M36" s="4">
        <f>IF(Table1[[#This Row], [EQUIPMENT]]="YES",Sheet1!$C$44*(1+Sheet1!$D$44),0)</f>
        <v>0</v>
      </c>
      <c r="N36" s="4">
        <f>_xlfn.XLOOKUP(Table1[[#This Row], [ROOM]],Sheet1!$A$47:$A$66,Sheet1!$F$47:$F$66)</f>
        <v>18050000</v>
      </c>
      <c r="O36" s="9">
        <f>_xlfn.XLOOKUP(_xlfn.CONCAT(Table1[[#This Row], [TEAM]],Table1[[#This Row], [ROOM]]),'ROOM TIME'!$H$2:$H$121,'ROOM TIME'!$J$2:$J$121)</f>
        <v>41.41888888888888</v>
      </c>
      <c r="P36" s="4">
        <f>(INDEX(Sheet1!$X$48:$Z$67,MATCH(Table1[[#This Row], [ROOM]],Sheet1!$P$48:$P$67,0),MATCH(Table1[[#This Row], [WEAPON]],Sheet1!$X$47:$Z$47,0)))/Table1[[#This Row], [NUM OF MEM]]</f>
        <v>5</v>
      </c>
      <c r="Q36" s="9">
        <f>Table1[[#This Row], [ROOM TIME]]+Table1[[#This Row], [GUARD TIME]]</f>
        <v>46.41888888888888</v>
      </c>
      <c r="R36" s="4">
        <f>Sheet1!$K$3*_xlfn.XLOOKUP(Table1[[#This Row], [DISGUISE]],Sheet1!$A$21:$A$23,Sheet1!$D$21:$D$23)</f>
        <v>66</v>
      </c>
      <c r="S36" s="9">
        <f>Table1[[#This Row], [TOTAL TIME]]-Table1[[#This Row], [TOTAL TIME TAKEN]]</f>
        <v>19.58111111111112</v>
      </c>
      <c r="T36" t="str">
        <f>IF(Table1[[#This Row], [TIME DIFFERENCE]]&gt;=0,"PASS","FAIL")</f>
        <v>PASS</v>
      </c>
      <c r="U36" s="9">
        <f>Table1[[#This Row], [TRC]]+Table1[[#This Row], [DRC]]+Table1[[#This Row], [WRC]]+Table1[[#This Row], [ERC]]+Table1[[#This Row], [EQRC]]</f>
        <v>7917116.3999999994</v>
      </c>
      <c r="V36" s="9">
        <f>Table1[[#This Row], [TOTAL COST]]+_xlfn.XLOOKUP(Table1[[#This Row], [TEAM]],Sheet1!$A$12:$A$17,Sheet1!$I$12:$I$17)</f>
        <v>8216553.8999999994</v>
      </c>
      <c r="W36" s="9">
        <f>Table1[[#This Row], [LOOT]]-Table1[[#This Row], [TOTAL COST]]</f>
        <v>10132883.600000001</v>
      </c>
      <c r="X36" s="9">
        <f>IF(Table1[[#This Row], [PASS/FAIL]]="FAIL",0,Table1[[#This Row], [PROFIT]])</f>
        <v>10132883.600000001</v>
      </c>
    </row>
    <row r="37" spans="1:24" ht="19.5" customHeight="1" x14ac:dyDescent="0.45">
      <c r="A37" t="s">
        <v>14</v>
      </c>
      <c r="B37" s="14">
        <f>_xlfn.XLOOKUP(Table1[[#This Row], [TEAM]],Sheet1!$A$12:$A$17,Sheet1!$F$12:$F$17)</f>
        <v>2</v>
      </c>
      <c r="C37" s="14">
        <f>_xlfn.XLOOKUP(Table1[[#This Row], [TEAM]],Sheet1!$A$12:$A$17,Sheet1!$G$12:$G$17)</f>
        <v>5949600</v>
      </c>
      <c r="D37" t="s">
        <v>32</v>
      </c>
      <c r="E37" s="4">
        <f>_xlfn.XLOOKUP(Table1[[#This Row], [ROOM]],Sheet1!$A$47:$A$66,Sheet1!$B$47:$B$66)</f>
        <v>346</v>
      </c>
      <c r="F37" t="s">
        <v>58</v>
      </c>
      <c r="G37" s="4">
        <f>_xlfn.XLOOKUP(Table1[[#This Row], [DISGUISE]],Sheet1!$A$21:$A$23,Sheet1!$B$21:$B$23)*Table1[[#This Row], [NUM OF MEM]]*(1+_xlfn.XLOOKUP(Table1[[#This Row], [DISGUISE]],Sheet1!$A$21:$A$23,Sheet1!$C$21:$C$23))</f>
        <v>25600</v>
      </c>
      <c r="H37" s="13" t="s">
        <v>59</v>
      </c>
      <c r="I37" s="4">
        <f>_xlfn.XLOOKUP(Table1[[#This Row], [WEAPON]],Sheet1!$A$27:$A$29,Sheet1!$B$27:$B$29)*Table1[[#This Row], [NUM OF MEM]]*(1+_xlfn.XLOOKUP(Table1[[#This Row], [WEAPON]],Sheet1!$A$27:$A$29,Sheet1!$C$27:$C$29))</f>
        <v>91000</v>
      </c>
      <c r="J37" t="s">
        <v>64</v>
      </c>
      <c r="K37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1694681.9999999993</v>
      </c>
      <c r="L37" s="13" t="s">
        <v>65</v>
      </c>
      <c r="M37" s="4">
        <f>IF(Table1[[#This Row], [EQUIPMENT]]="YES",Sheet1!$C$44*(1+Sheet1!$D$44),0)</f>
        <v>307500</v>
      </c>
      <c r="N37" s="4">
        <f>_xlfn.XLOOKUP(Table1[[#This Row], [ROOM]],Sheet1!$A$47:$A$66,Sheet1!$F$47:$F$66)</f>
        <v>18200000</v>
      </c>
      <c r="O37" s="9">
        <f>_xlfn.XLOOKUP(_xlfn.CONCAT(Table1[[#This Row], [TEAM]],Table1[[#This Row], [ROOM]]),'ROOM TIME'!$H$2:$H$121,'ROOM TIME'!$J$2:$J$121)</f>
        <v>57.906249999999986</v>
      </c>
      <c r="P37" s="9">
        <f>(INDEX(Sheet1!$X$48:$Z$67,MATCH(Table1[[#This Row], [ROOM]],Sheet1!$P$48:$P$67,0),MATCH(Table1[[#This Row], [WEAPON]],Sheet1!$X$47:$Z$47,0)))/Table1[[#This Row], [NUM OF MEM]]</f>
        <v>7.4749999999999996</v>
      </c>
      <c r="Q37" s="9">
        <f>Table1[[#This Row], [ROOM TIME]]+Table1[[#This Row], [GUARD TIME]]</f>
        <v>65.38124999999998</v>
      </c>
      <c r="R37" s="4">
        <f>Sheet1!$K$3*_xlfn.XLOOKUP(Table1[[#This Row], [DISGUISE]],Sheet1!$A$21:$A$23,Sheet1!$D$21:$D$23)</f>
        <v>69</v>
      </c>
      <c r="S37" s="9">
        <f>Table1[[#This Row], [TOTAL TIME]]-Table1[[#This Row], [TOTAL TIME TAKEN]]</f>
        <v>3.6187500000000199</v>
      </c>
      <c r="T37" t="str">
        <f>IF(Table1[[#This Row], [TIME DIFFERENCE]]&gt;=0,"PASS","FAIL")</f>
        <v>PASS</v>
      </c>
      <c r="U37" s="9">
        <f>Table1[[#This Row], [TRC]]+Table1[[#This Row], [DRC]]+Table1[[#This Row], [WRC]]+Table1[[#This Row], [ERC]]+Table1[[#This Row], [EQRC]]</f>
        <v>8068381.9999999991</v>
      </c>
      <c r="V37" s="9">
        <f>Table1[[#This Row], [TOTAL COST]]+_xlfn.XLOOKUP(Table1[[#This Row], [TEAM]],Sheet1!$A$12:$A$17,Sheet1!$I$12:$I$17)</f>
        <v>8365861.9999999991</v>
      </c>
      <c r="W37" s="4">
        <f>Table1[[#This Row], [LOOT]]-Table1[[#This Row], [TOTAL COST]]</f>
        <v>10131618</v>
      </c>
      <c r="X37" s="4">
        <f>IF(Table1[[#This Row], [PASS/FAIL]]="FAIL",0,Table1[[#This Row], [PROFIT]])</f>
        <v>10131618</v>
      </c>
    </row>
    <row r="38" spans="1:24" ht="19.5" customHeight="1" x14ac:dyDescent="0.45">
      <c r="A38" t="s">
        <v>15</v>
      </c>
      <c r="B38" s="14">
        <f>_xlfn.XLOOKUP(Table1[[#This Row], [TEAM]],Sheet1!$A$12:$A$17,Sheet1!$F$12:$F$17)</f>
        <v>2</v>
      </c>
      <c r="C38" s="14">
        <f>_xlfn.XLOOKUP(Table1[[#This Row], [TEAM]],Sheet1!$A$12:$A$17,Sheet1!$G$12:$G$17)</f>
        <v>5932950</v>
      </c>
      <c r="D38" t="s">
        <v>32</v>
      </c>
      <c r="E38" s="4">
        <f>_xlfn.XLOOKUP(Table1[[#This Row], [ROOM]],Sheet1!$A$47:$A$66,Sheet1!$B$47:$B$66)</f>
        <v>346</v>
      </c>
      <c r="F38" t="s">
        <v>58</v>
      </c>
      <c r="G38" s="4">
        <f>_xlfn.XLOOKUP(Table1[[#This Row], [DISGUISE]],Sheet1!$A$21:$A$23,Sheet1!$B$21:$B$23)*Table1[[#This Row], [NUM OF MEM]]*(1+_xlfn.XLOOKUP(Table1[[#This Row], [DISGUISE]],Sheet1!$A$21:$A$23,Sheet1!$C$21:$C$23))</f>
        <v>25600</v>
      </c>
      <c r="H38" s="13" t="s">
        <v>59</v>
      </c>
      <c r="I38" s="4">
        <f>_xlfn.XLOOKUP(Table1[[#This Row], [WEAPON]],Sheet1!$A$27:$A$29,Sheet1!$B$27:$B$29)*Table1[[#This Row], [NUM OF MEM]]*(1+_xlfn.XLOOKUP(Table1[[#This Row], [WEAPON]],Sheet1!$A$27:$A$29,Sheet1!$C$27:$C$29))</f>
        <v>91000</v>
      </c>
      <c r="J38" t="s">
        <v>64</v>
      </c>
      <c r="K38" s="9">
        <f>Table1[[#This Row], [NUM OF MEM]]*Table1[[#This Row], [TOTAL TIME TAKEN]]*_xlfn.XLOOKUP(Table1[[#This Row], [EXIT]],Sheet1!$A$70:$A$71,Sheet1!$B$70:$B$71)*(1+_xlfn.XLOOKUP(Table1[[#This Row], [EXIT]],Sheet1!$A$70:$A$71,Sheet1!$C$70:$C$71))</f>
        <v>1711529.9999999991</v>
      </c>
      <c r="L38" s="13" t="s">
        <v>65</v>
      </c>
      <c r="M38" s="4">
        <f>IF(Table1[[#This Row], [EQUIPMENT]]="YES",Sheet1!$C$44*(1+Sheet1!$D$44),0)</f>
        <v>307500</v>
      </c>
      <c r="N38" s="4">
        <f>_xlfn.XLOOKUP(Table1[[#This Row], [ROOM]],Sheet1!$A$47:$A$66,Sheet1!$F$47:$F$66)</f>
        <v>18200000</v>
      </c>
      <c r="O38" s="9">
        <f>_xlfn.XLOOKUP(_xlfn.CONCAT(Table1[[#This Row], [TEAM]],Table1[[#This Row], [ROOM]]),'ROOM TIME'!$H$2:$H$121,'ROOM TIME'!$J$2:$J$121)</f>
        <v>58.556249999999977</v>
      </c>
      <c r="P38" s="9">
        <f>(INDEX(Sheet1!$X$48:$Z$67,MATCH(Table1[[#This Row], [ROOM]],Sheet1!$P$48:$P$67,0),MATCH(Table1[[#This Row], [WEAPON]],Sheet1!$X$47:$Z$47,0)))/Table1[[#This Row], [NUM OF MEM]]</f>
        <v>7.4749999999999996</v>
      </c>
      <c r="Q38" s="9">
        <f>Table1[[#This Row], [ROOM TIME]]+Table1[[#This Row], [GUARD TIME]]</f>
        <v>66.031249999999972</v>
      </c>
      <c r="R38" s="4">
        <f>Sheet1!$K$3*_xlfn.XLOOKUP(Table1[[#This Row], [DISGUISE]],Sheet1!$A$21:$A$23,Sheet1!$D$21:$D$23)</f>
        <v>69</v>
      </c>
      <c r="S38" s="9">
        <f>Table1[[#This Row], [TOTAL TIME]]-Table1[[#This Row], [TOTAL TIME TAKEN]]</f>
        <v>2.9687500000000284</v>
      </c>
      <c r="T38" t="str">
        <f>IF(Table1[[#This Row], [TIME DIFFERENCE]]&gt;=0,"PASS","FAIL")</f>
        <v>PASS</v>
      </c>
      <c r="U38" s="9">
        <f>Table1[[#This Row], [TRC]]+Table1[[#This Row], [DRC]]+Table1[[#This Row], [WRC]]+Table1[[#This Row], [ERC]]+Table1[[#This Row], [EQRC]]</f>
        <v>8068579.9999999991</v>
      </c>
      <c r="V38" s="9">
        <f>Table1[[#This Row], [TOTAL COST]]+_xlfn.XLOOKUP(Table1[[#This Row], [TEAM]],Sheet1!$A$12:$A$17,Sheet1!$I$12:$I$17)</f>
        <v>8365227.4999999991</v>
      </c>
      <c r="W38" s="4">
        <f>Table1[[#This Row], [LOOT]]-Table1[[#This Row], [TOTAL COST]]</f>
        <v>10131420</v>
      </c>
      <c r="X38" s="4">
        <f>IF(Table1[[#This Row], [PASS/FAIL]]="FAIL",0,Table1[[#This Row], [PROFIT]])</f>
        <v>10131420</v>
      </c>
    </row>
    <row r="39" spans="1:24" ht="19.5" customHeight="1" x14ac:dyDescent="0.45">
      <c r="A39" t="s">
        <v>13</v>
      </c>
      <c r="B39" s="14">
        <f>_xlfn.XLOOKUP(Table1[[#This Row], [TEAM]],Sheet1!$A$12:$A$17,Sheet1!$F$12:$F$17)</f>
        <v>3</v>
      </c>
      <c r="C39" s="14">
        <f>_xlfn.XLOOKUP(Table1[[#This Row], [TEAM]],Sheet1!$A$12:$A$17,Sheet1!$G$12:$G$17)</f>
        <v>5930000</v>
      </c>
      <c r="D39" t="s">
        <v>18</v>
      </c>
      <c r="E39" s="4">
        <f>_xlfn.XLOOKUP(Table1[[#This Row], [ROOM]],Sheet1!$A$47:$A$66,Sheet1!$B$47:$B$66)</f>
        <v>134</v>
      </c>
      <c r="F39" t="s">
        <v>58</v>
      </c>
      <c r="G39" s="4">
        <f>_xlfn.XLOOKUP(Table1[[#This Row], [DISGUISE]],Sheet1!$A$21:$A$23,Sheet1!$B$21:$B$23)*Table1[[#This Row], [NUM OF MEM]]*(1+_xlfn.XLOOKUP(Table1[[#This Row], [DISGUISE]],Sheet1!$A$21:$A$23,Sheet1!$C$21:$C$23))</f>
        <v>38400</v>
      </c>
      <c r="H39" s="13" t="s">
        <v>63</v>
      </c>
      <c r="I39" s="4">
        <f>_xlfn.XLOOKUP(Table1[[#This Row], [WEAPON]],Sheet1!$A$27:$A$29,Sheet1!$B$27:$B$29)*Table1[[#This Row], [NUM OF MEM]]*(1+_xlfn.XLOOKUP(Table1[[#This Row], [WEAPON]],Sheet1!$A$27:$A$29,Sheet1!$C$27:$C$29))</f>
        <v>69000</v>
      </c>
      <c r="J39" t="s">
        <v>64</v>
      </c>
      <c r="K39" s="9">
        <f>Table1[[#This Row], [NUM OF MEM]]*Table1[[#This Row], [TOTAL TIME TAKEN]]*_xlfn.XLOOKUP(Table1[[#This Row], [EXIT]],Sheet1!$A$70:$A$71,Sheet1!$B$70:$B$71)*(1+_xlfn.XLOOKUP(Table1[[#This Row], [EXIT]],Sheet1!$A$70:$A$71,Sheet1!$C$70:$C$71))</f>
        <v>1882979.9999999993</v>
      </c>
      <c r="L39" s="13" t="s">
        <v>61</v>
      </c>
      <c r="M39" s="4">
        <f>IF(Table1[[#This Row], [EQUIPMENT]]="YES",Sheet1!$C$44*(1+Sheet1!$D$44),0)</f>
        <v>0</v>
      </c>
      <c r="N39" s="4">
        <f>_xlfn.XLOOKUP(Table1[[#This Row], [ROOM]],Sheet1!$A$47:$A$66,Sheet1!$F$47:$F$66)</f>
        <v>18050000</v>
      </c>
      <c r="O39" s="9">
        <f>_xlfn.XLOOKUP(_xlfn.CONCAT(Table1[[#This Row], [TEAM]],Table1[[#This Row], [ROOM]]),'ROOM TIME'!$H$2:$H$121,'ROOM TIME'!$J$2:$J$121)</f>
        <v>43.030555555555544</v>
      </c>
      <c r="P39" s="9">
        <f>(INDEX(Sheet1!$X$48:$Z$67,MATCH(Table1[[#This Row], [ROOM]],Sheet1!$P$48:$P$67,0),MATCH(Table1[[#This Row], [WEAPON]],Sheet1!$X$47:$Z$47,0)))/Table1[[#This Row], [NUM OF MEM]]</f>
        <v>5.4000000000000012</v>
      </c>
      <c r="Q39" s="9">
        <f>Table1[[#This Row], [ROOM TIME]]+Table1[[#This Row], [GUARD TIME]]</f>
        <v>48.430555555555543</v>
      </c>
      <c r="R39" s="4">
        <f>Sheet1!$K$3*_xlfn.XLOOKUP(Table1[[#This Row], [DISGUISE]],Sheet1!$A$21:$A$23,Sheet1!$D$21:$D$23)</f>
        <v>69</v>
      </c>
      <c r="S39" s="9">
        <f>Table1[[#This Row], [TOTAL TIME]]-Table1[[#This Row], [TOTAL TIME TAKEN]]</f>
        <v>20.569444444444457</v>
      </c>
      <c r="T39" t="str">
        <f>IF(Table1[[#This Row], [TIME DIFFERENCE]]&gt;=0,"PASS","FAIL")</f>
        <v>PASS</v>
      </c>
      <c r="U39" s="9">
        <f>Table1[[#This Row], [TRC]]+Table1[[#This Row], [DRC]]+Table1[[#This Row], [WRC]]+Table1[[#This Row], [ERC]]+Table1[[#This Row], [EQRC]]</f>
        <v>7920379.9999999991</v>
      </c>
      <c r="V39" s="9">
        <f>Table1[[#This Row], [TOTAL COST]]+_xlfn.XLOOKUP(Table1[[#This Row], [TEAM]],Sheet1!$A$12:$A$17,Sheet1!$I$12:$I$17)</f>
        <v>8216879.9999999991</v>
      </c>
      <c r="W39" s="4">
        <f>Table1[[#This Row], [LOOT]]-Table1[[#This Row], [TOTAL COST]]</f>
        <v>10129620</v>
      </c>
      <c r="X39" s="4">
        <f>IF(Table1[[#This Row], [PASS/FAIL]]="FAIL",0,Table1[[#This Row], [PROFIT]])</f>
        <v>10129620</v>
      </c>
    </row>
    <row r="40" spans="1:24" ht="19.5" customHeight="1" x14ac:dyDescent="0.45">
      <c r="A40" t="s">
        <v>14</v>
      </c>
      <c r="B40" s="14">
        <f>_xlfn.XLOOKUP(Table1[[#This Row], [TEAM]],Sheet1!$A$12:$A$17,Sheet1!$F$12:$F$17)</f>
        <v>2</v>
      </c>
      <c r="C40" s="14">
        <f>_xlfn.XLOOKUP(Table1[[#This Row], [TEAM]],Sheet1!$A$12:$A$17,Sheet1!$G$12:$G$17)</f>
        <v>5949600</v>
      </c>
      <c r="D40" t="s">
        <v>19</v>
      </c>
      <c r="E40" s="4">
        <f>_xlfn.XLOOKUP(Table1[[#This Row], [ROOM]],Sheet1!$A$47:$A$66,Sheet1!$B$47:$B$66)</f>
        <v>135</v>
      </c>
      <c r="F40" t="s">
        <v>58</v>
      </c>
      <c r="G40" s="4">
        <f>_xlfn.XLOOKUP(Table1[[#This Row], [DISGUISE]],Sheet1!$A$21:$A$23,Sheet1!$B$21:$B$23)*Table1[[#This Row], [NUM OF MEM]]*(1+_xlfn.XLOOKUP(Table1[[#This Row], [DISGUISE]],Sheet1!$A$21:$A$23,Sheet1!$C$21:$C$23))</f>
        <v>25600</v>
      </c>
      <c r="H40" s="13" t="s">
        <v>59</v>
      </c>
      <c r="I40" s="4">
        <f>_xlfn.XLOOKUP(Table1[[#This Row], [WEAPON]],Sheet1!$A$27:$A$29,Sheet1!$B$27:$B$29)*Table1[[#This Row], [NUM OF MEM]]*(1+_xlfn.XLOOKUP(Table1[[#This Row], [WEAPON]],Sheet1!$A$27:$A$29,Sheet1!$C$27:$C$29))</f>
        <v>91000</v>
      </c>
      <c r="J40" t="s">
        <v>60</v>
      </c>
      <c r="K40" s="9">
        <f>Table1[[#This Row], [NUM OF MEM]]*Table1[[#This Row], [TOTAL TIME TAKEN]]*_xlfn.XLOOKUP(Table1[[#This Row], [EXIT]],Sheet1!$A$70:$A$71,Sheet1!$B$70:$B$71)*(1+_xlfn.XLOOKUP(Table1[[#This Row], [EXIT]],Sheet1!$A$70:$A$71,Sheet1!$C$70:$C$71))</f>
        <v>1754748.1312499996</v>
      </c>
      <c r="L40" s="13" t="s">
        <v>61</v>
      </c>
      <c r="M40" s="4">
        <f>IF(Table1[[#This Row], [EQUIPMENT]]="YES",Sheet1!$C$44*(1+Sheet1!$D$44),0)</f>
        <v>0</v>
      </c>
      <c r="N40" s="4">
        <f>_xlfn.XLOOKUP(Table1[[#This Row], [ROOM]],Sheet1!$A$47:$A$66,Sheet1!$F$47:$F$66)</f>
        <v>17950000</v>
      </c>
      <c r="O40" s="9">
        <f>_xlfn.XLOOKUP(_xlfn.CONCAT(Table1[[#This Row], [TEAM]],Table1[[#This Row], [ROOM]]),'ROOM TIME'!$H$2:$H$121,'ROOM TIME'!$J$2:$J$121)</f>
        <v>62.046249999999986</v>
      </c>
      <c r="P40" s="9">
        <f>(INDEX(Sheet1!$X$48:$Z$67,MATCH(Table1[[#This Row], [ROOM]],Sheet1!$P$48:$P$67,0),MATCH(Table1[[#This Row], [WEAPON]],Sheet1!$X$47:$Z$47,0)))/Table1[[#This Row], [NUM OF MEM]]</f>
        <v>6.3249999999999993</v>
      </c>
      <c r="Q40" s="9">
        <f>Table1[[#This Row], [ROOM TIME]]+Table1[[#This Row], [GUARD TIME]]</f>
        <v>68.371249999999989</v>
      </c>
      <c r="R40" s="4">
        <f>Sheet1!$K$3*_xlfn.XLOOKUP(Table1[[#This Row], [DISGUISE]],Sheet1!$A$21:$A$23,Sheet1!$D$21:$D$23)</f>
        <v>69</v>
      </c>
      <c r="S40" s="9">
        <f>Table1[[#This Row], [TOTAL TIME]]-Table1[[#This Row], [TOTAL TIME TAKEN]]</f>
        <v>0.6287500000000108</v>
      </c>
      <c r="T40" t="str">
        <f>IF(Table1[[#This Row], [TIME DIFFERENCE]]&gt;=0,"PASS","FAIL")</f>
        <v>PASS</v>
      </c>
      <c r="U40" s="9">
        <f>Table1[[#This Row], [TRC]]+Table1[[#This Row], [DRC]]+Table1[[#This Row], [WRC]]+Table1[[#This Row], [ERC]]+Table1[[#This Row], [EQRC]]</f>
        <v>7820948.1312499996</v>
      </c>
      <c r="V40" s="9">
        <f>Table1[[#This Row], [TOTAL COST]]+_xlfn.XLOOKUP(Table1[[#This Row], [TEAM]],Sheet1!$A$12:$A$17,Sheet1!$I$12:$I$17)</f>
        <v>8118428.1312499996</v>
      </c>
      <c r="W40" s="9">
        <f>Table1[[#This Row], [LOOT]]-Table1[[#This Row], [TOTAL COST]]</f>
        <v>10129051.86875</v>
      </c>
      <c r="X40" s="9">
        <f>IF(Table1[[#This Row], [PASS/FAIL]]="FAIL",0,Table1[[#This Row], [PROFIT]])</f>
        <v>10129051.86875</v>
      </c>
    </row>
    <row r="41" spans="1:24" ht="19.5" customHeight="1" x14ac:dyDescent="0.45">
      <c r="A41" t="s">
        <v>13</v>
      </c>
      <c r="B41" s="14">
        <f>_xlfn.XLOOKUP(Table1[[#This Row], [TEAM]],Sheet1!$A$12:$A$17,Sheet1!$F$12:$F$17)</f>
        <v>3</v>
      </c>
      <c r="C41" s="14">
        <f>_xlfn.XLOOKUP(Table1[[#This Row], [TEAM]],Sheet1!$A$12:$A$17,Sheet1!$G$12:$G$17)</f>
        <v>5930000</v>
      </c>
      <c r="D41" t="s">
        <v>18</v>
      </c>
      <c r="E41" s="4">
        <f>_xlfn.XLOOKUP(Table1[[#This Row], [ROOM]],Sheet1!$A$47:$A$66,Sheet1!$B$47:$B$66)</f>
        <v>134</v>
      </c>
      <c r="F41" t="s">
        <v>62</v>
      </c>
      <c r="G41" s="4">
        <f>_xlfn.XLOOKUP(Table1[[#This Row], [DISGUISE]],Sheet1!$A$21:$A$23,Sheet1!$B$21:$B$23)*Table1[[#This Row], [NUM OF MEM]]*(1+_xlfn.XLOOKUP(Table1[[#This Row], [DISGUISE]],Sheet1!$A$21:$A$23,Sheet1!$C$21:$C$23))</f>
        <v>15600</v>
      </c>
      <c r="H41" s="13" t="s">
        <v>66</v>
      </c>
      <c r="I41" s="4">
        <f>_xlfn.XLOOKUP(Table1[[#This Row], [WEAPON]],Sheet1!$A$27:$A$29,Sheet1!$B$27:$B$29)*Table1[[#This Row], [NUM OF MEM]]*(1+_xlfn.XLOOKUP(Table1[[#This Row], [WEAPON]],Sheet1!$A$27:$A$29,Sheet1!$C$27:$C$29))</f>
        <v>108000</v>
      </c>
      <c r="J41" t="s">
        <v>64</v>
      </c>
      <c r="K41" s="9">
        <f>Table1[[#This Row], [NUM OF MEM]]*Table1[[#This Row], [TOTAL TIME TAKEN]]*_xlfn.XLOOKUP(Table1[[#This Row], [EXIT]],Sheet1!$A$70:$A$71,Sheet1!$B$70:$B$71)*(1+_xlfn.XLOOKUP(Table1[[#This Row], [EXIT]],Sheet1!$A$70:$A$71,Sheet1!$C$70:$C$71))</f>
        <v>1867427.9999999998</v>
      </c>
      <c r="L41" s="13" t="s">
        <v>61</v>
      </c>
      <c r="M41" s="4">
        <f>IF(Table1[[#This Row], [EQUIPMENT]]="YES",Sheet1!$C$44*(1+Sheet1!$D$44),0)</f>
        <v>0</v>
      </c>
      <c r="N41" s="4">
        <f>_xlfn.XLOOKUP(Table1[[#This Row], [ROOM]],Sheet1!$A$47:$A$66,Sheet1!$F$47:$F$66)</f>
        <v>18050000</v>
      </c>
      <c r="O41" s="9">
        <f>_xlfn.XLOOKUP(_xlfn.CONCAT(Table1[[#This Row], [TEAM]],Table1[[#This Row], [ROOM]]),'ROOM TIME'!$H$2:$H$121,'ROOM TIME'!$J$2:$J$121)</f>
        <v>43.030555555555544</v>
      </c>
      <c r="P41" s="4">
        <f>(INDEX(Sheet1!$X$48:$Z$67,MATCH(Table1[[#This Row], [ROOM]],Sheet1!$P$48:$P$67,0),MATCH(Table1[[#This Row], [WEAPON]],Sheet1!$X$47:$Z$47,0)))/Table1[[#This Row], [NUM OF MEM]]</f>
        <v>5</v>
      </c>
      <c r="Q41" s="9">
        <f>Table1[[#This Row], [ROOM TIME]]+Table1[[#This Row], [GUARD TIME]]</f>
        <v>48.030555555555544</v>
      </c>
      <c r="R41" s="4">
        <f>Sheet1!$K$3*_xlfn.XLOOKUP(Table1[[#This Row], [DISGUISE]],Sheet1!$A$21:$A$23,Sheet1!$D$21:$D$23)</f>
        <v>66</v>
      </c>
      <c r="S41" s="9">
        <f>Table1[[#This Row], [TOTAL TIME]]-Table1[[#This Row], [TOTAL TIME TAKEN]]</f>
        <v>17.969444444444456</v>
      </c>
      <c r="T41" t="str">
        <f>IF(Table1[[#This Row], [TIME DIFFERENCE]]&gt;=0,"PASS","FAIL")</f>
        <v>PASS</v>
      </c>
      <c r="U41" s="4">
        <f>Table1[[#This Row], [TRC]]+Table1[[#This Row], [DRC]]+Table1[[#This Row], [WRC]]+Table1[[#This Row], [ERC]]+Table1[[#This Row], [EQRC]]</f>
        <v>7921028</v>
      </c>
      <c r="V41" s="4">
        <f>Table1[[#This Row], [TOTAL COST]]+_xlfn.XLOOKUP(Table1[[#This Row], [TEAM]],Sheet1!$A$12:$A$17,Sheet1!$I$12:$I$17)</f>
        <v>8217528</v>
      </c>
      <c r="W41" s="4">
        <f>Table1[[#This Row], [LOOT]]-Table1[[#This Row], [TOTAL COST]]</f>
        <v>10128972</v>
      </c>
      <c r="X41" s="4">
        <f>IF(Table1[[#This Row], [PASS/FAIL]]="FAIL",0,Table1[[#This Row], [PROFIT]])</f>
        <v>10128972</v>
      </c>
    </row>
    <row r="42" spans="1:24" ht="19.5" customHeight="1" x14ac:dyDescent="0.45">
      <c r="A42" t="s">
        <v>12</v>
      </c>
      <c r="B42" s="14">
        <f>_xlfn.XLOOKUP(Table1[[#This Row], [TEAM]],Sheet1!$A$12:$A$17,Sheet1!$F$12:$F$17)</f>
        <v>3</v>
      </c>
      <c r="C42" s="14">
        <f>_xlfn.XLOOKUP(Table1[[#This Row], [TEAM]],Sheet1!$A$12:$A$17,Sheet1!$G$12:$G$17)</f>
        <v>5988750</v>
      </c>
      <c r="D42" t="s">
        <v>18</v>
      </c>
      <c r="E42" s="4">
        <f>_xlfn.XLOOKUP(Table1[[#This Row], [ROOM]],Sheet1!$A$47:$A$66,Sheet1!$B$47:$B$66)</f>
        <v>134</v>
      </c>
      <c r="F42" t="s">
        <v>58</v>
      </c>
      <c r="G42" s="4">
        <f>_xlfn.XLOOKUP(Table1[[#This Row], [DISGUISE]],Sheet1!$A$21:$A$23,Sheet1!$B$21:$B$23)*Table1[[#This Row], [NUM OF MEM]]*(1+_xlfn.XLOOKUP(Table1[[#This Row], [DISGUISE]],Sheet1!$A$21:$A$23,Sheet1!$C$21:$C$23))</f>
        <v>38400</v>
      </c>
      <c r="H42" s="13" t="s">
        <v>66</v>
      </c>
      <c r="I42" s="4">
        <f>_xlfn.XLOOKUP(Table1[[#This Row], [WEAPON]],Sheet1!$A$27:$A$29,Sheet1!$B$27:$B$29)*Table1[[#This Row], [NUM OF MEM]]*(1+_xlfn.XLOOKUP(Table1[[#This Row], [WEAPON]],Sheet1!$A$27:$A$29,Sheet1!$C$27:$C$29))</f>
        <v>108000</v>
      </c>
      <c r="J42" t="s">
        <v>60</v>
      </c>
      <c r="K42" s="9">
        <f>Table1[[#This Row], [NUM OF MEM]]*Table1[[#This Row], [TOTAL TIME TAKEN]]*_xlfn.XLOOKUP(Table1[[#This Row], [EXIT]],Sheet1!$A$70:$A$71,Sheet1!$B$70:$B$71)*(1+_xlfn.XLOOKUP(Table1[[#This Row], [EXIT]],Sheet1!$A$70:$A$71,Sheet1!$C$70:$C$71))</f>
        <v>1787011.1749999996</v>
      </c>
      <c r="L42" s="13" t="s">
        <v>61</v>
      </c>
      <c r="M42" s="4">
        <f>IF(Table1[[#This Row], [EQUIPMENT]]="YES",Sheet1!$C$44*(1+Sheet1!$D$44),0)</f>
        <v>0</v>
      </c>
      <c r="N42" s="4">
        <f>_xlfn.XLOOKUP(Table1[[#This Row], [ROOM]],Sheet1!$A$47:$A$66,Sheet1!$F$47:$F$66)</f>
        <v>18050000</v>
      </c>
      <c r="O42" s="9">
        <f>_xlfn.XLOOKUP(_xlfn.CONCAT(Table1[[#This Row], [TEAM]],Table1[[#This Row], [ROOM]]),'ROOM TIME'!$H$2:$H$121,'ROOM TIME'!$J$2:$J$121)</f>
        <v>41.41888888888888</v>
      </c>
      <c r="P42" s="4">
        <f>(INDEX(Sheet1!$X$48:$Z$67,MATCH(Table1[[#This Row], [ROOM]],Sheet1!$P$48:$P$67,0),MATCH(Table1[[#This Row], [WEAPON]],Sheet1!$X$47:$Z$47,0)))/Table1[[#This Row], [NUM OF MEM]]</f>
        <v>5</v>
      </c>
      <c r="Q42" s="9">
        <f>Table1[[#This Row], [ROOM TIME]]+Table1[[#This Row], [GUARD TIME]]</f>
        <v>46.41888888888888</v>
      </c>
      <c r="R42" s="4">
        <f>Sheet1!$K$3*_xlfn.XLOOKUP(Table1[[#This Row], [DISGUISE]],Sheet1!$A$21:$A$23,Sheet1!$D$21:$D$23)</f>
        <v>69</v>
      </c>
      <c r="S42" s="9">
        <f>Table1[[#This Row], [TOTAL TIME]]-Table1[[#This Row], [TOTAL TIME TAKEN]]</f>
        <v>22.58111111111112</v>
      </c>
      <c r="T42" t="str">
        <f>IF(Table1[[#This Row], [TIME DIFFERENCE]]&gt;=0,"PASS","FAIL")</f>
        <v>PASS</v>
      </c>
      <c r="U42" s="9">
        <f>Table1[[#This Row], [TRC]]+Table1[[#This Row], [DRC]]+Table1[[#This Row], [WRC]]+Table1[[#This Row], [ERC]]+Table1[[#This Row], [EQRC]]</f>
        <v>7922161.1749999998</v>
      </c>
      <c r="V42" s="9">
        <f>Table1[[#This Row], [TOTAL COST]]+_xlfn.XLOOKUP(Table1[[#This Row], [TEAM]],Sheet1!$A$12:$A$17,Sheet1!$I$12:$I$17)</f>
        <v>8221598.6749999998</v>
      </c>
      <c r="W42" s="9">
        <f>Table1[[#This Row], [LOOT]]-Table1[[#This Row], [TOTAL COST]]</f>
        <v>10127838.824999999</v>
      </c>
      <c r="X42" s="9">
        <f>IF(Table1[[#This Row], [PASS/FAIL]]="FAIL",0,Table1[[#This Row], [PROFIT]])</f>
        <v>10127838.824999999</v>
      </c>
    </row>
    <row r="43" spans="1:24" ht="19.5" customHeight="1" x14ac:dyDescent="0.45">
      <c r="A43" t="s">
        <v>12</v>
      </c>
      <c r="B43" s="14">
        <f>_xlfn.XLOOKUP(Table1[[#This Row], [TEAM]],Sheet1!$A$12:$A$17,Sheet1!$F$12:$F$17)</f>
        <v>3</v>
      </c>
      <c r="C43" s="14">
        <f>_xlfn.XLOOKUP(Table1[[#This Row], [TEAM]],Sheet1!$A$12:$A$17,Sheet1!$G$12:$G$17)</f>
        <v>5988750</v>
      </c>
      <c r="D43" t="s">
        <v>24</v>
      </c>
      <c r="E43" s="4">
        <f>_xlfn.XLOOKUP(Table1[[#This Row], [ROOM]],Sheet1!$A$47:$A$66,Sheet1!$B$47:$B$66)</f>
        <v>345</v>
      </c>
      <c r="F43" t="s">
        <v>62</v>
      </c>
      <c r="G43" s="4">
        <f>_xlfn.XLOOKUP(Table1[[#This Row], [DISGUISE]],Sheet1!$A$21:$A$23,Sheet1!$B$21:$B$23)*Table1[[#This Row], [NUM OF MEM]]*(1+_xlfn.XLOOKUP(Table1[[#This Row], [DISGUISE]],Sheet1!$A$21:$A$23,Sheet1!$C$21:$C$23))</f>
        <v>15600</v>
      </c>
      <c r="H43" s="13" t="s">
        <v>63</v>
      </c>
      <c r="I43" s="4">
        <f>_xlfn.XLOOKUP(Table1[[#This Row], [WEAPON]],Sheet1!$A$27:$A$29,Sheet1!$B$27:$B$29)*Table1[[#This Row], [NUM OF MEM]]*(1+_xlfn.XLOOKUP(Table1[[#This Row], [WEAPON]],Sheet1!$A$27:$A$29,Sheet1!$C$27:$C$29))</f>
        <v>69000</v>
      </c>
      <c r="J43" t="s">
        <v>64</v>
      </c>
      <c r="K43" s="9">
        <f>Table1[[#This Row], [NUM OF MEM]]*Table1[[#This Row], [TOTAL TIME TAKEN]]*_xlfn.XLOOKUP(Table1[[#This Row], [EXIT]],Sheet1!$A$70:$A$71,Sheet1!$B$70:$B$71)*(1+_xlfn.XLOOKUP(Table1[[#This Row], [EXIT]],Sheet1!$A$70:$A$71,Sheet1!$C$70:$C$71))</f>
        <v>1801353.5999999994</v>
      </c>
      <c r="L43" s="13" t="s">
        <v>61</v>
      </c>
      <c r="M43" s="4">
        <f>IF(Table1[[#This Row], [EQUIPMENT]]="YES",Sheet1!$C$44*(1+Sheet1!$D$44),0)</f>
        <v>0</v>
      </c>
      <c r="N43" s="4">
        <f>_xlfn.XLOOKUP(Table1[[#This Row], [ROOM]],Sheet1!$A$47:$A$66,Sheet1!$F$47:$F$66)</f>
        <v>18000000</v>
      </c>
      <c r="O43" s="9">
        <f>_xlfn.XLOOKUP(_xlfn.CONCAT(Table1[[#This Row], [TEAM]],Table1[[#This Row], [ROOM]]),'ROOM TIME'!$H$2:$H$121,'ROOM TIME'!$J$2:$J$121)</f>
        <v>40.9311111111111</v>
      </c>
      <c r="P43" s="9">
        <f>(INDEX(Sheet1!$X$48:$Z$67,MATCH(Table1[[#This Row], [ROOM]],Sheet1!$P$48:$P$67,0),MATCH(Table1[[#This Row], [WEAPON]],Sheet1!$X$47:$Z$47,0)))/Table1[[#This Row], [NUM OF MEM]]</f>
        <v>5.4000000000000012</v>
      </c>
      <c r="Q43" s="9">
        <f>Table1[[#This Row], [ROOM TIME]]+Table1[[#This Row], [GUARD TIME]]</f>
        <v>46.331111111111099</v>
      </c>
      <c r="R43" s="4">
        <f>Sheet1!$K$3*_xlfn.XLOOKUP(Table1[[#This Row], [DISGUISE]],Sheet1!$A$21:$A$23,Sheet1!$D$21:$D$23)</f>
        <v>66</v>
      </c>
      <c r="S43" s="9">
        <f>Table1[[#This Row], [TOTAL TIME]]-Table1[[#This Row], [TOTAL TIME TAKEN]]</f>
        <v>19.668888888888901</v>
      </c>
      <c r="T43" t="str">
        <f>IF(Table1[[#This Row], [TIME DIFFERENCE]]&gt;=0,"PASS","FAIL")</f>
        <v>PASS</v>
      </c>
      <c r="U43" s="9">
        <f>Table1[[#This Row], [TRC]]+Table1[[#This Row], [DRC]]+Table1[[#This Row], [WRC]]+Table1[[#This Row], [ERC]]+Table1[[#This Row], [EQRC]]</f>
        <v>7874703.5999999996</v>
      </c>
      <c r="V43" s="9">
        <f>Table1[[#This Row], [TOTAL COST]]+_xlfn.XLOOKUP(Table1[[#This Row], [TEAM]],Sheet1!$A$12:$A$17,Sheet1!$I$12:$I$17)</f>
        <v>8174141.0999999996</v>
      </c>
      <c r="W43" s="9">
        <f>Table1[[#This Row], [LOOT]]-Table1[[#This Row], [TOTAL COST]]</f>
        <v>10125296.4</v>
      </c>
      <c r="X43" s="9">
        <f>IF(Table1[[#This Row], [PASS/FAIL]]="FAIL",0,Table1[[#This Row], [PROFIT]])</f>
        <v>10125296.4</v>
      </c>
    </row>
    <row r="44" spans="1:24" ht="19.5" customHeight="1" x14ac:dyDescent="0.45">
      <c r="A44" t="s">
        <v>13</v>
      </c>
      <c r="B44" s="14">
        <f>_xlfn.XLOOKUP(Table1[[#This Row], [TEAM]],Sheet1!$A$12:$A$17,Sheet1!$F$12:$F$17)</f>
        <v>3</v>
      </c>
      <c r="C44" s="14">
        <f>_xlfn.XLOOKUP(Table1[[#This Row], [TEAM]],Sheet1!$A$12:$A$17,Sheet1!$G$12:$G$17)</f>
        <v>5930000</v>
      </c>
      <c r="D44" t="s">
        <v>18</v>
      </c>
      <c r="E44" s="4">
        <f>_xlfn.XLOOKUP(Table1[[#This Row], [ROOM]],Sheet1!$A$47:$A$66,Sheet1!$B$47:$B$66)</f>
        <v>134</v>
      </c>
      <c r="F44" t="s">
        <v>58</v>
      </c>
      <c r="G44" s="4">
        <f>_xlfn.XLOOKUP(Table1[[#This Row], [DISGUISE]],Sheet1!$A$21:$A$23,Sheet1!$B$21:$B$23)*Table1[[#This Row], [NUM OF MEM]]*(1+_xlfn.XLOOKUP(Table1[[#This Row], [DISGUISE]],Sheet1!$A$21:$A$23,Sheet1!$C$21:$C$23))</f>
        <v>38400</v>
      </c>
      <c r="H44" s="13" t="s">
        <v>66</v>
      </c>
      <c r="I44" s="4">
        <f>_xlfn.XLOOKUP(Table1[[#This Row], [WEAPON]],Sheet1!$A$27:$A$29,Sheet1!$B$27:$B$29)*Table1[[#This Row], [NUM OF MEM]]*(1+_xlfn.XLOOKUP(Table1[[#This Row], [WEAPON]],Sheet1!$A$27:$A$29,Sheet1!$C$27:$C$29))</f>
        <v>108000</v>
      </c>
      <c r="J44" t="s">
        <v>60</v>
      </c>
      <c r="K44" s="9">
        <f>Table1[[#This Row], [NUM OF MEM]]*Table1[[#This Row], [TOTAL TIME TAKEN]]*_xlfn.XLOOKUP(Table1[[#This Row], [EXIT]],Sheet1!$A$70:$A$71,Sheet1!$B$70:$B$71)*(1+_xlfn.XLOOKUP(Table1[[#This Row], [EXIT]],Sheet1!$A$70:$A$71,Sheet1!$C$70:$C$71))</f>
        <v>1849056.3124999995</v>
      </c>
      <c r="L44" s="13" t="s">
        <v>61</v>
      </c>
      <c r="M44" s="4">
        <f>IF(Table1[[#This Row], [EQUIPMENT]]="YES",Sheet1!$C$44*(1+Sheet1!$D$44),0)</f>
        <v>0</v>
      </c>
      <c r="N44" s="4">
        <f>_xlfn.XLOOKUP(Table1[[#This Row], [ROOM]],Sheet1!$A$47:$A$66,Sheet1!$F$47:$F$66)</f>
        <v>18050000</v>
      </c>
      <c r="O44" s="9">
        <f>_xlfn.XLOOKUP(_xlfn.CONCAT(Table1[[#This Row], [TEAM]],Table1[[#This Row], [ROOM]]),'ROOM TIME'!$H$2:$H$121,'ROOM TIME'!$J$2:$J$121)</f>
        <v>43.030555555555544</v>
      </c>
      <c r="P44" s="4">
        <f>(INDEX(Sheet1!$X$48:$Z$67,MATCH(Table1[[#This Row], [ROOM]],Sheet1!$P$48:$P$67,0),MATCH(Table1[[#This Row], [WEAPON]],Sheet1!$X$47:$Z$47,0)))/Table1[[#This Row], [NUM OF MEM]]</f>
        <v>5</v>
      </c>
      <c r="Q44" s="9">
        <f>Table1[[#This Row], [ROOM TIME]]+Table1[[#This Row], [GUARD TIME]]</f>
        <v>48.030555555555544</v>
      </c>
      <c r="R44" s="4">
        <f>Sheet1!$K$3*_xlfn.XLOOKUP(Table1[[#This Row], [DISGUISE]],Sheet1!$A$21:$A$23,Sheet1!$D$21:$D$23)</f>
        <v>69</v>
      </c>
      <c r="S44" s="9">
        <f>Table1[[#This Row], [TOTAL TIME]]-Table1[[#This Row], [TOTAL TIME TAKEN]]</f>
        <v>20.969444444444456</v>
      </c>
      <c r="T44" t="str">
        <f>IF(Table1[[#This Row], [TIME DIFFERENCE]]&gt;=0,"PASS","FAIL")</f>
        <v>PASS</v>
      </c>
      <c r="U44" s="9">
        <f>Table1[[#This Row], [TRC]]+Table1[[#This Row], [DRC]]+Table1[[#This Row], [WRC]]+Table1[[#This Row], [ERC]]+Table1[[#This Row], [EQRC]]</f>
        <v>7925456.3125</v>
      </c>
      <c r="V44" s="9">
        <f>Table1[[#This Row], [TOTAL COST]]+_xlfn.XLOOKUP(Table1[[#This Row], [TEAM]],Sheet1!$A$12:$A$17,Sheet1!$I$12:$I$17)</f>
        <v>8221956.3125</v>
      </c>
      <c r="W44" s="9">
        <f>Table1[[#This Row], [LOOT]]-Table1[[#This Row], [TOTAL COST]]</f>
        <v>10124543.6875</v>
      </c>
      <c r="X44" s="9">
        <f>IF(Table1[[#This Row], [PASS/FAIL]]="FAIL",0,Table1[[#This Row], [PROFIT]])</f>
        <v>10124543.6875</v>
      </c>
    </row>
    <row r="45" spans="1:24" ht="19.5" customHeight="1" x14ac:dyDescent="0.45">
      <c r="A45" t="s">
        <v>15</v>
      </c>
      <c r="B45" s="14">
        <f>_xlfn.XLOOKUP(Table1[[#This Row], [TEAM]],Sheet1!$A$12:$A$17,Sheet1!$F$12:$F$17)</f>
        <v>2</v>
      </c>
      <c r="C45" s="14">
        <f>_xlfn.XLOOKUP(Table1[[#This Row], [TEAM]],Sheet1!$A$12:$A$17,Sheet1!$G$12:$G$17)</f>
        <v>5932950</v>
      </c>
      <c r="D45" t="s">
        <v>26</v>
      </c>
      <c r="E45" s="4">
        <f>_xlfn.XLOOKUP(Table1[[#This Row], [ROOM]],Sheet1!$A$47:$A$66,Sheet1!$B$47:$B$66)</f>
        <v>136</v>
      </c>
      <c r="F45" t="s">
        <v>62</v>
      </c>
      <c r="G45" s="4">
        <f>_xlfn.XLOOKUP(Table1[[#This Row], [DISGUISE]],Sheet1!$A$21:$A$23,Sheet1!$B$21:$B$23)*Table1[[#This Row], [NUM OF MEM]]*(1+_xlfn.XLOOKUP(Table1[[#This Row], [DISGUISE]],Sheet1!$A$21:$A$23,Sheet1!$C$21:$C$23))</f>
        <v>10400</v>
      </c>
      <c r="H45" s="13" t="s">
        <v>59</v>
      </c>
      <c r="I45" s="4">
        <f>_xlfn.XLOOKUP(Table1[[#This Row], [WEAPON]],Sheet1!$A$27:$A$29,Sheet1!$B$27:$B$29)*Table1[[#This Row], [NUM OF MEM]]*(1+_xlfn.XLOOKUP(Table1[[#This Row], [WEAPON]],Sheet1!$A$27:$A$29,Sheet1!$C$27:$C$29))</f>
        <v>91000</v>
      </c>
      <c r="J45" t="s">
        <v>60</v>
      </c>
      <c r="K45" s="9">
        <f>Table1[[#This Row], [NUM OF MEM]]*Table1[[#This Row], [TOTAL TIME TAKEN]]*_xlfn.XLOOKUP(Table1[[#This Row], [EXIT]],Sheet1!$A$70:$A$71,Sheet1!$B$70:$B$71)*(1+_xlfn.XLOOKUP(Table1[[#This Row], [EXIT]],Sheet1!$A$70:$A$71,Sheet1!$C$70:$C$71))</f>
        <v>1683880.6499999997</v>
      </c>
      <c r="L45" s="13" t="s">
        <v>65</v>
      </c>
      <c r="M45" s="4">
        <f>IF(Table1[[#This Row], [EQUIPMENT]]="YES",Sheet1!$C$44*(1+Sheet1!$D$44),0)</f>
        <v>307500</v>
      </c>
      <c r="N45" s="4">
        <f>_xlfn.XLOOKUP(Table1[[#This Row], [ROOM]],Sheet1!$A$47:$A$66,Sheet1!$F$47:$F$66)</f>
        <v>18150000</v>
      </c>
      <c r="O45" s="9">
        <f>_xlfn.XLOOKUP(_xlfn.CONCAT(Table1[[#This Row], [TEAM]],Table1[[#This Row], [ROOM]]),'ROOM TIME'!$H$2:$H$121,'ROOM TIME'!$J$2:$J$121)</f>
        <v>58.70999999999998</v>
      </c>
      <c r="P45" s="9">
        <f>(INDEX(Sheet1!$X$48:$Z$67,MATCH(Table1[[#This Row], [ROOM]],Sheet1!$P$48:$P$67,0),MATCH(Table1[[#This Row], [WEAPON]],Sheet1!$X$47:$Z$47,0)))/Table1[[#This Row], [NUM OF MEM]]</f>
        <v>6.8999999999999995</v>
      </c>
      <c r="Q45" s="9">
        <f>Table1[[#This Row], [ROOM TIME]]+Table1[[#This Row], [GUARD TIME]]</f>
        <v>65.609999999999985</v>
      </c>
      <c r="R45" s="4">
        <f>Sheet1!$K$3*_xlfn.XLOOKUP(Table1[[#This Row], [DISGUISE]],Sheet1!$A$21:$A$23,Sheet1!$D$21:$D$23)</f>
        <v>66</v>
      </c>
      <c r="S45" s="9">
        <f>Table1[[#This Row], [TOTAL TIME]]-Table1[[#This Row], [TOTAL TIME TAKEN]]</f>
        <v>0.39000000000001478</v>
      </c>
      <c r="T45" t="str">
        <f>IF(Table1[[#This Row], [TIME DIFFERENCE]]&gt;=0,"PASS","FAIL")</f>
        <v>PASS</v>
      </c>
      <c r="U45" s="9">
        <f>Table1[[#This Row], [TRC]]+Table1[[#This Row], [DRC]]+Table1[[#This Row], [WRC]]+Table1[[#This Row], [ERC]]+Table1[[#This Row], [EQRC]]</f>
        <v>8025730.6499999994</v>
      </c>
      <c r="V45" s="9">
        <f>Table1[[#This Row], [TOTAL COST]]+_xlfn.XLOOKUP(Table1[[#This Row], [TEAM]],Sheet1!$A$12:$A$17,Sheet1!$I$12:$I$17)</f>
        <v>8322378.1499999994</v>
      </c>
      <c r="W45" s="9">
        <f>Table1[[#This Row], [LOOT]]-Table1[[#This Row], [TOTAL COST]]</f>
        <v>10124269.350000001</v>
      </c>
      <c r="X45" s="9">
        <f>IF(Table1[[#This Row], [PASS/FAIL]]="FAIL",0,Table1[[#This Row], [PROFIT]])</f>
        <v>10124269.350000001</v>
      </c>
    </row>
    <row r="46" spans="1:24" ht="19.5" customHeight="1" x14ac:dyDescent="0.45">
      <c r="A46" t="s">
        <v>15</v>
      </c>
      <c r="B46" s="14">
        <f>_xlfn.XLOOKUP(Table1[[#This Row], [TEAM]],Sheet1!$A$12:$A$17,Sheet1!$F$12:$F$17)</f>
        <v>2</v>
      </c>
      <c r="C46" s="14">
        <f>_xlfn.XLOOKUP(Table1[[#This Row], [TEAM]],Sheet1!$A$12:$A$17,Sheet1!$G$12:$G$17)</f>
        <v>5932950</v>
      </c>
      <c r="D46" t="s">
        <v>26</v>
      </c>
      <c r="E46" s="4">
        <f>_xlfn.XLOOKUP(Table1[[#This Row], [ROOM]],Sheet1!$A$47:$A$66,Sheet1!$B$47:$B$66)</f>
        <v>136</v>
      </c>
      <c r="F46" t="s">
        <v>58</v>
      </c>
      <c r="G46" s="4">
        <f>_xlfn.XLOOKUP(Table1[[#This Row], [DISGUISE]],Sheet1!$A$21:$A$23,Sheet1!$B$21:$B$23)*Table1[[#This Row], [NUM OF MEM]]*(1+_xlfn.XLOOKUP(Table1[[#This Row], [DISGUISE]],Sheet1!$A$21:$A$23,Sheet1!$C$21:$C$23))</f>
        <v>25600</v>
      </c>
      <c r="H46" s="13" t="s">
        <v>63</v>
      </c>
      <c r="I46" s="4">
        <f>_xlfn.XLOOKUP(Table1[[#This Row], [WEAPON]],Sheet1!$A$27:$A$29,Sheet1!$B$27:$B$29)*Table1[[#This Row], [NUM OF MEM]]*(1+_xlfn.XLOOKUP(Table1[[#This Row], [WEAPON]],Sheet1!$A$27:$A$29,Sheet1!$C$27:$C$29))</f>
        <v>46000</v>
      </c>
      <c r="J46" t="s">
        <v>60</v>
      </c>
      <c r="K46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1714678.6499999992</v>
      </c>
      <c r="L46" s="13" t="s">
        <v>65</v>
      </c>
      <c r="M46" s="4">
        <f>IF(Table1[[#This Row], [EQUIPMENT]]="YES",Sheet1!$C$44*(1+Sheet1!$D$44),0)</f>
        <v>307500</v>
      </c>
      <c r="N46" s="4">
        <f>_xlfn.XLOOKUP(Table1[[#This Row], [ROOM]],Sheet1!$A$47:$A$66,Sheet1!$F$47:$F$66)</f>
        <v>18150000</v>
      </c>
      <c r="O46" s="9">
        <f>_xlfn.XLOOKUP(_xlfn.CONCAT(Table1[[#This Row], [TEAM]],Table1[[#This Row], [ROOM]]),'ROOM TIME'!$H$2:$H$121,'ROOM TIME'!$J$2:$J$121)</f>
        <v>58.70999999999998</v>
      </c>
      <c r="P46" s="9">
        <f>(INDEX(Sheet1!$X$48:$Z$67,MATCH(Table1[[#This Row], [ROOM]],Sheet1!$P$48:$P$67,0),MATCH(Table1[[#This Row], [WEAPON]],Sheet1!$X$47:$Z$47,0)))/Table1[[#This Row], [NUM OF MEM]]</f>
        <v>8.1000000000000014</v>
      </c>
      <c r="Q46" s="9">
        <f>Table1[[#This Row], [ROOM TIME]]+Table1[[#This Row], [GUARD TIME]]</f>
        <v>66.809999999999974</v>
      </c>
      <c r="R46" s="4">
        <f>Sheet1!$K$3*_xlfn.XLOOKUP(Table1[[#This Row], [DISGUISE]],Sheet1!$A$21:$A$23,Sheet1!$D$21:$D$23)</f>
        <v>69</v>
      </c>
      <c r="S46" s="9">
        <f>Table1[[#This Row], [TOTAL TIME]]-Table1[[#This Row], [TOTAL TIME TAKEN]]</f>
        <v>2.1900000000000261</v>
      </c>
      <c r="T46" t="str">
        <f>IF(Table1[[#This Row], [TIME DIFFERENCE]]&gt;=0,"PASS","FAIL")</f>
        <v>PASS</v>
      </c>
      <c r="U46" s="9">
        <f>Table1[[#This Row], [TRC]]+Table1[[#This Row], [DRC]]+Table1[[#This Row], [WRC]]+Table1[[#This Row], [ERC]]+Table1[[#This Row], [EQRC]]</f>
        <v>8026728.6499999994</v>
      </c>
      <c r="V46" s="9">
        <f>Table1[[#This Row], [TOTAL COST]]+_xlfn.XLOOKUP(Table1[[#This Row], [TEAM]],Sheet1!$A$12:$A$17,Sheet1!$I$12:$I$17)</f>
        <v>8323376.1499999994</v>
      </c>
      <c r="W46" s="9">
        <f>Table1[[#This Row], [LOOT]]-Table1[[#This Row], [TOTAL COST]]</f>
        <v>10123271.350000001</v>
      </c>
      <c r="X46" s="9">
        <f>IF(Table1[[#This Row], [PASS/FAIL]]="FAIL",0,Table1[[#This Row], [PROFIT]])</f>
        <v>10123271.350000001</v>
      </c>
    </row>
    <row r="47" spans="1:24" ht="19.5" customHeight="1" x14ac:dyDescent="0.45">
      <c r="A47" t="s">
        <v>14</v>
      </c>
      <c r="B47" s="14">
        <f>_xlfn.XLOOKUP(Table1[[#This Row], [TEAM]],Sheet1!$A$12:$A$17,Sheet1!$F$12:$F$17)</f>
        <v>2</v>
      </c>
      <c r="C47" s="14">
        <f>_xlfn.XLOOKUP(Table1[[#This Row], [TEAM]],Sheet1!$A$12:$A$17,Sheet1!$G$12:$G$17)</f>
        <v>5949600</v>
      </c>
      <c r="D47" t="s">
        <v>26</v>
      </c>
      <c r="E47" s="4">
        <f>_xlfn.XLOOKUP(Table1[[#This Row], [ROOM]],Sheet1!$A$47:$A$66,Sheet1!$B$47:$B$66)</f>
        <v>136</v>
      </c>
      <c r="F47" t="s">
        <v>62</v>
      </c>
      <c r="G47" s="4">
        <f>_xlfn.XLOOKUP(Table1[[#This Row], [DISGUISE]],Sheet1!$A$21:$A$23,Sheet1!$B$21:$B$23)*Table1[[#This Row], [NUM OF MEM]]*(1+_xlfn.XLOOKUP(Table1[[#This Row], [DISGUISE]],Sheet1!$A$21:$A$23,Sheet1!$C$21:$C$23))</f>
        <v>10400</v>
      </c>
      <c r="H47" s="13" t="s">
        <v>66</v>
      </c>
      <c r="I47" s="4">
        <f>_xlfn.XLOOKUP(Table1[[#This Row], [WEAPON]],Sheet1!$A$27:$A$29,Sheet1!$B$27:$B$29)*Table1[[#This Row], [NUM OF MEM]]*(1+_xlfn.XLOOKUP(Table1[[#This Row], [WEAPON]],Sheet1!$A$27:$A$29,Sheet1!$C$27:$C$29))</f>
        <v>72000</v>
      </c>
      <c r="J47" t="s">
        <v>60</v>
      </c>
      <c r="K47" s="9">
        <f>Table1[[#This Row], [NUM OF MEM]]*Table1[[#This Row], [TOTAL TIME TAKEN]]*_xlfn.XLOOKUP(Table1[[#This Row], [EXIT]],Sheet1!$A$70:$A$71,Sheet1!$B$70:$B$71)*(1+_xlfn.XLOOKUP(Table1[[#This Row], [EXIT]],Sheet1!$A$70:$A$71,Sheet1!$C$70:$C$71))</f>
        <v>1687249.1812499992</v>
      </c>
      <c r="L47" s="13" t="s">
        <v>65</v>
      </c>
      <c r="M47" s="4">
        <f>IF(Table1[[#This Row], [EQUIPMENT]]="YES",Sheet1!$C$44*(1+Sheet1!$D$44),0)</f>
        <v>307500</v>
      </c>
      <c r="N47" s="4">
        <f>_xlfn.XLOOKUP(Table1[[#This Row], [ROOM]],Sheet1!$A$47:$A$66,Sheet1!$F$47:$F$66)</f>
        <v>18150000</v>
      </c>
      <c r="O47" s="9">
        <f>_xlfn.XLOOKUP(_xlfn.CONCAT(Table1[[#This Row], [TEAM]],Table1[[#This Row], [ROOM]]),'ROOM TIME'!$H$2:$H$121,'ROOM TIME'!$J$2:$J$121)</f>
        <v>58.241249999999987</v>
      </c>
      <c r="P47" s="9">
        <f>(INDEX(Sheet1!$X$48:$Z$67,MATCH(Table1[[#This Row], [ROOM]],Sheet1!$P$48:$P$67,0),MATCH(Table1[[#This Row], [WEAPON]],Sheet1!$X$47:$Z$47,0)))/Table1[[#This Row], [NUM OF MEM]]</f>
        <v>7.5</v>
      </c>
      <c r="Q47" s="9">
        <f>Table1[[#This Row], [ROOM TIME]]+Table1[[#This Row], [GUARD TIME]]</f>
        <v>65.74124999999998</v>
      </c>
      <c r="R47" s="4">
        <f>Sheet1!$K$3*_xlfn.XLOOKUP(Table1[[#This Row], [DISGUISE]],Sheet1!$A$21:$A$23,Sheet1!$D$21:$D$23)</f>
        <v>66</v>
      </c>
      <c r="S47" s="9">
        <f>Table1[[#This Row], [TOTAL TIME]]-Table1[[#This Row], [TOTAL TIME TAKEN]]</f>
        <v>0.25875000000002046</v>
      </c>
      <c r="T47" t="str">
        <f>IF(Table1[[#This Row], [TIME DIFFERENCE]]&gt;=0,"PASS","FAIL")</f>
        <v>PASS</v>
      </c>
      <c r="U47" s="9">
        <f>Table1[[#This Row], [TRC]]+Table1[[#This Row], [DRC]]+Table1[[#This Row], [WRC]]+Table1[[#This Row], [ERC]]+Table1[[#This Row], [EQRC]]</f>
        <v>8026749.1812499994</v>
      </c>
      <c r="V47" s="9">
        <f>Table1[[#This Row], [TOTAL COST]]+_xlfn.XLOOKUP(Table1[[#This Row], [TEAM]],Sheet1!$A$12:$A$17,Sheet1!$I$12:$I$17)</f>
        <v>8324229.1812499994</v>
      </c>
      <c r="W47" s="9">
        <f>Table1[[#This Row], [LOOT]]-Table1[[#This Row], [TOTAL COST]]</f>
        <v>10123250.818750001</v>
      </c>
      <c r="X47" s="9">
        <f>IF(Table1[[#This Row], [PASS/FAIL]]="FAIL",0,Table1[[#This Row], [PROFIT]])</f>
        <v>10123250.818750001</v>
      </c>
    </row>
    <row r="48" spans="1:24" ht="19.5" customHeight="1" x14ac:dyDescent="0.45">
      <c r="A48" t="s">
        <v>12</v>
      </c>
      <c r="B48" s="14">
        <f>_xlfn.XLOOKUP(Table1[[#This Row], [TEAM]],Sheet1!$A$12:$A$17,Sheet1!$F$12:$F$17)</f>
        <v>3</v>
      </c>
      <c r="C48" s="14">
        <f>_xlfn.XLOOKUP(Table1[[#This Row], [TEAM]],Sheet1!$A$12:$A$17,Sheet1!$G$12:$G$17)</f>
        <v>5988750</v>
      </c>
      <c r="D48" t="s">
        <v>24</v>
      </c>
      <c r="E48" s="4">
        <f>_xlfn.XLOOKUP(Table1[[#This Row], [ROOM]],Sheet1!$A$47:$A$66,Sheet1!$B$47:$B$66)</f>
        <v>345</v>
      </c>
      <c r="F48" t="s">
        <v>58</v>
      </c>
      <c r="G48" s="4">
        <f>_xlfn.XLOOKUP(Table1[[#This Row], [DISGUISE]],Sheet1!$A$21:$A$23,Sheet1!$B$21:$B$23)*Table1[[#This Row], [NUM OF MEM]]*(1+_xlfn.XLOOKUP(Table1[[#This Row], [DISGUISE]],Sheet1!$A$21:$A$23,Sheet1!$C$21:$C$23))</f>
        <v>38400</v>
      </c>
      <c r="H48" s="13" t="s">
        <v>63</v>
      </c>
      <c r="I48" s="4">
        <f>_xlfn.XLOOKUP(Table1[[#This Row], [WEAPON]],Sheet1!$A$27:$A$29,Sheet1!$B$27:$B$29)*Table1[[#This Row], [NUM OF MEM]]*(1+_xlfn.XLOOKUP(Table1[[#This Row], [WEAPON]],Sheet1!$A$27:$A$29,Sheet1!$C$27:$C$29))</f>
        <v>69000</v>
      </c>
      <c r="J48" t="s">
        <v>60</v>
      </c>
      <c r="K48" s="9">
        <f>Table1[[#This Row], [NUM OF MEM]]*Table1[[#This Row], [TOTAL TIME TAKEN]]*_xlfn.XLOOKUP(Table1[[#This Row], [EXIT]],Sheet1!$A$70:$A$71,Sheet1!$B$70:$B$71)*(1+_xlfn.XLOOKUP(Table1[[#This Row], [EXIT]],Sheet1!$A$70:$A$71,Sheet1!$C$70:$C$71))</f>
        <v>1783631.9499999993</v>
      </c>
      <c r="L48" s="13" t="s">
        <v>61</v>
      </c>
      <c r="M48" s="4">
        <f>IF(Table1[[#This Row], [EQUIPMENT]]="YES",Sheet1!$C$44*(1+Sheet1!$D$44),0)</f>
        <v>0</v>
      </c>
      <c r="N48" s="4">
        <f>_xlfn.XLOOKUP(Table1[[#This Row], [ROOM]],Sheet1!$A$47:$A$66,Sheet1!$F$47:$F$66)</f>
        <v>18000000</v>
      </c>
      <c r="O48" s="9">
        <f>_xlfn.XLOOKUP(_xlfn.CONCAT(Table1[[#This Row], [TEAM]],Table1[[#This Row], [ROOM]]),'ROOM TIME'!$H$2:$H$121,'ROOM TIME'!$J$2:$J$121)</f>
        <v>40.9311111111111</v>
      </c>
      <c r="P48" s="9">
        <f>(INDEX(Sheet1!$X$48:$Z$67,MATCH(Table1[[#This Row], [ROOM]],Sheet1!$P$48:$P$67,0),MATCH(Table1[[#This Row], [WEAPON]],Sheet1!$X$47:$Z$47,0)))/Table1[[#This Row], [NUM OF MEM]]</f>
        <v>5.4000000000000012</v>
      </c>
      <c r="Q48" s="9">
        <f>Table1[[#This Row], [ROOM TIME]]+Table1[[#This Row], [GUARD TIME]]</f>
        <v>46.331111111111099</v>
      </c>
      <c r="R48" s="4">
        <f>Sheet1!$K$3*_xlfn.XLOOKUP(Table1[[#This Row], [DISGUISE]],Sheet1!$A$21:$A$23,Sheet1!$D$21:$D$23)</f>
        <v>69</v>
      </c>
      <c r="S48" s="9">
        <f>Table1[[#This Row], [TOTAL TIME]]-Table1[[#This Row], [TOTAL TIME TAKEN]]</f>
        <v>22.668888888888901</v>
      </c>
      <c r="T48" t="str">
        <f>IF(Table1[[#This Row], [TIME DIFFERENCE]]&gt;=0,"PASS","FAIL")</f>
        <v>PASS</v>
      </c>
      <c r="U48" s="9">
        <f>Table1[[#This Row], [TRC]]+Table1[[#This Row], [DRC]]+Table1[[#This Row], [WRC]]+Table1[[#This Row], [ERC]]+Table1[[#This Row], [EQRC]]</f>
        <v>7879781.9499999993</v>
      </c>
      <c r="V48" s="9">
        <f>Table1[[#This Row], [TOTAL COST]]+_xlfn.XLOOKUP(Table1[[#This Row], [TEAM]],Sheet1!$A$12:$A$17,Sheet1!$I$12:$I$17)</f>
        <v>8179219.4499999993</v>
      </c>
      <c r="W48" s="9">
        <f>Table1[[#This Row], [LOOT]]-Table1[[#This Row], [TOTAL COST]]</f>
        <v>10120218.050000001</v>
      </c>
      <c r="X48" s="9">
        <f>IF(Table1[[#This Row], [PASS/FAIL]]="FAIL",0,Table1[[#This Row], [PROFIT]])</f>
        <v>10120218.050000001</v>
      </c>
    </row>
    <row r="49" spans="1:24" ht="19.5" customHeight="1" x14ac:dyDescent="0.45">
      <c r="A49" t="s">
        <v>12</v>
      </c>
      <c r="B49" s="14">
        <f>_xlfn.XLOOKUP(Table1[[#This Row], [TEAM]],Sheet1!$A$12:$A$17,Sheet1!$F$12:$F$17)</f>
        <v>3</v>
      </c>
      <c r="C49" s="14">
        <f>_xlfn.XLOOKUP(Table1[[#This Row], [TEAM]],Sheet1!$A$12:$A$17,Sheet1!$G$12:$G$17)</f>
        <v>5988750</v>
      </c>
      <c r="D49" t="s">
        <v>18</v>
      </c>
      <c r="E49" s="4">
        <f>_xlfn.XLOOKUP(Table1[[#This Row], [ROOM]],Sheet1!$A$47:$A$66,Sheet1!$B$47:$B$66)</f>
        <v>134</v>
      </c>
      <c r="F49" t="s">
        <v>62</v>
      </c>
      <c r="G49" s="4">
        <f>_xlfn.XLOOKUP(Table1[[#This Row], [DISGUISE]],Sheet1!$A$21:$A$23,Sheet1!$B$21:$B$23)*Table1[[#This Row], [NUM OF MEM]]*(1+_xlfn.XLOOKUP(Table1[[#This Row], [DISGUISE]],Sheet1!$A$21:$A$23,Sheet1!$C$21:$C$23))</f>
        <v>15600</v>
      </c>
      <c r="H49" s="13" t="s">
        <v>59</v>
      </c>
      <c r="I49" s="4">
        <f>_xlfn.XLOOKUP(Table1[[#This Row], [WEAPON]],Sheet1!$A$27:$A$29,Sheet1!$B$27:$B$29)*Table1[[#This Row], [NUM OF MEM]]*(1+_xlfn.XLOOKUP(Table1[[#This Row], [WEAPON]],Sheet1!$A$27:$A$29,Sheet1!$C$27:$C$29))</f>
        <v>136500</v>
      </c>
      <c r="J49" t="s">
        <v>64</v>
      </c>
      <c r="K49" s="9">
        <f>Table1[[#This Row], [NUM OF MEM]]*Table1[[#This Row], [TOTAL TIME TAKEN]]*_xlfn.XLOOKUP(Table1[[#This Row], [EXIT]],Sheet1!$A$70:$A$71,Sheet1!$B$70:$B$71)*(1+_xlfn.XLOOKUP(Table1[[#This Row], [EXIT]],Sheet1!$A$70:$A$71,Sheet1!$C$70:$C$71))</f>
        <v>1789214.3999999997</v>
      </c>
      <c r="L49" s="13" t="s">
        <v>61</v>
      </c>
      <c r="M49" s="4">
        <f>IF(Table1[[#This Row], [EQUIPMENT]]="YES",Sheet1!$C$44*(1+Sheet1!$D$44),0)</f>
        <v>0</v>
      </c>
      <c r="N49" s="4">
        <f>_xlfn.XLOOKUP(Table1[[#This Row], [ROOM]],Sheet1!$A$47:$A$66,Sheet1!$F$47:$F$66)</f>
        <v>18050000</v>
      </c>
      <c r="O49" s="9">
        <f>_xlfn.XLOOKUP(_xlfn.CONCAT(Table1[[#This Row], [TEAM]],Table1[[#This Row], [ROOM]]),'ROOM TIME'!$H$2:$H$121,'ROOM TIME'!$J$2:$J$121)</f>
        <v>41.41888888888888</v>
      </c>
      <c r="P49" s="9">
        <f>(INDEX(Sheet1!$X$48:$Z$67,MATCH(Table1[[#This Row], [ROOM]],Sheet1!$P$48:$P$67,0),MATCH(Table1[[#This Row], [WEAPON]],Sheet1!$X$47:$Z$47,0)))/Table1[[#This Row], [NUM OF MEM]]</f>
        <v>4.5999999999999996</v>
      </c>
      <c r="Q49" s="9">
        <f>Table1[[#This Row], [ROOM TIME]]+Table1[[#This Row], [GUARD TIME]]</f>
        <v>46.018888888888881</v>
      </c>
      <c r="R49" s="4">
        <f>Sheet1!$K$3*_xlfn.XLOOKUP(Table1[[#This Row], [DISGUISE]],Sheet1!$A$21:$A$23,Sheet1!$D$21:$D$23)</f>
        <v>66</v>
      </c>
      <c r="S49" s="9">
        <f>Table1[[#This Row], [TOTAL TIME]]-Table1[[#This Row], [TOTAL TIME TAKEN]]</f>
        <v>19.981111111111119</v>
      </c>
      <c r="T49" t="str">
        <f>IF(Table1[[#This Row], [TIME DIFFERENCE]]&gt;=0,"PASS","FAIL")</f>
        <v>PASS</v>
      </c>
      <c r="U49" s="9">
        <f>Table1[[#This Row], [TRC]]+Table1[[#This Row], [DRC]]+Table1[[#This Row], [WRC]]+Table1[[#This Row], [ERC]]+Table1[[#This Row], [EQRC]]</f>
        <v>7930064.3999999994</v>
      </c>
      <c r="V49" s="9">
        <f>Table1[[#This Row], [TOTAL COST]]+_xlfn.XLOOKUP(Table1[[#This Row], [TEAM]],Sheet1!$A$12:$A$17,Sheet1!$I$12:$I$17)</f>
        <v>8229501.8999999994</v>
      </c>
      <c r="W49" s="9">
        <f>Table1[[#This Row], [LOOT]]-Table1[[#This Row], [TOTAL COST]]</f>
        <v>10119935.600000001</v>
      </c>
      <c r="X49" s="9">
        <f>IF(Table1[[#This Row], [PASS/FAIL]]="FAIL",0,Table1[[#This Row], [PROFIT]])</f>
        <v>10119935.600000001</v>
      </c>
    </row>
    <row r="50" spans="1:24" ht="19.5" customHeight="1" x14ac:dyDescent="0.45">
      <c r="A50" t="s">
        <v>14</v>
      </c>
      <c r="B50" s="14">
        <f>_xlfn.XLOOKUP(Table1[[#This Row], [TEAM]],Sheet1!$A$12:$A$17,Sheet1!$F$12:$F$17)</f>
        <v>2</v>
      </c>
      <c r="C50" s="14">
        <f>_xlfn.XLOOKUP(Table1[[#This Row], [TEAM]],Sheet1!$A$12:$A$17,Sheet1!$G$12:$G$17)</f>
        <v>5949600</v>
      </c>
      <c r="D50" t="s">
        <v>26</v>
      </c>
      <c r="E50" s="4">
        <f>_xlfn.XLOOKUP(Table1[[#This Row], [ROOM]],Sheet1!$A$47:$A$66,Sheet1!$B$47:$B$66)</f>
        <v>136</v>
      </c>
      <c r="F50" t="s">
        <v>62</v>
      </c>
      <c r="G50" s="4">
        <f>_xlfn.XLOOKUP(Table1[[#This Row], [DISGUISE]],Sheet1!$A$21:$A$23,Sheet1!$B$21:$B$23)*Table1[[#This Row], [NUM OF MEM]]*(1+_xlfn.XLOOKUP(Table1[[#This Row], [DISGUISE]],Sheet1!$A$21:$A$23,Sheet1!$C$21:$C$23))</f>
        <v>10400</v>
      </c>
      <c r="H50" s="13" t="s">
        <v>59</v>
      </c>
      <c r="I50" s="4">
        <f>_xlfn.XLOOKUP(Table1[[#This Row], [WEAPON]],Sheet1!$A$27:$A$29,Sheet1!$B$27:$B$29)*Table1[[#This Row], [NUM OF MEM]]*(1+_xlfn.XLOOKUP(Table1[[#This Row], [WEAPON]],Sheet1!$A$27:$A$29,Sheet1!$C$27:$C$29))</f>
        <v>91000</v>
      </c>
      <c r="J50" t="s">
        <v>60</v>
      </c>
      <c r="K50" s="9">
        <f>Table1[[#This Row], [NUM OF MEM]]*Table1[[#This Row], [TOTAL TIME TAKEN]]*_xlfn.XLOOKUP(Table1[[#This Row], [EXIT]],Sheet1!$A$70:$A$71,Sheet1!$B$70:$B$71)*(1+_xlfn.XLOOKUP(Table1[[#This Row], [EXIT]],Sheet1!$A$70:$A$71,Sheet1!$C$70:$C$71))</f>
        <v>1671850.1812499997</v>
      </c>
      <c r="L50" s="13" t="s">
        <v>65</v>
      </c>
      <c r="M50" s="4">
        <f>IF(Table1[[#This Row], [EQUIPMENT]]="YES",Sheet1!$C$44*(1+Sheet1!$D$44),0)</f>
        <v>307500</v>
      </c>
      <c r="N50" s="4">
        <f>_xlfn.XLOOKUP(Table1[[#This Row], [ROOM]],Sheet1!$A$47:$A$66,Sheet1!$F$47:$F$66)</f>
        <v>18150000</v>
      </c>
      <c r="O50" s="9">
        <f>_xlfn.XLOOKUP(_xlfn.CONCAT(Table1[[#This Row], [TEAM]],Table1[[#This Row], [ROOM]]),'ROOM TIME'!$H$2:$H$121,'ROOM TIME'!$J$2:$J$121)</f>
        <v>58.241249999999987</v>
      </c>
      <c r="P50" s="9">
        <f>(INDEX(Sheet1!$X$48:$Z$67,MATCH(Table1[[#This Row], [ROOM]],Sheet1!$P$48:$P$67,0),MATCH(Table1[[#This Row], [WEAPON]],Sheet1!$X$47:$Z$47,0)))/Table1[[#This Row], [NUM OF MEM]]</f>
        <v>6.8999999999999995</v>
      </c>
      <c r="Q50" s="9">
        <f>Table1[[#This Row], [ROOM TIME]]+Table1[[#This Row], [GUARD TIME]]</f>
        <v>65.141249999999985</v>
      </c>
      <c r="R50" s="4">
        <f>Sheet1!$K$3*_xlfn.XLOOKUP(Table1[[#This Row], [DISGUISE]],Sheet1!$A$21:$A$23,Sheet1!$D$21:$D$23)</f>
        <v>66</v>
      </c>
      <c r="S50" s="9">
        <f>Table1[[#This Row], [TOTAL TIME]]-Table1[[#This Row], [TOTAL TIME TAKEN]]</f>
        <v>0.85875000000001478</v>
      </c>
      <c r="T50" t="str">
        <f>IF(Table1[[#This Row], [TIME DIFFERENCE]]&gt;=0,"PASS","FAIL")</f>
        <v>PASS</v>
      </c>
      <c r="U50" s="9">
        <f>Table1[[#This Row], [TRC]]+Table1[[#This Row], [DRC]]+Table1[[#This Row], [WRC]]+Table1[[#This Row], [ERC]]+Table1[[#This Row], [EQRC]]</f>
        <v>8030350.1812499994</v>
      </c>
      <c r="V50" s="9">
        <f>Table1[[#This Row], [TOTAL COST]]+_xlfn.XLOOKUP(Table1[[#This Row], [TEAM]],Sheet1!$A$12:$A$17,Sheet1!$I$12:$I$17)</f>
        <v>8327830.1812499994</v>
      </c>
      <c r="W50" s="9">
        <f>Table1[[#This Row], [LOOT]]-Table1[[#This Row], [TOTAL COST]]</f>
        <v>10119649.818750001</v>
      </c>
      <c r="X50" s="9">
        <f>IF(Table1[[#This Row], [PASS/FAIL]]="FAIL",0,Table1[[#This Row], [PROFIT]])</f>
        <v>10119649.818750001</v>
      </c>
    </row>
    <row r="51" spans="1:24" ht="19.5" customHeight="1" x14ac:dyDescent="0.45">
      <c r="A51" t="s">
        <v>13</v>
      </c>
      <c r="B51" s="14">
        <f>_xlfn.XLOOKUP(Table1[[#This Row], [TEAM]],Sheet1!$A$12:$A$17,Sheet1!$F$12:$F$17)</f>
        <v>3</v>
      </c>
      <c r="C51" s="14">
        <f>_xlfn.XLOOKUP(Table1[[#This Row], [TEAM]],Sheet1!$A$12:$A$17,Sheet1!$G$12:$G$17)</f>
        <v>5930000</v>
      </c>
      <c r="D51" t="s">
        <v>24</v>
      </c>
      <c r="E51" s="4">
        <f>_xlfn.XLOOKUP(Table1[[#This Row], [ROOM]],Sheet1!$A$47:$A$66,Sheet1!$B$47:$B$66)</f>
        <v>345</v>
      </c>
      <c r="F51" t="s">
        <v>62</v>
      </c>
      <c r="G51" s="4">
        <f>_xlfn.XLOOKUP(Table1[[#This Row], [DISGUISE]],Sheet1!$A$21:$A$23,Sheet1!$B$21:$B$23)*Table1[[#This Row], [NUM OF MEM]]*(1+_xlfn.XLOOKUP(Table1[[#This Row], [DISGUISE]],Sheet1!$A$21:$A$23,Sheet1!$C$21:$C$23))</f>
        <v>15600</v>
      </c>
      <c r="H51" s="13" t="s">
        <v>63</v>
      </c>
      <c r="I51" s="4">
        <f>_xlfn.XLOOKUP(Table1[[#This Row], [WEAPON]],Sheet1!$A$27:$A$29,Sheet1!$B$27:$B$29)*Table1[[#This Row], [NUM OF MEM]]*(1+_xlfn.XLOOKUP(Table1[[#This Row], [WEAPON]],Sheet1!$A$27:$A$29,Sheet1!$C$27:$C$29))</f>
        <v>69000</v>
      </c>
      <c r="J51" t="s">
        <v>64</v>
      </c>
      <c r="K51" s="9">
        <f>Table1[[#This Row], [NUM OF MEM]]*Table1[[#This Row], [TOTAL TIME TAKEN]]*_xlfn.XLOOKUP(Table1[[#This Row], [EXIT]],Sheet1!$A$70:$A$71,Sheet1!$B$70:$B$71)*(1+_xlfn.XLOOKUP(Table1[[#This Row], [EXIT]],Sheet1!$A$70:$A$71,Sheet1!$C$70:$C$71))</f>
        <v>1865764.7999999996</v>
      </c>
      <c r="L51" s="13" t="s">
        <v>61</v>
      </c>
      <c r="M51" s="4">
        <f>IF(Table1[[#This Row], [EQUIPMENT]]="YES",Sheet1!$C$44*(1+Sheet1!$D$44),0)</f>
        <v>0</v>
      </c>
      <c r="N51" s="4">
        <f>_xlfn.XLOOKUP(Table1[[#This Row], [ROOM]],Sheet1!$A$47:$A$66,Sheet1!$F$47:$F$66)</f>
        <v>18000000</v>
      </c>
      <c r="O51" s="9">
        <f>_xlfn.XLOOKUP(_xlfn.CONCAT(Table1[[#This Row], [TEAM]],Table1[[#This Row], [ROOM]]),'ROOM TIME'!$H$2:$H$121,'ROOM TIME'!$J$2:$J$121)</f>
        <v>42.587777777777774</v>
      </c>
      <c r="P51" s="9">
        <f>(INDEX(Sheet1!$X$48:$Z$67,MATCH(Table1[[#This Row], [ROOM]],Sheet1!$P$48:$P$67,0),MATCH(Table1[[#This Row], [WEAPON]],Sheet1!$X$47:$Z$47,0)))/Table1[[#This Row], [NUM OF MEM]]</f>
        <v>5.4000000000000012</v>
      </c>
      <c r="Q51" s="9">
        <f>Table1[[#This Row], [ROOM TIME]]+Table1[[#This Row], [GUARD TIME]]</f>
        <v>47.987777777777772</v>
      </c>
      <c r="R51" s="4">
        <f>Sheet1!$K$3*_xlfn.XLOOKUP(Table1[[#This Row], [DISGUISE]],Sheet1!$A$21:$A$23,Sheet1!$D$21:$D$23)</f>
        <v>66</v>
      </c>
      <c r="S51" s="9">
        <f>Table1[[#This Row], [TOTAL TIME]]-Table1[[#This Row], [TOTAL TIME TAKEN]]</f>
        <v>18.012222222222228</v>
      </c>
      <c r="T51" t="str">
        <f>IF(Table1[[#This Row], [TIME DIFFERENCE]]&gt;=0,"PASS","FAIL")</f>
        <v>PASS</v>
      </c>
      <c r="U51" s="9">
        <f>Table1[[#This Row], [TRC]]+Table1[[#This Row], [DRC]]+Table1[[#This Row], [WRC]]+Table1[[#This Row], [ERC]]+Table1[[#This Row], [EQRC]]</f>
        <v>7880364.7999999998</v>
      </c>
      <c r="V51" s="9">
        <f>Table1[[#This Row], [TOTAL COST]]+_xlfn.XLOOKUP(Table1[[#This Row], [TEAM]],Sheet1!$A$12:$A$17,Sheet1!$I$12:$I$17)</f>
        <v>8176864.7999999998</v>
      </c>
      <c r="W51" s="9">
        <f>Table1[[#This Row], [LOOT]]-Table1[[#This Row], [TOTAL COST]]</f>
        <v>10119635.199999999</v>
      </c>
      <c r="X51" s="9">
        <f>IF(Table1[[#This Row], [PASS/FAIL]]="FAIL",0,Table1[[#This Row], [PROFIT]])</f>
        <v>10119635.199999999</v>
      </c>
    </row>
    <row r="52" spans="1:24" ht="19.5" customHeight="1" x14ac:dyDescent="0.45">
      <c r="A52" t="s">
        <v>12</v>
      </c>
      <c r="B52" s="14">
        <f>_xlfn.XLOOKUP(Table1[[#This Row], [TEAM]],Sheet1!$A$12:$A$17,Sheet1!$F$12:$F$17)</f>
        <v>3</v>
      </c>
      <c r="C52" s="14">
        <f>_xlfn.XLOOKUP(Table1[[#This Row], [TEAM]],Sheet1!$A$12:$A$17,Sheet1!$G$12:$G$17)</f>
        <v>5988750</v>
      </c>
      <c r="D52" t="s">
        <v>24</v>
      </c>
      <c r="E52" s="4">
        <f>_xlfn.XLOOKUP(Table1[[#This Row], [ROOM]],Sheet1!$A$47:$A$66,Sheet1!$B$47:$B$66)</f>
        <v>345</v>
      </c>
      <c r="F52" t="s">
        <v>62</v>
      </c>
      <c r="G52" s="4">
        <f>_xlfn.XLOOKUP(Table1[[#This Row], [DISGUISE]],Sheet1!$A$21:$A$23,Sheet1!$B$21:$B$23)*Table1[[#This Row], [NUM OF MEM]]*(1+_xlfn.XLOOKUP(Table1[[#This Row], [DISGUISE]],Sheet1!$A$21:$A$23,Sheet1!$C$21:$C$23))</f>
        <v>15600</v>
      </c>
      <c r="H52" s="13" t="s">
        <v>66</v>
      </c>
      <c r="I52" s="4">
        <f>_xlfn.XLOOKUP(Table1[[#This Row], [WEAPON]],Sheet1!$A$27:$A$29,Sheet1!$B$27:$B$29)*Table1[[#This Row], [NUM OF MEM]]*(1+_xlfn.XLOOKUP(Table1[[#This Row], [WEAPON]],Sheet1!$A$27:$A$29,Sheet1!$C$27:$C$29))</f>
        <v>108000</v>
      </c>
      <c r="J52" t="s">
        <v>60</v>
      </c>
      <c r="K52" s="9">
        <f>Table1[[#This Row], [NUM OF MEM]]*Table1[[#This Row], [TOTAL TIME TAKEN]]*_xlfn.XLOOKUP(Table1[[#This Row], [EXIT]],Sheet1!$A$70:$A$71,Sheet1!$B$70:$B$71)*(1+_xlfn.XLOOKUP(Table1[[#This Row], [EXIT]],Sheet1!$A$70:$A$71,Sheet1!$C$70:$C$71))</f>
        <v>1768232.9499999997</v>
      </c>
      <c r="L52" s="13" t="s">
        <v>61</v>
      </c>
      <c r="M52" s="4">
        <f>IF(Table1[[#This Row], [EQUIPMENT]]="YES",Sheet1!$C$44*(1+Sheet1!$D$44),0)</f>
        <v>0</v>
      </c>
      <c r="N52" s="4">
        <f>_xlfn.XLOOKUP(Table1[[#This Row], [ROOM]],Sheet1!$A$47:$A$66,Sheet1!$F$47:$F$66)</f>
        <v>18000000</v>
      </c>
      <c r="O52" s="9">
        <f>_xlfn.XLOOKUP(_xlfn.CONCAT(Table1[[#This Row], [TEAM]],Table1[[#This Row], [ROOM]]),'ROOM TIME'!$H$2:$H$121,'ROOM TIME'!$J$2:$J$121)</f>
        <v>40.9311111111111</v>
      </c>
      <c r="P52" s="4">
        <f>(INDEX(Sheet1!$X$48:$Z$67,MATCH(Table1[[#This Row], [ROOM]],Sheet1!$P$48:$P$67,0),MATCH(Table1[[#This Row], [WEAPON]],Sheet1!$X$47:$Z$47,0)))/Table1[[#This Row], [NUM OF MEM]]</f>
        <v>5</v>
      </c>
      <c r="Q52" s="9">
        <f>Table1[[#This Row], [ROOM TIME]]+Table1[[#This Row], [GUARD TIME]]</f>
        <v>45.9311111111111</v>
      </c>
      <c r="R52" s="4">
        <f>Sheet1!$K$3*_xlfn.XLOOKUP(Table1[[#This Row], [DISGUISE]],Sheet1!$A$21:$A$23,Sheet1!$D$21:$D$23)</f>
        <v>66</v>
      </c>
      <c r="S52" s="9">
        <f>Table1[[#This Row], [TOTAL TIME]]-Table1[[#This Row], [TOTAL TIME TAKEN]]</f>
        <v>20.0688888888889</v>
      </c>
      <c r="T52" t="str">
        <f>IF(Table1[[#This Row], [TIME DIFFERENCE]]&gt;=0,"PASS","FAIL")</f>
        <v>PASS</v>
      </c>
      <c r="U52" s="9">
        <f>Table1[[#This Row], [TRC]]+Table1[[#This Row], [DRC]]+Table1[[#This Row], [WRC]]+Table1[[#This Row], [ERC]]+Table1[[#This Row], [EQRC]]</f>
        <v>7880582.9499999993</v>
      </c>
      <c r="V52" s="9">
        <f>Table1[[#This Row], [TOTAL COST]]+_xlfn.XLOOKUP(Table1[[#This Row], [TEAM]],Sheet1!$A$12:$A$17,Sheet1!$I$12:$I$17)</f>
        <v>8180020.4499999993</v>
      </c>
      <c r="W52" s="9">
        <f>Table1[[#This Row], [LOOT]]-Table1[[#This Row], [TOTAL COST]]</f>
        <v>10119417.050000001</v>
      </c>
      <c r="X52" s="9">
        <f>IF(Table1[[#This Row], [PASS/FAIL]]="FAIL",0,Table1[[#This Row], [PROFIT]])</f>
        <v>10119417.050000001</v>
      </c>
    </row>
    <row r="53" spans="1:24" ht="19.5" customHeight="1" x14ac:dyDescent="0.45">
      <c r="A53" t="s">
        <v>14</v>
      </c>
      <c r="B53" s="14">
        <f>_xlfn.XLOOKUP(Table1[[#This Row], [TEAM]],Sheet1!$A$12:$A$17,Sheet1!$F$12:$F$17)</f>
        <v>2</v>
      </c>
      <c r="C53" s="14">
        <f>_xlfn.XLOOKUP(Table1[[#This Row], [TEAM]],Sheet1!$A$12:$A$17,Sheet1!$G$12:$G$17)</f>
        <v>5949600</v>
      </c>
      <c r="D53" t="s">
        <v>26</v>
      </c>
      <c r="E53" s="4">
        <f>_xlfn.XLOOKUP(Table1[[#This Row], [ROOM]],Sheet1!$A$47:$A$66,Sheet1!$B$47:$B$66)</f>
        <v>136</v>
      </c>
      <c r="F53" t="s">
        <v>58</v>
      </c>
      <c r="G53" s="4">
        <f>_xlfn.XLOOKUP(Table1[[#This Row], [DISGUISE]],Sheet1!$A$21:$A$23,Sheet1!$B$21:$B$23)*Table1[[#This Row], [NUM OF MEM]]*(1+_xlfn.XLOOKUP(Table1[[#This Row], [DISGUISE]],Sheet1!$A$21:$A$23,Sheet1!$C$21:$C$23))</f>
        <v>25600</v>
      </c>
      <c r="H53" s="13" t="s">
        <v>63</v>
      </c>
      <c r="I53" s="4">
        <f>_xlfn.XLOOKUP(Table1[[#This Row], [WEAPON]],Sheet1!$A$27:$A$29,Sheet1!$B$27:$B$29)*Table1[[#This Row], [NUM OF MEM]]*(1+_xlfn.XLOOKUP(Table1[[#This Row], [WEAPON]],Sheet1!$A$27:$A$29,Sheet1!$C$27:$C$29))</f>
        <v>46000</v>
      </c>
      <c r="J53" t="s">
        <v>60</v>
      </c>
      <c r="K53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1702648.1812499997</v>
      </c>
      <c r="L53" s="13" t="s">
        <v>65</v>
      </c>
      <c r="M53" s="4">
        <f>IF(Table1[[#This Row], [EQUIPMENT]]="YES",Sheet1!$C$44*(1+Sheet1!$D$44),0)</f>
        <v>307500</v>
      </c>
      <c r="N53" s="4">
        <f>_xlfn.XLOOKUP(Table1[[#This Row], [ROOM]],Sheet1!$A$47:$A$66,Sheet1!$F$47:$F$66)</f>
        <v>18150000</v>
      </c>
      <c r="O53" s="9">
        <f>_xlfn.XLOOKUP(_xlfn.CONCAT(Table1[[#This Row], [TEAM]],Table1[[#This Row], [ROOM]]),'ROOM TIME'!$H$2:$H$121,'ROOM TIME'!$J$2:$J$121)</f>
        <v>58.241249999999987</v>
      </c>
      <c r="P53" s="9">
        <f>(INDEX(Sheet1!$X$48:$Z$67,MATCH(Table1[[#This Row], [ROOM]],Sheet1!$P$48:$P$67,0),MATCH(Table1[[#This Row], [WEAPON]],Sheet1!$X$47:$Z$47,0)))/Table1[[#This Row], [NUM OF MEM]]</f>
        <v>8.1000000000000014</v>
      </c>
      <c r="Q53" s="9">
        <f>Table1[[#This Row], [ROOM TIME]]+Table1[[#This Row], [GUARD TIME]]</f>
        <v>66.341249999999988</v>
      </c>
      <c r="R53" s="4">
        <f>Sheet1!$K$3*_xlfn.XLOOKUP(Table1[[#This Row], [DISGUISE]],Sheet1!$A$21:$A$23,Sheet1!$D$21:$D$23)</f>
        <v>69</v>
      </c>
      <c r="S53" s="9">
        <f>Table1[[#This Row], [TOTAL TIME]]-Table1[[#This Row], [TOTAL TIME TAKEN]]</f>
        <v>2.6587500000000119</v>
      </c>
      <c r="T53" t="str">
        <f>IF(Table1[[#This Row], [TIME DIFFERENCE]]&gt;=0,"PASS","FAIL")</f>
        <v>PASS</v>
      </c>
      <c r="U53" s="9">
        <f>Table1[[#This Row], [TRC]]+Table1[[#This Row], [DRC]]+Table1[[#This Row], [WRC]]+Table1[[#This Row], [ERC]]+Table1[[#This Row], [EQRC]]</f>
        <v>8031348.1812499994</v>
      </c>
      <c r="V53" s="9">
        <f>Table1[[#This Row], [TOTAL COST]]+_xlfn.XLOOKUP(Table1[[#This Row], [TEAM]],Sheet1!$A$12:$A$17,Sheet1!$I$12:$I$17)</f>
        <v>8328828.1812499994</v>
      </c>
      <c r="W53" s="9">
        <f>Table1[[#This Row], [LOOT]]-Table1[[#This Row], [TOTAL COST]]</f>
        <v>10118651.818750001</v>
      </c>
      <c r="X53" s="9">
        <f>IF(Table1[[#This Row], [PASS/FAIL]]="FAIL",0,Table1[[#This Row], [PROFIT]])</f>
        <v>10118651.818750001</v>
      </c>
    </row>
    <row r="54" spans="1:24" ht="19.5" customHeight="1" x14ac:dyDescent="0.45">
      <c r="A54" t="s">
        <v>14</v>
      </c>
      <c r="B54" s="14">
        <f>_xlfn.XLOOKUP(Table1[[#This Row], [TEAM]],Sheet1!$A$12:$A$17,Sheet1!$F$12:$F$17)</f>
        <v>2</v>
      </c>
      <c r="C54" s="14">
        <f>_xlfn.XLOOKUP(Table1[[#This Row], [TEAM]],Sheet1!$A$12:$A$17,Sheet1!$G$12:$G$17)</f>
        <v>5949600</v>
      </c>
      <c r="D54" t="s">
        <v>19</v>
      </c>
      <c r="E54" s="4">
        <f>_xlfn.XLOOKUP(Table1[[#This Row], [ROOM]],Sheet1!$A$47:$A$66,Sheet1!$B$47:$B$66)</f>
        <v>135</v>
      </c>
      <c r="F54" t="s">
        <v>58</v>
      </c>
      <c r="G54" s="4">
        <f>_xlfn.XLOOKUP(Table1[[#This Row], [DISGUISE]],Sheet1!$A$21:$A$23,Sheet1!$B$21:$B$23)*Table1[[#This Row], [NUM OF MEM]]*(1+_xlfn.XLOOKUP(Table1[[#This Row], [DISGUISE]],Sheet1!$A$21:$A$23,Sheet1!$C$21:$C$23))</f>
        <v>25600</v>
      </c>
      <c r="H54" s="13" t="s">
        <v>66</v>
      </c>
      <c r="I54" s="4">
        <f>_xlfn.XLOOKUP(Table1[[#This Row], [WEAPON]],Sheet1!$A$27:$A$29,Sheet1!$B$27:$B$29)*Table1[[#This Row], [NUM OF MEM]]*(1+_xlfn.XLOOKUP(Table1[[#This Row], [WEAPON]],Sheet1!$A$27:$A$29,Sheet1!$C$27:$C$29))</f>
        <v>72000</v>
      </c>
      <c r="J54" t="s">
        <v>64</v>
      </c>
      <c r="K54" s="9">
        <f>Table1[[#This Row], [NUM OF MEM]]*Table1[[#This Row], [TOTAL TIME TAKEN]]*_xlfn.XLOOKUP(Table1[[#This Row], [EXIT]],Sheet1!$A$70:$A$71,Sheet1!$B$70:$B$71)*(1+_xlfn.XLOOKUP(Table1[[#This Row], [EXIT]],Sheet1!$A$70:$A$71,Sheet1!$C$70:$C$71))</f>
        <v>1786438.7999999996</v>
      </c>
      <c r="L54" s="13" t="s">
        <v>61</v>
      </c>
      <c r="M54" s="4">
        <f>IF(Table1[[#This Row], [EQUIPMENT]]="YES",Sheet1!$C$44*(1+Sheet1!$D$44),0)</f>
        <v>0</v>
      </c>
      <c r="N54" s="4">
        <f>_xlfn.XLOOKUP(Table1[[#This Row], [ROOM]],Sheet1!$A$47:$A$66,Sheet1!$F$47:$F$66)</f>
        <v>17950000</v>
      </c>
      <c r="O54" s="9">
        <f>_xlfn.XLOOKUP(_xlfn.CONCAT(Table1[[#This Row], [TEAM]],Table1[[#This Row], [ROOM]]),'ROOM TIME'!$H$2:$H$121,'ROOM TIME'!$J$2:$J$121)</f>
        <v>62.046249999999986</v>
      </c>
      <c r="P54" s="9">
        <f>(INDEX(Sheet1!$X$48:$Z$67,MATCH(Table1[[#This Row], [ROOM]],Sheet1!$P$48:$P$67,0),MATCH(Table1[[#This Row], [WEAPON]],Sheet1!$X$47:$Z$47,0)))/Table1[[#This Row], [NUM OF MEM]]</f>
        <v>6.875</v>
      </c>
      <c r="Q54" s="9">
        <f>Table1[[#This Row], [ROOM TIME]]+Table1[[#This Row], [GUARD TIME]]</f>
        <v>68.921249999999986</v>
      </c>
      <c r="R54" s="4">
        <f>Sheet1!$K$3*_xlfn.XLOOKUP(Table1[[#This Row], [DISGUISE]],Sheet1!$A$21:$A$23,Sheet1!$D$21:$D$23)</f>
        <v>69</v>
      </c>
      <c r="S54" s="9">
        <f>Table1[[#This Row], [TOTAL TIME]]-Table1[[#This Row], [TOTAL TIME TAKEN]]</f>
        <v>7.8750000000013642E-2</v>
      </c>
      <c r="T54" t="str">
        <f>IF(Table1[[#This Row], [TIME DIFFERENCE]]&gt;=0,"PASS","FAIL")</f>
        <v>PASS</v>
      </c>
      <c r="U54" s="9">
        <f>Table1[[#This Row], [TRC]]+Table1[[#This Row], [DRC]]+Table1[[#This Row], [WRC]]+Table1[[#This Row], [ERC]]+Table1[[#This Row], [EQRC]]</f>
        <v>7833638.7999999998</v>
      </c>
      <c r="V54" s="9">
        <f>Table1[[#This Row], [TOTAL COST]]+_xlfn.XLOOKUP(Table1[[#This Row], [TEAM]],Sheet1!$A$12:$A$17,Sheet1!$I$12:$I$17)</f>
        <v>8131118.7999999998</v>
      </c>
      <c r="W54" s="9">
        <f>Table1[[#This Row], [LOOT]]-Table1[[#This Row], [TOTAL COST]]</f>
        <v>10116361.199999999</v>
      </c>
      <c r="X54" s="9">
        <f>IF(Table1[[#This Row], [PASS/FAIL]]="FAIL",0,Table1[[#This Row], [PROFIT]])</f>
        <v>10116361.199999999</v>
      </c>
    </row>
    <row r="55" spans="1:24" ht="19.5" customHeight="1" x14ac:dyDescent="0.45">
      <c r="A55" t="s">
        <v>13</v>
      </c>
      <c r="B55" s="14">
        <f>_xlfn.XLOOKUP(Table1[[#This Row], [TEAM]],Sheet1!$A$12:$A$17,Sheet1!$F$12:$F$17)</f>
        <v>3</v>
      </c>
      <c r="C55" s="14">
        <f>_xlfn.XLOOKUP(Table1[[#This Row], [TEAM]],Sheet1!$A$12:$A$17,Sheet1!$G$12:$G$17)</f>
        <v>5930000</v>
      </c>
      <c r="D55" t="s">
        <v>18</v>
      </c>
      <c r="E55" s="4">
        <f>_xlfn.XLOOKUP(Table1[[#This Row], [ROOM]],Sheet1!$A$47:$A$66,Sheet1!$B$47:$B$66)</f>
        <v>134</v>
      </c>
      <c r="F55" t="s">
        <v>62</v>
      </c>
      <c r="G55" s="4">
        <f>_xlfn.XLOOKUP(Table1[[#This Row], [DISGUISE]],Sheet1!$A$21:$A$23,Sheet1!$B$21:$B$23)*Table1[[#This Row], [NUM OF MEM]]*(1+_xlfn.XLOOKUP(Table1[[#This Row], [DISGUISE]],Sheet1!$A$21:$A$23,Sheet1!$C$21:$C$23))</f>
        <v>15600</v>
      </c>
      <c r="H55" s="13" t="s">
        <v>59</v>
      </c>
      <c r="I55" s="4">
        <f>_xlfn.XLOOKUP(Table1[[#This Row], [WEAPON]],Sheet1!$A$27:$A$29,Sheet1!$B$27:$B$29)*Table1[[#This Row], [NUM OF MEM]]*(1+_xlfn.XLOOKUP(Table1[[#This Row], [WEAPON]],Sheet1!$A$27:$A$29,Sheet1!$C$27:$C$29))</f>
        <v>136500</v>
      </c>
      <c r="J55" t="s">
        <v>64</v>
      </c>
      <c r="K55" s="9">
        <f>Table1[[#This Row], [NUM OF MEM]]*Table1[[#This Row], [TOTAL TIME TAKEN]]*_xlfn.XLOOKUP(Table1[[#This Row], [EXIT]],Sheet1!$A$70:$A$71,Sheet1!$B$70:$B$71)*(1+_xlfn.XLOOKUP(Table1[[#This Row], [EXIT]],Sheet1!$A$70:$A$71,Sheet1!$C$70:$C$71))</f>
        <v>1851875.9999999998</v>
      </c>
      <c r="L55" s="13" t="s">
        <v>61</v>
      </c>
      <c r="M55" s="4">
        <f>IF(Table1[[#This Row], [EQUIPMENT]]="YES",Sheet1!$C$44*(1+Sheet1!$D$44),0)</f>
        <v>0</v>
      </c>
      <c r="N55" s="4">
        <f>_xlfn.XLOOKUP(Table1[[#This Row], [ROOM]],Sheet1!$A$47:$A$66,Sheet1!$F$47:$F$66)</f>
        <v>18050000</v>
      </c>
      <c r="O55" s="9">
        <f>_xlfn.XLOOKUP(_xlfn.CONCAT(Table1[[#This Row], [TEAM]],Table1[[#This Row], [ROOM]]),'ROOM TIME'!$H$2:$H$121,'ROOM TIME'!$J$2:$J$121)</f>
        <v>43.030555555555544</v>
      </c>
      <c r="P55" s="9">
        <f>(INDEX(Sheet1!$X$48:$Z$67,MATCH(Table1[[#This Row], [ROOM]],Sheet1!$P$48:$P$67,0),MATCH(Table1[[#This Row], [WEAPON]],Sheet1!$X$47:$Z$47,0)))/Table1[[#This Row], [NUM OF MEM]]</f>
        <v>4.5999999999999996</v>
      </c>
      <c r="Q55" s="9">
        <f>Table1[[#This Row], [ROOM TIME]]+Table1[[#This Row], [GUARD TIME]]</f>
        <v>47.630555555555546</v>
      </c>
      <c r="R55" s="4">
        <f>Sheet1!$K$3*_xlfn.XLOOKUP(Table1[[#This Row], [DISGUISE]],Sheet1!$A$21:$A$23,Sheet1!$D$21:$D$23)</f>
        <v>66</v>
      </c>
      <c r="S55" s="9">
        <f>Table1[[#This Row], [TOTAL TIME]]-Table1[[#This Row], [TOTAL TIME TAKEN]]</f>
        <v>18.369444444444454</v>
      </c>
      <c r="T55" t="str">
        <f>IF(Table1[[#This Row], [TIME DIFFERENCE]]&gt;=0,"PASS","FAIL")</f>
        <v>PASS</v>
      </c>
      <c r="U55" s="4">
        <f>Table1[[#This Row], [TRC]]+Table1[[#This Row], [DRC]]+Table1[[#This Row], [WRC]]+Table1[[#This Row], [ERC]]+Table1[[#This Row], [EQRC]]</f>
        <v>7933976</v>
      </c>
      <c r="V55" s="4">
        <f>Table1[[#This Row], [TOTAL COST]]+_xlfn.XLOOKUP(Table1[[#This Row], [TEAM]],Sheet1!$A$12:$A$17,Sheet1!$I$12:$I$17)</f>
        <v>8230476</v>
      </c>
      <c r="W55" s="4">
        <f>Table1[[#This Row], [LOOT]]-Table1[[#This Row], [TOTAL COST]]</f>
        <v>10116024</v>
      </c>
      <c r="X55" s="4">
        <f>IF(Table1[[#This Row], [PASS/FAIL]]="FAIL",0,Table1[[#This Row], [PROFIT]])</f>
        <v>10116024</v>
      </c>
    </row>
    <row r="56" spans="1:24" ht="19.5" customHeight="1" x14ac:dyDescent="0.45">
      <c r="A56" t="s">
        <v>15</v>
      </c>
      <c r="B56" s="14">
        <f>_xlfn.XLOOKUP(Table1[[#This Row], [TEAM]],Sheet1!$A$12:$A$17,Sheet1!$F$12:$F$17)</f>
        <v>2</v>
      </c>
      <c r="C56" s="14">
        <f>_xlfn.XLOOKUP(Table1[[#This Row], [TEAM]],Sheet1!$A$12:$A$17,Sheet1!$G$12:$G$17)</f>
        <v>5932950</v>
      </c>
      <c r="D56" t="s">
        <v>33</v>
      </c>
      <c r="E56" s="4">
        <f>_xlfn.XLOOKUP(Table1[[#This Row], [ROOM]],Sheet1!$A$47:$A$66,Sheet1!$B$47:$B$66)</f>
        <v>356</v>
      </c>
      <c r="F56" t="s">
        <v>62</v>
      </c>
      <c r="G56" s="4">
        <f>_xlfn.XLOOKUP(Table1[[#This Row], [DISGUISE]],Sheet1!$A$21:$A$23,Sheet1!$B$21:$B$23)*Table1[[#This Row], [NUM OF MEM]]*(1+_xlfn.XLOOKUP(Table1[[#This Row], [DISGUISE]],Sheet1!$A$21:$A$23,Sheet1!$C$21:$C$23))</f>
        <v>10400</v>
      </c>
      <c r="H56" s="13" t="s">
        <v>63</v>
      </c>
      <c r="I56" s="4">
        <f>_xlfn.XLOOKUP(Table1[[#This Row], [WEAPON]],Sheet1!$A$27:$A$29,Sheet1!$B$27:$B$29)*Table1[[#This Row], [NUM OF MEM]]*(1+_xlfn.XLOOKUP(Table1[[#This Row], [WEAPON]],Sheet1!$A$27:$A$29,Sheet1!$C$27:$C$29))</f>
        <v>46000</v>
      </c>
      <c r="J56" t="s">
        <v>60</v>
      </c>
      <c r="K56" s="9">
        <f>Table1[[#This Row], [NUM OF MEM]]*Table1[[#This Row], [TOTAL TIME TAKEN]]*_xlfn.XLOOKUP(Table1[[#This Row], [EXIT]],Sheet1!$A$70:$A$71,Sheet1!$B$70:$B$71)*(1+_xlfn.XLOOKUP(Table1[[#This Row], [EXIT]],Sheet1!$A$70:$A$71,Sheet1!$C$70:$C$71))</f>
        <v>1687152.9374999995</v>
      </c>
      <c r="L56" s="13" t="s">
        <v>65</v>
      </c>
      <c r="M56" s="4">
        <f>IF(Table1[[#This Row], [EQUIPMENT]]="YES",Sheet1!$C$44*(1+Sheet1!$D$44),0)</f>
        <v>307500</v>
      </c>
      <c r="N56" s="4">
        <f>_xlfn.XLOOKUP(Table1[[#This Row], [ROOM]],Sheet1!$A$47:$A$66,Sheet1!$F$47:$F$66)</f>
        <v>18100000</v>
      </c>
      <c r="O56" s="9">
        <f>_xlfn.XLOOKUP(_xlfn.CONCAT(Table1[[#This Row], [TEAM]],Table1[[#This Row], [ROOM]]),'ROOM TIME'!$H$2:$H$121,'ROOM TIME'!$J$2:$J$121)</f>
        <v>57.637499999999989</v>
      </c>
      <c r="P56" s="9">
        <f>(INDEX(Sheet1!$X$48:$Z$67,MATCH(Table1[[#This Row], [ROOM]],Sheet1!$P$48:$P$67,0),MATCH(Table1[[#This Row], [WEAPON]],Sheet1!$X$47:$Z$47,0)))/Table1[[#This Row], [NUM OF MEM]]</f>
        <v>8.1000000000000014</v>
      </c>
      <c r="Q56" s="9">
        <f>Table1[[#This Row], [ROOM TIME]]+Table1[[#This Row], [GUARD TIME]]</f>
        <v>65.737499999999983</v>
      </c>
      <c r="R56" s="4">
        <f>Sheet1!$K$3*_xlfn.XLOOKUP(Table1[[#This Row], [DISGUISE]],Sheet1!$A$21:$A$23,Sheet1!$D$21:$D$23)</f>
        <v>66</v>
      </c>
      <c r="S56" s="9">
        <f>Table1[[#This Row], [TOTAL TIME]]-Table1[[#This Row], [TOTAL TIME TAKEN]]</f>
        <v>0.26250000000001705</v>
      </c>
      <c r="T56" t="str">
        <f>IF(Table1[[#This Row], [TIME DIFFERENCE]]&gt;=0,"PASS","FAIL")</f>
        <v>PASS</v>
      </c>
      <c r="U56" s="9">
        <f>Table1[[#This Row], [TRC]]+Table1[[#This Row], [DRC]]+Table1[[#This Row], [WRC]]+Table1[[#This Row], [ERC]]+Table1[[#This Row], [EQRC]]</f>
        <v>7984002.9375</v>
      </c>
      <c r="V56" s="9">
        <f>Table1[[#This Row], [TOTAL COST]]+_xlfn.XLOOKUP(Table1[[#This Row], [TEAM]],Sheet1!$A$12:$A$17,Sheet1!$I$12:$I$17)</f>
        <v>8280650.4375</v>
      </c>
      <c r="W56" s="9">
        <f>Table1[[#This Row], [LOOT]]-Table1[[#This Row], [TOTAL COST]]</f>
        <v>10115997.0625</v>
      </c>
      <c r="X56" s="9">
        <f>IF(Table1[[#This Row], [PASS/FAIL]]="FAIL",0,Table1[[#This Row], [PROFIT]])</f>
        <v>10115997.0625</v>
      </c>
    </row>
    <row r="57" spans="1:24" ht="19.5" customHeight="1" x14ac:dyDescent="0.45">
      <c r="A57" t="s">
        <v>13</v>
      </c>
      <c r="B57" s="14">
        <f>_xlfn.XLOOKUP(Table1[[#This Row], [TEAM]],Sheet1!$A$12:$A$17,Sheet1!$F$12:$F$17)</f>
        <v>3</v>
      </c>
      <c r="C57" s="14">
        <f>_xlfn.XLOOKUP(Table1[[#This Row], [TEAM]],Sheet1!$A$12:$A$17,Sheet1!$G$12:$G$17)</f>
        <v>5930000</v>
      </c>
      <c r="D57" t="s">
        <v>24</v>
      </c>
      <c r="E57" s="4">
        <f>_xlfn.XLOOKUP(Table1[[#This Row], [ROOM]],Sheet1!$A$47:$A$66,Sheet1!$B$47:$B$66)</f>
        <v>345</v>
      </c>
      <c r="F57" t="s">
        <v>58</v>
      </c>
      <c r="G57" s="4">
        <f>_xlfn.XLOOKUP(Table1[[#This Row], [DISGUISE]],Sheet1!$A$21:$A$23,Sheet1!$B$21:$B$23)*Table1[[#This Row], [NUM OF MEM]]*(1+_xlfn.XLOOKUP(Table1[[#This Row], [DISGUISE]],Sheet1!$A$21:$A$23,Sheet1!$C$21:$C$23))</f>
        <v>38400</v>
      </c>
      <c r="H57" s="13" t="s">
        <v>63</v>
      </c>
      <c r="I57" s="4">
        <f>_xlfn.XLOOKUP(Table1[[#This Row], [WEAPON]],Sheet1!$A$27:$A$29,Sheet1!$B$27:$B$29)*Table1[[#This Row], [NUM OF MEM]]*(1+_xlfn.XLOOKUP(Table1[[#This Row], [WEAPON]],Sheet1!$A$27:$A$29,Sheet1!$C$27:$C$29))</f>
        <v>69000</v>
      </c>
      <c r="J57" t="s">
        <v>60</v>
      </c>
      <c r="K57" s="9">
        <f>Table1[[#This Row], [NUM OF MEM]]*Table1[[#This Row], [TOTAL TIME TAKEN]]*_xlfn.XLOOKUP(Table1[[#This Row], [EXIT]],Sheet1!$A$70:$A$71,Sheet1!$B$70:$B$71)*(1+_xlfn.XLOOKUP(Table1[[#This Row], [EXIT]],Sheet1!$A$70:$A$71,Sheet1!$C$70:$C$71))</f>
        <v>1847409.4749999996</v>
      </c>
      <c r="L57" s="13" t="s">
        <v>61</v>
      </c>
      <c r="M57" s="4">
        <f>IF(Table1[[#This Row], [EQUIPMENT]]="YES",Sheet1!$C$44*(1+Sheet1!$D$44),0)</f>
        <v>0</v>
      </c>
      <c r="N57" s="4">
        <f>_xlfn.XLOOKUP(Table1[[#This Row], [ROOM]],Sheet1!$A$47:$A$66,Sheet1!$F$47:$F$66)</f>
        <v>18000000</v>
      </c>
      <c r="O57" s="9">
        <f>_xlfn.XLOOKUP(_xlfn.CONCAT(Table1[[#This Row], [TEAM]],Table1[[#This Row], [ROOM]]),'ROOM TIME'!$H$2:$H$121,'ROOM TIME'!$J$2:$J$121)</f>
        <v>42.587777777777774</v>
      </c>
      <c r="P57" s="9">
        <f>(INDEX(Sheet1!$X$48:$Z$67,MATCH(Table1[[#This Row], [ROOM]],Sheet1!$P$48:$P$67,0),MATCH(Table1[[#This Row], [WEAPON]],Sheet1!$X$47:$Z$47,0)))/Table1[[#This Row], [NUM OF MEM]]</f>
        <v>5.4000000000000012</v>
      </c>
      <c r="Q57" s="9">
        <f>Table1[[#This Row], [ROOM TIME]]+Table1[[#This Row], [GUARD TIME]]</f>
        <v>47.987777777777772</v>
      </c>
      <c r="R57" s="4">
        <f>Sheet1!$K$3*_xlfn.XLOOKUP(Table1[[#This Row], [DISGUISE]],Sheet1!$A$21:$A$23,Sheet1!$D$21:$D$23)</f>
        <v>69</v>
      </c>
      <c r="S57" s="9">
        <f>Table1[[#This Row], [TOTAL TIME]]-Table1[[#This Row], [TOTAL TIME TAKEN]]</f>
        <v>21.012222222222228</v>
      </c>
      <c r="T57" t="str">
        <f>IF(Table1[[#This Row], [TIME DIFFERENCE]]&gt;=0,"PASS","FAIL")</f>
        <v>PASS</v>
      </c>
      <c r="U57" s="9">
        <f>Table1[[#This Row], [TRC]]+Table1[[#This Row], [DRC]]+Table1[[#This Row], [WRC]]+Table1[[#This Row], [ERC]]+Table1[[#This Row], [EQRC]]</f>
        <v>7884809.4749999996</v>
      </c>
      <c r="V57" s="9">
        <f>Table1[[#This Row], [TOTAL COST]]+_xlfn.XLOOKUP(Table1[[#This Row], [TEAM]],Sheet1!$A$12:$A$17,Sheet1!$I$12:$I$17)</f>
        <v>8181309.4749999996</v>
      </c>
      <c r="W57" s="9">
        <f>Table1[[#This Row], [LOOT]]-Table1[[#This Row], [TOTAL COST]]</f>
        <v>10115190.525</v>
      </c>
      <c r="X57" s="9">
        <f>IF(Table1[[#This Row], [PASS/FAIL]]="FAIL",0,Table1[[#This Row], [PROFIT]])</f>
        <v>10115190.525</v>
      </c>
    </row>
    <row r="58" spans="1:24" ht="19.5" customHeight="1" x14ac:dyDescent="0.45">
      <c r="A58" t="s">
        <v>12</v>
      </c>
      <c r="B58" s="14">
        <f>_xlfn.XLOOKUP(Table1[[#This Row], [TEAM]],Sheet1!$A$12:$A$17,Sheet1!$F$12:$F$17)</f>
        <v>3</v>
      </c>
      <c r="C58" s="14">
        <f>_xlfn.XLOOKUP(Table1[[#This Row], [TEAM]],Sheet1!$A$12:$A$17,Sheet1!$G$12:$G$17)</f>
        <v>5988750</v>
      </c>
      <c r="D58" t="s">
        <v>18</v>
      </c>
      <c r="E58" s="4">
        <f>_xlfn.XLOOKUP(Table1[[#This Row], [ROOM]],Sheet1!$A$47:$A$66,Sheet1!$B$47:$B$66)</f>
        <v>134</v>
      </c>
      <c r="F58" t="s">
        <v>58</v>
      </c>
      <c r="G58" s="4">
        <f>_xlfn.XLOOKUP(Table1[[#This Row], [DISGUISE]],Sheet1!$A$21:$A$23,Sheet1!$B$21:$B$23)*Table1[[#This Row], [NUM OF MEM]]*(1+_xlfn.XLOOKUP(Table1[[#This Row], [DISGUISE]],Sheet1!$A$21:$A$23,Sheet1!$C$21:$C$23))</f>
        <v>38400</v>
      </c>
      <c r="H58" s="13" t="s">
        <v>59</v>
      </c>
      <c r="I58" s="4">
        <f>_xlfn.XLOOKUP(Table1[[#This Row], [WEAPON]],Sheet1!$A$27:$A$29,Sheet1!$B$27:$B$29)*Table1[[#This Row], [NUM OF MEM]]*(1+_xlfn.XLOOKUP(Table1[[#This Row], [WEAPON]],Sheet1!$A$27:$A$29,Sheet1!$C$27:$C$29))</f>
        <v>136500</v>
      </c>
      <c r="J58" t="s">
        <v>60</v>
      </c>
      <c r="K58" s="9">
        <f>Table1[[#This Row], [NUM OF MEM]]*Table1[[#This Row], [TOTAL TIME TAKEN]]*_xlfn.XLOOKUP(Table1[[#This Row], [EXIT]],Sheet1!$A$70:$A$71,Sheet1!$B$70:$B$71)*(1+_xlfn.XLOOKUP(Table1[[#This Row], [EXIT]],Sheet1!$A$70:$A$71,Sheet1!$C$70:$C$71))</f>
        <v>1771612.1749999996</v>
      </c>
      <c r="L58" s="13" t="s">
        <v>61</v>
      </c>
      <c r="M58" s="4">
        <f>IF(Table1[[#This Row], [EQUIPMENT]]="YES",Sheet1!$C$44*(1+Sheet1!$D$44),0)</f>
        <v>0</v>
      </c>
      <c r="N58" s="4">
        <f>_xlfn.XLOOKUP(Table1[[#This Row], [ROOM]],Sheet1!$A$47:$A$66,Sheet1!$F$47:$F$66)</f>
        <v>18050000</v>
      </c>
      <c r="O58" s="9">
        <f>_xlfn.XLOOKUP(_xlfn.CONCAT(Table1[[#This Row], [TEAM]],Table1[[#This Row], [ROOM]]),'ROOM TIME'!$H$2:$H$121,'ROOM TIME'!$J$2:$J$121)</f>
        <v>41.41888888888888</v>
      </c>
      <c r="P58" s="9">
        <f>(INDEX(Sheet1!$X$48:$Z$67,MATCH(Table1[[#This Row], [ROOM]],Sheet1!$P$48:$P$67,0),MATCH(Table1[[#This Row], [WEAPON]],Sheet1!$X$47:$Z$47,0)))/Table1[[#This Row], [NUM OF MEM]]</f>
        <v>4.5999999999999996</v>
      </c>
      <c r="Q58" s="9">
        <f>Table1[[#This Row], [ROOM TIME]]+Table1[[#This Row], [GUARD TIME]]</f>
        <v>46.018888888888881</v>
      </c>
      <c r="R58" s="4">
        <f>Sheet1!$K$3*_xlfn.XLOOKUP(Table1[[#This Row], [DISGUISE]],Sheet1!$A$21:$A$23,Sheet1!$D$21:$D$23)</f>
        <v>69</v>
      </c>
      <c r="S58" s="9">
        <f>Table1[[#This Row], [TOTAL TIME]]-Table1[[#This Row], [TOTAL TIME TAKEN]]</f>
        <v>22.981111111111119</v>
      </c>
      <c r="T58" t="str">
        <f>IF(Table1[[#This Row], [TIME DIFFERENCE]]&gt;=0,"PASS","FAIL")</f>
        <v>PASS</v>
      </c>
      <c r="U58" s="9">
        <f>Table1[[#This Row], [TRC]]+Table1[[#This Row], [DRC]]+Table1[[#This Row], [WRC]]+Table1[[#This Row], [ERC]]+Table1[[#This Row], [EQRC]]</f>
        <v>7935262.1749999998</v>
      </c>
      <c r="V58" s="9">
        <f>Table1[[#This Row], [TOTAL COST]]+_xlfn.XLOOKUP(Table1[[#This Row], [TEAM]],Sheet1!$A$12:$A$17,Sheet1!$I$12:$I$17)</f>
        <v>8234699.6749999998</v>
      </c>
      <c r="W58" s="9">
        <f>Table1[[#This Row], [LOOT]]-Table1[[#This Row], [TOTAL COST]]</f>
        <v>10114737.824999999</v>
      </c>
      <c r="X58" s="9">
        <f>IF(Table1[[#This Row], [PASS/FAIL]]="FAIL",0,Table1[[#This Row], [PROFIT]])</f>
        <v>10114737.824999999</v>
      </c>
    </row>
    <row r="59" spans="1:24" ht="19.5" customHeight="1" x14ac:dyDescent="0.45">
      <c r="A59" t="s">
        <v>13</v>
      </c>
      <c r="B59" s="14">
        <f>_xlfn.XLOOKUP(Table1[[#This Row], [TEAM]],Sheet1!$A$12:$A$17,Sheet1!$F$12:$F$17)</f>
        <v>3</v>
      </c>
      <c r="C59" s="14">
        <f>_xlfn.XLOOKUP(Table1[[#This Row], [TEAM]],Sheet1!$A$12:$A$17,Sheet1!$G$12:$G$17)</f>
        <v>5930000</v>
      </c>
      <c r="D59" t="s">
        <v>24</v>
      </c>
      <c r="E59" s="4">
        <f>_xlfn.XLOOKUP(Table1[[#This Row], [ROOM]],Sheet1!$A$47:$A$66,Sheet1!$B$47:$B$66)</f>
        <v>345</v>
      </c>
      <c r="F59" t="s">
        <v>62</v>
      </c>
      <c r="G59" s="4">
        <f>_xlfn.XLOOKUP(Table1[[#This Row], [DISGUISE]],Sheet1!$A$21:$A$23,Sheet1!$B$21:$B$23)*Table1[[#This Row], [NUM OF MEM]]*(1+_xlfn.XLOOKUP(Table1[[#This Row], [DISGUISE]],Sheet1!$A$21:$A$23,Sheet1!$C$21:$C$23))</f>
        <v>15600</v>
      </c>
      <c r="H59" s="13" t="s">
        <v>66</v>
      </c>
      <c r="I59" s="4">
        <f>_xlfn.XLOOKUP(Table1[[#This Row], [WEAPON]],Sheet1!$A$27:$A$29,Sheet1!$B$27:$B$29)*Table1[[#This Row], [NUM OF MEM]]*(1+_xlfn.XLOOKUP(Table1[[#This Row], [WEAPON]],Sheet1!$A$27:$A$29,Sheet1!$C$27:$C$29))</f>
        <v>108000</v>
      </c>
      <c r="J59" t="s">
        <v>60</v>
      </c>
      <c r="K59" s="9">
        <f>Table1[[#This Row], [NUM OF MEM]]*Table1[[#This Row], [TOTAL TIME TAKEN]]*_xlfn.XLOOKUP(Table1[[#This Row], [EXIT]],Sheet1!$A$70:$A$71,Sheet1!$B$70:$B$71)*(1+_xlfn.XLOOKUP(Table1[[#This Row], [EXIT]],Sheet1!$A$70:$A$71,Sheet1!$C$70:$C$71))</f>
        <v>1832010.4749999999</v>
      </c>
      <c r="L59" s="13" t="s">
        <v>61</v>
      </c>
      <c r="M59" s="4">
        <f>IF(Table1[[#This Row], [EQUIPMENT]]="YES",Sheet1!$C$44*(1+Sheet1!$D$44),0)</f>
        <v>0</v>
      </c>
      <c r="N59" s="4">
        <f>_xlfn.XLOOKUP(Table1[[#This Row], [ROOM]],Sheet1!$A$47:$A$66,Sheet1!$F$47:$F$66)</f>
        <v>18000000</v>
      </c>
      <c r="O59" s="9">
        <f>_xlfn.XLOOKUP(_xlfn.CONCAT(Table1[[#This Row], [TEAM]],Table1[[#This Row], [ROOM]]),'ROOM TIME'!$H$2:$H$121,'ROOM TIME'!$J$2:$J$121)</f>
        <v>42.587777777777774</v>
      </c>
      <c r="P59" s="4">
        <f>(INDEX(Sheet1!$X$48:$Z$67,MATCH(Table1[[#This Row], [ROOM]],Sheet1!$P$48:$P$67,0),MATCH(Table1[[#This Row], [WEAPON]],Sheet1!$X$47:$Z$47,0)))/Table1[[#This Row], [NUM OF MEM]]</f>
        <v>5</v>
      </c>
      <c r="Q59" s="9">
        <f>Table1[[#This Row], [ROOM TIME]]+Table1[[#This Row], [GUARD TIME]]</f>
        <v>47.587777777777774</v>
      </c>
      <c r="R59" s="4">
        <f>Sheet1!$K$3*_xlfn.XLOOKUP(Table1[[#This Row], [DISGUISE]],Sheet1!$A$21:$A$23,Sheet1!$D$21:$D$23)</f>
        <v>66</v>
      </c>
      <c r="S59" s="9">
        <f>Table1[[#This Row], [TOTAL TIME]]-Table1[[#This Row], [TOTAL TIME TAKEN]]</f>
        <v>18.412222222222226</v>
      </c>
      <c r="T59" t="str">
        <f>IF(Table1[[#This Row], [TIME DIFFERENCE]]&gt;=0,"PASS","FAIL")</f>
        <v>PASS</v>
      </c>
      <c r="U59" s="9">
        <f>Table1[[#This Row], [TRC]]+Table1[[#This Row], [DRC]]+Table1[[#This Row], [WRC]]+Table1[[#This Row], [ERC]]+Table1[[#This Row], [EQRC]]</f>
        <v>7885610.4749999996</v>
      </c>
      <c r="V59" s="9">
        <f>Table1[[#This Row], [TOTAL COST]]+_xlfn.XLOOKUP(Table1[[#This Row], [TEAM]],Sheet1!$A$12:$A$17,Sheet1!$I$12:$I$17)</f>
        <v>8182110.4749999996</v>
      </c>
      <c r="W59" s="9">
        <f>Table1[[#This Row], [LOOT]]-Table1[[#This Row], [TOTAL COST]]</f>
        <v>10114389.525</v>
      </c>
      <c r="X59" s="9">
        <f>IF(Table1[[#This Row], [PASS/FAIL]]="FAIL",0,Table1[[#This Row], [PROFIT]])</f>
        <v>10114389.525</v>
      </c>
    </row>
    <row r="60" spans="1:24" ht="19.5" customHeight="1" x14ac:dyDescent="0.45">
      <c r="A60" t="s">
        <v>15</v>
      </c>
      <c r="B60" s="14">
        <f>_xlfn.XLOOKUP(Table1[[#This Row], [TEAM]],Sheet1!$A$12:$A$17,Sheet1!$F$12:$F$17)</f>
        <v>2</v>
      </c>
      <c r="C60" s="14">
        <f>_xlfn.XLOOKUP(Table1[[#This Row], [TEAM]],Sheet1!$A$12:$A$17,Sheet1!$G$12:$G$17)</f>
        <v>5932950</v>
      </c>
      <c r="D60" t="s">
        <v>26</v>
      </c>
      <c r="E60" s="4">
        <f>_xlfn.XLOOKUP(Table1[[#This Row], [ROOM]],Sheet1!$A$47:$A$66,Sheet1!$B$47:$B$66)</f>
        <v>136</v>
      </c>
      <c r="F60" t="s">
        <v>58</v>
      </c>
      <c r="G60" s="4">
        <f>_xlfn.XLOOKUP(Table1[[#This Row], [DISGUISE]],Sheet1!$A$21:$A$23,Sheet1!$B$21:$B$23)*Table1[[#This Row], [NUM OF MEM]]*(1+_xlfn.XLOOKUP(Table1[[#This Row], [DISGUISE]],Sheet1!$A$21:$A$23,Sheet1!$C$21:$C$23))</f>
        <v>25600</v>
      </c>
      <c r="H60" s="13" t="s">
        <v>66</v>
      </c>
      <c r="I60" s="4">
        <f>_xlfn.XLOOKUP(Table1[[#This Row], [WEAPON]],Sheet1!$A$27:$A$29,Sheet1!$B$27:$B$29)*Table1[[#This Row], [NUM OF MEM]]*(1+_xlfn.XLOOKUP(Table1[[#This Row], [WEAPON]],Sheet1!$A$27:$A$29,Sheet1!$C$27:$C$29))</f>
        <v>72000</v>
      </c>
      <c r="J60" t="s">
        <v>60</v>
      </c>
      <c r="K60" s="9">
        <f>Table1[[#This Row], [NUM OF MEM]]*Table1[[#This Row], [TOTAL TIME TAKEN]]*_xlfn.XLOOKUP(Table1[[#This Row], [EXIT]],Sheet1!$A$70:$A$71,Sheet1!$B$70:$B$71)*(1+_xlfn.XLOOKUP(Table1[[#This Row], [EXIT]],Sheet1!$A$70:$A$71,Sheet1!$C$70:$C$71))</f>
        <v>1699279.6499999992</v>
      </c>
      <c r="L60" s="13" t="s">
        <v>65</v>
      </c>
      <c r="M60" s="4">
        <f>IF(Table1[[#This Row], [EQUIPMENT]]="YES",Sheet1!$C$44*(1+Sheet1!$D$44),0)</f>
        <v>307500</v>
      </c>
      <c r="N60" s="4">
        <f>_xlfn.XLOOKUP(Table1[[#This Row], [ROOM]],Sheet1!$A$47:$A$66,Sheet1!$F$47:$F$66)</f>
        <v>18150000</v>
      </c>
      <c r="O60" s="9">
        <f>_xlfn.XLOOKUP(_xlfn.CONCAT(Table1[[#This Row], [TEAM]],Table1[[#This Row], [ROOM]]),'ROOM TIME'!$H$2:$H$121,'ROOM TIME'!$J$2:$J$121)</f>
        <v>58.70999999999998</v>
      </c>
      <c r="P60" s="9">
        <f>(INDEX(Sheet1!$X$48:$Z$67,MATCH(Table1[[#This Row], [ROOM]],Sheet1!$P$48:$P$67,0),MATCH(Table1[[#This Row], [WEAPON]],Sheet1!$X$47:$Z$47,0)))/Table1[[#This Row], [NUM OF MEM]]</f>
        <v>7.5</v>
      </c>
      <c r="Q60" s="9">
        <f>Table1[[#This Row], [ROOM TIME]]+Table1[[#This Row], [GUARD TIME]]</f>
        <v>66.20999999999998</v>
      </c>
      <c r="R60" s="4">
        <f>Sheet1!$K$3*_xlfn.XLOOKUP(Table1[[#This Row], [DISGUISE]],Sheet1!$A$21:$A$23,Sheet1!$D$21:$D$23)</f>
        <v>69</v>
      </c>
      <c r="S60" s="9">
        <f>Table1[[#This Row], [TOTAL TIME]]-Table1[[#This Row], [TOTAL TIME TAKEN]]</f>
        <v>2.7900000000000205</v>
      </c>
      <c r="T60" t="str">
        <f>IF(Table1[[#This Row], [TIME DIFFERENCE]]&gt;=0,"PASS","FAIL")</f>
        <v>PASS</v>
      </c>
      <c r="U60" s="9">
        <f>Table1[[#This Row], [TRC]]+Table1[[#This Row], [DRC]]+Table1[[#This Row], [WRC]]+Table1[[#This Row], [ERC]]+Table1[[#This Row], [EQRC]]</f>
        <v>8037329.6499999994</v>
      </c>
      <c r="V60" s="9">
        <f>Table1[[#This Row], [TOTAL COST]]+_xlfn.XLOOKUP(Table1[[#This Row], [TEAM]],Sheet1!$A$12:$A$17,Sheet1!$I$12:$I$17)</f>
        <v>8333977.1499999994</v>
      </c>
      <c r="W60" s="9">
        <f>Table1[[#This Row], [LOOT]]-Table1[[#This Row], [TOTAL COST]]</f>
        <v>10112670.350000001</v>
      </c>
      <c r="X60" s="9">
        <f>IF(Table1[[#This Row], [PASS/FAIL]]="FAIL",0,Table1[[#This Row], [PROFIT]])</f>
        <v>10112670.350000001</v>
      </c>
    </row>
    <row r="61" spans="1:24" ht="19.5" customHeight="1" x14ac:dyDescent="0.45">
      <c r="A61" t="s">
        <v>14</v>
      </c>
      <c r="B61" s="14">
        <f>_xlfn.XLOOKUP(Table1[[#This Row], [TEAM]],Sheet1!$A$12:$A$17,Sheet1!$F$12:$F$17)</f>
        <v>2</v>
      </c>
      <c r="C61" s="14">
        <f>_xlfn.XLOOKUP(Table1[[#This Row], [TEAM]],Sheet1!$A$12:$A$17,Sheet1!$G$12:$G$17)</f>
        <v>5949600</v>
      </c>
      <c r="D61" t="s">
        <v>19</v>
      </c>
      <c r="E61" s="4">
        <f>_xlfn.XLOOKUP(Table1[[#This Row], [ROOM]],Sheet1!$A$47:$A$66,Sheet1!$B$47:$B$66)</f>
        <v>135</v>
      </c>
      <c r="F61" t="s">
        <v>58</v>
      </c>
      <c r="G61" s="4">
        <f>_xlfn.XLOOKUP(Table1[[#This Row], [DISGUISE]],Sheet1!$A$21:$A$23,Sheet1!$B$21:$B$23)*Table1[[#This Row], [NUM OF MEM]]*(1+_xlfn.XLOOKUP(Table1[[#This Row], [DISGUISE]],Sheet1!$A$21:$A$23,Sheet1!$C$21:$C$23))</f>
        <v>25600</v>
      </c>
      <c r="H61" s="13" t="s">
        <v>59</v>
      </c>
      <c r="I61" s="4">
        <f>_xlfn.XLOOKUP(Table1[[#This Row], [WEAPON]],Sheet1!$A$27:$A$29,Sheet1!$B$27:$B$29)*Table1[[#This Row], [NUM OF MEM]]*(1+_xlfn.XLOOKUP(Table1[[#This Row], [WEAPON]],Sheet1!$A$27:$A$29,Sheet1!$C$27:$C$29))</f>
        <v>91000</v>
      </c>
      <c r="J61" t="s">
        <v>64</v>
      </c>
      <c r="K61" s="9">
        <f>Table1[[#This Row], [NUM OF MEM]]*Table1[[#This Row], [TOTAL TIME TAKEN]]*_xlfn.XLOOKUP(Table1[[#This Row], [EXIT]],Sheet1!$A$70:$A$71,Sheet1!$B$70:$B$71)*(1+_xlfn.XLOOKUP(Table1[[#This Row], [EXIT]],Sheet1!$A$70:$A$71,Sheet1!$C$70:$C$71))</f>
        <v>1772182.7999999996</v>
      </c>
      <c r="L61" s="13" t="s">
        <v>61</v>
      </c>
      <c r="M61" s="4">
        <f>IF(Table1[[#This Row], [EQUIPMENT]]="YES",Sheet1!$C$44*(1+Sheet1!$D$44),0)</f>
        <v>0</v>
      </c>
      <c r="N61" s="4">
        <f>_xlfn.XLOOKUP(Table1[[#This Row], [ROOM]],Sheet1!$A$47:$A$66,Sheet1!$F$47:$F$66)</f>
        <v>17950000</v>
      </c>
      <c r="O61" s="9">
        <f>_xlfn.XLOOKUP(_xlfn.CONCAT(Table1[[#This Row], [TEAM]],Table1[[#This Row], [ROOM]]),'ROOM TIME'!$H$2:$H$121,'ROOM TIME'!$J$2:$J$121)</f>
        <v>62.046249999999986</v>
      </c>
      <c r="P61" s="9">
        <f>(INDEX(Sheet1!$X$48:$Z$67,MATCH(Table1[[#This Row], [ROOM]],Sheet1!$P$48:$P$67,0),MATCH(Table1[[#This Row], [WEAPON]],Sheet1!$X$47:$Z$47,0)))/Table1[[#This Row], [NUM OF MEM]]</f>
        <v>6.3249999999999993</v>
      </c>
      <c r="Q61" s="9">
        <f>Table1[[#This Row], [ROOM TIME]]+Table1[[#This Row], [GUARD TIME]]</f>
        <v>68.371249999999989</v>
      </c>
      <c r="R61" s="4">
        <f>Sheet1!$K$3*_xlfn.XLOOKUP(Table1[[#This Row], [DISGUISE]],Sheet1!$A$21:$A$23,Sheet1!$D$21:$D$23)</f>
        <v>69</v>
      </c>
      <c r="S61" s="9">
        <f>Table1[[#This Row], [TOTAL TIME]]-Table1[[#This Row], [TOTAL TIME TAKEN]]</f>
        <v>0.6287500000000108</v>
      </c>
      <c r="T61" t="str">
        <f>IF(Table1[[#This Row], [TIME DIFFERENCE]]&gt;=0,"PASS","FAIL")</f>
        <v>PASS</v>
      </c>
      <c r="U61" s="9">
        <f>Table1[[#This Row], [TRC]]+Table1[[#This Row], [DRC]]+Table1[[#This Row], [WRC]]+Table1[[#This Row], [ERC]]+Table1[[#This Row], [EQRC]]</f>
        <v>7838382.7999999998</v>
      </c>
      <c r="V61" s="9">
        <f>Table1[[#This Row], [TOTAL COST]]+_xlfn.XLOOKUP(Table1[[#This Row], [TEAM]],Sheet1!$A$12:$A$17,Sheet1!$I$12:$I$17)</f>
        <v>8135862.7999999998</v>
      </c>
      <c r="W61" s="9">
        <f>Table1[[#This Row], [LOOT]]-Table1[[#This Row], [TOTAL COST]]</f>
        <v>10111617.199999999</v>
      </c>
      <c r="X61" s="9">
        <f>IF(Table1[[#This Row], [PASS/FAIL]]="FAIL",0,Table1[[#This Row], [PROFIT]])</f>
        <v>10111617.199999999</v>
      </c>
    </row>
    <row r="62" spans="1:24" ht="19.5" customHeight="1" x14ac:dyDescent="0.45">
      <c r="A62" t="s">
        <v>13</v>
      </c>
      <c r="B62" s="14">
        <f>_xlfn.XLOOKUP(Table1[[#This Row], [TEAM]],Sheet1!$A$12:$A$17,Sheet1!$F$12:$F$17)</f>
        <v>3</v>
      </c>
      <c r="C62" s="14">
        <f>_xlfn.XLOOKUP(Table1[[#This Row], [TEAM]],Sheet1!$A$12:$A$17,Sheet1!$G$12:$G$17)</f>
        <v>5930000</v>
      </c>
      <c r="D62" t="s">
        <v>18</v>
      </c>
      <c r="E62" s="4">
        <f>_xlfn.XLOOKUP(Table1[[#This Row], [ROOM]],Sheet1!$A$47:$A$66,Sheet1!$B$47:$B$66)</f>
        <v>134</v>
      </c>
      <c r="F62" t="s">
        <v>58</v>
      </c>
      <c r="G62" s="4">
        <f>_xlfn.XLOOKUP(Table1[[#This Row], [DISGUISE]],Sheet1!$A$21:$A$23,Sheet1!$B$21:$B$23)*Table1[[#This Row], [NUM OF MEM]]*(1+_xlfn.XLOOKUP(Table1[[#This Row], [DISGUISE]],Sheet1!$A$21:$A$23,Sheet1!$C$21:$C$23))</f>
        <v>38400</v>
      </c>
      <c r="H62" s="13" t="s">
        <v>59</v>
      </c>
      <c r="I62" s="4">
        <f>_xlfn.XLOOKUP(Table1[[#This Row], [WEAPON]],Sheet1!$A$27:$A$29,Sheet1!$B$27:$B$29)*Table1[[#This Row], [NUM OF MEM]]*(1+_xlfn.XLOOKUP(Table1[[#This Row], [WEAPON]],Sheet1!$A$27:$A$29,Sheet1!$C$27:$C$29))</f>
        <v>136500</v>
      </c>
      <c r="J62" t="s">
        <v>60</v>
      </c>
      <c r="K62" s="9">
        <f>Table1[[#This Row], [NUM OF MEM]]*Table1[[#This Row], [TOTAL TIME TAKEN]]*_xlfn.XLOOKUP(Table1[[#This Row], [EXIT]],Sheet1!$A$70:$A$71,Sheet1!$B$70:$B$71)*(1+_xlfn.XLOOKUP(Table1[[#This Row], [EXIT]],Sheet1!$A$70:$A$71,Sheet1!$C$70:$C$71))</f>
        <v>1833657.3124999995</v>
      </c>
      <c r="L62" s="13" t="s">
        <v>61</v>
      </c>
      <c r="M62" s="4">
        <f>IF(Table1[[#This Row], [EQUIPMENT]]="YES",Sheet1!$C$44*(1+Sheet1!$D$44),0)</f>
        <v>0</v>
      </c>
      <c r="N62" s="4">
        <f>_xlfn.XLOOKUP(Table1[[#This Row], [ROOM]],Sheet1!$A$47:$A$66,Sheet1!$F$47:$F$66)</f>
        <v>18050000</v>
      </c>
      <c r="O62" s="9">
        <f>_xlfn.XLOOKUP(_xlfn.CONCAT(Table1[[#This Row], [TEAM]],Table1[[#This Row], [ROOM]]),'ROOM TIME'!$H$2:$H$121,'ROOM TIME'!$J$2:$J$121)</f>
        <v>43.030555555555544</v>
      </c>
      <c r="P62" s="9">
        <f>(INDEX(Sheet1!$X$48:$Z$67,MATCH(Table1[[#This Row], [ROOM]],Sheet1!$P$48:$P$67,0),MATCH(Table1[[#This Row], [WEAPON]],Sheet1!$X$47:$Z$47,0)))/Table1[[#This Row], [NUM OF MEM]]</f>
        <v>4.5999999999999996</v>
      </c>
      <c r="Q62" s="9">
        <f>Table1[[#This Row], [ROOM TIME]]+Table1[[#This Row], [GUARD TIME]]</f>
        <v>47.630555555555546</v>
      </c>
      <c r="R62" s="4">
        <f>Sheet1!$K$3*_xlfn.XLOOKUP(Table1[[#This Row], [DISGUISE]],Sheet1!$A$21:$A$23,Sheet1!$D$21:$D$23)</f>
        <v>69</v>
      </c>
      <c r="S62" s="9">
        <f>Table1[[#This Row], [TOTAL TIME]]-Table1[[#This Row], [TOTAL TIME TAKEN]]</f>
        <v>21.369444444444454</v>
      </c>
      <c r="T62" t="str">
        <f>IF(Table1[[#This Row], [TIME DIFFERENCE]]&gt;=0,"PASS","FAIL")</f>
        <v>PASS</v>
      </c>
      <c r="U62" s="9">
        <f>Table1[[#This Row], [TRC]]+Table1[[#This Row], [DRC]]+Table1[[#This Row], [WRC]]+Table1[[#This Row], [ERC]]+Table1[[#This Row], [EQRC]]</f>
        <v>7938557.3125</v>
      </c>
      <c r="V62" s="9">
        <f>Table1[[#This Row], [TOTAL COST]]+_xlfn.XLOOKUP(Table1[[#This Row], [TEAM]],Sheet1!$A$12:$A$17,Sheet1!$I$12:$I$17)</f>
        <v>8235057.3125</v>
      </c>
      <c r="W62" s="9">
        <f>Table1[[#This Row], [LOOT]]-Table1[[#This Row], [TOTAL COST]]</f>
        <v>10111442.6875</v>
      </c>
      <c r="X62" s="9">
        <f>IF(Table1[[#This Row], [PASS/FAIL]]="FAIL",0,Table1[[#This Row], [PROFIT]])</f>
        <v>10111442.6875</v>
      </c>
    </row>
    <row r="63" spans="1:24" ht="19.5" customHeight="1" x14ac:dyDescent="0.45">
      <c r="A63" t="s">
        <v>13</v>
      </c>
      <c r="B63" s="14">
        <f>_xlfn.XLOOKUP(Table1[[#This Row], [TEAM]],Sheet1!$A$12:$A$17,Sheet1!$F$12:$F$17)</f>
        <v>3</v>
      </c>
      <c r="C63" s="14">
        <f>_xlfn.XLOOKUP(Table1[[#This Row], [TEAM]],Sheet1!$A$12:$A$17,Sheet1!$G$12:$G$17)</f>
        <v>5930000</v>
      </c>
      <c r="D63" t="s">
        <v>32</v>
      </c>
      <c r="E63" s="4">
        <f>_xlfn.XLOOKUP(Table1[[#This Row], [ROOM]],Sheet1!$A$47:$A$66,Sheet1!$B$47:$B$66)</f>
        <v>346</v>
      </c>
      <c r="F63" t="s">
        <v>62</v>
      </c>
      <c r="G63" s="4">
        <f>_xlfn.XLOOKUP(Table1[[#This Row], [DISGUISE]],Sheet1!$A$21:$A$23,Sheet1!$B$21:$B$23)*Table1[[#This Row], [NUM OF MEM]]*(1+_xlfn.XLOOKUP(Table1[[#This Row], [DISGUISE]],Sheet1!$A$21:$A$23,Sheet1!$C$21:$C$23))</f>
        <v>15600</v>
      </c>
      <c r="H63" s="13" t="s">
        <v>63</v>
      </c>
      <c r="I63" s="4">
        <f>_xlfn.XLOOKUP(Table1[[#This Row], [WEAPON]],Sheet1!$A$27:$A$29,Sheet1!$B$27:$B$29)*Table1[[#This Row], [NUM OF MEM]]*(1+_xlfn.XLOOKUP(Table1[[#This Row], [WEAPON]],Sheet1!$A$27:$A$29,Sheet1!$C$27:$C$29))</f>
        <v>69000</v>
      </c>
      <c r="J63" t="s">
        <v>60</v>
      </c>
      <c r="K63" s="9">
        <f>Table1[[#This Row], [NUM OF MEM]]*Table1[[#This Row], [TOTAL TIME TAKEN]]*_xlfn.XLOOKUP(Table1[[#This Row], [EXIT]],Sheet1!$A$70:$A$71,Sheet1!$B$70:$B$71)*(1+_xlfn.XLOOKUP(Table1[[#This Row], [EXIT]],Sheet1!$A$70:$A$71,Sheet1!$C$70:$C$71))</f>
        <v>1767462.9999999995</v>
      </c>
      <c r="L63" s="13" t="s">
        <v>65</v>
      </c>
      <c r="M63" s="4">
        <f>IF(Table1[[#This Row], [EQUIPMENT]]="YES",Sheet1!$C$44*(1+Sheet1!$D$44),0)</f>
        <v>307500</v>
      </c>
      <c r="N63" s="4">
        <f>_xlfn.XLOOKUP(Table1[[#This Row], [ROOM]],Sheet1!$A$47:$A$66,Sheet1!$F$47:$F$66)</f>
        <v>18200000</v>
      </c>
      <c r="O63" s="9">
        <f>_xlfn.XLOOKUP(_xlfn.CONCAT(Table1[[#This Row], [TEAM]],Table1[[#This Row], [ROOM]]),'ROOM TIME'!$H$2:$H$121,'ROOM TIME'!$J$2:$J$121)</f>
        <v>40.061111111111103</v>
      </c>
      <c r="P63" s="9">
        <f>(INDEX(Sheet1!$X$48:$Z$67,MATCH(Table1[[#This Row], [ROOM]],Sheet1!$P$48:$P$67,0),MATCH(Table1[[#This Row], [WEAPON]],Sheet1!$X$47:$Z$47,0)))/Table1[[#This Row], [NUM OF MEM]]</f>
        <v>5.8500000000000005</v>
      </c>
      <c r="Q63" s="9">
        <f>Table1[[#This Row], [ROOM TIME]]+Table1[[#This Row], [GUARD TIME]]</f>
        <v>45.911111111111104</v>
      </c>
      <c r="R63" s="4">
        <f>Sheet1!$K$3*_xlfn.XLOOKUP(Table1[[#This Row], [DISGUISE]],Sheet1!$A$21:$A$23,Sheet1!$D$21:$D$23)</f>
        <v>66</v>
      </c>
      <c r="S63" s="9">
        <f>Table1[[#This Row], [TOTAL TIME]]-Table1[[#This Row], [TOTAL TIME TAKEN]]</f>
        <v>20.088888888888896</v>
      </c>
      <c r="T63" t="str">
        <f>IF(Table1[[#This Row], [TIME DIFFERENCE]]&gt;=0,"PASS","FAIL")</f>
        <v>PASS</v>
      </c>
      <c r="U63" s="4">
        <f>Table1[[#This Row], [TRC]]+Table1[[#This Row], [DRC]]+Table1[[#This Row], [WRC]]+Table1[[#This Row], [ERC]]+Table1[[#This Row], [EQRC]]</f>
        <v>8089563</v>
      </c>
      <c r="V63" s="4">
        <f>Table1[[#This Row], [TOTAL COST]]+_xlfn.XLOOKUP(Table1[[#This Row], [TEAM]],Sheet1!$A$12:$A$17,Sheet1!$I$12:$I$17)</f>
        <v>8386063</v>
      </c>
      <c r="W63" s="4">
        <f>Table1[[#This Row], [LOOT]]-Table1[[#This Row], [TOTAL COST]]</f>
        <v>10110437</v>
      </c>
      <c r="X63" s="4">
        <f>IF(Table1[[#This Row], [PASS/FAIL]]="FAIL",0,Table1[[#This Row], [PROFIT]])</f>
        <v>10110437</v>
      </c>
    </row>
    <row r="64" spans="1:24" ht="19.5" customHeight="1" x14ac:dyDescent="0.45">
      <c r="A64" t="s">
        <v>12</v>
      </c>
      <c r="B64" s="14">
        <f>_xlfn.XLOOKUP(Table1[[#This Row], [TEAM]],Sheet1!$A$12:$A$17,Sheet1!$F$12:$F$17)</f>
        <v>3</v>
      </c>
      <c r="C64" s="14">
        <f>_xlfn.XLOOKUP(Table1[[#This Row], [TEAM]],Sheet1!$A$12:$A$17,Sheet1!$G$12:$G$17)</f>
        <v>5988750</v>
      </c>
      <c r="D64" t="s">
        <v>18</v>
      </c>
      <c r="E64" s="4">
        <f>_xlfn.XLOOKUP(Table1[[#This Row], [ROOM]],Sheet1!$A$47:$A$66,Sheet1!$B$47:$B$66)</f>
        <v>134</v>
      </c>
      <c r="F64" t="s">
        <v>58</v>
      </c>
      <c r="G64" s="4">
        <f>_xlfn.XLOOKUP(Table1[[#This Row], [DISGUISE]],Sheet1!$A$21:$A$23,Sheet1!$B$21:$B$23)*Table1[[#This Row], [NUM OF MEM]]*(1+_xlfn.XLOOKUP(Table1[[#This Row], [DISGUISE]],Sheet1!$A$21:$A$23,Sheet1!$C$21:$C$23))</f>
        <v>38400</v>
      </c>
      <c r="H64" s="13" t="s">
        <v>66</v>
      </c>
      <c r="I64" s="4">
        <f>_xlfn.XLOOKUP(Table1[[#This Row], [WEAPON]],Sheet1!$A$27:$A$29,Sheet1!$B$27:$B$29)*Table1[[#This Row], [NUM OF MEM]]*(1+_xlfn.XLOOKUP(Table1[[#This Row], [WEAPON]],Sheet1!$A$27:$A$29,Sheet1!$C$27:$C$29))</f>
        <v>108000</v>
      </c>
      <c r="J64" t="s">
        <v>64</v>
      </c>
      <c r="K64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1804766.3999999994</v>
      </c>
      <c r="L64" s="13" t="s">
        <v>61</v>
      </c>
      <c r="M64" s="4">
        <f>IF(Table1[[#This Row], [EQUIPMENT]]="YES",Sheet1!$C$44*(1+Sheet1!$D$44),0)</f>
        <v>0</v>
      </c>
      <c r="N64" s="4">
        <f>_xlfn.XLOOKUP(Table1[[#This Row], [ROOM]],Sheet1!$A$47:$A$66,Sheet1!$F$47:$F$66)</f>
        <v>18050000</v>
      </c>
      <c r="O64" s="9">
        <f>_xlfn.XLOOKUP(_xlfn.CONCAT(Table1[[#This Row], [TEAM]],Table1[[#This Row], [ROOM]]),'ROOM TIME'!$H$2:$H$121,'ROOM TIME'!$J$2:$J$121)</f>
        <v>41.41888888888888</v>
      </c>
      <c r="P64" s="4">
        <f>(INDEX(Sheet1!$X$48:$Z$67,MATCH(Table1[[#This Row], [ROOM]],Sheet1!$P$48:$P$67,0),MATCH(Table1[[#This Row], [WEAPON]],Sheet1!$X$47:$Z$47,0)))/Table1[[#This Row], [NUM OF MEM]]</f>
        <v>5</v>
      </c>
      <c r="Q64" s="9">
        <f>Table1[[#This Row], [ROOM TIME]]+Table1[[#This Row], [GUARD TIME]]</f>
        <v>46.41888888888888</v>
      </c>
      <c r="R64" s="4">
        <f>Sheet1!$K$3*_xlfn.XLOOKUP(Table1[[#This Row], [DISGUISE]],Sheet1!$A$21:$A$23,Sheet1!$D$21:$D$23)</f>
        <v>69</v>
      </c>
      <c r="S64" s="9">
        <f>Table1[[#This Row], [TOTAL TIME]]-Table1[[#This Row], [TOTAL TIME TAKEN]]</f>
        <v>22.58111111111112</v>
      </c>
      <c r="T64" t="str">
        <f>IF(Table1[[#This Row], [TIME DIFFERENCE]]&gt;=0,"PASS","FAIL")</f>
        <v>PASS</v>
      </c>
      <c r="U64" s="9">
        <f>Table1[[#This Row], [TRC]]+Table1[[#This Row], [DRC]]+Table1[[#This Row], [WRC]]+Table1[[#This Row], [ERC]]+Table1[[#This Row], [EQRC]]</f>
        <v>7939916.3999999994</v>
      </c>
      <c r="V64" s="9">
        <f>Table1[[#This Row], [TOTAL COST]]+_xlfn.XLOOKUP(Table1[[#This Row], [TEAM]],Sheet1!$A$12:$A$17,Sheet1!$I$12:$I$17)</f>
        <v>8239353.8999999994</v>
      </c>
      <c r="W64" s="9">
        <f>Table1[[#This Row], [LOOT]]-Table1[[#This Row], [TOTAL COST]]</f>
        <v>10110083.600000001</v>
      </c>
      <c r="X64" s="9">
        <f>IF(Table1[[#This Row], [PASS/FAIL]]="FAIL",0,Table1[[#This Row], [PROFIT]])</f>
        <v>10110083.600000001</v>
      </c>
    </row>
    <row r="65" spans="1:24" ht="19.5" customHeight="1" x14ac:dyDescent="0.45">
      <c r="A65" t="s">
        <v>15</v>
      </c>
      <c r="B65" s="14">
        <f>_xlfn.XLOOKUP(Table1[[#This Row], [TEAM]],Sheet1!$A$12:$A$17,Sheet1!$F$12:$F$17)</f>
        <v>2</v>
      </c>
      <c r="C65" s="14">
        <f>_xlfn.XLOOKUP(Table1[[#This Row], [TEAM]],Sheet1!$A$12:$A$17,Sheet1!$G$12:$G$17)</f>
        <v>5932950</v>
      </c>
      <c r="D65" t="s">
        <v>26</v>
      </c>
      <c r="E65" s="4">
        <f>_xlfn.XLOOKUP(Table1[[#This Row], [ROOM]],Sheet1!$A$47:$A$66,Sheet1!$B$47:$B$66)</f>
        <v>136</v>
      </c>
      <c r="F65" t="s">
        <v>58</v>
      </c>
      <c r="G65" s="4">
        <f>_xlfn.XLOOKUP(Table1[[#This Row], [DISGUISE]],Sheet1!$A$21:$A$23,Sheet1!$B$21:$B$23)*Table1[[#This Row], [NUM OF MEM]]*(1+_xlfn.XLOOKUP(Table1[[#This Row], [DISGUISE]],Sheet1!$A$21:$A$23,Sheet1!$C$21:$C$23))</f>
        <v>25600</v>
      </c>
      <c r="H65" s="13" t="s">
        <v>59</v>
      </c>
      <c r="I65" s="4">
        <f>_xlfn.XLOOKUP(Table1[[#This Row], [WEAPON]],Sheet1!$A$27:$A$29,Sheet1!$B$27:$B$29)*Table1[[#This Row], [NUM OF MEM]]*(1+_xlfn.XLOOKUP(Table1[[#This Row], [WEAPON]],Sheet1!$A$27:$A$29,Sheet1!$C$27:$C$29))</f>
        <v>91000</v>
      </c>
      <c r="J65" t="s">
        <v>60</v>
      </c>
      <c r="K65" s="9">
        <f>Table1[[#This Row], [NUM OF MEM]]*Table1[[#This Row], [TOTAL TIME TAKEN]]*_xlfn.XLOOKUP(Table1[[#This Row], [EXIT]],Sheet1!$A$70:$A$71,Sheet1!$B$70:$B$71)*(1+_xlfn.XLOOKUP(Table1[[#This Row], [EXIT]],Sheet1!$A$70:$A$71,Sheet1!$C$70:$C$71))</f>
        <v>1683880.6499999997</v>
      </c>
      <c r="L65" s="13" t="s">
        <v>65</v>
      </c>
      <c r="M65" s="4">
        <f>IF(Table1[[#This Row], [EQUIPMENT]]="YES",Sheet1!$C$44*(1+Sheet1!$D$44),0)</f>
        <v>307500</v>
      </c>
      <c r="N65" s="4">
        <f>_xlfn.XLOOKUP(Table1[[#This Row], [ROOM]],Sheet1!$A$47:$A$66,Sheet1!$F$47:$F$66)</f>
        <v>18150000</v>
      </c>
      <c r="O65" s="9">
        <f>_xlfn.XLOOKUP(_xlfn.CONCAT(Table1[[#This Row], [TEAM]],Table1[[#This Row], [ROOM]]),'ROOM TIME'!$H$2:$H$121,'ROOM TIME'!$J$2:$J$121)</f>
        <v>58.70999999999998</v>
      </c>
      <c r="P65" s="9">
        <f>(INDEX(Sheet1!$X$48:$Z$67,MATCH(Table1[[#This Row], [ROOM]],Sheet1!$P$48:$P$67,0),MATCH(Table1[[#This Row], [WEAPON]],Sheet1!$X$47:$Z$47,0)))/Table1[[#This Row], [NUM OF MEM]]</f>
        <v>6.8999999999999995</v>
      </c>
      <c r="Q65" s="9">
        <f>Table1[[#This Row], [ROOM TIME]]+Table1[[#This Row], [GUARD TIME]]</f>
        <v>65.609999999999985</v>
      </c>
      <c r="R65" s="4">
        <f>Sheet1!$K$3*_xlfn.XLOOKUP(Table1[[#This Row], [DISGUISE]],Sheet1!$A$21:$A$23,Sheet1!$D$21:$D$23)</f>
        <v>69</v>
      </c>
      <c r="S65" s="9">
        <f>Table1[[#This Row], [TOTAL TIME]]-Table1[[#This Row], [TOTAL TIME TAKEN]]</f>
        <v>3.3900000000000148</v>
      </c>
      <c r="T65" t="str">
        <f>IF(Table1[[#This Row], [TIME DIFFERENCE]]&gt;=0,"PASS","FAIL")</f>
        <v>PASS</v>
      </c>
      <c r="U65" s="9">
        <f>Table1[[#This Row], [TRC]]+Table1[[#This Row], [DRC]]+Table1[[#This Row], [WRC]]+Table1[[#This Row], [ERC]]+Table1[[#This Row], [EQRC]]</f>
        <v>8040930.6499999994</v>
      </c>
      <c r="V65" s="9">
        <f>Table1[[#This Row], [TOTAL COST]]+_xlfn.XLOOKUP(Table1[[#This Row], [TEAM]],Sheet1!$A$12:$A$17,Sheet1!$I$12:$I$17)</f>
        <v>8337578.1499999994</v>
      </c>
      <c r="W65" s="9">
        <f>Table1[[#This Row], [LOOT]]-Table1[[#This Row], [TOTAL COST]]</f>
        <v>10109069.350000001</v>
      </c>
      <c r="X65" s="9">
        <f>IF(Table1[[#This Row], [PASS/FAIL]]="FAIL",0,Table1[[#This Row], [PROFIT]])</f>
        <v>10109069.350000001</v>
      </c>
    </row>
    <row r="66" spans="1:24" ht="19.5" customHeight="1" x14ac:dyDescent="0.45">
      <c r="A66" t="s">
        <v>14</v>
      </c>
      <c r="B66" s="14">
        <f>_xlfn.XLOOKUP(Table1[[#This Row], [TEAM]],Sheet1!$A$12:$A$17,Sheet1!$F$12:$F$17)</f>
        <v>2</v>
      </c>
      <c r="C66" s="14">
        <f>_xlfn.XLOOKUP(Table1[[#This Row], [TEAM]],Sheet1!$A$12:$A$17,Sheet1!$G$12:$G$17)</f>
        <v>5949600</v>
      </c>
      <c r="D66" t="s">
        <v>26</v>
      </c>
      <c r="E66" s="4">
        <f>_xlfn.XLOOKUP(Table1[[#This Row], [ROOM]],Sheet1!$A$47:$A$66,Sheet1!$B$47:$B$66)</f>
        <v>136</v>
      </c>
      <c r="F66" t="s">
        <v>58</v>
      </c>
      <c r="G66" s="4">
        <f>_xlfn.XLOOKUP(Table1[[#This Row], [DISGUISE]],Sheet1!$A$21:$A$23,Sheet1!$B$21:$B$23)*Table1[[#This Row], [NUM OF MEM]]*(1+_xlfn.XLOOKUP(Table1[[#This Row], [DISGUISE]],Sheet1!$A$21:$A$23,Sheet1!$C$21:$C$23))</f>
        <v>25600</v>
      </c>
      <c r="H66" s="13" t="s">
        <v>66</v>
      </c>
      <c r="I66" s="4">
        <f>_xlfn.XLOOKUP(Table1[[#This Row], [WEAPON]],Sheet1!$A$27:$A$29,Sheet1!$B$27:$B$29)*Table1[[#This Row], [NUM OF MEM]]*(1+_xlfn.XLOOKUP(Table1[[#This Row], [WEAPON]],Sheet1!$A$27:$A$29,Sheet1!$C$27:$C$29))</f>
        <v>72000</v>
      </c>
      <c r="J66" t="s">
        <v>60</v>
      </c>
      <c r="K66" s="9">
        <f>Table1[[#This Row], [NUM OF MEM]]*Table1[[#This Row], [TOTAL TIME TAKEN]]*_xlfn.XLOOKUP(Table1[[#This Row], [EXIT]],Sheet1!$A$70:$A$71,Sheet1!$B$70:$B$71)*(1+_xlfn.XLOOKUP(Table1[[#This Row], [EXIT]],Sheet1!$A$70:$A$71,Sheet1!$C$70:$C$71))</f>
        <v>1687249.1812499992</v>
      </c>
      <c r="L66" s="13" t="s">
        <v>65</v>
      </c>
      <c r="M66" s="4">
        <f>IF(Table1[[#This Row], [EQUIPMENT]]="YES",Sheet1!$C$44*(1+Sheet1!$D$44),0)</f>
        <v>307500</v>
      </c>
      <c r="N66" s="4">
        <f>_xlfn.XLOOKUP(Table1[[#This Row], [ROOM]],Sheet1!$A$47:$A$66,Sheet1!$F$47:$F$66)</f>
        <v>18150000</v>
      </c>
      <c r="O66" s="9">
        <f>_xlfn.XLOOKUP(_xlfn.CONCAT(Table1[[#This Row], [TEAM]],Table1[[#This Row], [ROOM]]),'ROOM TIME'!$H$2:$H$121,'ROOM TIME'!$J$2:$J$121)</f>
        <v>58.241249999999987</v>
      </c>
      <c r="P66" s="9">
        <f>(INDEX(Sheet1!$X$48:$Z$67,MATCH(Table1[[#This Row], [ROOM]],Sheet1!$P$48:$P$67,0),MATCH(Table1[[#This Row], [WEAPON]],Sheet1!$X$47:$Z$47,0)))/Table1[[#This Row], [NUM OF MEM]]</f>
        <v>7.5</v>
      </c>
      <c r="Q66" s="9">
        <f>Table1[[#This Row], [ROOM TIME]]+Table1[[#This Row], [GUARD TIME]]</f>
        <v>65.74124999999998</v>
      </c>
      <c r="R66" s="4">
        <f>Sheet1!$K$3*_xlfn.XLOOKUP(Table1[[#This Row], [DISGUISE]],Sheet1!$A$21:$A$23,Sheet1!$D$21:$D$23)</f>
        <v>69</v>
      </c>
      <c r="S66" s="9">
        <f>Table1[[#This Row], [TOTAL TIME]]-Table1[[#This Row], [TOTAL TIME TAKEN]]</f>
        <v>3.2587500000000205</v>
      </c>
      <c r="T66" t="str">
        <f>IF(Table1[[#This Row], [TIME DIFFERENCE]]&gt;=0,"PASS","FAIL")</f>
        <v>PASS</v>
      </c>
      <c r="U66" s="9">
        <f>Table1[[#This Row], [TRC]]+Table1[[#This Row], [DRC]]+Table1[[#This Row], [WRC]]+Table1[[#This Row], [ERC]]+Table1[[#This Row], [EQRC]]</f>
        <v>8041949.1812499994</v>
      </c>
      <c r="V66" s="9">
        <f>Table1[[#This Row], [TOTAL COST]]+_xlfn.XLOOKUP(Table1[[#This Row], [TEAM]],Sheet1!$A$12:$A$17,Sheet1!$I$12:$I$17)</f>
        <v>8339429.1812499994</v>
      </c>
      <c r="W66" s="9">
        <f>Table1[[#This Row], [LOOT]]-Table1[[#This Row], [TOTAL COST]]</f>
        <v>10108050.818750001</v>
      </c>
      <c r="X66" s="9">
        <f>IF(Table1[[#This Row], [PASS/FAIL]]="FAIL",0,Table1[[#This Row], [PROFIT]])</f>
        <v>10108050.818750001</v>
      </c>
    </row>
    <row r="67" spans="1:24" ht="19.5" customHeight="1" x14ac:dyDescent="0.45">
      <c r="A67" t="s">
        <v>12</v>
      </c>
      <c r="B67" s="14">
        <f>_xlfn.XLOOKUP(Table1[[#This Row], [TEAM]],Sheet1!$A$12:$A$17,Sheet1!$F$12:$F$17)</f>
        <v>3</v>
      </c>
      <c r="C67" s="14">
        <f>_xlfn.XLOOKUP(Table1[[#This Row], [TEAM]],Sheet1!$A$12:$A$17,Sheet1!$G$12:$G$17)</f>
        <v>5988750</v>
      </c>
      <c r="D67" t="s">
        <v>32</v>
      </c>
      <c r="E67" s="4">
        <f>_xlfn.XLOOKUP(Table1[[#This Row], [ROOM]],Sheet1!$A$47:$A$66,Sheet1!$B$47:$B$66)</f>
        <v>346</v>
      </c>
      <c r="F67" t="s">
        <v>62</v>
      </c>
      <c r="G67" s="4">
        <f>_xlfn.XLOOKUP(Table1[[#This Row], [DISGUISE]],Sheet1!$A$21:$A$23,Sheet1!$B$21:$B$23)*Table1[[#This Row], [NUM OF MEM]]*(1+_xlfn.XLOOKUP(Table1[[#This Row], [DISGUISE]],Sheet1!$A$21:$A$23,Sheet1!$C$21:$C$23))</f>
        <v>15600</v>
      </c>
      <c r="H67" s="13" t="s">
        <v>63</v>
      </c>
      <c r="I67" s="4">
        <f>_xlfn.XLOOKUP(Table1[[#This Row], [WEAPON]],Sheet1!$A$27:$A$29,Sheet1!$B$27:$B$29)*Table1[[#This Row], [NUM OF MEM]]*(1+_xlfn.XLOOKUP(Table1[[#This Row], [WEAPON]],Sheet1!$A$27:$A$29,Sheet1!$C$27:$C$29))</f>
        <v>69000</v>
      </c>
      <c r="J67" t="s">
        <v>60</v>
      </c>
      <c r="K67" s="9">
        <f>Table1[[#This Row], [NUM OF MEM]]*Table1[[#This Row], [TOTAL TIME TAKEN]]*_xlfn.XLOOKUP(Table1[[#This Row], [EXIT]],Sheet1!$A$70:$A$71,Sheet1!$B$70:$B$71)*(1+_xlfn.XLOOKUP(Table1[[#This Row], [EXIT]],Sheet1!$A$70:$A$71,Sheet1!$C$70:$C$71))</f>
        <v>1711213.8749999995</v>
      </c>
      <c r="L67" s="13" t="s">
        <v>65</v>
      </c>
      <c r="M67" s="4">
        <f>IF(Table1[[#This Row], [EQUIPMENT]]="YES",Sheet1!$C$44*(1+Sheet1!$D$44),0)</f>
        <v>307500</v>
      </c>
      <c r="N67" s="4">
        <f>_xlfn.XLOOKUP(Table1[[#This Row], [ROOM]],Sheet1!$A$47:$A$66,Sheet1!$F$47:$F$66)</f>
        <v>18200000</v>
      </c>
      <c r="O67" s="9">
        <f>_xlfn.XLOOKUP(_xlfn.CONCAT(Table1[[#This Row], [TEAM]],Table1[[#This Row], [ROOM]]),'ROOM TIME'!$H$2:$H$121,'ROOM TIME'!$J$2:$J$121)</f>
        <v>38.599999999999987</v>
      </c>
      <c r="P67" s="9">
        <f>(INDEX(Sheet1!$X$48:$Z$67,MATCH(Table1[[#This Row], [ROOM]],Sheet1!$P$48:$P$67,0),MATCH(Table1[[#This Row], [WEAPON]],Sheet1!$X$47:$Z$47,0)))/Table1[[#This Row], [NUM OF MEM]]</f>
        <v>5.8500000000000005</v>
      </c>
      <c r="Q67" s="9">
        <f>Table1[[#This Row], [ROOM TIME]]+Table1[[#This Row], [GUARD TIME]]</f>
        <v>44.449999999999989</v>
      </c>
      <c r="R67" s="4">
        <f>Sheet1!$K$3*_xlfn.XLOOKUP(Table1[[#This Row], [DISGUISE]],Sheet1!$A$21:$A$23,Sheet1!$D$21:$D$23)</f>
        <v>66</v>
      </c>
      <c r="S67" s="9">
        <f>Table1[[#This Row], [TOTAL TIME]]-Table1[[#This Row], [TOTAL TIME TAKEN]]</f>
        <v>21.550000000000011</v>
      </c>
      <c r="T67" t="str">
        <f>IF(Table1[[#This Row], [TIME DIFFERENCE]]&gt;=0,"PASS","FAIL")</f>
        <v>PASS</v>
      </c>
      <c r="U67" s="9">
        <f>Table1[[#This Row], [TRC]]+Table1[[#This Row], [DRC]]+Table1[[#This Row], [WRC]]+Table1[[#This Row], [ERC]]+Table1[[#This Row], [EQRC]]</f>
        <v>8092063.875</v>
      </c>
      <c r="V67" s="9">
        <f>Table1[[#This Row], [TOTAL COST]]+_xlfn.XLOOKUP(Table1[[#This Row], [TEAM]],Sheet1!$A$12:$A$17,Sheet1!$I$12:$I$17)</f>
        <v>8391501.375</v>
      </c>
      <c r="W67" s="9">
        <f>Table1[[#This Row], [LOOT]]-Table1[[#This Row], [TOTAL COST]]</f>
        <v>10107936.125</v>
      </c>
      <c r="X67" s="9">
        <f>IF(Table1[[#This Row], [PASS/FAIL]]="FAIL",0,Table1[[#This Row], [PROFIT]])</f>
        <v>10107936.125</v>
      </c>
    </row>
    <row r="68" spans="1:24" ht="19.5" customHeight="1" x14ac:dyDescent="0.45">
      <c r="A68" t="s">
        <v>15</v>
      </c>
      <c r="B68" s="14">
        <f>_xlfn.XLOOKUP(Table1[[#This Row], [TEAM]],Sheet1!$A$12:$A$17,Sheet1!$F$12:$F$17)</f>
        <v>2</v>
      </c>
      <c r="C68" s="14">
        <f>_xlfn.XLOOKUP(Table1[[#This Row], [TEAM]],Sheet1!$A$12:$A$17,Sheet1!$G$12:$G$17)</f>
        <v>5932950</v>
      </c>
      <c r="D68" t="s">
        <v>26</v>
      </c>
      <c r="E68" s="4">
        <f>_xlfn.XLOOKUP(Table1[[#This Row], [ROOM]],Sheet1!$A$47:$A$66,Sheet1!$B$47:$B$66)</f>
        <v>136</v>
      </c>
      <c r="F68" t="s">
        <v>62</v>
      </c>
      <c r="G68" s="4">
        <f>_xlfn.XLOOKUP(Table1[[#This Row], [DISGUISE]],Sheet1!$A$21:$A$23,Sheet1!$B$21:$B$23)*Table1[[#This Row], [NUM OF MEM]]*(1+_xlfn.XLOOKUP(Table1[[#This Row], [DISGUISE]],Sheet1!$A$21:$A$23,Sheet1!$C$21:$C$23))</f>
        <v>10400</v>
      </c>
      <c r="H68" s="13" t="s">
        <v>59</v>
      </c>
      <c r="I68" s="4">
        <f>_xlfn.XLOOKUP(Table1[[#This Row], [WEAPON]],Sheet1!$A$27:$A$29,Sheet1!$B$27:$B$29)*Table1[[#This Row], [NUM OF MEM]]*(1+_xlfn.XLOOKUP(Table1[[#This Row], [WEAPON]],Sheet1!$A$27:$A$29,Sheet1!$C$27:$C$29))</f>
        <v>91000</v>
      </c>
      <c r="J68" t="s">
        <v>64</v>
      </c>
      <c r="K68" s="9">
        <f>Table1[[#This Row], [NUM OF MEM]]*Table1[[#This Row], [TOTAL TIME TAKEN]]*_xlfn.XLOOKUP(Table1[[#This Row], [EXIT]],Sheet1!$A$70:$A$71,Sheet1!$B$70:$B$71)*(1+_xlfn.XLOOKUP(Table1[[#This Row], [EXIT]],Sheet1!$A$70:$A$71,Sheet1!$C$70:$C$71))</f>
        <v>1700611.1999999997</v>
      </c>
      <c r="L68" s="13" t="s">
        <v>65</v>
      </c>
      <c r="M68" s="4">
        <f>IF(Table1[[#This Row], [EQUIPMENT]]="YES",Sheet1!$C$44*(1+Sheet1!$D$44),0)</f>
        <v>307500</v>
      </c>
      <c r="N68" s="4">
        <f>_xlfn.XLOOKUP(Table1[[#This Row], [ROOM]],Sheet1!$A$47:$A$66,Sheet1!$F$47:$F$66)</f>
        <v>18150000</v>
      </c>
      <c r="O68" s="9">
        <f>_xlfn.XLOOKUP(_xlfn.CONCAT(Table1[[#This Row], [TEAM]],Table1[[#This Row], [ROOM]]),'ROOM TIME'!$H$2:$H$121,'ROOM TIME'!$J$2:$J$121)</f>
        <v>58.70999999999998</v>
      </c>
      <c r="P68" s="9">
        <f>(INDEX(Sheet1!$X$48:$Z$67,MATCH(Table1[[#This Row], [ROOM]],Sheet1!$P$48:$P$67,0),MATCH(Table1[[#This Row], [WEAPON]],Sheet1!$X$47:$Z$47,0)))/Table1[[#This Row], [NUM OF MEM]]</f>
        <v>6.8999999999999995</v>
      </c>
      <c r="Q68" s="9">
        <f>Table1[[#This Row], [ROOM TIME]]+Table1[[#This Row], [GUARD TIME]]</f>
        <v>65.609999999999985</v>
      </c>
      <c r="R68" s="4">
        <f>Sheet1!$K$3*_xlfn.XLOOKUP(Table1[[#This Row], [DISGUISE]],Sheet1!$A$21:$A$23,Sheet1!$D$21:$D$23)</f>
        <v>66</v>
      </c>
      <c r="S68" s="9">
        <f>Table1[[#This Row], [TOTAL TIME]]-Table1[[#This Row], [TOTAL TIME TAKEN]]</f>
        <v>0.39000000000001478</v>
      </c>
      <c r="T68" t="str">
        <f>IF(Table1[[#This Row], [TIME DIFFERENCE]]&gt;=0,"PASS","FAIL")</f>
        <v>PASS</v>
      </c>
      <c r="U68" s="9">
        <f>Table1[[#This Row], [TRC]]+Table1[[#This Row], [DRC]]+Table1[[#This Row], [WRC]]+Table1[[#This Row], [ERC]]+Table1[[#This Row], [EQRC]]</f>
        <v>8042461.1999999993</v>
      </c>
      <c r="V68" s="9">
        <f>Table1[[#This Row], [TOTAL COST]]+_xlfn.XLOOKUP(Table1[[#This Row], [TEAM]],Sheet1!$A$12:$A$17,Sheet1!$I$12:$I$17)</f>
        <v>8339108.6999999993</v>
      </c>
      <c r="W68" s="9">
        <f>Table1[[#This Row], [LOOT]]-Table1[[#This Row], [TOTAL COST]]</f>
        <v>10107538.800000001</v>
      </c>
      <c r="X68" s="9">
        <f>IF(Table1[[#This Row], [PASS/FAIL]]="FAIL",0,Table1[[#This Row], [PROFIT]])</f>
        <v>10107538.800000001</v>
      </c>
    </row>
    <row r="69" spans="1:24" ht="19.5" customHeight="1" x14ac:dyDescent="0.45">
      <c r="A69" t="s">
        <v>14</v>
      </c>
      <c r="B69" s="14">
        <f>_xlfn.XLOOKUP(Table1[[#This Row], [TEAM]],Sheet1!$A$12:$A$17,Sheet1!$F$12:$F$17)</f>
        <v>2</v>
      </c>
      <c r="C69" s="14">
        <f>_xlfn.XLOOKUP(Table1[[#This Row], [TEAM]],Sheet1!$A$12:$A$17,Sheet1!$G$12:$G$17)</f>
        <v>5949600</v>
      </c>
      <c r="D69" t="s">
        <v>26</v>
      </c>
      <c r="E69" s="4">
        <f>_xlfn.XLOOKUP(Table1[[#This Row], [ROOM]],Sheet1!$A$47:$A$66,Sheet1!$B$47:$B$66)</f>
        <v>136</v>
      </c>
      <c r="F69" t="s">
        <v>62</v>
      </c>
      <c r="G69" s="4">
        <f>_xlfn.XLOOKUP(Table1[[#This Row], [DISGUISE]],Sheet1!$A$21:$A$23,Sheet1!$B$21:$B$23)*Table1[[#This Row], [NUM OF MEM]]*(1+_xlfn.XLOOKUP(Table1[[#This Row], [DISGUISE]],Sheet1!$A$21:$A$23,Sheet1!$C$21:$C$23))</f>
        <v>10400</v>
      </c>
      <c r="H69" s="13" t="s">
        <v>66</v>
      </c>
      <c r="I69" s="4">
        <f>_xlfn.XLOOKUP(Table1[[#This Row], [WEAPON]],Sheet1!$A$27:$A$29,Sheet1!$B$27:$B$29)*Table1[[#This Row], [NUM OF MEM]]*(1+_xlfn.XLOOKUP(Table1[[#This Row], [WEAPON]],Sheet1!$A$27:$A$29,Sheet1!$C$27:$C$29))</f>
        <v>72000</v>
      </c>
      <c r="J69" t="s">
        <v>64</v>
      </c>
      <c r="K69" s="9">
        <f>Table1[[#This Row], [NUM OF MEM]]*Table1[[#This Row], [TOTAL TIME TAKEN]]*_xlfn.XLOOKUP(Table1[[#This Row], [EXIT]],Sheet1!$A$70:$A$71,Sheet1!$B$70:$B$71)*(1+_xlfn.XLOOKUP(Table1[[#This Row], [EXIT]],Sheet1!$A$70:$A$71,Sheet1!$C$70:$C$71))</f>
        <v>1704013.1999999995</v>
      </c>
      <c r="L69" s="13" t="s">
        <v>65</v>
      </c>
      <c r="M69" s="4">
        <f>IF(Table1[[#This Row], [EQUIPMENT]]="YES",Sheet1!$C$44*(1+Sheet1!$D$44),0)</f>
        <v>307500</v>
      </c>
      <c r="N69" s="4">
        <f>_xlfn.XLOOKUP(Table1[[#This Row], [ROOM]],Sheet1!$A$47:$A$66,Sheet1!$F$47:$F$66)</f>
        <v>18150000</v>
      </c>
      <c r="O69" s="9">
        <f>_xlfn.XLOOKUP(_xlfn.CONCAT(Table1[[#This Row], [TEAM]],Table1[[#This Row], [ROOM]]),'ROOM TIME'!$H$2:$H$121,'ROOM TIME'!$J$2:$J$121)</f>
        <v>58.241249999999987</v>
      </c>
      <c r="P69" s="9">
        <f>(INDEX(Sheet1!$X$48:$Z$67,MATCH(Table1[[#This Row], [ROOM]],Sheet1!$P$48:$P$67,0),MATCH(Table1[[#This Row], [WEAPON]],Sheet1!$X$47:$Z$47,0)))/Table1[[#This Row], [NUM OF MEM]]</f>
        <v>7.5</v>
      </c>
      <c r="Q69" s="9">
        <f>Table1[[#This Row], [ROOM TIME]]+Table1[[#This Row], [GUARD TIME]]</f>
        <v>65.74124999999998</v>
      </c>
      <c r="R69" s="4">
        <f>Sheet1!$K$3*_xlfn.XLOOKUP(Table1[[#This Row], [DISGUISE]],Sheet1!$A$21:$A$23,Sheet1!$D$21:$D$23)</f>
        <v>66</v>
      </c>
      <c r="S69" s="9">
        <f>Table1[[#This Row], [TOTAL TIME]]-Table1[[#This Row], [TOTAL TIME TAKEN]]</f>
        <v>0.25875000000002046</v>
      </c>
      <c r="T69" t="str">
        <f>IF(Table1[[#This Row], [TIME DIFFERENCE]]&gt;=0,"PASS","FAIL")</f>
        <v>PASS</v>
      </c>
      <c r="U69" s="9">
        <f>Table1[[#This Row], [TRC]]+Table1[[#This Row], [DRC]]+Table1[[#This Row], [WRC]]+Table1[[#This Row], [ERC]]+Table1[[#This Row], [EQRC]]</f>
        <v>8043513.1999999993</v>
      </c>
      <c r="V69" s="9">
        <f>Table1[[#This Row], [TOTAL COST]]+_xlfn.XLOOKUP(Table1[[#This Row], [TEAM]],Sheet1!$A$12:$A$17,Sheet1!$I$12:$I$17)</f>
        <v>8340993.1999999993</v>
      </c>
      <c r="W69" s="9">
        <f>Table1[[#This Row], [LOOT]]-Table1[[#This Row], [TOTAL COST]]</f>
        <v>10106486.800000001</v>
      </c>
      <c r="X69" s="9">
        <f>IF(Table1[[#This Row], [PASS/FAIL]]="FAIL",0,Table1[[#This Row], [PROFIT]])</f>
        <v>10106486.800000001</v>
      </c>
    </row>
    <row r="70" spans="1:24" ht="19.5" customHeight="1" x14ac:dyDescent="0.45">
      <c r="A70" t="s">
        <v>12</v>
      </c>
      <c r="B70" s="14">
        <f>_xlfn.XLOOKUP(Table1[[#This Row], [TEAM]],Sheet1!$A$12:$A$17,Sheet1!$F$12:$F$17)</f>
        <v>3</v>
      </c>
      <c r="C70" s="14">
        <f>_xlfn.XLOOKUP(Table1[[#This Row], [TEAM]],Sheet1!$A$12:$A$17,Sheet1!$G$12:$G$17)</f>
        <v>5988750</v>
      </c>
      <c r="D70" t="s">
        <v>24</v>
      </c>
      <c r="E70" s="4">
        <f>_xlfn.XLOOKUP(Table1[[#This Row], [ROOM]],Sheet1!$A$47:$A$66,Sheet1!$B$47:$B$66)</f>
        <v>345</v>
      </c>
      <c r="F70" t="s">
        <v>62</v>
      </c>
      <c r="G70" s="4">
        <f>_xlfn.XLOOKUP(Table1[[#This Row], [DISGUISE]],Sheet1!$A$21:$A$23,Sheet1!$B$21:$B$23)*Table1[[#This Row], [NUM OF MEM]]*(1+_xlfn.XLOOKUP(Table1[[#This Row], [DISGUISE]],Sheet1!$A$21:$A$23,Sheet1!$C$21:$C$23))</f>
        <v>15600</v>
      </c>
      <c r="H70" s="13" t="s">
        <v>59</v>
      </c>
      <c r="I70" s="4">
        <f>_xlfn.XLOOKUP(Table1[[#This Row], [WEAPON]],Sheet1!$A$27:$A$29,Sheet1!$B$27:$B$29)*Table1[[#This Row], [NUM OF MEM]]*(1+_xlfn.XLOOKUP(Table1[[#This Row], [WEAPON]],Sheet1!$A$27:$A$29,Sheet1!$C$27:$C$29))</f>
        <v>136500</v>
      </c>
      <c r="J70" t="s">
        <v>60</v>
      </c>
      <c r="K70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1752833.9499999997</v>
      </c>
      <c r="L70" s="13" t="s">
        <v>61</v>
      </c>
      <c r="M70" s="4">
        <f>IF(Table1[[#This Row], [EQUIPMENT]]="YES",Sheet1!$C$44*(1+Sheet1!$D$44),0)</f>
        <v>0</v>
      </c>
      <c r="N70" s="4">
        <f>_xlfn.XLOOKUP(Table1[[#This Row], [ROOM]],Sheet1!$A$47:$A$66,Sheet1!$F$47:$F$66)</f>
        <v>18000000</v>
      </c>
      <c r="O70" s="9">
        <f>_xlfn.XLOOKUP(_xlfn.CONCAT(Table1[[#This Row], [TEAM]],Table1[[#This Row], [ROOM]]),'ROOM TIME'!$H$2:$H$121,'ROOM TIME'!$J$2:$J$121)</f>
        <v>40.9311111111111</v>
      </c>
      <c r="P70" s="9">
        <f>(INDEX(Sheet1!$X$48:$Z$67,MATCH(Table1[[#This Row], [ROOM]],Sheet1!$P$48:$P$67,0),MATCH(Table1[[#This Row], [WEAPON]],Sheet1!$X$47:$Z$47,0)))/Table1[[#This Row], [NUM OF MEM]]</f>
        <v>4.5999999999999996</v>
      </c>
      <c r="Q70" s="9">
        <f>Table1[[#This Row], [ROOM TIME]]+Table1[[#This Row], [GUARD TIME]]</f>
        <v>45.531111111111102</v>
      </c>
      <c r="R70" s="4">
        <f>Sheet1!$K$3*_xlfn.XLOOKUP(Table1[[#This Row], [DISGUISE]],Sheet1!$A$21:$A$23,Sheet1!$D$21:$D$23)</f>
        <v>66</v>
      </c>
      <c r="S70" s="9">
        <f>Table1[[#This Row], [TOTAL TIME]]-Table1[[#This Row], [TOTAL TIME TAKEN]]</f>
        <v>20.468888888888898</v>
      </c>
      <c r="T70" t="str">
        <f>IF(Table1[[#This Row], [TIME DIFFERENCE]]&gt;=0,"PASS","FAIL")</f>
        <v>PASS</v>
      </c>
      <c r="U70" s="9">
        <f>Table1[[#This Row], [TRC]]+Table1[[#This Row], [DRC]]+Table1[[#This Row], [WRC]]+Table1[[#This Row], [ERC]]+Table1[[#This Row], [EQRC]]</f>
        <v>7893683.9499999993</v>
      </c>
      <c r="V70" s="9">
        <f>Table1[[#This Row], [TOTAL COST]]+_xlfn.XLOOKUP(Table1[[#This Row], [TEAM]],Sheet1!$A$12:$A$17,Sheet1!$I$12:$I$17)</f>
        <v>8193121.4499999993</v>
      </c>
      <c r="W70" s="9">
        <f>Table1[[#This Row], [LOOT]]-Table1[[#This Row], [TOTAL COST]]</f>
        <v>10106316.050000001</v>
      </c>
      <c r="X70" s="9">
        <f>IF(Table1[[#This Row], [PASS/FAIL]]="FAIL",0,Table1[[#This Row], [PROFIT]])</f>
        <v>10106316.050000001</v>
      </c>
    </row>
    <row r="71" spans="1:24" ht="19.5" customHeight="1" x14ac:dyDescent="0.45">
      <c r="A71" t="s">
        <v>15</v>
      </c>
      <c r="B71" s="14">
        <f>_xlfn.XLOOKUP(Table1[[#This Row], [TEAM]],Sheet1!$A$12:$A$17,Sheet1!$F$12:$F$17)</f>
        <v>2</v>
      </c>
      <c r="C71" s="14">
        <f>_xlfn.XLOOKUP(Table1[[#This Row], [TEAM]],Sheet1!$A$12:$A$17,Sheet1!$G$12:$G$17)</f>
        <v>5932950</v>
      </c>
      <c r="D71" t="s">
        <v>26</v>
      </c>
      <c r="E71" s="4">
        <f>_xlfn.XLOOKUP(Table1[[#This Row], [ROOM]],Sheet1!$A$47:$A$66,Sheet1!$B$47:$B$66)</f>
        <v>136</v>
      </c>
      <c r="F71" t="s">
        <v>58</v>
      </c>
      <c r="G71" s="4">
        <f>_xlfn.XLOOKUP(Table1[[#This Row], [DISGUISE]],Sheet1!$A$21:$A$23,Sheet1!$B$21:$B$23)*Table1[[#This Row], [NUM OF MEM]]*(1+_xlfn.XLOOKUP(Table1[[#This Row], [DISGUISE]],Sheet1!$A$21:$A$23,Sheet1!$C$21:$C$23))</f>
        <v>25600</v>
      </c>
      <c r="H71" s="13" t="s">
        <v>63</v>
      </c>
      <c r="I71" s="4">
        <f>_xlfn.XLOOKUP(Table1[[#This Row], [WEAPON]],Sheet1!$A$27:$A$29,Sheet1!$B$27:$B$29)*Table1[[#This Row], [NUM OF MEM]]*(1+_xlfn.XLOOKUP(Table1[[#This Row], [WEAPON]],Sheet1!$A$27:$A$29,Sheet1!$C$27:$C$29))</f>
        <v>46000</v>
      </c>
      <c r="J71" t="s">
        <v>64</v>
      </c>
      <c r="K71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1731715.1999999995</v>
      </c>
      <c r="L71" s="13" t="s">
        <v>65</v>
      </c>
      <c r="M71" s="4">
        <f>IF(Table1[[#This Row], [EQUIPMENT]]="YES",Sheet1!$C$44*(1+Sheet1!$D$44),0)</f>
        <v>307500</v>
      </c>
      <c r="N71" s="4">
        <f>_xlfn.XLOOKUP(Table1[[#This Row], [ROOM]],Sheet1!$A$47:$A$66,Sheet1!$F$47:$F$66)</f>
        <v>18150000</v>
      </c>
      <c r="O71" s="9">
        <f>_xlfn.XLOOKUP(_xlfn.CONCAT(Table1[[#This Row], [TEAM]],Table1[[#This Row], [ROOM]]),'ROOM TIME'!$H$2:$H$121,'ROOM TIME'!$J$2:$J$121)</f>
        <v>58.70999999999998</v>
      </c>
      <c r="P71" s="9">
        <f>(INDEX(Sheet1!$X$48:$Z$67,MATCH(Table1[[#This Row], [ROOM]],Sheet1!$P$48:$P$67,0),MATCH(Table1[[#This Row], [WEAPON]],Sheet1!$X$47:$Z$47,0)))/Table1[[#This Row], [NUM OF MEM]]</f>
        <v>8.1000000000000014</v>
      </c>
      <c r="Q71" s="9">
        <f>Table1[[#This Row], [ROOM TIME]]+Table1[[#This Row], [GUARD TIME]]</f>
        <v>66.809999999999974</v>
      </c>
      <c r="R71" s="4">
        <f>Sheet1!$K$3*_xlfn.XLOOKUP(Table1[[#This Row], [DISGUISE]],Sheet1!$A$21:$A$23,Sheet1!$D$21:$D$23)</f>
        <v>69</v>
      </c>
      <c r="S71" s="9">
        <f>Table1[[#This Row], [TOTAL TIME]]-Table1[[#This Row], [TOTAL TIME TAKEN]]</f>
        <v>2.1900000000000261</v>
      </c>
      <c r="T71" t="str">
        <f>IF(Table1[[#This Row], [TIME DIFFERENCE]]&gt;=0,"PASS","FAIL")</f>
        <v>PASS</v>
      </c>
      <c r="U71" s="9">
        <f>Table1[[#This Row], [TRC]]+Table1[[#This Row], [DRC]]+Table1[[#This Row], [WRC]]+Table1[[#This Row], [ERC]]+Table1[[#This Row], [EQRC]]</f>
        <v>8043765.1999999993</v>
      </c>
      <c r="V71" s="9">
        <f>Table1[[#This Row], [TOTAL COST]]+_xlfn.XLOOKUP(Table1[[#This Row], [TEAM]],Sheet1!$A$12:$A$17,Sheet1!$I$12:$I$17)</f>
        <v>8340412.6999999993</v>
      </c>
      <c r="W71" s="9">
        <f>Table1[[#This Row], [LOOT]]-Table1[[#This Row], [TOTAL COST]]</f>
        <v>10106234.800000001</v>
      </c>
      <c r="X71" s="9">
        <f>IF(Table1[[#This Row], [PASS/FAIL]]="FAIL",0,Table1[[#This Row], [PROFIT]])</f>
        <v>10106234.800000001</v>
      </c>
    </row>
    <row r="72" spans="1:24" ht="19.5" customHeight="1" x14ac:dyDescent="0.45">
      <c r="A72" t="s">
        <v>13</v>
      </c>
      <c r="B72" s="14">
        <f>_xlfn.XLOOKUP(Table1[[#This Row], [TEAM]],Sheet1!$A$12:$A$17,Sheet1!$F$12:$F$17)</f>
        <v>3</v>
      </c>
      <c r="C72" s="14">
        <f>_xlfn.XLOOKUP(Table1[[#This Row], [TEAM]],Sheet1!$A$12:$A$17,Sheet1!$G$12:$G$17)</f>
        <v>5930000</v>
      </c>
      <c r="D72" t="s">
        <v>18</v>
      </c>
      <c r="E72" s="4">
        <f>_xlfn.XLOOKUP(Table1[[#This Row], [ROOM]],Sheet1!$A$47:$A$66,Sheet1!$B$47:$B$66)</f>
        <v>134</v>
      </c>
      <c r="F72" t="s">
        <v>58</v>
      </c>
      <c r="G72" s="4">
        <f>_xlfn.XLOOKUP(Table1[[#This Row], [DISGUISE]],Sheet1!$A$21:$A$23,Sheet1!$B$21:$B$23)*Table1[[#This Row], [NUM OF MEM]]*(1+_xlfn.XLOOKUP(Table1[[#This Row], [DISGUISE]],Sheet1!$A$21:$A$23,Sheet1!$C$21:$C$23))</f>
        <v>38400</v>
      </c>
      <c r="H72" s="13" t="s">
        <v>66</v>
      </c>
      <c r="I72" s="4">
        <f>_xlfn.XLOOKUP(Table1[[#This Row], [WEAPON]],Sheet1!$A$27:$A$29,Sheet1!$B$27:$B$29)*Table1[[#This Row], [NUM OF MEM]]*(1+_xlfn.XLOOKUP(Table1[[#This Row], [WEAPON]],Sheet1!$A$27:$A$29,Sheet1!$C$27:$C$29))</f>
        <v>108000</v>
      </c>
      <c r="J72" t="s">
        <v>64</v>
      </c>
      <c r="K72" s="9">
        <f>Table1[[#This Row], [NUM OF MEM]]*Table1[[#This Row], [TOTAL TIME TAKEN]]*_xlfn.XLOOKUP(Table1[[#This Row], [EXIT]],Sheet1!$A$70:$A$71,Sheet1!$B$70:$B$71)*(1+_xlfn.XLOOKUP(Table1[[#This Row], [EXIT]],Sheet1!$A$70:$A$71,Sheet1!$C$70:$C$71))</f>
        <v>1867427.9999999998</v>
      </c>
      <c r="L72" s="13" t="s">
        <v>61</v>
      </c>
      <c r="M72" s="4">
        <f>IF(Table1[[#This Row], [EQUIPMENT]]="YES",Sheet1!$C$44*(1+Sheet1!$D$44),0)</f>
        <v>0</v>
      </c>
      <c r="N72" s="4">
        <f>_xlfn.XLOOKUP(Table1[[#This Row], [ROOM]],Sheet1!$A$47:$A$66,Sheet1!$F$47:$F$66)</f>
        <v>18050000</v>
      </c>
      <c r="O72" s="9">
        <f>_xlfn.XLOOKUP(_xlfn.CONCAT(Table1[[#This Row], [TEAM]],Table1[[#This Row], [ROOM]]),'ROOM TIME'!$H$2:$H$121,'ROOM TIME'!$J$2:$J$121)</f>
        <v>43.030555555555544</v>
      </c>
      <c r="P72" s="4">
        <f>(INDEX(Sheet1!$X$48:$Z$67,MATCH(Table1[[#This Row], [ROOM]],Sheet1!$P$48:$P$67,0),MATCH(Table1[[#This Row], [WEAPON]],Sheet1!$X$47:$Z$47,0)))/Table1[[#This Row], [NUM OF MEM]]</f>
        <v>5</v>
      </c>
      <c r="Q72" s="9">
        <f>Table1[[#This Row], [ROOM TIME]]+Table1[[#This Row], [GUARD TIME]]</f>
        <v>48.030555555555544</v>
      </c>
      <c r="R72" s="4">
        <f>Sheet1!$K$3*_xlfn.XLOOKUP(Table1[[#This Row], [DISGUISE]],Sheet1!$A$21:$A$23,Sheet1!$D$21:$D$23)</f>
        <v>69</v>
      </c>
      <c r="S72" s="9">
        <f>Table1[[#This Row], [TOTAL TIME]]-Table1[[#This Row], [TOTAL TIME TAKEN]]</f>
        <v>20.969444444444456</v>
      </c>
      <c r="T72" t="str">
        <f>IF(Table1[[#This Row], [TIME DIFFERENCE]]&gt;=0,"PASS","FAIL")</f>
        <v>PASS</v>
      </c>
      <c r="U72" s="4">
        <f>Table1[[#This Row], [TRC]]+Table1[[#This Row], [DRC]]+Table1[[#This Row], [WRC]]+Table1[[#This Row], [ERC]]+Table1[[#This Row], [EQRC]]</f>
        <v>7943828</v>
      </c>
      <c r="V72" s="4">
        <f>Table1[[#This Row], [TOTAL COST]]+_xlfn.XLOOKUP(Table1[[#This Row], [TEAM]],Sheet1!$A$12:$A$17,Sheet1!$I$12:$I$17)</f>
        <v>8240328</v>
      </c>
      <c r="W72" s="4">
        <f>Table1[[#This Row], [LOOT]]-Table1[[#This Row], [TOTAL COST]]</f>
        <v>10106172</v>
      </c>
      <c r="X72" s="4">
        <f>IF(Table1[[#This Row], [PASS/FAIL]]="FAIL",0,Table1[[#This Row], [PROFIT]])</f>
        <v>10106172</v>
      </c>
    </row>
    <row r="73" spans="1:24" ht="19.5" customHeight="1" x14ac:dyDescent="0.45">
      <c r="A73" t="s">
        <v>15</v>
      </c>
      <c r="B73" s="14">
        <f>_xlfn.XLOOKUP(Table1[[#This Row], [TEAM]],Sheet1!$A$12:$A$17,Sheet1!$F$12:$F$17)</f>
        <v>2</v>
      </c>
      <c r="C73" s="14">
        <f>_xlfn.XLOOKUP(Table1[[#This Row], [TEAM]],Sheet1!$A$12:$A$17,Sheet1!$G$12:$G$17)</f>
        <v>5932950</v>
      </c>
      <c r="D73" t="s">
        <v>33</v>
      </c>
      <c r="E73" s="4">
        <f>_xlfn.XLOOKUP(Table1[[#This Row], [ROOM]],Sheet1!$A$47:$A$66,Sheet1!$B$47:$B$66)</f>
        <v>356</v>
      </c>
      <c r="F73" t="s">
        <v>62</v>
      </c>
      <c r="G73" s="4">
        <f>_xlfn.XLOOKUP(Table1[[#This Row], [DISGUISE]],Sheet1!$A$21:$A$23,Sheet1!$B$21:$B$23)*Table1[[#This Row], [NUM OF MEM]]*(1+_xlfn.XLOOKUP(Table1[[#This Row], [DISGUISE]],Sheet1!$A$21:$A$23,Sheet1!$C$21:$C$23))</f>
        <v>10400</v>
      </c>
      <c r="H73" s="13" t="s">
        <v>66</v>
      </c>
      <c r="I73" s="4">
        <f>_xlfn.XLOOKUP(Table1[[#This Row], [WEAPON]],Sheet1!$A$27:$A$29,Sheet1!$B$27:$B$29)*Table1[[#This Row], [NUM OF MEM]]*(1+_xlfn.XLOOKUP(Table1[[#This Row], [WEAPON]],Sheet1!$A$27:$A$29,Sheet1!$C$27:$C$29))</f>
        <v>72000</v>
      </c>
      <c r="J73" t="s">
        <v>60</v>
      </c>
      <c r="K73" s="9">
        <f>Table1[[#This Row], [NUM OF MEM]]*Table1[[#This Row], [TOTAL TIME TAKEN]]*_xlfn.XLOOKUP(Table1[[#This Row], [EXIT]],Sheet1!$A$70:$A$71,Sheet1!$B$70:$B$71)*(1+_xlfn.XLOOKUP(Table1[[#This Row], [EXIT]],Sheet1!$A$70:$A$71,Sheet1!$C$70:$C$71))</f>
        <v>1671753.9374999995</v>
      </c>
      <c r="L73" s="13" t="s">
        <v>65</v>
      </c>
      <c r="M73" s="4">
        <f>IF(Table1[[#This Row], [EQUIPMENT]]="YES",Sheet1!$C$44*(1+Sheet1!$D$44),0)</f>
        <v>307500</v>
      </c>
      <c r="N73" s="4">
        <f>_xlfn.XLOOKUP(Table1[[#This Row], [ROOM]],Sheet1!$A$47:$A$66,Sheet1!$F$47:$F$66)</f>
        <v>18100000</v>
      </c>
      <c r="O73" s="9">
        <f>_xlfn.XLOOKUP(_xlfn.CONCAT(Table1[[#This Row], [TEAM]],Table1[[#This Row], [ROOM]]),'ROOM TIME'!$H$2:$H$121,'ROOM TIME'!$J$2:$J$121)</f>
        <v>57.637499999999989</v>
      </c>
      <c r="P73" s="9">
        <f>(INDEX(Sheet1!$X$48:$Z$67,MATCH(Table1[[#This Row], [ROOM]],Sheet1!$P$48:$P$67,0),MATCH(Table1[[#This Row], [WEAPON]],Sheet1!$X$47:$Z$47,0)))/Table1[[#This Row], [NUM OF MEM]]</f>
        <v>7.5</v>
      </c>
      <c r="Q73" s="9">
        <f>Table1[[#This Row], [ROOM TIME]]+Table1[[#This Row], [GUARD TIME]]</f>
        <v>65.137499999999989</v>
      </c>
      <c r="R73" s="4">
        <f>Sheet1!$K$3*_xlfn.XLOOKUP(Table1[[#This Row], [DISGUISE]],Sheet1!$A$21:$A$23,Sheet1!$D$21:$D$23)</f>
        <v>66</v>
      </c>
      <c r="S73" s="9">
        <f>Table1[[#This Row], [TOTAL TIME]]-Table1[[#This Row], [TOTAL TIME TAKEN]]</f>
        <v>0.86250000000001137</v>
      </c>
      <c r="T73" t="str">
        <f>IF(Table1[[#This Row], [TIME DIFFERENCE]]&gt;=0,"PASS","FAIL")</f>
        <v>PASS</v>
      </c>
      <c r="U73" s="9">
        <f>Table1[[#This Row], [TRC]]+Table1[[#This Row], [DRC]]+Table1[[#This Row], [WRC]]+Table1[[#This Row], [ERC]]+Table1[[#This Row], [EQRC]]</f>
        <v>7994603.9375</v>
      </c>
      <c r="V73" s="9">
        <f>Table1[[#This Row], [TOTAL COST]]+_xlfn.XLOOKUP(Table1[[#This Row], [TEAM]],Sheet1!$A$12:$A$17,Sheet1!$I$12:$I$17)</f>
        <v>8291251.4375</v>
      </c>
      <c r="W73" s="9">
        <f>Table1[[#This Row], [LOOT]]-Table1[[#This Row], [TOTAL COST]]</f>
        <v>10105396.0625</v>
      </c>
      <c r="X73" s="9">
        <f>IF(Table1[[#This Row], [PASS/FAIL]]="FAIL",0,Table1[[#This Row], [PROFIT]])</f>
        <v>10105396.0625</v>
      </c>
    </row>
    <row r="74" spans="1:24" ht="19.5" customHeight="1" x14ac:dyDescent="0.45">
      <c r="A74" t="s">
        <v>14</v>
      </c>
      <c r="B74" s="14">
        <f>_xlfn.XLOOKUP(Table1[[#This Row], [TEAM]],Sheet1!$A$12:$A$17,Sheet1!$F$12:$F$17)</f>
        <v>2</v>
      </c>
      <c r="C74" s="14">
        <f>_xlfn.XLOOKUP(Table1[[#This Row], [TEAM]],Sheet1!$A$12:$A$17,Sheet1!$G$12:$G$17)</f>
        <v>5949600</v>
      </c>
      <c r="D74" t="s">
        <v>26</v>
      </c>
      <c r="E74" s="4">
        <f>_xlfn.XLOOKUP(Table1[[#This Row], [ROOM]],Sheet1!$A$47:$A$66,Sheet1!$B$47:$B$66)</f>
        <v>136</v>
      </c>
      <c r="F74" t="s">
        <v>58</v>
      </c>
      <c r="G74" s="4">
        <f>_xlfn.XLOOKUP(Table1[[#This Row], [DISGUISE]],Sheet1!$A$21:$A$23,Sheet1!$B$21:$B$23)*Table1[[#This Row], [NUM OF MEM]]*(1+_xlfn.XLOOKUP(Table1[[#This Row], [DISGUISE]],Sheet1!$A$21:$A$23,Sheet1!$C$21:$C$23))</f>
        <v>25600</v>
      </c>
      <c r="H74" s="13" t="s">
        <v>59</v>
      </c>
      <c r="I74" s="4">
        <f>_xlfn.XLOOKUP(Table1[[#This Row], [WEAPON]],Sheet1!$A$27:$A$29,Sheet1!$B$27:$B$29)*Table1[[#This Row], [NUM OF MEM]]*(1+_xlfn.XLOOKUP(Table1[[#This Row], [WEAPON]],Sheet1!$A$27:$A$29,Sheet1!$C$27:$C$29))</f>
        <v>91000</v>
      </c>
      <c r="J74" t="s">
        <v>60</v>
      </c>
      <c r="K74" s="9">
        <f>Table1[[#This Row], [NUM OF MEM]]*Table1[[#This Row], [TOTAL TIME TAKEN]]*_xlfn.XLOOKUP(Table1[[#This Row], [EXIT]],Sheet1!$A$70:$A$71,Sheet1!$B$70:$B$71)*(1+_xlfn.XLOOKUP(Table1[[#This Row], [EXIT]],Sheet1!$A$70:$A$71,Sheet1!$C$70:$C$71))</f>
        <v>1671850.1812499997</v>
      </c>
      <c r="L74" s="13" t="s">
        <v>65</v>
      </c>
      <c r="M74" s="4">
        <f>IF(Table1[[#This Row], [EQUIPMENT]]="YES",Sheet1!$C$44*(1+Sheet1!$D$44),0)</f>
        <v>307500</v>
      </c>
      <c r="N74" s="4">
        <f>_xlfn.XLOOKUP(Table1[[#This Row], [ROOM]],Sheet1!$A$47:$A$66,Sheet1!$F$47:$F$66)</f>
        <v>18150000</v>
      </c>
      <c r="O74" s="9">
        <f>_xlfn.XLOOKUP(_xlfn.CONCAT(Table1[[#This Row], [TEAM]],Table1[[#This Row], [ROOM]]),'ROOM TIME'!$H$2:$H$121,'ROOM TIME'!$J$2:$J$121)</f>
        <v>58.241249999999987</v>
      </c>
      <c r="P74" s="9">
        <f>(INDEX(Sheet1!$X$48:$Z$67,MATCH(Table1[[#This Row], [ROOM]],Sheet1!$P$48:$P$67,0),MATCH(Table1[[#This Row], [WEAPON]],Sheet1!$X$47:$Z$47,0)))/Table1[[#This Row], [NUM OF MEM]]</f>
        <v>6.8999999999999995</v>
      </c>
      <c r="Q74" s="9">
        <f>Table1[[#This Row], [ROOM TIME]]+Table1[[#This Row], [GUARD TIME]]</f>
        <v>65.141249999999985</v>
      </c>
      <c r="R74" s="4">
        <f>Sheet1!$K$3*_xlfn.XLOOKUP(Table1[[#This Row], [DISGUISE]],Sheet1!$A$21:$A$23,Sheet1!$D$21:$D$23)</f>
        <v>69</v>
      </c>
      <c r="S74" s="9">
        <f>Table1[[#This Row], [TOTAL TIME]]-Table1[[#This Row], [TOTAL TIME TAKEN]]</f>
        <v>3.8587500000000148</v>
      </c>
      <c r="T74" t="str">
        <f>IF(Table1[[#This Row], [TIME DIFFERENCE]]&gt;=0,"PASS","FAIL")</f>
        <v>PASS</v>
      </c>
      <c r="U74" s="9">
        <f>Table1[[#This Row], [TRC]]+Table1[[#This Row], [DRC]]+Table1[[#This Row], [WRC]]+Table1[[#This Row], [ERC]]+Table1[[#This Row], [EQRC]]</f>
        <v>8045550.1812499994</v>
      </c>
      <c r="V74" s="9">
        <f>Table1[[#This Row], [TOTAL COST]]+_xlfn.XLOOKUP(Table1[[#This Row], [TEAM]],Sheet1!$A$12:$A$17,Sheet1!$I$12:$I$17)</f>
        <v>8343030.1812499994</v>
      </c>
      <c r="W74" s="9">
        <f>Table1[[#This Row], [LOOT]]-Table1[[#This Row], [TOTAL COST]]</f>
        <v>10104449.818750001</v>
      </c>
      <c r="X74" s="9">
        <f>IF(Table1[[#This Row], [PASS/FAIL]]="FAIL",0,Table1[[#This Row], [PROFIT]])</f>
        <v>10104449.818750001</v>
      </c>
    </row>
    <row r="75" spans="1:24" ht="19.5" customHeight="1" x14ac:dyDescent="0.45">
      <c r="A75" t="s">
        <v>14</v>
      </c>
      <c r="B75" s="14">
        <f>_xlfn.XLOOKUP(Table1[[#This Row], [TEAM]],Sheet1!$A$12:$A$17,Sheet1!$F$12:$F$17)</f>
        <v>2</v>
      </c>
      <c r="C75" s="14">
        <f>_xlfn.XLOOKUP(Table1[[#This Row], [TEAM]],Sheet1!$A$12:$A$17,Sheet1!$G$12:$G$17)</f>
        <v>5949600</v>
      </c>
      <c r="D75" t="s">
        <v>26</v>
      </c>
      <c r="E75" s="4">
        <f>_xlfn.XLOOKUP(Table1[[#This Row], [ROOM]],Sheet1!$A$47:$A$66,Sheet1!$B$47:$B$66)</f>
        <v>136</v>
      </c>
      <c r="F75" t="s">
        <v>62</v>
      </c>
      <c r="G75" s="4">
        <f>_xlfn.XLOOKUP(Table1[[#This Row], [DISGUISE]],Sheet1!$A$21:$A$23,Sheet1!$B$21:$B$23)*Table1[[#This Row], [NUM OF MEM]]*(1+_xlfn.XLOOKUP(Table1[[#This Row], [DISGUISE]],Sheet1!$A$21:$A$23,Sheet1!$C$21:$C$23))</f>
        <v>10400</v>
      </c>
      <c r="H75" s="13" t="s">
        <v>59</v>
      </c>
      <c r="I75" s="4">
        <f>_xlfn.XLOOKUP(Table1[[#This Row], [WEAPON]],Sheet1!$A$27:$A$29,Sheet1!$B$27:$B$29)*Table1[[#This Row], [NUM OF MEM]]*(1+_xlfn.XLOOKUP(Table1[[#This Row], [WEAPON]],Sheet1!$A$27:$A$29,Sheet1!$C$27:$C$29))</f>
        <v>91000</v>
      </c>
      <c r="J75" t="s">
        <v>64</v>
      </c>
      <c r="K75" s="9">
        <f>Table1[[#This Row], [NUM OF MEM]]*Table1[[#This Row], [TOTAL TIME TAKEN]]*_xlfn.XLOOKUP(Table1[[#This Row], [EXIT]],Sheet1!$A$70:$A$71,Sheet1!$B$70:$B$71)*(1+_xlfn.XLOOKUP(Table1[[#This Row], [EXIT]],Sheet1!$A$70:$A$71,Sheet1!$C$70:$C$71))</f>
        <v>1688461.1999999997</v>
      </c>
      <c r="L75" s="13" t="s">
        <v>65</v>
      </c>
      <c r="M75" s="4">
        <f>IF(Table1[[#This Row], [EQUIPMENT]]="YES",Sheet1!$C$44*(1+Sheet1!$D$44),0)</f>
        <v>307500</v>
      </c>
      <c r="N75" s="4">
        <f>_xlfn.XLOOKUP(Table1[[#This Row], [ROOM]],Sheet1!$A$47:$A$66,Sheet1!$F$47:$F$66)</f>
        <v>18150000</v>
      </c>
      <c r="O75" s="9">
        <f>_xlfn.XLOOKUP(_xlfn.CONCAT(Table1[[#This Row], [TEAM]],Table1[[#This Row], [ROOM]]),'ROOM TIME'!$H$2:$H$121,'ROOM TIME'!$J$2:$J$121)</f>
        <v>58.241249999999987</v>
      </c>
      <c r="P75" s="9">
        <f>(INDEX(Sheet1!$X$48:$Z$67,MATCH(Table1[[#This Row], [ROOM]],Sheet1!$P$48:$P$67,0),MATCH(Table1[[#This Row], [WEAPON]],Sheet1!$X$47:$Z$47,0)))/Table1[[#This Row], [NUM OF MEM]]</f>
        <v>6.8999999999999995</v>
      </c>
      <c r="Q75" s="9">
        <f>Table1[[#This Row], [ROOM TIME]]+Table1[[#This Row], [GUARD TIME]]</f>
        <v>65.141249999999985</v>
      </c>
      <c r="R75" s="4">
        <f>Sheet1!$K$3*_xlfn.XLOOKUP(Table1[[#This Row], [DISGUISE]],Sheet1!$A$21:$A$23,Sheet1!$D$21:$D$23)</f>
        <v>66</v>
      </c>
      <c r="S75" s="9">
        <f>Table1[[#This Row], [TOTAL TIME]]-Table1[[#This Row], [TOTAL TIME TAKEN]]</f>
        <v>0.85875000000001478</v>
      </c>
      <c r="T75" t="str">
        <f>IF(Table1[[#This Row], [TIME DIFFERENCE]]&gt;=0,"PASS","FAIL")</f>
        <v>PASS</v>
      </c>
      <c r="U75" s="9">
        <f>Table1[[#This Row], [TRC]]+Table1[[#This Row], [DRC]]+Table1[[#This Row], [WRC]]+Table1[[#This Row], [ERC]]+Table1[[#This Row], [EQRC]]</f>
        <v>8046961.1999999993</v>
      </c>
      <c r="V75" s="9">
        <f>Table1[[#This Row], [TOTAL COST]]+_xlfn.XLOOKUP(Table1[[#This Row], [TEAM]],Sheet1!$A$12:$A$17,Sheet1!$I$12:$I$17)</f>
        <v>8344441.1999999993</v>
      </c>
      <c r="W75" s="9">
        <f>Table1[[#This Row], [LOOT]]-Table1[[#This Row], [TOTAL COST]]</f>
        <v>10103038.800000001</v>
      </c>
      <c r="X75" s="9">
        <f>IF(Table1[[#This Row], [PASS/FAIL]]="FAIL",0,Table1[[#This Row], [PROFIT]])</f>
        <v>10103038.800000001</v>
      </c>
    </row>
    <row r="76" spans="1:24" ht="19.5" customHeight="1" x14ac:dyDescent="0.45">
      <c r="A76" t="s">
        <v>12</v>
      </c>
      <c r="B76" s="14">
        <f>_xlfn.XLOOKUP(Table1[[#This Row], [TEAM]],Sheet1!$A$12:$A$17,Sheet1!$F$12:$F$17)</f>
        <v>3</v>
      </c>
      <c r="C76" s="14">
        <f>_xlfn.XLOOKUP(Table1[[#This Row], [TEAM]],Sheet1!$A$12:$A$17,Sheet1!$G$12:$G$17)</f>
        <v>5988750</v>
      </c>
      <c r="D76" t="s">
        <v>24</v>
      </c>
      <c r="E76" s="4">
        <f>_xlfn.XLOOKUP(Table1[[#This Row], [ROOM]],Sheet1!$A$47:$A$66,Sheet1!$B$47:$B$66)</f>
        <v>345</v>
      </c>
      <c r="F76" t="s">
        <v>58</v>
      </c>
      <c r="G76" s="4">
        <f>_xlfn.XLOOKUP(Table1[[#This Row], [DISGUISE]],Sheet1!$A$21:$A$23,Sheet1!$B$21:$B$23)*Table1[[#This Row], [NUM OF MEM]]*(1+_xlfn.XLOOKUP(Table1[[#This Row], [DISGUISE]],Sheet1!$A$21:$A$23,Sheet1!$C$21:$C$23))</f>
        <v>38400</v>
      </c>
      <c r="H76" s="13" t="s">
        <v>63</v>
      </c>
      <c r="I76" s="4">
        <f>_xlfn.XLOOKUP(Table1[[#This Row], [WEAPON]],Sheet1!$A$27:$A$29,Sheet1!$B$27:$B$29)*Table1[[#This Row], [NUM OF MEM]]*(1+_xlfn.XLOOKUP(Table1[[#This Row], [WEAPON]],Sheet1!$A$27:$A$29,Sheet1!$C$27:$C$29))</f>
        <v>69000</v>
      </c>
      <c r="J76" t="s">
        <v>64</v>
      </c>
      <c r="K76" s="9">
        <f>Table1[[#This Row], [NUM OF MEM]]*Table1[[#This Row], [TOTAL TIME TAKEN]]*_xlfn.XLOOKUP(Table1[[#This Row], [EXIT]],Sheet1!$A$70:$A$71,Sheet1!$B$70:$B$71)*(1+_xlfn.XLOOKUP(Table1[[#This Row], [EXIT]],Sheet1!$A$70:$A$71,Sheet1!$C$70:$C$71))</f>
        <v>1801353.5999999994</v>
      </c>
      <c r="L76" s="13" t="s">
        <v>61</v>
      </c>
      <c r="M76" s="4">
        <f>IF(Table1[[#This Row], [EQUIPMENT]]="YES",Sheet1!$C$44*(1+Sheet1!$D$44),0)</f>
        <v>0</v>
      </c>
      <c r="N76" s="4">
        <f>_xlfn.XLOOKUP(Table1[[#This Row], [ROOM]],Sheet1!$A$47:$A$66,Sheet1!$F$47:$F$66)</f>
        <v>18000000</v>
      </c>
      <c r="O76" s="9">
        <f>_xlfn.XLOOKUP(_xlfn.CONCAT(Table1[[#This Row], [TEAM]],Table1[[#This Row], [ROOM]]),'ROOM TIME'!$H$2:$H$121,'ROOM TIME'!$J$2:$J$121)</f>
        <v>40.9311111111111</v>
      </c>
      <c r="P76" s="9">
        <f>(INDEX(Sheet1!$X$48:$Z$67,MATCH(Table1[[#This Row], [ROOM]],Sheet1!$P$48:$P$67,0),MATCH(Table1[[#This Row], [WEAPON]],Sheet1!$X$47:$Z$47,0)))/Table1[[#This Row], [NUM OF MEM]]</f>
        <v>5.4000000000000012</v>
      </c>
      <c r="Q76" s="9">
        <f>Table1[[#This Row], [ROOM TIME]]+Table1[[#This Row], [GUARD TIME]]</f>
        <v>46.331111111111099</v>
      </c>
      <c r="R76" s="4">
        <f>Sheet1!$K$3*_xlfn.XLOOKUP(Table1[[#This Row], [DISGUISE]],Sheet1!$A$21:$A$23,Sheet1!$D$21:$D$23)</f>
        <v>69</v>
      </c>
      <c r="S76" s="9">
        <f>Table1[[#This Row], [TOTAL TIME]]-Table1[[#This Row], [TOTAL TIME TAKEN]]</f>
        <v>22.668888888888901</v>
      </c>
      <c r="T76" t="str">
        <f>IF(Table1[[#This Row], [TIME DIFFERENCE]]&gt;=0,"PASS","FAIL")</f>
        <v>PASS</v>
      </c>
      <c r="U76" s="9">
        <f>Table1[[#This Row], [TRC]]+Table1[[#This Row], [DRC]]+Table1[[#This Row], [WRC]]+Table1[[#This Row], [ERC]]+Table1[[#This Row], [EQRC]]</f>
        <v>7897503.5999999996</v>
      </c>
      <c r="V76" s="9">
        <f>Table1[[#This Row], [TOTAL COST]]+_xlfn.XLOOKUP(Table1[[#This Row], [TEAM]],Sheet1!$A$12:$A$17,Sheet1!$I$12:$I$17)</f>
        <v>8196941.0999999996</v>
      </c>
      <c r="W76" s="9">
        <f>Table1[[#This Row], [LOOT]]-Table1[[#This Row], [TOTAL COST]]</f>
        <v>10102496.4</v>
      </c>
      <c r="X76" s="9">
        <f>IF(Table1[[#This Row], [PASS/FAIL]]="FAIL",0,Table1[[#This Row], [PROFIT]])</f>
        <v>10102496.4</v>
      </c>
    </row>
    <row r="77" spans="1:24" ht="19.5" customHeight="1" x14ac:dyDescent="0.45">
      <c r="A77" t="s">
        <v>12</v>
      </c>
      <c r="B77" s="14">
        <f>_xlfn.XLOOKUP(Table1[[#This Row], [TEAM]],Sheet1!$A$12:$A$17,Sheet1!$F$12:$F$17)</f>
        <v>3</v>
      </c>
      <c r="C77" s="14">
        <f>_xlfn.XLOOKUP(Table1[[#This Row], [TEAM]],Sheet1!$A$12:$A$17,Sheet1!$G$12:$G$17)</f>
        <v>5988750</v>
      </c>
      <c r="D77" t="s">
        <v>19</v>
      </c>
      <c r="E77" s="4">
        <f>_xlfn.XLOOKUP(Table1[[#This Row], [ROOM]],Sheet1!$A$47:$A$66,Sheet1!$B$47:$B$66)</f>
        <v>135</v>
      </c>
      <c r="F77" t="s">
        <v>62</v>
      </c>
      <c r="G77" s="4">
        <f>_xlfn.XLOOKUP(Table1[[#This Row], [DISGUISE]],Sheet1!$A$21:$A$23,Sheet1!$B$21:$B$23)*Table1[[#This Row], [NUM OF MEM]]*(1+_xlfn.XLOOKUP(Table1[[#This Row], [DISGUISE]],Sheet1!$A$21:$A$23,Sheet1!$C$21:$C$23))</f>
        <v>15600</v>
      </c>
      <c r="H77" s="13" t="s">
        <v>63</v>
      </c>
      <c r="I77" s="4">
        <f>_xlfn.XLOOKUP(Table1[[#This Row], [WEAPON]],Sheet1!$A$27:$A$29,Sheet1!$B$27:$B$29)*Table1[[#This Row], [NUM OF MEM]]*(1+_xlfn.XLOOKUP(Table1[[#This Row], [WEAPON]],Sheet1!$A$27:$A$29,Sheet1!$C$27:$C$29))</f>
        <v>69000</v>
      </c>
      <c r="J77" t="s">
        <v>60</v>
      </c>
      <c r="K77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1774734.7499999993</v>
      </c>
      <c r="L77" s="13" t="s">
        <v>61</v>
      </c>
      <c r="M77" s="4">
        <f>IF(Table1[[#This Row], [EQUIPMENT]]="YES",Sheet1!$C$44*(1+Sheet1!$D$44),0)</f>
        <v>0</v>
      </c>
      <c r="N77" s="4">
        <f>_xlfn.XLOOKUP(Table1[[#This Row], [ROOM]],Sheet1!$A$47:$A$66,Sheet1!$F$47:$F$66)</f>
        <v>17950000</v>
      </c>
      <c r="O77" s="9">
        <f>_xlfn.XLOOKUP(_xlfn.CONCAT(Table1[[#This Row], [TEAM]],Table1[[#This Row], [ROOM]]),'ROOM TIME'!$H$2:$H$121,'ROOM TIME'!$J$2:$J$121)</f>
        <v>41.149999999999984</v>
      </c>
      <c r="P77" s="9">
        <f>(INDEX(Sheet1!$X$48:$Z$67,MATCH(Table1[[#This Row], [ROOM]],Sheet1!$P$48:$P$67,0),MATCH(Table1[[#This Row], [WEAPON]],Sheet1!$X$47:$Z$47,0)))/Table1[[#This Row], [NUM OF MEM]]</f>
        <v>4.95</v>
      </c>
      <c r="Q77" s="9">
        <f>Table1[[#This Row], [ROOM TIME]]+Table1[[#This Row], [GUARD TIME]]</f>
        <v>46.099999999999987</v>
      </c>
      <c r="R77" s="4">
        <f>Sheet1!$K$3*_xlfn.XLOOKUP(Table1[[#This Row], [DISGUISE]],Sheet1!$A$21:$A$23,Sheet1!$D$21:$D$23)</f>
        <v>66</v>
      </c>
      <c r="S77" s="9">
        <f>Table1[[#This Row], [TOTAL TIME]]-Table1[[#This Row], [TOTAL TIME TAKEN]]</f>
        <v>19.900000000000013</v>
      </c>
      <c r="T77" t="str">
        <f>IF(Table1[[#This Row], [TIME DIFFERENCE]]&gt;=0,"PASS","FAIL")</f>
        <v>PASS</v>
      </c>
      <c r="U77" s="9">
        <f>Table1[[#This Row], [TRC]]+Table1[[#This Row], [DRC]]+Table1[[#This Row], [WRC]]+Table1[[#This Row], [ERC]]+Table1[[#This Row], [EQRC]]</f>
        <v>7848084.7499999991</v>
      </c>
      <c r="V77" s="9">
        <f>Table1[[#This Row], [TOTAL COST]]+_xlfn.XLOOKUP(Table1[[#This Row], [TEAM]],Sheet1!$A$12:$A$17,Sheet1!$I$12:$I$17)</f>
        <v>8147522.2499999991</v>
      </c>
      <c r="W77" s="9">
        <f>Table1[[#This Row], [LOOT]]-Table1[[#This Row], [TOTAL COST]]</f>
        <v>10101915.25</v>
      </c>
      <c r="X77" s="9">
        <f>IF(Table1[[#This Row], [PASS/FAIL]]="FAIL",0,Table1[[#This Row], [PROFIT]])</f>
        <v>10101915.25</v>
      </c>
    </row>
    <row r="78" spans="1:24" ht="19.5" customHeight="1" x14ac:dyDescent="0.45">
      <c r="A78" t="s">
        <v>13</v>
      </c>
      <c r="B78" s="14">
        <f>_xlfn.XLOOKUP(Table1[[#This Row], [TEAM]],Sheet1!$A$12:$A$17,Sheet1!$F$12:$F$17)</f>
        <v>3</v>
      </c>
      <c r="C78" s="14">
        <f>_xlfn.XLOOKUP(Table1[[#This Row], [TEAM]],Sheet1!$A$12:$A$17,Sheet1!$G$12:$G$17)</f>
        <v>5930000</v>
      </c>
      <c r="D78" t="s">
        <v>19</v>
      </c>
      <c r="E78" s="4">
        <f>_xlfn.XLOOKUP(Table1[[#This Row], [ROOM]],Sheet1!$A$47:$A$66,Sheet1!$B$47:$B$66)</f>
        <v>135</v>
      </c>
      <c r="F78" t="s">
        <v>62</v>
      </c>
      <c r="G78" s="4">
        <f>_xlfn.XLOOKUP(Table1[[#This Row], [DISGUISE]],Sheet1!$A$21:$A$23,Sheet1!$B$21:$B$23)*Table1[[#This Row], [NUM OF MEM]]*(1+_xlfn.XLOOKUP(Table1[[#This Row], [DISGUISE]],Sheet1!$A$21:$A$23,Sheet1!$C$21:$C$23))</f>
        <v>15600</v>
      </c>
      <c r="H78" s="13" t="s">
        <v>63</v>
      </c>
      <c r="I78" s="4">
        <f>_xlfn.XLOOKUP(Table1[[#This Row], [WEAPON]],Sheet1!$A$27:$A$29,Sheet1!$B$27:$B$29)*Table1[[#This Row], [NUM OF MEM]]*(1+_xlfn.XLOOKUP(Table1[[#This Row], [WEAPON]],Sheet1!$A$27:$A$29,Sheet1!$C$27:$C$29))</f>
        <v>69000</v>
      </c>
      <c r="J78" t="s">
        <v>60</v>
      </c>
      <c r="K78" s="9">
        <f>Table1[[#This Row], [NUM OF MEM]]*Table1[[#This Row], [TOTAL TIME TAKEN]]*_xlfn.XLOOKUP(Table1[[#This Row], [EXIT]],Sheet1!$A$70:$A$71,Sheet1!$B$70:$B$71)*(1+_xlfn.XLOOKUP(Table1[[#This Row], [EXIT]],Sheet1!$A$70:$A$71,Sheet1!$C$70:$C$71))</f>
        <v>1833507.5999999996</v>
      </c>
      <c r="L78" s="13" t="s">
        <v>61</v>
      </c>
      <c r="M78" s="4">
        <f>IF(Table1[[#This Row], [EQUIPMENT]]="YES",Sheet1!$C$44*(1+Sheet1!$D$44),0)</f>
        <v>0</v>
      </c>
      <c r="N78" s="4">
        <f>_xlfn.XLOOKUP(Table1[[#This Row], [ROOM]],Sheet1!$A$47:$A$66,Sheet1!$F$47:$F$66)</f>
        <v>17950000</v>
      </c>
      <c r="O78" s="9">
        <f>_xlfn.XLOOKUP(_xlfn.CONCAT(Table1[[#This Row], [TEAM]],Table1[[#This Row], [ROOM]]),'ROOM TIME'!$H$2:$H$121,'ROOM TIME'!$J$2:$J$121)</f>
        <v>42.676666666666655</v>
      </c>
      <c r="P78" s="9">
        <f>(INDEX(Sheet1!$X$48:$Z$67,MATCH(Table1[[#This Row], [ROOM]],Sheet1!$P$48:$P$67,0),MATCH(Table1[[#This Row], [WEAPON]],Sheet1!$X$47:$Z$47,0)))/Table1[[#This Row], [NUM OF MEM]]</f>
        <v>4.95</v>
      </c>
      <c r="Q78" s="9">
        <f>Table1[[#This Row], [ROOM TIME]]+Table1[[#This Row], [GUARD TIME]]</f>
        <v>47.626666666666658</v>
      </c>
      <c r="R78" s="4">
        <f>Sheet1!$K$3*_xlfn.XLOOKUP(Table1[[#This Row], [DISGUISE]],Sheet1!$A$21:$A$23,Sheet1!$D$21:$D$23)</f>
        <v>66</v>
      </c>
      <c r="S78" s="9">
        <f>Table1[[#This Row], [TOTAL TIME]]-Table1[[#This Row], [TOTAL TIME TAKEN]]</f>
        <v>18.373333333333342</v>
      </c>
      <c r="T78" t="str">
        <f>IF(Table1[[#This Row], [TIME DIFFERENCE]]&gt;=0,"PASS","FAIL")</f>
        <v>PASS</v>
      </c>
      <c r="U78" s="9">
        <f>Table1[[#This Row], [TRC]]+Table1[[#This Row], [DRC]]+Table1[[#This Row], [WRC]]+Table1[[#This Row], [ERC]]+Table1[[#This Row], [EQRC]]</f>
        <v>7848107.5999999996</v>
      </c>
      <c r="V78" s="9">
        <f>Table1[[#This Row], [TOTAL COST]]+_xlfn.XLOOKUP(Table1[[#This Row], [TEAM]],Sheet1!$A$12:$A$17,Sheet1!$I$12:$I$17)</f>
        <v>8144607.5999999996</v>
      </c>
      <c r="W78" s="9">
        <f>Table1[[#This Row], [LOOT]]-Table1[[#This Row], [TOTAL COST]]</f>
        <v>10101892.4</v>
      </c>
      <c r="X78" s="9">
        <f>IF(Table1[[#This Row], [PASS/FAIL]]="FAIL",0,Table1[[#This Row], [PROFIT]])</f>
        <v>10101892.4</v>
      </c>
    </row>
    <row r="79" spans="1:24" ht="19.5" customHeight="1" x14ac:dyDescent="0.45">
      <c r="A79" t="s">
        <v>12</v>
      </c>
      <c r="B79" s="14">
        <f>_xlfn.XLOOKUP(Table1[[#This Row], [TEAM]],Sheet1!$A$12:$A$17,Sheet1!$F$12:$F$17)</f>
        <v>3</v>
      </c>
      <c r="C79" s="14">
        <f>_xlfn.XLOOKUP(Table1[[#This Row], [TEAM]],Sheet1!$A$12:$A$17,Sheet1!$G$12:$G$17)</f>
        <v>5988750</v>
      </c>
      <c r="D79" t="s">
        <v>24</v>
      </c>
      <c r="E79" s="4">
        <f>_xlfn.XLOOKUP(Table1[[#This Row], [ROOM]],Sheet1!$A$47:$A$66,Sheet1!$B$47:$B$66)</f>
        <v>345</v>
      </c>
      <c r="F79" t="s">
        <v>62</v>
      </c>
      <c r="G79" s="4">
        <f>_xlfn.XLOOKUP(Table1[[#This Row], [DISGUISE]],Sheet1!$A$21:$A$23,Sheet1!$B$21:$B$23)*Table1[[#This Row], [NUM OF MEM]]*(1+_xlfn.XLOOKUP(Table1[[#This Row], [DISGUISE]],Sheet1!$A$21:$A$23,Sheet1!$C$21:$C$23))</f>
        <v>15600</v>
      </c>
      <c r="H79" s="13" t="s">
        <v>66</v>
      </c>
      <c r="I79" s="4">
        <f>_xlfn.XLOOKUP(Table1[[#This Row], [WEAPON]],Sheet1!$A$27:$A$29,Sheet1!$B$27:$B$29)*Table1[[#This Row], [NUM OF MEM]]*(1+_xlfn.XLOOKUP(Table1[[#This Row], [WEAPON]],Sheet1!$A$27:$A$29,Sheet1!$C$27:$C$29))</f>
        <v>108000</v>
      </c>
      <c r="J79" t="s">
        <v>64</v>
      </c>
      <c r="K79" s="9">
        <f>Table1[[#This Row], [NUM OF MEM]]*Table1[[#This Row], [TOTAL TIME TAKEN]]*_xlfn.XLOOKUP(Table1[[#This Row], [EXIT]],Sheet1!$A$70:$A$71,Sheet1!$B$70:$B$71)*(1+_xlfn.XLOOKUP(Table1[[#This Row], [EXIT]],Sheet1!$A$70:$A$71,Sheet1!$C$70:$C$71))</f>
        <v>1785801.5999999994</v>
      </c>
      <c r="L79" s="13" t="s">
        <v>61</v>
      </c>
      <c r="M79" s="4">
        <f>IF(Table1[[#This Row], [EQUIPMENT]]="YES",Sheet1!$C$44*(1+Sheet1!$D$44),0)</f>
        <v>0</v>
      </c>
      <c r="N79" s="4">
        <f>_xlfn.XLOOKUP(Table1[[#This Row], [ROOM]],Sheet1!$A$47:$A$66,Sheet1!$F$47:$F$66)</f>
        <v>18000000</v>
      </c>
      <c r="O79" s="9">
        <f>_xlfn.XLOOKUP(_xlfn.CONCAT(Table1[[#This Row], [TEAM]],Table1[[#This Row], [ROOM]]),'ROOM TIME'!$H$2:$H$121,'ROOM TIME'!$J$2:$J$121)</f>
        <v>40.9311111111111</v>
      </c>
      <c r="P79" s="4">
        <f>(INDEX(Sheet1!$X$48:$Z$67,MATCH(Table1[[#This Row], [ROOM]],Sheet1!$P$48:$P$67,0),MATCH(Table1[[#This Row], [WEAPON]],Sheet1!$X$47:$Z$47,0)))/Table1[[#This Row], [NUM OF MEM]]</f>
        <v>5</v>
      </c>
      <c r="Q79" s="9">
        <f>Table1[[#This Row], [ROOM TIME]]+Table1[[#This Row], [GUARD TIME]]</f>
        <v>45.9311111111111</v>
      </c>
      <c r="R79" s="4">
        <f>Sheet1!$K$3*_xlfn.XLOOKUP(Table1[[#This Row], [DISGUISE]],Sheet1!$A$21:$A$23,Sheet1!$D$21:$D$23)</f>
        <v>66</v>
      </c>
      <c r="S79" s="9">
        <f>Table1[[#This Row], [TOTAL TIME]]-Table1[[#This Row], [TOTAL TIME TAKEN]]</f>
        <v>20.0688888888889</v>
      </c>
      <c r="T79" t="str">
        <f>IF(Table1[[#This Row], [TIME DIFFERENCE]]&gt;=0,"PASS","FAIL")</f>
        <v>PASS</v>
      </c>
      <c r="U79" s="9">
        <f>Table1[[#This Row], [TRC]]+Table1[[#This Row], [DRC]]+Table1[[#This Row], [WRC]]+Table1[[#This Row], [ERC]]+Table1[[#This Row], [EQRC]]</f>
        <v>7898151.5999999996</v>
      </c>
      <c r="V79" s="9">
        <f>Table1[[#This Row], [TOTAL COST]]+_xlfn.XLOOKUP(Table1[[#This Row], [TEAM]],Sheet1!$A$12:$A$17,Sheet1!$I$12:$I$17)</f>
        <v>8197589.0999999996</v>
      </c>
      <c r="W79" s="9">
        <f>Table1[[#This Row], [LOOT]]-Table1[[#This Row], [TOTAL COST]]</f>
        <v>10101848.4</v>
      </c>
      <c r="X79" s="9">
        <f>IF(Table1[[#This Row], [PASS/FAIL]]="FAIL",0,Table1[[#This Row], [PROFIT]])</f>
        <v>10101848.4</v>
      </c>
    </row>
    <row r="80" spans="1:24" ht="19.5" customHeight="1" x14ac:dyDescent="0.45">
      <c r="A80" t="s">
        <v>15</v>
      </c>
      <c r="B80" s="14">
        <f>_xlfn.XLOOKUP(Table1[[#This Row], [TEAM]],Sheet1!$A$12:$A$17,Sheet1!$F$12:$F$17)</f>
        <v>2</v>
      </c>
      <c r="C80" s="14">
        <f>_xlfn.XLOOKUP(Table1[[#This Row], [TEAM]],Sheet1!$A$12:$A$17,Sheet1!$G$12:$G$17)</f>
        <v>5932950</v>
      </c>
      <c r="D80" t="s">
        <v>33</v>
      </c>
      <c r="E80" s="4">
        <f>_xlfn.XLOOKUP(Table1[[#This Row], [ROOM]],Sheet1!$A$47:$A$66,Sheet1!$B$47:$B$66)</f>
        <v>356</v>
      </c>
      <c r="F80" t="s">
        <v>62</v>
      </c>
      <c r="G80" s="4">
        <f>_xlfn.XLOOKUP(Table1[[#This Row], [DISGUISE]],Sheet1!$A$21:$A$23,Sheet1!$B$21:$B$23)*Table1[[#This Row], [NUM OF MEM]]*(1+_xlfn.XLOOKUP(Table1[[#This Row], [DISGUISE]],Sheet1!$A$21:$A$23,Sheet1!$C$21:$C$23))</f>
        <v>10400</v>
      </c>
      <c r="H80" s="13" t="s">
        <v>59</v>
      </c>
      <c r="I80" s="4">
        <f>_xlfn.XLOOKUP(Table1[[#This Row], [WEAPON]],Sheet1!$A$27:$A$29,Sheet1!$B$27:$B$29)*Table1[[#This Row], [NUM OF MEM]]*(1+_xlfn.XLOOKUP(Table1[[#This Row], [WEAPON]],Sheet1!$A$27:$A$29,Sheet1!$C$27:$C$29))</f>
        <v>91000</v>
      </c>
      <c r="J80" t="s">
        <v>60</v>
      </c>
      <c r="K80" s="9">
        <f>Table1[[#This Row], [NUM OF MEM]]*Table1[[#This Row], [TOTAL TIME TAKEN]]*_xlfn.XLOOKUP(Table1[[#This Row], [EXIT]],Sheet1!$A$70:$A$71,Sheet1!$B$70:$B$71)*(1+_xlfn.XLOOKUP(Table1[[#This Row], [EXIT]],Sheet1!$A$70:$A$71,Sheet1!$C$70:$C$71))</f>
        <v>1656354.9375</v>
      </c>
      <c r="L80" s="13" t="s">
        <v>65</v>
      </c>
      <c r="M80" s="4">
        <f>IF(Table1[[#This Row], [EQUIPMENT]]="YES",Sheet1!$C$44*(1+Sheet1!$D$44),0)</f>
        <v>307500</v>
      </c>
      <c r="N80" s="4">
        <f>_xlfn.XLOOKUP(Table1[[#This Row], [ROOM]],Sheet1!$A$47:$A$66,Sheet1!$F$47:$F$66)</f>
        <v>18100000</v>
      </c>
      <c r="O80" s="9">
        <f>_xlfn.XLOOKUP(_xlfn.CONCAT(Table1[[#This Row], [TEAM]],Table1[[#This Row], [ROOM]]),'ROOM TIME'!$H$2:$H$121,'ROOM TIME'!$J$2:$J$121)</f>
        <v>57.637499999999989</v>
      </c>
      <c r="P80" s="9">
        <f>(INDEX(Sheet1!$X$48:$Z$67,MATCH(Table1[[#This Row], [ROOM]],Sheet1!$P$48:$P$67,0),MATCH(Table1[[#This Row], [WEAPON]],Sheet1!$X$47:$Z$47,0)))/Table1[[#This Row], [NUM OF MEM]]</f>
        <v>6.8999999999999995</v>
      </c>
      <c r="Q80" s="9">
        <f>Table1[[#This Row], [ROOM TIME]]+Table1[[#This Row], [GUARD TIME]]</f>
        <v>64.537499999999994</v>
      </c>
      <c r="R80" s="4">
        <f>Sheet1!$K$3*_xlfn.XLOOKUP(Table1[[#This Row], [DISGUISE]],Sheet1!$A$21:$A$23,Sheet1!$D$21:$D$23)</f>
        <v>66</v>
      </c>
      <c r="S80" s="9">
        <f>Table1[[#This Row], [TOTAL TIME]]-Table1[[#This Row], [TOTAL TIME TAKEN]]</f>
        <v>1.4625000000000057</v>
      </c>
      <c r="T80" t="str">
        <f>IF(Table1[[#This Row], [TIME DIFFERENCE]]&gt;=0,"PASS","FAIL")</f>
        <v>PASS</v>
      </c>
      <c r="U80" s="9">
        <f>Table1[[#This Row], [TRC]]+Table1[[#This Row], [DRC]]+Table1[[#This Row], [WRC]]+Table1[[#This Row], [ERC]]+Table1[[#This Row], [EQRC]]</f>
        <v>7998204.9375</v>
      </c>
      <c r="V80" s="9">
        <f>Table1[[#This Row], [TOTAL COST]]+_xlfn.XLOOKUP(Table1[[#This Row], [TEAM]],Sheet1!$A$12:$A$17,Sheet1!$I$12:$I$17)</f>
        <v>8294852.4375</v>
      </c>
      <c r="W80" s="9">
        <f>Table1[[#This Row], [LOOT]]-Table1[[#This Row], [TOTAL COST]]</f>
        <v>10101795.0625</v>
      </c>
      <c r="X80" s="9">
        <f>IF(Table1[[#This Row], [PASS/FAIL]]="FAIL",0,Table1[[#This Row], [PROFIT]])</f>
        <v>10101795.0625</v>
      </c>
    </row>
    <row r="81" spans="1:24" ht="19.5" customHeight="1" x14ac:dyDescent="0.45">
      <c r="A81" t="s">
        <v>14</v>
      </c>
      <c r="B81" s="14">
        <f>_xlfn.XLOOKUP(Table1[[#This Row], [TEAM]],Sheet1!$A$12:$A$17,Sheet1!$F$12:$F$17)</f>
        <v>2</v>
      </c>
      <c r="C81" s="14">
        <f>_xlfn.XLOOKUP(Table1[[#This Row], [TEAM]],Sheet1!$A$12:$A$17,Sheet1!$G$12:$G$17)</f>
        <v>5949600</v>
      </c>
      <c r="D81" t="s">
        <v>26</v>
      </c>
      <c r="E81" s="4">
        <f>_xlfn.XLOOKUP(Table1[[#This Row], [ROOM]],Sheet1!$A$47:$A$66,Sheet1!$B$47:$B$66)</f>
        <v>136</v>
      </c>
      <c r="F81" t="s">
        <v>58</v>
      </c>
      <c r="G81" s="4">
        <f>_xlfn.XLOOKUP(Table1[[#This Row], [DISGUISE]],Sheet1!$A$21:$A$23,Sheet1!$B$21:$B$23)*Table1[[#This Row], [NUM OF MEM]]*(1+_xlfn.XLOOKUP(Table1[[#This Row], [DISGUISE]],Sheet1!$A$21:$A$23,Sheet1!$C$21:$C$23))</f>
        <v>25600</v>
      </c>
      <c r="H81" s="13" t="s">
        <v>63</v>
      </c>
      <c r="I81" s="4">
        <f>_xlfn.XLOOKUP(Table1[[#This Row], [WEAPON]],Sheet1!$A$27:$A$29,Sheet1!$B$27:$B$29)*Table1[[#This Row], [NUM OF MEM]]*(1+_xlfn.XLOOKUP(Table1[[#This Row], [WEAPON]],Sheet1!$A$27:$A$29,Sheet1!$C$27:$C$29))</f>
        <v>46000</v>
      </c>
      <c r="J81" t="s">
        <v>64</v>
      </c>
      <c r="K81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1719565.1999999997</v>
      </c>
      <c r="L81" s="13" t="s">
        <v>65</v>
      </c>
      <c r="M81" s="4">
        <f>IF(Table1[[#This Row], [EQUIPMENT]]="YES",Sheet1!$C$44*(1+Sheet1!$D$44),0)</f>
        <v>307500</v>
      </c>
      <c r="N81" s="4">
        <f>_xlfn.XLOOKUP(Table1[[#This Row], [ROOM]],Sheet1!$A$47:$A$66,Sheet1!$F$47:$F$66)</f>
        <v>18150000</v>
      </c>
      <c r="O81" s="9">
        <f>_xlfn.XLOOKUP(_xlfn.CONCAT(Table1[[#This Row], [TEAM]],Table1[[#This Row], [ROOM]]),'ROOM TIME'!$H$2:$H$121,'ROOM TIME'!$J$2:$J$121)</f>
        <v>58.241249999999987</v>
      </c>
      <c r="P81" s="9">
        <f>(INDEX(Sheet1!$X$48:$Z$67,MATCH(Table1[[#This Row], [ROOM]],Sheet1!$P$48:$P$67,0),MATCH(Table1[[#This Row], [WEAPON]],Sheet1!$X$47:$Z$47,0)))/Table1[[#This Row], [NUM OF MEM]]</f>
        <v>8.1000000000000014</v>
      </c>
      <c r="Q81" s="9">
        <f>Table1[[#This Row], [ROOM TIME]]+Table1[[#This Row], [GUARD TIME]]</f>
        <v>66.341249999999988</v>
      </c>
      <c r="R81" s="4">
        <f>Sheet1!$K$3*_xlfn.XLOOKUP(Table1[[#This Row], [DISGUISE]],Sheet1!$A$21:$A$23,Sheet1!$D$21:$D$23)</f>
        <v>69</v>
      </c>
      <c r="S81" s="9">
        <f>Table1[[#This Row], [TOTAL TIME]]-Table1[[#This Row], [TOTAL TIME TAKEN]]</f>
        <v>2.6587500000000119</v>
      </c>
      <c r="T81" t="str">
        <f>IF(Table1[[#This Row], [TIME DIFFERENCE]]&gt;=0,"PASS","FAIL")</f>
        <v>PASS</v>
      </c>
      <c r="U81" s="9">
        <f>Table1[[#This Row], [TRC]]+Table1[[#This Row], [DRC]]+Table1[[#This Row], [WRC]]+Table1[[#This Row], [ERC]]+Table1[[#This Row], [EQRC]]</f>
        <v>8048265.1999999993</v>
      </c>
      <c r="V81" s="9">
        <f>Table1[[#This Row], [TOTAL COST]]+_xlfn.XLOOKUP(Table1[[#This Row], [TEAM]],Sheet1!$A$12:$A$17,Sheet1!$I$12:$I$17)</f>
        <v>8345745.1999999993</v>
      </c>
      <c r="W81" s="9">
        <f>Table1[[#This Row], [LOOT]]-Table1[[#This Row], [TOTAL COST]]</f>
        <v>10101734.800000001</v>
      </c>
      <c r="X81" s="9">
        <f>IF(Table1[[#This Row], [PASS/FAIL]]="FAIL",0,Table1[[#This Row], [PROFIT]])</f>
        <v>10101734.800000001</v>
      </c>
    </row>
    <row r="82" spans="1:24" ht="19.5" customHeight="1" x14ac:dyDescent="0.45">
      <c r="A82" t="s">
        <v>13</v>
      </c>
      <c r="B82" s="14">
        <f>_xlfn.XLOOKUP(Table1[[#This Row], [TEAM]],Sheet1!$A$12:$A$17,Sheet1!$F$12:$F$17)</f>
        <v>3</v>
      </c>
      <c r="C82" s="14">
        <f>_xlfn.XLOOKUP(Table1[[#This Row], [TEAM]],Sheet1!$A$12:$A$17,Sheet1!$G$12:$G$17)</f>
        <v>5930000</v>
      </c>
      <c r="D82" t="s">
        <v>24</v>
      </c>
      <c r="E82" s="4">
        <f>_xlfn.XLOOKUP(Table1[[#This Row], [ROOM]],Sheet1!$A$47:$A$66,Sheet1!$B$47:$B$66)</f>
        <v>345</v>
      </c>
      <c r="F82" t="s">
        <v>62</v>
      </c>
      <c r="G82" s="4">
        <f>_xlfn.XLOOKUP(Table1[[#This Row], [DISGUISE]],Sheet1!$A$21:$A$23,Sheet1!$B$21:$B$23)*Table1[[#This Row], [NUM OF MEM]]*(1+_xlfn.XLOOKUP(Table1[[#This Row], [DISGUISE]],Sheet1!$A$21:$A$23,Sheet1!$C$21:$C$23))</f>
        <v>15600</v>
      </c>
      <c r="H82" s="13" t="s">
        <v>59</v>
      </c>
      <c r="I82" s="4">
        <f>_xlfn.XLOOKUP(Table1[[#This Row], [WEAPON]],Sheet1!$A$27:$A$29,Sheet1!$B$27:$B$29)*Table1[[#This Row], [NUM OF MEM]]*(1+_xlfn.XLOOKUP(Table1[[#This Row], [WEAPON]],Sheet1!$A$27:$A$29,Sheet1!$C$27:$C$29))</f>
        <v>136500</v>
      </c>
      <c r="J82" t="s">
        <v>60</v>
      </c>
      <c r="K82" s="9">
        <f>Table1[[#This Row], [NUM OF MEM]]*Table1[[#This Row], [TOTAL TIME TAKEN]]*_xlfn.XLOOKUP(Table1[[#This Row], [EXIT]],Sheet1!$A$70:$A$71,Sheet1!$B$70:$B$71)*(1+_xlfn.XLOOKUP(Table1[[#This Row], [EXIT]],Sheet1!$A$70:$A$71,Sheet1!$C$70:$C$71))</f>
        <v>1816611.4749999999</v>
      </c>
      <c r="L82" s="13" t="s">
        <v>61</v>
      </c>
      <c r="M82" s="4">
        <f>IF(Table1[[#This Row], [EQUIPMENT]]="YES",Sheet1!$C$44*(1+Sheet1!$D$44),0)</f>
        <v>0</v>
      </c>
      <c r="N82" s="4">
        <f>_xlfn.XLOOKUP(Table1[[#This Row], [ROOM]],Sheet1!$A$47:$A$66,Sheet1!$F$47:$F$66)</f>
        <v>18000000</v>
      </c>
      <c r="O82" s="9">
        <f>_xlfn.XLOOKUP(_xlfn.CONCAT(Table1[[#This Row], [TEAM]],Table1[[#This Row], [ROOM]]),'ROOM TIME'!$H$2:$H$121,'ROOM TIME'!$J$2:$J$121)</f>
        <v>42.587777777777774</v>
      </c>
      <c r="P82" s="9">
        <f>(INDEX(Sheet1!$X$48:$Z$67,MATCH(Table1[[#This Row], [ROOM]],Sheet1!$P$48:$P$67,0),MATCH(Table1[[#This Row], [WEAPON]],Sheet1!$X$47:$Z$47,0)))/Table1[[#This Row], [NUM OF MEM]]</f>
        <v>4.5999999999999996</v>
      </c>
      <c r="Q82" s="9">
        <f>Table1[[#This Row], [ROOM TIME]]+Table1[[#This Row], [GUARD TIME]]</f>
        <v>47.187777777777775</v>
      </c>
      <c r="R82" s="4">
        <f>Sheet1!$K$3*_xlfn.XLOOKUP(Table1[[#This Row], [DISGUISE]],Sheet1!$A$21:$A$23,Sheet1!$D$21:$D$23)</f>
        <v>66</v>
      </c>
      <c r="S82" s="9">
        <f>Table1[[#This Row], [TOTAL TIME]]-Table1[[#This Row], [TOTAL TIME TAKEN]]</f>
        <v>18.812222222222225</v>
      </c>
      <c r="T82" t="str">
        <f>IF(Table1[[#This Row], [TIME DIFFERENCE]]&gt;=0,"PASS","FAIL")</f>
        <v>PASS</v>
      </c>
      <c r="U82" s="9">
        <f>Table1[[#This Row], [TRC]]+Table1[[#This Row], [DRC]]+Table1[[#This Row], [WRC]]+Table1[[#This Row], [ERC]]+Table1[[#This Row], [EQRC]]</f>
        <v>7898711.4749999996</v>
      </c>
      <c r="V82" s="9">
        <f>Table1[[#This Row], [TOTAL COST]]+_xlfn.XLOOKUP(Table1[[#This Row], [TEAM]],Sheet1!$A$12:$A$17,Sheet1!$I$12:$I$17)</f>
        <v>8195211.4749999996</v>
      </c>
      <c r="W82" s="9">
        <f>Table1[[#This Row], [LOOT]]-Table1[[#This Row], [TOTAL COST]]</f>
        <v>10101288.525</v>
      </c>
      <c r="X82" s="9">
        <f>IF(Table1[[#This Row], [PASS/FAIL]]="FAIL",0,Table1[[#This Row], [PROFIT]])</f>
        <v>10101288.525</v>
      </c>
    </row>
    <row r="83" spans="1:24" ht="19.5" customHeight="1" x14ac:dyDescent="0.45">
      <c r="A83" t="s">
        <v>15</v>
      </c>
      <c r="B83" s="14">
        <f>_xlfn.XLOOKUP(Table1[[#This Row], [TEAM]],Sheet1!$A$12:$A$17,Sheet1!$F$12:$F$17)</f>
        <v>2</v>
      </c>
      <c r="C83" s="14">
        <f>_xlfn.XLOOKUP(Table1[[#This Row], [TEAM]],Sheet1!$A$12:$A$17,Sheet1!$G$12:$G$17)</f>
        <v>5932950</v>
      </c>
      <c r="D83" t="s">
        <v>33</v>
      </c>
      <c r="E83" s="4">
        <f>_xlfn.XLOOKUP(Table1[[#This Row], [ROOM]],Sheet1!$A$47:$A$66,Sheet1!$B$47:$B$66)</f>
        <v>356</v>
      </c>
      <c r="F83" t="s">
        <v>58</v>
      </c>
      <c r="G83" s="4">
        <f>_xlfn.XLOOKUP(Table1[[#This Row], [DISGUISE]],Sheet1!$A$21:$A$23,Sheet1!$B$21:$B$23)*Table1[[#This Row], [NUM OF MEM]]*(1+_xlfn.XLOOKUP(Table1[[#This Row], [DISGUISE]],Sheet1!$A$21:$A$23,Sheet1!$C$21:$C$23))</f>
        <v>25600</v>
      </c>
      <c r="H83" s="13" t="s">
        <v>63</v>
      </c>
      <c r="I83" s="4">
        <f>_xlfn.XLOOKUP(Table1[[#This Row], [WEAPON]],Sheet1!$A$27:$A$29,Sheet1!$B$27:$B$29)*Table1[[#This Row], [NUM OF MEM]]*(1+_xlfn.XLOOKUP(Table1[[#This Row], [WEAPON]],Sheet1!$A$27:$A$29,Sheet1!$C$27:$C$29))</f>
        <v>46000</v>
      </c>
      <c r="J83" t="s">
        <v>60</v>
      </c>
      <c r="K83" s="9">
        <f>Table1[[#This Row], [NUM OF MEM]]*Table1[[#This Row], [TOTAL TIME TAKEN]]*_xlfn.XLOOKUP(Table1[[#This Row], [EXIT]],Sheet1!$A$70:$A$71,Sheet1!$B$70:$B$71)*(1+_xlfn.XLOOKUP(Table1[[#This Row], [EXIT]],Sheet1!$A$70:$A$71,Sheet1!$C$70:$C$71))</f>
        <v>1687152.9374999995</v>
      </c>
      <c r="L83" s="13" t="s">
        <v>65</v>
      </c>
      <c r="M83" s="4">
        <f>IF(Table1[[#This Row], [EQUIPMENT]]="YES",Sheet1!$C$44*(1+Sheet1!$D$44),0)</f>
        <v>307500</v>
      </c>
      <c r="N83" s="4">
        <f>_xlfn.XLOOKUP(Table1[[#This Row], [ROOM]],Sheet1!$A$47:$A$66,Sheet1!$F$47:$F$66)</f>
        <v>18100000</v>
      </c>
      <c r="O83" s="9">
        <f>_xlfn.XLOOKUP(_xlfn.CONCAT(Table1[[#This Row], [TEAM]],Table1[[#This Row], [ROOM]]),'ROOM TIME'!$H$2:$H$121,'ROOM TIME'!$J$2:$J$121)</f>
        <v>57.637499999999989</v>
      </c>
      <c r="P83" s="9">
        <f>(INDEX(Sheet1!$X$48:$Z$67,MATCH(Table1[[#This Row], [ROOM]],Sheet1!$P$48:$P$67,0),MATCH(Table1[[#This Row], [WEAPON]],Sheet1!$X$47:$Z$47,0)))/Table1[[#This Row], [NUM OF MEM]]</f>
        <v>8.1000000000000014</v>
      </c>
      <c r="Q83" s="9">
        <f>Table1[[#This Row], [ROOM TIME]]+Table1[[#This Row], [GUARD TIME]]</f>
        <v>65.737499999999983</v>
      </c>
      <c r="R83" s="4">
        <f>Sheet1!$K$3*_xlfn.XLOOKUP(Table1[[#This Row], [DISGUISE]],Sheet1!$A$21:$A$23,Sheet1!$D$21:$D$23)</f>
        <v>69</v>
      </c>
      <c r="S83" s="9">
        <f>Table1[[#This Row], [TOTAL TIME]]-Table1[[#This Row], [TOTAL TIME TAKEN]]</f>
        <v>3.2625000000000171</v>
      </c>
      <c r="T83" t="str">
        <f>IF(Table1[[#This Row], [TIME DIFFERENCE]]&gt;=0,"PASS","FAIL")</f>
        <v>PASS</v>
      </c>
      <c r="U83" s="9">
        <f>Table1[[#This Row], [TRC]]+Table1[[#This Row], [DRC]]+Table1[[#This Row], [WRC]]+Table1[[#This Row], [ERC]]+Table1[[#This Row], [EQRC]]</f>
        <v>7999202.9375</v>
      </c>
      <c r="V83" s="9">
        <f>Table1[[#This Row], [TOTAL COST]]+_xlfn.XLOOKUP(Table1[[#This Row], [TEAM]],Sheet1!$A$12:$A$17,Sheet1!$I$12:$I$17)</f>
        <v>8295850.4375</v>
      </c>
      <c r="W83" s="9">
        <f>Table1[[#This Row], [LOOT]]-Table1[[#This Row], [TOTAL COST]]</f>
        <v>10100797.0625</v>
      </c>
      <c r="X83" s="9">
        <f>IF(Table1[[#This Row], [PASS/FAIL]]="FAIL",0,Table1[[#This Row], [PROFIT]])</f>
        <v>10100797.0625</v>
      </c>
    </row>
    <row r="84" spans="1:24" ht="19.5" customHeight="1" x14ac:dyDescent="0.45">
      <c r="A84" t="s">
        <v>15</v>
      </c>
      <c r="B84" s="14">
        <f>_xlfn.XLOOKUP(Table1[[#This Row], [TEAM]],Sheet1!$A$12:$A$17,Sheet1!$F$12:$F$17)</f>
        <v>2</v>
      </c>
      <c r="C84" s="14">
        <f>_xlfn.XLOOKUP(Table1[[#This Row], [TEAM]],Sheet1!$A$12:$A$17,Sheet1!$G$12:$G$17)</f>
        <v>5932950</v>
      </c>
      <c r="D84" t="s">
        <v>33</v>
      </c>
      <c r="E84" s="4">
        <f>_xlfn.XLOOKUP(Table1[[#This Row], [ROOM]],Sheet1!$A$47:$A$66,Sheet1!$B$47:$B$66)</f>
        <v>356</v>
      </c>
      <c r="F84" t="s">
        <v>62</v>
      </c>
      <c r="G84" s="4">
        <f>_xlfn.XLOOKUP(Table1[[#This Row], [DISGUISE]],Sheet1!$A$21:$A$23,Sheet1!$B$21:$B$23)*Table1[[#This Row], [NUM OF MEM]]*(1+_xlfn.XLOOKUP(Table1[[#This Row], [DISGUISE]],Sheet1!$A$21:$A$23,Sheet1!$C$21:$C$23))</f>
        <v>10400</v>
      </c>
      <c r="H84" s="13" t="s">
        <v>63</v>
      </c>
      <c r="I84" s="4">
        <f>_xlfn.XLOOKUP(Table1[[#This Row], [WEAPON]],Sheet1!$A$27:$A$29,Sheet1!$B$27:$B$29)*Table1[[#This Row], [NUM OF MEM]]*(1+_xlfn.XLOOKUP(Table1[[#This Row], [WEAPON]],Sheet1!$A$27:$A$29,Sheet1!$C$27:$C$29))</f>
        <v>46000</v>
      </c>
      <c r="J84" t="s">
        <v>64</v>
      </c>
      <c r="K84" s="9">
        <f>Table1[[#This Row], [NUM OF MEM]]*Table1[[#This Row], [TOTAL TIME TAKEN]]*_xlfn.XLOOKUP(Table1[[#This Row], [EXIT]],Sheet1!$A$70:$A$71,Sheet1!$B$70:$B$71)*(1+_xlfn.XLOOKUP(Table1[[#This Row], [EXIT]],Sheet1!$A$70:$A$71,Sheet1!$C$70:$C$71))</f>
        <v>1703915.9999999993</v>
      </c>
      <c r="L84" s="13" t="s">
        <v>65</v>
      </c>
      <c r="M84" s="4">
        <f>IF(Table1[[#This Row], [EQUIPMENT]]="YES",Sheet1!$C$44*(1+Sheet1!$D$44),0)</f>
        <v>307500</v>
      </c>
      <c r="N84" s="4">
        <f>_xlfn.XLOOKUP(Table1[[#This Row], [ROOM]],Sheet1!$A$47:$A$66,Sheet1!$F$47:$F$66)</f>
        <v>18100000</v>
      </c>
      <c r="O84" s="9">
        <f>_xlfn.XLOOKUP(_xlfn.CONCAT(Table1[[#This Row], [TEAM]],Table1[[#This Row], [ROOM]]),'ROOM TIME'!$H$2:$H$121,'ROOM TIME'!$J$2:$J$121)</f>
        <v>57.637499999999989</v>
      </c>
      <c r="P84" s="9">
        <f>(INDEX(Sheet1!$X$48:$Z$67,MATCH(Table1[[#This Row], [ROOM]],Sheet1!$P$48:$P$67,0),MATCH(Table1[[#This Row], [WEAPON]],Sheet1!$X$47:$Z$47,0)))/Table1[[#This Row], [NUM OF MEM]]</f>
        <v>8.1000000000000014</v>
      </c>
      <c r="Q84" s="9">
        <f>Table1[[#This Row], [ROOM TIME]]+Table1[[#This Row], [GUARD TIME]]</f>
        <v>65.737499999999983</v>
      </c>
      <c r="R84" s="4">
        <f>Sheet1!$K$3*_xlfn.XLOOKUP(Table1[[#This Row], [DISGUISE]],Sheet1!$A$21:$A$23,Sheet1!$D$21:$D$23)</f>
        <v>66</v>
      </c>
      <c r="S84" s="9">
        <f>Table1[[#This Row], [TOTAL TIME]]-Table1[[#This Row], [TOTAL TIME TAKEN]]</f>
        <v>0.26250000000001705</v>
      </c>
      <c r="T84" t="str">
        <f>IF(Table1[[#This Row], [TIME DIFFERENCE]]&gt;=0,"PASS","FAIL")</f>
        <v>PASS</v>
      </c>
      <c r="U84" s="9">
        <f>Table1[[#This Row], [TRC]]+Table1[[#This Row], [DRC]]+Table1[[#This Row], [WRC]]+Table1[[#This Row], [ERC]]+Table1[[#This Row], [EQRC]]</f>
        <v>8000765.9999999991</v>
      </c>
      <c r="V84" s="9">
        <f>Table1[[#This Row], [TOTAL COST]]+_xlfn.XLOOKUP(Table1[[#This Row], [TEAM]],Sheet1!$A$12:$A$17,Sheet1!$I$12:$I$17)</f>
        <v>8297413.4999999991</v>
      </c>
      <c r="W84" s="4">
        <f>Table1[[#This Row], [LOOT]]-Table1[[#This Row], [TOTAL COST]]</f>
        <v>10099234</v>
      </c>
      <c r="X84" s="4">
        <f>IF(Table1[[#This Row], [PASS/FAIL]]="FAIL",0,Table1[[#This Row], [PROFIT]])</f>
        <v>10099234</v>
      </c>
    </row>
    <row r="85" spans="1:24" ht="19.5" customHeight="1" x14ac:dyDescent="0.45">
      <c r="A85" t="s">
        <v>14</v>
      </c>
      <c r="B85" s="14">
        <f>_xlfn.XLOOKUP(Table1[[#This Row], [TEAM]],Sheet1!$A$12:$A$17,Sheet1!$F$12:$F$17)</f>
        <v>2</v>
      </c>
      <c r="C85" s="14">
        <f>_xlfn.XLOOKUP(Table1[[#This Row], [TEAM]],Sheet1!$A$12:$A$17,Sheet1!$G$12:$G$17)</f>
        <v>5949600</v>
      </c>
      <c r="D85" t="s">
        <v>33</v>
      </c>
      <c r="E85" s="4">
        <f>_xlfn.XLOOKUP(Table1[[#This Row], [ROOM]],Sheet1!$A$47:$A$66,Sheet1!$B$47:$B$66)</f>
        <v>356</v>
      </c>
      <c r="F85" t="s">
        <v>62</v>
      </c>
      <c r="G85" s="4">
        <f>_xlfn.XLOOKUP(Table1[[#This Row], [DISGUISE]],Sheet1!$A$21:$A$23,Sheet1!$B$21:$B$23)*Table1[[#This Row], [NUM OF MEM]]*(1+_xlfn.XLOOKUP(Table1[[#This Row], [DISGUISE]],Sheet1!$A$21:$A$23,Sheet1!$C$21:$C$23))</f>
        <v>10400</v>
      </c>
      <c r="H85" s="13" t="s">
        <v>63</v>
      </c>
      <c r="I85" s="4">
        <f>_xlfn.XLOOKUP(Table1[[#This Row], [WEAPON]],Sheet1!$A$27:$A$29,Sheet1!$B$27:$B$29)*Table1[[#This Row], [NUM OF MEM]]*(1+_xlfn.XLOOKUP(Table1[[#This Row], [WEAPON]],Sheet1!$A$27:$A$29,Sheet1!$C$27:$C$29))</f>
        <v>46000</v>
      </c>
      <c r="J85" t="s">
        <v>60</v>
      </c>
      <c r="K85" s="9">
        <f>Table1[[#This Row], [NUM OF MEM]]*Table1[[#This Row], [TOTAL TIME TAKEN]]*_xlfn.XLOOKUP(Table1[[#This Row], [EXIT]],Sheet1!$A$70:$A$71,Sheet1!$B$70:$B$71)*(1+_xlfn.XLOOKUP(Table1[[#This Row], [EXIT]],Sheet1!$A$70:$A$71,Sheet1!$C$70:$C$71))</f>
        <v>1687441.6687499997</v>
      </c>
      <c r="L85" s="13" t="s">
        <v>65</v>
      </c>
      <c r="M85" s="4">
        <f>IF(Table1[[#This Row], [EQUIPMENT]]="YES",Sheet1!$C$44*(1+Sheet1!$D$44),0)</f>
        <v>307500</v>
      </c>
      <c r="N85" s="4">
        <f>_xlfn.XLOOKUP(Table1[[#This Row], [ROOM]],Sheet1!$A$47:$A$66,Sheet1!$F$47:$F$66)</f>
        <v>18100000</v>
      </c>
      <c r="O85" s="9">
        <f>_xlfn.XLOOKUP(_xlfn.CONCAT(Table1[[#This Row], [TEAM]],Table1[[#This Row], [ROOM]]),'ROOM TIME'!$H$2:$H$121,'ROOM TIME'!$J$2:$J$121)</f>
        <v>57.648749999999986</v>
      </c>
      <c r="P85" s="9">
        <f>(INDEX(Sheet1!$X$48:$Z$67,MATCH(Table1[[#This Row], [ROOM]],Sheet1!$P$48:$P$67,0),MATCH(Table1[[#This Row], [WEAPON]],Sheet1!$X$47:$Z$47,0)))/Table1[[#This Row], [NUM OF MEM]]</f>
        <v>8.1000000000000014</v>
      </c>
      <c r="Q85" s="9">
        <f>Table1[[#This Row], [ROOM TIME]]+Table1[[#This Row], [GUARD TIME]]</f>
        <v>65.748749999999987</v>
      </c>
      <c r="R85" s="4">
        <f>Sheet1!$K$3*_xlfn.XLOOKUP(Table1[[#This Row], [DISGUISE]],Sheet1!$A$21:$A$23,Sheet1!$D$21:$D$23)</f>
        <v>66</v>
      </c>
      <c r="S85" s="9">
        <f>Table1[[#This Row], [TOTAL TIME]]-Table1[[#This Row], [TOTAL TIME TAKEN]]</f>
        <v>0.25125000000001307</v>
      </c>
      <c r="T85" t="str">
        <f>IF(Table1[[#This Row], [TIME DIFFERENCE]]&gt;=0,"PASS","FAIL")</f>
        <v>PASS</v>
      </c>
      <c r="U85" s="9">
        <f>Table1[[#This Row], [TRC]]+Table1[[#This Row], [DRC]]+Table1[[#This Row], [WRC]]+Table1[[#This Row], [ERC]]+Table1[[#This Row], [EQRC]]</f>
        <v>8000941.6687499993</v>
      </c>
      <c r="V85" s="9">
        <f>Table1[[#This Row], [TOTAL COST]]+_xlfn.XLOOKUP(Table1[[#This Row], [TEAM]],Sheet1!$A$12:$A$17,Sheet1!$I$12:$I$17)</f>
        <v>8298421.6687499993</v>
      </c>
      <c r="W85" s="9">
        <f>Table1[[#This Row], [LOOT]]-Table1[[#This Row], [TOTAL COST]]</f>
        <v>10099058.331250001</v>
      </c>
      <c r="X85" s="9">
        <f>IF(Table1[[#This Row], [PASS/FAIL]]="FAIL",0,Table1[[#This Row], [PROFIT]])</f>
        <v>10099058.331250001</v>
      </c>
    </row>
    <row r="86" spans="1:24" ht="19.5" customHeight="1" x14ac:dyDescent="0.45">
      <c r="A86" t="s">
        <v>12</v>
      </c>
      <c r="B86" s="14">
        <f>_xlfn.XLOOKUP(Table1[[#This Row], [TEAM]],Sheet1!$A$12:$A$17,Sheet1!$F$12:$F$17)</f>
        <v>3</v>
      </c>
      <c r="C86" s="14">
        <f>_xlfn.XLOOKUP(Table1[[#This Row], [TEAM]],Sheet1!$A$12:$A$17,Sheet1!$G$12:$G$17)</f>
        <v>5988750</v>
      </c>
      <c r="D86" t="s">
        <v>18</v>
      </c>
      <c r="E86" s="4">
        <f>_xlfn.XLOOKUP(Table1[[#This Row], [ROOM]],Sheet1!$A$47:$A$66,Sheet1!$B$47:$B$66)</f>
        <v>134</v>
      </c>
      <c r="F86" t="s">
        <v>58</v>
      </c>
      <c r="G86" s="4">
        <f>_xlfn.XLOOKUP(Table1[[#This Row], [DISGUISE]],Sheet1!$A$21:$A$23,Sheet1!$B$21:$B$23)*Table1[[#This Row], [NUM OF MEM]]*(1+_xlfn.XLOOKUP(Table1[[#This Row], [DISGUISE]],Sheet1!$A$21:$A$23,Sheet1!$C$21:$C$23))</f>
        <v>38400</v>
      </c>
      <c r="H86" s="13" t="s">
        <v>59</v>
      </c>
      <c r="I86" s="4">
        <f>_xlfn.XLOOKUP(Table1[[#This Row], [WEAPON]],Sheet1!$A$27:$A$29,Sheet1!$B$27:$B$29)*Table1[[#This Row], [NUM OF MEM]]*(1+_xlfn.XLOOKUP(Table1[[#This Row], [WEAPON]],Sheet1!$A$27:$A$29,Sheet1!$C$27:$C$29))</f>
        <v>136500</v>
      </c>
      <c r="J86" t="s">
        <v>64</v>
      </c>
      <c r="K86" s="9">
        <f>Table1[[#This Row], [NUM OF MEM]]*Table1[[#This Row], [TOTAL TIME TAKEN]]*_xlfn.XLOOKUP(Table1[[#This Row], [EXIT]],Sheet1!$A$70:$A$71,Sheet1!$B$70:$B$71)*(1+_xlfn.XLOOKUP(Table1[[#This Row], [EXIT]],Sheet1!$A$70:$A$71,Sheet1!$C$70:$C$71))</f>
        <v>1789214.3999999997</v>
      </c>
      <c r="L86" s="13" t="s">
        <v>61</v>
      </c>
      <c r="M86" s="4">
        <f>IF(Table1[[#This Row], [EQUIPMENT]]="YES",Sheet1!$C$44*(1+Sheet1!$D$44),0)</f>
        <v>0</v>
      </c>
      <c r="N86" s="4">
        <f>_xlfn.XLOOKUP(Table1[[#This Row], [ROOM]],Sheet1!$A$47:$A$66,Sheet1!$F$47:$F$66)</f>
        <v>18050000</v>
      </c>
      <c r="O86" s="9">
        <f>_xlfn.XLOOKUP(_xlfn.CONCAT(Table1[[#This Row], [TEAM]],Table1[[#This Row], [ROOM]]),'ROOM TIME'!$H$2:$H$121,'ROOM TIME'!$J$2:$J$121)</f>
        <v>41.41888888888888</v>
      </c>
      <c r="P86" s="9">
        <f>(INDEX(Sheet1!$X$48:$Z$67,MATCH(Table1[[#This Row], [ROOM]],Sheet1!$P$48:$P$67,0),MATCH(Table1[[#This Row], [WEAPON]],Sheet1!$X$47:$Z$47,0)))/Table1[[#This Row], [NUM OF MEM]]</f>
        <v>4.5999999999999996</v>
      </c>
      <c r="Q86" s="9">
        <f>Table1[[#This Row], [ROOM TIME]]+Table1[[#This Row], [GUARD TIME]]</f>
        <v>46.018888888888881</v>
      </c>
      <c r="R86" s="4">
        <f>Sheet1!$K$3*_xlfn.XLOOKUP(Table1[[#This Row], [DISGUISE]],Sheet1!$A$21:$A$23,Sheet1!$D$21:$D$23)</f>
        <v>69</v>
      </c>
      <c r="S86" s="9">
        <f>Table1[[#This Row], [TOTAL TIME]]-Table1[[#This Row], [TOTAL TIME TAKEN]]</f>
        <v>22.981111111111119</v>
      </c>
      <c r="T86" t="str">
        <f>IF(Table1[[#This Row], [TIME DIFFERENCE]]&gt;=0,"PASS","FAIL")</f>
        <v>PASS</v>
      </c>
      <c r="U86" s="9">
        <f>Table1[[#This Row], [TRC]]+Table1[[#This Row], [DRC]]+Table1[[#This Row], [WRC]]+Table1[[#This Row], [ERC]]+Table1[[#This Row], [EQRC]]</f>
        <v>7952864.3999999994</v>
      </c>
      <c r="V86" s="9">
        <f>Table1[[#This Row], [TOTAL COST]]+_xlfn.XLOOKUP(Table1[[#This Row], [TEAM]],Sheet1!$A$12:$A$17,Sheet1!$I$12:$I$17)</f>
        <v>8252301.8999999994</v>
      </c>
      <c r="W86" s="9">
        <f>Table1[[#This Row], [LOOT]]-Table1[[#This Row], [TOTAL COST]]</f>
        <v>10097135.600000001</v>
      </c>
      <c r="X86" s="9">
        <f>IF(Table1[[#This Row], [PASS/FAIL]]="FAIL",0,Table1[[#This Row], [PROFIT]])</f>
        <v>10097135.600000001</v>
      </c>
    </row>
    <row r="87" spans="1:24" ht="19.5" customHeight="1" x14ac:dyDescent="0.45">
      <c r="A87" t="s">
        <v>13</v>
      </c>
      <c r="B87" s="14">
        <f>_xlfn.XLOOKUP(Table1[[#This Row], [TEAM]],Sheet1!$A$12:$A$17,Sheet1!$F$12:$F$17)</f>
        <v>3</v>
      </c>
      <c r="C87" s="14">
        <f>_xlfn.XLOOKUP(Table1[[#This Row], [TEAM]],Sheet1!$A$12:$A$17,Sheet1!$G$12:$G$17)</f>
        <v>5930000</v>
      </c>
      <c r="D87" t="s">
        <v>24</v>
      </c>
      <c r="E87" s="4">
        <f>_xlfn.XLOOKUP(Table1[[#This Row], [ROOM]],Sheet1!$A$47:$A$66,Sheet1!$B$47:$B$66)</f>
        <v>345</v>
      </c>
      <c r="F87" t="s">
        <v>58</v>
      </c>
      <c r="G87" s="4">
        <f>_xlfn.XLOOKUP(Table1[[#This Row], [DISGUISE]],Sheet1!$A$21:$A$23,Sheet1!$B$21:$B$23)*Table1[[#This Row], [NUM OF MEM]]*(1+_xlfn.XLOOKUP(Table1[[#This Row], [DISGUISE]],Sheet1!$A$21:$A$23,Sheet1!$C$21:$C$23))</f>
        <v>38400</v>
      </c>
      <c r="H87" s="13" t="s">
        <v>63</v>
      </c>
      <c r="I87" s="4">
        <f>_xlfn.XLOOKUP(Table1[[#This Row], [WEAPON]],Sheet1!$A$27:$A$29,Sheet1!$B$27:$B$29)*Table1[[#This Row], [NUM OF MEM]]*(1+_xlfn.XLOOKUP(Table1[[#This Row], [WEAPON]],Sheet1!$A$27:$A$29,Sheet1!$C$27:$C$29))</f>
        <v>69000</v>
      </c>
      <c r="J87" t="s">
        <v>64</v>
      </c>
      <c r="K87" s="9">
        <f>Table1[[#This Row], [NUM OF MEM]]*Table1[[#This Row], [TOTAL TIME TAKEN]]*_xlfn.XLOOKUP(Table1[[#This Row], [EXIT]],Sheet1!$A$70:$A$71,Sheet1!$B$70:$B$71)*(1+_xlfn.XLOOKUP(Table1[[#This Row], [EXIT]],Sheet1!$A$70:$A$71,Sheet1!$C$70:$C$71))</f>
        <v>1865764.7999999996</v>
      </c>
      <c r="L87" s="13" t="s">
        <v>61</v>
      </c>
      <c r="M87" s="4">
        <f>IF(Table1[[#This Row], [EQUIPMENT]]="YES",Sheet1!$C$44*(1+Sheet1!$D$44),0)</f>
        <v>0</v>
      </c>
      <c r="N87" s="4">
        <f>_xlfn.XLOOKUP(Table1[[#This Row], [ROOM]],Sheet1!$A$47:$A$66,Sheet1!$F$47:$F$66)</f>
        <v>18000000</v>
      </c>
      <c r="O87" s="9">
        <f>_xlfn.XLOOKUP(_xlfn.CONCAT(Table1[[#This Row], [TEAM]],Table1[[#This Row], [ROOM]]),'ROOM TIME'!$H$2:$H$121,'ROOM TIME'!$J$2:$J$121)</f>
        <v>42.587777777777774</v>
      </c>
      <c r="P87" s="9">
        <f>(INDEX(Sheet1!$X$48:$Z$67,MATCH(Table1[[#This Row], [ROOM]],Sheet1!$P$48:$P$67,0),MATCH(Table1[[#This Row], [WEAPON]],Sheet1!$X$47:$Z$47,0)))/Table1[[#This Row], [NUM OF MEM]]</f>
        <v>5.4000000000000012</v>
      </c>
      <c r="Q87" s="9">
        <f>Table1[[#This Row], [ROOM TIME]]+Table1[[#This Row], [GUARD TIME]]</f>
        <v>47.987777777777772</v>
      </c>
      <c r="R87" s="4">
        <f>Sheet1!$K$3*_xlfn.XLOOKUP(Table1[[#This Row], [DISGUISE]],Sheet1!$A$21:$A$23,Sheet1!$D$21:$D$23)</f>
        <v>69</v>
      </c>
      <c r="S87" s="9">
        <f>Table1[[#This Row], [TOTAL TIME]]-Table1[[#This Row], [TOTAL TIME TAKEN]]</f>
        <v>21.012222222222228</v>
      </c>
      <c r="T87" t="str">
        <f>IF(Table1[[#This Row], [TIME DIFFERENCE]]&gt;=0,"PASS","FAIL")</f>
        <v>PASS</v>
      </c>
      <c r="U87" s="9">
        <f>Table1[[#This Row], [TRC]]+Table1[[#This Row], [DRC]]+Table1[[#This Row], [WRC]]+Table1[[#This Row], [ERC]]+Table1[[#This Row], [EQRC]]</f>
        <v>7903164.7999999998</v>
      </c>
      <c r="V87" s="9">
        <f>Table1[[#This Row], [TOTAL COST]]+_xlfn.XLOOKUP(Table1[[#This Row], [TEAM]],Sheet1!$A$12:$A$17,Sheet1!$I$12:$I$17)</f>
        <v>8199664.7999999998</v>
      </c>
      <c r="W87" s="9">
        <f>Table1[[#This Row], [LOOT]]-Table1[[#This Row], [TOTAL COST]]</f>
        <v>10096835.199999999</v>
      </c>
      <c r="X87" s="9">
        <f>IF(Table1[[#This Row], [PASS/FAIL]]="FAIL",0,Table1[[#This Row], [PROFIT]])</f>
        <v>10096835.199999999</v>
      </c>
    </row>
    <row r="88" spans="1:24" ht="19.5" customHeight="1" x14ac:dyDescent="0.45">
      <c r="A88" t="s">
        <v>12</v>
      </c>
      <c r="B88" s="14">
        <f>_xlfn.XLOOKUP(Table1[[#This Row], [TEAM]],Sheet1!$A$12:$A$17,Sheet1!$F$12:$F$17)</f>
        <v>3</v>
      </c>
      <c r="C88" s="14">
        <f>_xlfn.XLOOKUP(Table1[[#This Row], [TEAM]],Sheet1!$A$12:$A$17,Sheet1!$G$12:$G$17)</f>
        <v>5988750</v>
      </c>
      <c r="D88" t="s">
        <v>24</v>
      </c>
      <c r="E88" s="4">
        <f>_xlfn.XLOOKUP(Table1[[#This Row], [ROOM]],Sheet1!$A$47:$A$66,Sheet1!$B$47:$B$66)</f>
        <v>345</v>
      </c>
      <c r="F88" t="s">
        <v>58</v>
      </c>
      <c r="G88" s="4">
        <f>_xlfn.XLOOKUP(Table1[[#This Row], [DISGUISE]],Sheet1!$A$21:$A$23,Sheet1!$B$21:$B$23)*Table1[[#This Row], [NUM OF MEM]]*(1+_xlfn.XLOOKUP(Table1[[#This Row], [DISGUISE]],Sheet1!$A$21:$A$23,Sheet1!$C$21:$C$23))</f>
        <v>38400</v>
      </c>
      <c r="H88" s="13" t="s">
        <v>66</v>
      </c>
      <c r="I88" s="4">
        <f>_xlfn.XLOOKUP(Table1[[#This Row], [WEAPON]],Sheet1!$A$27:$A$29,Sheet1!$B$27:$B$29)*Table1[[#This Row], [NUM OF MEM]]*(1+_xlfn.XLOOKUP(Table1[[#This Row], [WEAPON]],Sheet1!$A$27:$A$29,Sheet1!$C$27:$C$29))</f>
        <v>108000</v>
      </c>
      <c r="J88" t="s">
        <v>60</v>
      </c>
      <c r="K88" s="9">
        <f>Table1[[#This Row], [NUM OF MEM]]*Table1[[#This Row], [TOTAL TIME TAKEN]]*_xlfn.XLOOKUP(Table1[[#This Row], [EXIT]],Sheet1!$A$70:$A$71,Sheet1!$B$70:$B$71)*(1+_xlfn.XLOOKUP(Table1[[#This Row], [EXIT]],Sheet1!$A$70:$A$71,Sheet1!$C$70:$C$71))</f>
        <v>1768232.9499999997</v>
      </c>
      <c r="L88" s="13" t="s">
        <v>61</v>
      </c>
      <c r="M88" s="4">
        <f>IF(Table1[[#This Row], [EQUIPMENT]]="YES",Sheet1!$C$44*(1+Sheet1!$D$44),0)</f>
        <v>0</v>
      </c>
      <c r="N88" s="4">
        <f>_xlfn.XLOOKUP(Table1[[#This Row], [ROOM]],Sheet1!$A$47:$A$66,Sheet1!$F$47:$F$66)</f>
        <v>18000000</v>
      </c>
      <c r="O88" s="9">
        <f>_xlfn.XLOOKUP(_xlfn.CONCAT(Table1[[#This Row], [TEAM]],Table1[[#This Row], [ROOM]]),'ROOM TIME'!$H$2:$H$121,'ROOM TIME'!$J$2:$J$121)</f>
        <v>40.9311111111111</v>
      </c>
      <c r="P88" s="4">
        <f>(INDEX(Sheet1!$X$48:$Z$67,MATCH(Table1[[#This Row], [ROOM]],Sheet1!$P$48:$P$67,0),MATCH(Table1[[#This Row], [WEAPON]],Sheet1!$X$47:$Z$47,0)))/Table1[[#This Row], [NUM OF MEM]]</f>
        <v>5</v>
      </c>
      <c r="Q88" s="9">
        <f>Table1[[#This Row], [ROOM TIME]]+Table1[[#This Row], [GUARD TIME]]</f>
        <v>45.9311111111111</v>
      </c>
      <c r="R88" s="4">
        <f>Sheet1!$K$3*_xlfn.XLOOKUP(Table1[[#This Row], [DISGUISE]],Sheet1!$A$21:$A$23,Sheet1!$D$21:$D$23)</f>
        <v>69</v>
      </c>
      <c r="S88" s="9">
        <f>Table1[[#This Row], [TOTAL TIME]]-Table1[[#This Row], [TOTAL TIME TAKEN]]</f>
        <v>23.0688888888889</v>
      </c>
      <c r="T88" t="str">
        <f>IF(Table1[[#This Row], [TIME DIFFERENCE]]&gt;=0,"PASS","FAIL")</f>
        <v>PASS</v>
      </c>
      <c r="U88" s="9">
        <f>Table1[[#This Row], [TRC]]+Table1[[#This Row], [DRC]]+Table1[[#This Row], [WRC]]+Table1[[#This Row], [ERC]]+Table1[[#This Row], [EQRC]]</f>
        <v>7903382.9499999993</v>
      </c>
      <c r="V88" s="9">
        <f>Table1[[#This Row], [TOTAL COST]]+_xlfn.XLOOKUP(Table1[[#This Row], [TEAM]],Sheet1!$A$12:$A$17,Sheet1!$I$12:$I$17)</f>
        <v>8202820.4499999993</v>
      </c>
      <c r="W88" s="9">
        <f>Table1[[#This Row], [LOOT]]-Table1[[#This Row], [TOTAL COST]]</f>
        <v>10096617.050000001</v>
      </c>
      <c r="X88" s="9">
        <f>IF(Table1[[#This Row], [PASS/FAIL]]="FAIL",0,Table1[[#This Row], [PROFIT]])</f>
        <v>10096617.050000001</v>
      </c>
    </row>
    <row r="89" spans="1:24" ht="19.5" customHeight="1" x14ac:dyDescent="0.45">
      <c r="A89" t="s">
        <v>13</v>
      </c>
      <c r="B89" s="14">
        <f>_xlfn.XLOOKUP(Table1[[#This Row], [TEAM]],Sheet1!$A$12:$A$17,Sheet1!$F$12:$F$17)</f>
        <v>3</v>
      </c>
      <c r="C89" s="14">
        <f>_xlfn.XLOOKUP(Table1[[#This Row], [TEAM]],Sheet1!$A$12:$A$17,Sheet1!$G$12:$G$17)</f>
        <v>5930000</v>
      </c>
      <c r="D89" t="s">
        <v>24</v>
      </c>
      <c r="E89" s="4">
        <f>_xlfn.XLOOKUP(Table1[[#This Row], [ROOM]],Sheet1!$A$47:$A$66,Sheet1!$B$47:$B$66)</f>
        <v>345</v>
      </c>
      <c r="F89" t="s">
        <v>62</v>
      </c>
      <c r="G89" s="4">
        <f>_xlfn.XLOOKUP(Table1[[#This Row], [DISGUISE]],Sheet1!$A$21:$A$23,Sheet1!$B$21:$B$23)*Table1[[#This Row], [NUM OF MEM]]*(1+_xlfn.XLOOKUP(Table1[[#This Row], [DISGUISE]],Sheet1!$A$21:$A$23,Sheet1!$C$21:$C$23))</f>
        <v>15600</v>
      </c>
      <c r="H89" s="13" t="s">
        <v>66</v>
      </c>
      <c r="I89" s="4">
        <f>_xlfn.XLOOKUP(Table1[[#This Row], [WEAPON]],Sheet1!$A$27:$A$29,Sheet1!$B$27:$B$29)*Table1[[#This Row], [NUM OF MEM]]*(1+_xlfn.XLOOKUP(Table1[[#This Row], [WEAPON]],Sheet1!$A$27:$A$29,Sheet1!$C$27:$C$29))</f>
        <v>108000</v>
      </c>
      <c r="J89" t="s">
        <v>64</v>
      </c>
      <c r="K89" s="9">
        <f>Table1[[#This Row], [NUM OF MEM]]*Table1[[#This Row], [TOTAL TIME TAKEN]]*_xlfn.XLOOKUP(Table1[[#This Row], [EXIT]],Sheet1!$A$70:$A$71,Sheet1!$B$70:$B$71)*(1+_xlfn.XLOOKUP(Table1[[#This Row], [EXIT]],Sheet1!$A$70:$A$71,Sheet1!$C$70:$C$71))</f>
        <v>1850212.7999999996</v>
      </c>
      <c r="L89" s="13" t="s">
        <v>61</v>
      </c>
      <c r="M89" s="4">
        <f>IF(Table1[[#This Row], [EQUIPMENT]]="YES",Sheet1!$C$44*(1+Sheet1!$D$44),0)</f>
        <v>0</v>
      </c>
      <c r="N89" s="4">
        <f>_xlfn.XLOOKUP(Table1[[#This Row], [ROOM]],Sheet1!$A$47:$A$66,Sheet1!$F$47:$F$66)</f>
        <v>18000000</v>
      </c>
      <c r="O89" s="9">
        <f>_xlfn.XLOOKUP(_xlfn.CONCAT(Table1[[#This Row], [TEAM]],Table1[[#This Row], [ROOM]]),'ROOM TIME'!$H$2:$H$121,'ROOM TIME'!$J$2:$J$121)</f>
        <v>42.587777777777774</v>
      </c>
      <c r="P89" s="4">
        <f>(INDEX(Sheet1!$X$48:$Z$67,MATCH(Table1[[#This Row], [ROOM]],Sheet1!$P$48:$P$67,0),MATCH(Table1[[#This Row], [WEAPON]],Sheet1!$X$47:$Z$47,0)))/Table1[[#This Row], [NUM OF MEM]]</f>
        <v>5</v>
      </c>
      <c r="Q89" s="9">
        <f>Table1[[#This Row], [ROOM TIME]]+Table1[[#This Row], [GUARD TIME]]</f>
        <v>47.587777777777774</v>
      </c>
      <c r="R89" s="4">
        <f>Sheet1!$K$3*_xlfn.XLOOKUP(Table1[[#This Row], [DISGUISE]],Sheet1!$A$21:$A$23,Sheet1!$D$21:$D$23)</f>
        <v>66</v>
      </c>
      <c r="S89" s="9">
        <f>Table1[[#This Row], [TOTAL TIME]]-Table1[[#This Row], [TOTAL TIME TAKEN]]</f>
        <v>18.412222222222226</v>
      </c>
      <c r="T89" t="str">
        <f>IF(Table1[[#This Row], [TIME DIFFERENCE]]&gt;=0,"PASS","FAIL")</f>
        <v>PASS</v>
      </c>
      <c r="U89" s="9">
        <f>Table1[[#This Row], [TRC]]+Table1[[#This Row], [DRC]]+Table1[[#This Row], [WRC]]+Table1[[#This Row], [ERC]]+Table1[[#This Row], [EQRC]]</f>
        <v>7903812.7999999998</v>
      </c>
      <c r="V89" s="9">
        <f>Table1[[#This Row], [TOTAL COST]]+_xlfn.XLOOKUP(Table1[[#This Row], [TEAM]],Sheet1!$A$12:$A$17,Sheet1!$I$12:$I$17)</f>
        <v>8200312.7999999998</v>
      </c>
      <c r="W89" s="9">
        <f>Table1[[#This Row], [LOOT]]-Table1[[#This Row], [TOTAL COST]]</f>
        <v>10096187.199999999</v>
      </c>
      <c r="X89" s="9">
        <f>IF(Table1[[#This Row], [PASS/FAIL]]="FAIL",0,Table1[[#This Row], [PROFIT]])</f>
        <v>10096187.199999999</v>
      </c>
    </row>
    <row r="90" spans="1:24" ht="19.5" customHeight="1" x14ac:dyDescent="0.45">
      <c r="A90" t="s">
        <v>15</v>
      </c>
      <c r="B90" s="14">
        <f>_xlfn.XLOOKUP(Table1[[#This Row], [TEAM]],Sheet1!$A$12:$A$17,Sheet1!$F$12:$F$17)</f>
        <v>2</v>
      </c>
      <c r="C90" s="14">
        <f>_xlfn.XLOOKUP(Table1[[#This Row], [TEAM]],Sheet1!$A$12:$A$17,Sheet1!$G$12:$G$17)</f>
        <v>5932950</v>
      </c>
      <c r="D90" t="s">
        <v>26</v>
      </c>
      <c r="E90" s="4">
        <f>_xlfn.XLOOKUP(Table1[[#This Row], [ROOM]],Sheet1!$A$47:$A$66,Sheet1!$B$47:$B$66)</f>
        <v>136</v>
      </c>
      <c r="F90" t="s">
        <v>58</v>
      </c>
      <c r="G90" s="4">
        <f>_xlfn.XLOOKUP(Table1[[#This Row], [DISGUISE]],Sheet1!$A$21:$A$23,Sheet1!$B$21:$B$23)*Table1[[#This Row], [NUM OF MEM]]*(1+_xlfn.XLOOKUP(Table1[[#This Row], [DISGUISE]],Sheet1!$A$21:$A$23,Sheet1!$C$21:$C$23))</f>
        <v>25600</v>
      </c>
      <c r="H90" s="13" t="s">
        <v>66</v>
      </c>
      <c r="I90" s="4">
        <f>_xlfn.XLOOKUP(Table1[[#This Row], [WEAPON]],Sheet1!$A$27:$A$29,Sheet1!$B$27:$B$29)*Table1[[#This Row], [NUM OF MEM]]*(1+_xlfn.XLOOKUP(Table1[[#This Row], [WEAPON]],Sheet1!$A$27:$A$29,Sheet1!$C$27:$C$29))</f>
        <v>72000</v>
      </c>
      <c r="J90" t="s">
        <v>64</v>
      </c>
      <c r="K90" s="9">
        <f>Table1[[#This Row], [NUM OF MEM]]*Table1[[#This Row], [TOTAL TIME TAKEN]]*_xlfn.XLOOKUP(Table1[[#This Row], [EXIT]],Sheet1!$A$70:$A$71,Sheet1!$B$70:$B$71)*(1+_xlfn.XLOOKUP(Table1[[#This Row], [EXIT]],Sheet1!$A$70:$A$71,Sheet1!$C$70:$C$71))</f>
        <v>1716163.1999999995</v>
      </c>
      <c r="L90" s="13" t="s">
        <v>65</v>
      </c>
      <c r="M90" s="4">
        <f>IF(Table1[[#This Row], [EQUIPMENT]]="YES",Sheet1!$C$44*(1+Sheet1!$D$44),0)</f>
        <v>307500</v>
      </c>
      <c r="N90" s="4">
        <f>_xlfn.XLOOKUP(Table1[[#This Row], [ROOM]],Sheet1!$A$47:$A$66,Sheet1!$F$47:$F$66)</f>
        <v>18150000</v>
      </c>
      <c r="O90" s="9">
        <f>_xlfn.XLOOKUP(_xlfn.CONCAT(Table1[[#This Row], [TEAM]],Table1[[#This Row], [ROOM]]),'ROOM TIME'!$H$2:$H$121,'ROOM TIME'!$J$2:$J$121)</f>
        <v>58.70999999999998</v>
      </c>
      <c r="P90" s="9">
        <f>(INDEX(Sheet1!$X$48:$Z$67,MATCH(Table1[[#This Row], [ROOM]],Sheet1!$P$48:$P$67,0),MATCH(Table1[[#This Row], [WEAPON]],Sheet1!$X$47:$Z$47,0)))/Table1[[#This Row], [NUM OF MEM]]</f>
        <v>7.5</v>
      </c>
      <c r="Q90" s="9">
        <f>Table1[[#This Row], [ROOM TIME]]+Table1[[#This Row], [GUARD TIME]]</f>
        <v>66.20999999999998</v>
      </c>
      <c r="R90" s="4">
        <f>Sheet1!$K$3*_xlfn.XLOOKUP(Table1[[#This Row], [DISGUISE]],Sheet1!$A$21:$A$23,Sheet1!$D$21:$D$23)</f>
        <v>69</v>
      </c>
      <c r="S90" s="9">
        <f>Table1[[#This Row], [TOTAL TIME]]-Table1[[#This Row], [TOTAL TIME TAKEN]]</f>
        <v>2.7900000000000205</v>
      </c>
      <c r="T90" t="str">
        <f>IF(Table1[[#This Row], [TIME DIFFERENCE]]&gt;=0,"PASS","FAIL")</f>
        <v>PASS</v>
      </c>
      <c r="U90" s="9">
        <f>Table1[[#This Row], [TRC]]+Table1[[#This Row], [DRC]]+Table1[[#This Row], [WRC]]+Table1[[#This Row], [ERC]]+Table1[[#This Row], [EQRC]]</f>
        <v>8054213.1999999993</v>
      </c>
      <c r="V90" s="9">
        <f>Table1[[#This Row], [TOTAL COST]]+_xlfn.XLOOKUP(Table1[[#This Row], [TEAM]],Sheet1!$A$12:$A$17,Sheet1!$I$12:$I$17)</f>
        <v>8350860.6999999993</v>
      </c>
      <c r="W90" s="9">
        <f>Table1[[#This Row], [LOOT]]-Table1[[#This Row], [TOTAL COST]]</f>
        <v>10095786.800000001</v>
      </c>
      <c r="X90" s="9">
        <f>IF(Table1[[#This Row], [PASS/FAIL]]="FAIL",0,Table1[[#This Row], [PROFIT]])</f>
        <v>10095786.800000001</v>
      </c>
    </row>
    <row r="91" spans="1:24" ht="19.5" customHeight="1" x14ac:dyDescent="0.45">
      <c r="A91" t="s">
        <v>13</v>
      </c>
      <c r="B91" s="14">
        <f>_xlfn.XLOOKUP(Table1[[#This Row], [TEAM]],Sheet1!$A$12:$A$17,Sheet1!$F$12:$F$17)</f>
        <v>3</v>
      </c>
      <c r="C91" s="14">
        <f>_xlfn.XLOOKUP(Table1[[#This Row], [TEAM]],Sheet1!$A$12:$A$17,Sheet1!$G$12:$G$17)</f>
        <v>5930000</v>
      </c>
      <c r="D91" t="s">
        <v>18</v>
      </c>
      <c r="E91" s="4">
        <f>_xlfn.XLOOKUP(Table1[[#This Row], [ROOM]],Sheet1!$A$47:$A$66,Sheet1!$B$47:$B$66)</f>
        <v>134</v>
      </c>
      <c r="F91" t="s">
        <v>58</v>
      </c>
      <c r="G91" s="4">
        <f>_xlfn.XLOOKUP(Table1[[#This Row], [DISGUISE]],Sheet1!$A$21:$A$23,Sheet1!$B$21:$B$23)*Table1[[#This Row], [NUM OF MEM]]*(1+_xlfn.XLOOKUP(Table1[[#This Row], [DISGUISE]],Sheet1!$A$21:$A$23,Sheet1!$C$21:$C$23))</f>
        <v>38400</v>
      </c>
      <c r="H91" s="13" t="s">
        <v>59</v>
      </c>
      <c r="I91" s="4">
        <f>_xlfn.XLOOKUP(Table1[[#This Row], [WEAPON]],Sheet1!$A$27:$A$29,Sheet1!$B$27:$B$29)*Table1[[#This Row], [NUM OF MEM]]*(1+_xlfn.XLOOKUP(Table1[[#This Row], [WEAPON]],Sheet1!$A$27:$A$29,Sheet1!$C$27:$C$29))</f>
        <v>136500</v>
      </c>
      <c r="J91" t="s">
        <v>64</v>
      </c>
      <c r="K91" s="9">
        <f>Table1[[#This Row], [NUM OF MEM]]*Table1[[#This Row], [TOTAL TIME TAKEN]]*_xlfn.XLOOKUP(Table1[[#This Row], [EXIT]],Sheet1!$A$70:$A$71,Sheet1!$B$70:$B$71)*(1+_xlfn.XLOOKUP(Table1[[#This Row], [EXIT]],Sheet1!$A$70:$A$71,Sheet1!$C$70:$C$71))</f>
        <v>1851875.9999999998</v>
      </c>
      <c r="L91" s="13" t="s">
        <v>61</v>
      </c>
      <c r="M91" s="4">
        <f>IF(Table1[[#This Row], [EQUIPMENT]]="YES",Sheet1!$C$44*(1+Sheet1!$D$44),0)</f>
        <v>0</v>
      </c>
      <c r="N91" s="4">
        <f>_xlfn.XLOOKUP(Table1[[#This Row], [ROOM]],Sheet1!$A$47:$A$66,Sheet1!$F$47:$F$66)</f>
        <v>18050000</v>
      </c>
      <c r="O91" s="9">
        <f>_xlfn.XLOOKUP(_xlfn.CONCAT(Table1[[#This Row], [TEAM]],Table1[[#This Row], [ROOM]]),'ROOM TIME'!$H$2:$H$121,'ROOM TIME'!$J$2:$J$121)</f>
        <v>43.030555555555544</v>
      </c>
      <c r="P91" s="9">
        <f>(INDEX(Sheet1!$X$48:$Z$67,MATCH(Table1[[#This Row], [ROOM]],Sheet1!$P$48:$P$67,0),MATCH(Table1[[#This Row], [WEAPON]],Sheet1!$X$47:$Z$47,0)))/Table1[[#This Row], [NUM OF MEM]]</f>
        <v>4.5999999999999996</v>
      </c>
      <c r="Q91" s="9">
        <f>Table1[[#This Row], [ROOM TIME]]+Table1[[#This Row], [GUARD TIME]]</f>
        <v>47.630555555555546</v>
      </c>
      <c r="R91" s="4">
        <f>Sheet1!$K$3*_xlfn.XLOOKUP(Table1[[#This Row], [DISGUISE]],Sheet1!$A$21:$A$23,Sheet1!$D$21:$D$23)</f>
        <v>69</v>
      </c>
      <c r="S91" s="9">
        <f>Table1[[#This Row], [TOTAL TIME]]-Table1[[#This Row], [TOTAL TIME TAKEN]]</f>
        <v>21.369444444444454</v>
      </c>
      <c r="T91" t="str">
        <f>IF(Table1[[#This Row], [TIME DIFFERENCE]]&gt;=0,"PASS","FAIL")</f>
        <v>PASS</v>
      </c>
      <c r="U91" s="4">
        <f>Table1[[#This Row], [TRC]]+Table1[[#This Row], [DRC]]+Table1[[#This Row], [WRC]]+Table1[[#This Row], [ERC]]+Table1[[#This Row], [EQRC]]</f>
        <v>7956776</v>
      </c>
      <c r="V91" s="4">
        <f>Table1[[#This Row], [TOTAL COST]]+_xlfn.XLOOKUP(Table1[[#This Row], [TEAM]],Sheet1!$A$12:$A$17,Sheet1!$I$12:$I$17)</f>
        <v>8253276</v>
      </c>
      <c r="W91" s="4">
        <f>Table1[[#This Row], [LOOT]]-Table1[[#This Row], [TOTAL COST]]</f>
        <v>10093224</v>
      </c>
      <c r="X91" s="4">
        <f>IF(Table1[[#This Row], [PASS/FAIL]]="FAIL",0,Table1[[#This Row], [PROFIT]])</f>
        <v>10093224</v>
      </c>
    </row>
    <row r="92" spans="1:24" ht="19.5" customHeight="1" x14ac:dyDescent="0.45">
      <c r="A92" t="s">
        <v>13</v>
      </c>
      <c r="B92" s="14">
        <f>_xlfn.XLOOKUP(Table1[[#This Row], [TEAM]],Sheet1!$A$12:$A$17,Sheet1!$F$12:$F$17)</f>
        <v>3</v>
      </c>
      <c r="C92" s="14">
        <f>_xlfn.XLOOKUP(Table1[[#This Row], [TEAM]],Sheet1!$A$12:$A$17,Sheet1!$G$12:$G$17)</f>
        <v>5930000</v>
      </c>
      <c r="D92" t="s">
        <v>32</v>
      </c>
      <c r="E92" s="4">
        <f>_xlfn.XLOOKUP(Table1[[#This Row], [ROOM]],Sheet1!$A$47:$A$66,Sheet1!$B$47:$B$66)</f>
        <v>346</v>
      </c>
      <c r="F92" t="s">
        <v>62</v>
      </c>
      <c r="G92" s="4">
        <f>_xlfn.XLOOKUP(Table1[[#This Row], [DISGUISE]],Sheet1!$A$21:$A$23,Sheet1!$B$21:$B$23)*Table1[[#This Row], [NUM OF MEM]]*(1+_xlfn.XLOOKUP(Table1[[#This Row], [DISGUISE]],Sheet1!$A$21:$A$23,Sheet1!$C$21:$C$23))</f>
        <v>15600</v>
      </c>
      <c r="H92" s="13" t="s">
        <v>63</v>
      </c>
      <c r="I92" s="4">
        <f>_xlfn.XLOOKUP(Table1[[#This Row], [WEAPON]],Sheet1!$A$27:$A$29,Sheet1!$B$27:$B$29)*Table1[[#This Row], [NUM OF MEM]]*(1+_xlfn.XLOOKUP(Table1[[#This Row], [WEAPON]],Sheet1!$A$27:$A$29,Sheet1!$C$27:$C$29))</f>
        <v>69000</v>
      </c>
      <c r="J92" t="s">
        <v>64</v>
      </c>
      <c r="K92" s="9">
        <f>Table1[[#This Row], [NUM OF MEM]]*Table1[[#This Row], [TOTAL TIME TAKEN]]*_xlfn.XLOOKUP(Table1[[#This Row], [EXIT]],Sheet1!$A$70:$A$71,Sheet1!$B$70:$B$71)*(1+_xlfn.XLOOKUP(Table1[[#This Row], [EXIT]],Sheet1!$A$70:$A$71,Sheet1!$C$70:$C$71))</f>
        <v>1785023.9999999998</v>
      </c>
      <c r="L92" s="13" t="s">
        <v>65</v>
      </c>
      <c r="M92" s="4">
        <f>IF(Table1[[#This Row], [EQUIPMENT]]="YES",Sheet1!$C$44*(1+Sheet1!$D$44),0)</f>
        <v>307500</v>
      </c>
      <c r="N92" s="4">
        <f>_xlfn.XLOOKUP(Table1[[#This Row], [ROOM]],Sheet1!$A$47:$A$66,Sheet1!$F$47:$F$66)</f>
        <v>18200000</v>
      </c>
      <c r="O92" s="9">
        <f>_xlfn.XLOOKUP(_xlfn.CONCAT(Table1[[#This Row], [TEAM]],Table1[[#This Row], [ROOM]]),'ROOM TIME'!$H$2:$H$121,'ROOM TIME'!$J$2:$J$121)</f>
        <v>40.061111111111103</v>
      </c>
      <c r="P92" s="9">
        <f>(INDEX(Sheet1!$X$48:$Z$67,MATCH(Table1[[#This Row], [ROOM]],Sheet1!$P$48:$P$67,0),MATCH(Table1[[#This Row], [WEAPON]],Sheet1!$X$47:$Z$47,0)))/Table1[[#This Row], [NUM OF MEM]]</f>
        <v>5.8500000000000005</v>
      </c>
      <c r="Q92" s="9">
        <f>Table1[[#This Row], [ROOM TIME]]+Table1[[#This Row], [GUARD TIME]]</f>
        <v>45.911111111111104</v>
      </c>
      <c r="R92" s="4">
        <f>Sheet1!$K$3*_xlfn.XLOOKUP(Table1[[#This Row], [DISGUISE]],Sheet1!$A$21:$A$23,Sheet1!$D$21:$D$23)</f>
        <v>66</v>
      </c>
      <c r="S92" s="9">
        <f>Table1[[#This Row], [TOTAL TIME]]-Table1[[#This Row], [TOTAL TIME TAKEN]]</f>
        <v>20.088888888888896</v>
      </c>
      <c r="T92" t="str">
        <f>IF(Table1[[#This Row], [TIME DIFFERENCE]]&gt;=0,"PASS","FAIL")</f>
        <v>PASS</v>
      </c>
      <c r="U92" s="4">
        <f>Table1[[#This Row], [TRC]]+Table1[[#This Row], [DRC]]+Table1[[#This Row], [WRC]]+Table1[[#This Row], [ERC]]+Table1[[#This Row], [EQRC]]</f>
        <v>8107124</v>
      </c>
      <c r="V92" s="4">
        <f>Table1[[#This Row], [TOTAL COST]]+_xlfn.XLOOKUP(Table1[[#This Row], [TEAM]],Sheet1!$A$12:$A$17,Sheet1!$I$12:$I$17)</f>
        <v>8403624</v>
      </c>
      <c r="W92" s="4">
        <f>Table1[[#This Row], [LOOT]]-Table1[[#This Row], [TOTAL COST]]</f>
        <v>10092876</v>
      </c>
      <c r="X92" s="4">
        <f>IF(Table1[[#This Row], [PASS/FAIL]]="FAIL",0,Table1[[#This Row], [PROFIT]])</f>
        <v>10092876</v>
      </c>
    </row>
    <row r="93" spans="1:24" ht="19.5" customHeight="1" x14ac:dyDescent="0.45">
      <c r="A93" t="s">
        <v>16</v>
      </c>
      <c r="B93" s="14">
        <f>_xlfn.XLOOKUP(Table1[[#This Row], [TEAM]],Sheet1!$A$12:$A$17,Sheet1!$F$12:$F$17)</f>
        <v>2</v>
      </c>
      <c r="C93" s="14">
        <f>_xlfn.XLOOKUP(Table1[[#This Row], [TEAM]],Sheet1!$A$12:$A$17,Sheet1!$G$12:$G$17)</f>
        <v>6082800</v>
      </c>
      <c r="D93" t="s">
        <v>18</v>
      </c>
      <c r="E93" s="4">
        <f>_xlfn.XLOOKUP(Table1[[#This Row], [ROOM]],Sheet1!$A$47:$A$66,Sheet1!$B$47:$B$66)</f>
        <v>134</v>
      </c>
      <c r="F93" t="s">
        <v>58</v>
      </c>
      <c r="G93" s="4">
        <f>_xlfn.XLOOKUP(Table1[[#This Row], [DISGUISE]],Sheet1!$A$21:$A$23,Sheet1!$B$21:$B$23)*Table1[[#This Row], [NUM OF MEM]]*(1+_xlfn.XLOOKUP(Table1[[#This Row], [DISGUISE]],Sheet1!$A$21:$A$23,Sheet1!$C$21:$C$23))</f>
        <v>25600</v>
      </c>
      <c r="H93" s="13" t="s">
        <v>59</v>
      </c>
      <c r="I93" s="4">
        <f>_xlfn.XLOOKUP(Table1[[#This Row], [WEAPON]],Sheet1!$A$27:$A$29,Sheet1!$B$27:$B$29)*Table1[[#This Row], [NUM OF MEM]]*(1+_xlfn.XLOOKUP(Table1[[#This Row], [WEAPON]],Sheet1!$A$27:$A$29,Sheet1!$C$27:$C$29))</f>
        <v>91000</v>
      </c>
      <c r="J93" t="s">
        <v>60</v>
      </c>
      <c r="K93" s="9">
        <f>Table1[[#This Row], [NUM OF MEM]]*Table1[[#This Row], [TOTAL TIME TAKEN]]*_xlfn.XLOOKUP(Table1[[#This Row], [EXIT]],Sheet1!$A$70:$A$71,Sheet1!$B$70:$B$71)*(1+_xlfn.XLOOKUP(Table1[[#This Row], [EXIT]],Sheet1!$A$70:$A$71,Sheet1!$C$70:$C$71))</f>
        <v>1758052.4999999995</v>
      </c>
      <c r="L93" s="13" t="s">
        <v>61</v>
      </c>
      <c r="M93" s="4">
        <f>IF(Table1[[#This Row], [EQUIPMENT]]="YES",Sheet1!$C$44*(1+Sheet1!$D$44),0)</f>
        <v>0</v>
      </c>
      <c r="N93" s="4">
        <f>_xlfn.XLOOKUP(Table1[[#This Row], [ROOM]],Sheet1!$A$47:$A$66,Sheet1!$F$47:$F$66)</f>
        <v>18050000</v>
      </c>
      <c r="O93" s="9">
        <f>_xlfn.XLOOKUP(_xlfn.CONCAT(Table1[[#This Row], [TEAM]],Table1[[#This Row], [ROOM]]),'ROOM TIME'!$H$2:$H$121,'ROOM TIME'!$J$2:$J$121)</f>
        <v>61.59999999999998</v>
      </c>
      <c r="P93" s="9">
        <f>(INDEX(Sheet1!$X$48:$Z$67,MATCH(Table1[[#This Row], [ROOM]],Sheet1!$P$48:$P$67,0),MATCH(Table1[[#This Row], [WEAPON]],Sheet1!$X$47:$Z$47,0)))/Table1[[#This Row], [NUM OF MEM]]</f>
        <v>6.8999999999999995</v>
      </c>
      <c r="Q93" s="9">
        <f>Table1[[#This Row], [ROOM TIME]]+Table1[[#This Row], [GUARD TIME]]</f>
        <v>68.499999999999986</v>
      </c>
      <c r="R93" s="4">
        <f>Sheet1!$K$3*_xlfn.XLOOKUP(Table1[[#This Row], [DISGUISE]],Sheet1!$A$21:$A$23,Sheet1!$D$21:$D$23)</f>
        <v>69</v>
      </c>
      <c r="S93" s="9">
        <f>Table1[[#This Row], [TOTAL TIME]]-Table1[[#This Row], [TOTAL TIME TAKEN]]</f>
        <v>0.50000000000001421</v>
      </c>
      <c r="T93" t="str">
        <f>IF(Table1[[#This Row], [TIME DIFFERENCE]]&gt;=0,"PASS","FAIL")</f>
        <v>PASS</v>
      </c>
      <c r="U93" s="9">
        <f>Table1[[#This Row], [TRC]]+Table1[[#This Row], [DRC]]+Table1[[#This Row], [WRC]]+Table1[[#This Row], [ERC]]+Table1[[#This Row], [EQRC]]</f>
        <v>7957452.5</v>
      </c>
      <c r="V93" s="9">
        <f>Table1[[#This Row], [TOTAL COST]]+_xlfn.XLOOKUP(Table1[[#This Row], [TEAM]],Sheet1!$A$12:$A$17,Sheet1!$I$12:$I$17)</f>
        <v>8261592.5</v>
      </c>
      <c r="W93" s="9">
        <f>Table1[[#This Row], [LOOT]]-Table1[[#This Row], [TOTAL COST]]</f>
        <v>10092547.5</v>
      </c>
      <c r="X93" s="9">
        <f>IF(Table1[[#This Row], [PASS/FAIL]]="FAIL",0,Table1[[#This Row], [PROFIT]])</f>
        <v>10092547.5</v>
      </c>
    </row>
    <row r="94" spans="1:24" ht="19.5" customHeight="1" x14ac:dyDescent="0.45">
      <c r="A94" t="s">
        <v>15</v>
      </c>
      <c r="B94" s="14">
        <f>_xlfn.XLOOKUP(Table1[[#This Row], [TEAM]],Sheet1!$A$12:$A$17,Sheet1!$F$12:$F$17)</f>
        <v>2</v>
      </c>
      <c r="C94" s="14">
        <f>_xlfn.XLOOKUP(Table1[[#This Row], [TEAM]],Sheet1!$A$12:$A$17,Sheet1!$G$12:$G$17)</f>
        <v>5932950</v>
      </c>
      <c r="D94" t="s">
        <v>26</v>
      </c>
      <c r="E94" s="4">
        <f>_xlfn.XLOOKUP(Table1[[#This Row], [ROOM]],Sheet1!$A$47:$A$66,Sheet1!$B$47:$B$66)</f>
        <v>136</v>
      </c>
      <c r="F94" t="s">
        <v>58</v>
      </c>
      <c r="G94" s="4">
        <f>_xlfn.XLOOKUP(Table1[[#This Row], [DISGUISE]],Sheet1!$A$21:$A$23,Sheet1!$B$21:$B$23)*Table1[[#This Row], [NUM OF MEM]]*(1+_xlfn.XLOOKUP(Table1[[#This Row], [DISGUISE]],Sheet1!$A$21:$A$23,Sheet1!$C$21:$C$23))</f>
        <v>25600</v>
      </c>
      <c r="H94" s="13" t="s">
        <v>59</v>
      </c>
      <c r="I94" s="4">
        <f>_xlfn.XLOOKUP(Table1[[#This Row], [WEAPON]],Sheet1!$A$27:$A$29,Sheet1!$B$27:$B$29)*Table1[[#This Row], [NUM OF MEM]]*(1+_xlfn.XLOOKUP(Table1[[#This Row], [WEAPON]],Sheet1!$A$27:$A$29,Sheet1!$C$27:$C$29))</f>
        <v>91000</v>
      </c>
      <c r="J94" t="s">
        <v>64</v>
      </c>
      <c r="K94" s="9">
        <f>Table1[[#This Row], [NUM OF MEM]]*Table1[[#This Row], [TOTAL TIME TAKEN]]*_xlfn.XLOOKUP(Table1[[#This Row], [EXIT]],Sheet1!$A$70:$A$71,Sheet1!$B$70:$B$71)*(1+_xlfn.XLOOKUP(Table1[[#This Row], [EXIT]],Sheet1!$A$70:$A$71,Sheet1!$C$70:$C$71))</f>
        <v>1700611.1999999997</v>
      </c>
      <c r="L94" s="13" t="s">
        <v>65</v>
      </c>
      <c r="M94" s="4">
        <f>IF(Table1[[#This Row], [EQUIPMENT]]="YES",Sheet1!$C$44*(1+Sheet1!$D$44),0)</f>
        <v>307500</v>
      </c>
      <c r="N94" s="4">
        <f>_xlfn.XLOOKUP(Table1[[#This Row], [ROOM]],Sheet1!$A$47:$A$66,Sheet1!$F$47:$F$66)</f>
        <v>18150000</v>
      </c>
      <c r="O94" s="9">
        <f>_xlfn.XLOOKUP(_xlfn.CONCAT(Table1[[#This Row], [TEAM]],Table1[[#This Row], [ROOM]]),'ROOM TIME'!$H$2:$H$121,'ROOM TIME'!$J$2:$J$121)</f>
        <v>58.70999999999998</v>
      </c>
      <c r="P94" s="9">
        <f>(INDEX(Sheet1!$X$48:$Z$67,MATCH(Table1[[#This Row], [ROOM]],Sheet1!$P$48:$P$67,0),MATCH(Table1[[#This Row], [WEAPON]],Sheet1!$X$47:$Z$47,0)))/Table1[[#This Row], [NUM OF MEM]]</f>
        <v>6.8999999999999995</v>
      </c>
      <c r="Q94" s="9">
        <f>Table1[[#This Row], [ROOM TIME]]+Table1[[#This Row], [GUARD TIME]]</f>
        <v>65.609999999999985</v>
      </c>
      <c r="R94" s="4">
        <f>Sheet1!$K$3*_xlfn.XLOOKUP(Table1[[#This Row], [DISGUISE]],Sheet1!$A$21:$A$23,Sheet1!$D$21:$D$23)</f>
        <v>69</v>
      </c>
      <c r="S94" s="9">
        <f>Table1[[#This Row], [TOTAL TIME]]-Table1[[#This Row], [TOTAL TIME TAKEN]]</f>
        <v>3.3900000000000148</v>
      </c>
      <c r="T94" t="str">
        <f>IF(Table1[[#This Row], [TIME DIFFERENCE]]&gt;=0,"PASS","FAIL")</f>
        <v>PASS</v>
      </c>
      <c r="U94" s="9">
        <f>Table1[[#This Row], [TRC]]+Table1[[#This Row], [DRC]]+Table1[[#This Row], [WRC]]+Table1[[#This Row], [ERC]]+Table1[[#This Row], [EQRC]]</f>
        <v>8057661.1999999993</v>
      </c>
      <c r="V94" s="9">
        <f>Table1[[#This Row], [TOTAL COST]]+_xlfn.XLOOKUP(Table1[[#This Row], [TEAM]],Sheet1!$A$12:$A$17,Sheet1!$I$12:$I$17)</f>
        <v>8354308.6999999993</v>
      </c>
      <c r="W94" s="9">
        <f>Table1[[#This Row], [LOOT]]-Table1[[#This Row], [TOTAL COST]]</f>
        <v>10092338.800000001</v>
      </c>
      <c r="X94" s="9">
        <f>IF(Table1[[#This Row], [PASS/FAIL]]="FAIL",0,Table1[[#This Row], [PROFIT]])</f>
        <v>10092338.800000001</v>
      </c>
    </row>
    <row r="95" spans="1:24" ht="19.5" customHeight="1" x14ac:dyDescent="0.45">
      <c r="A95" t="s">
        <v>13</v>
      </c>
      <c r="B95" s="14">
        <f>_xlfn.XLOOKUP(Table1[[#This Row], [TEAM]],Sheet1!$A$12:$A$17,Sheet1!$F$12:$F$17)</f>
        <v>3</v>
      </c>
      <c r="C95" s="14">
        <f>_xlfn.XLOOKUP(Table1[[#This Row], [TEAM]],Sheet1!$A$12:$A$17,Sheet1!$G$12:$G$17)</f>
        <v>5930000</v>
      </c>
      <c r="D95" t="s">
        <v>24</v>
      </c>
      <c r="E95" s="4">
        <f>_xlfn.XLOOKUP(Table1[[#This Row], [ROOM]],Sheet1!$A$47:$A$66,Sheet1!$B$47:$B$66)</f>
        <v>345</v>
      </c>
      <c r="F95" t="s">
        <v>58</v>
      </c>
      <c r="G95" s="4">
        <f>_xlfn.XLOOKUP(Table1[[#This Row], [DISGUISE]],Sheet1!$A$21:$A$23,Sheet1!$B$21:$B$23)*Table1[[#This Row], [NUM OF MEM]]*(1+_xlfn.XLOOKUP(Table1[[#This Row], [DISGUISE]],Sheet1!$A$21:$A$23,Sheet1!$C$21:$C$23))</f>
        <v>38400</v>
      </c>
      <c r="H95" s="13" t="s">
        <v>66</v>
      </c>
      <c r="I95" s="4">
        <f>_xlfn.XLOOKUP(Table1[[#This Row], [WEAPON]],Sheet1!$A$27:$A$29,Sheet1!$B$27:$B$29)*Table1[[#This Row], [NUM OF MEM]]*(1+_xlfn.XLOOKUP(Table1[[#This Row], [WEAPON]],Sheet1!$A$27:$A$29,Sheet1!$C$27:$C$29))</f>
        <v>108000</v>
      </c>
      <c r="J95" t="s">
        <v>60</v>
      </c>
      <c r="K95" s="9">
        <f>Table1[[#This Row], [NUM OF MEM]]*Table1[[#This Row], [TOTAL TIME TAKEN]]*_xlfn.XLOOKUP(Table1[[#This Row], [EXIT]],Sheet1!$A$70:$A$71,Sheet1!$B$70:$B$71)*(1+_xlfn.XLOOKUP(Table1[[#This Row], [EXIT]],Sheet1!$A$70:$A$71,Sheet1!$C$70:$C$71))</f>
        <v>1832010.4749999999</v>
      </c>
      <c r="L95" s="13" t="s">
        <v>61</v>
      </c>
      <c r="M95" s="4">
        <f>IF(Table1[[#This Row], [EQUIPMENT]]="YES",Sheet1!$C$44*(1+Sheet1!$D$44),0)</f>
        <v>0</v>
      </c>
      <c r="N95" s="4">
        <f>_xlfn.XLOOKUP(Table1[[#This Row], [ROOM]],Sheet1!$A$47:$A$66,Sheet1!$F$47:$F$66)</f>
        <v>18000000</v>
      </c>
      <c r="O95" s="9">
        <f>_xlfn.XLOOKUP(_xlfn.CONCAT(Table1[[#This Row], [TEAM]],Table1[[#This Row], [ROOM]]),'ROOM TIME'!$H$2:$H$121,'ROOM TIME'!$J$2:$J$121)</f>
        <v>42.587777777777774</v>
      </c>
      <c r="P95" s="4">
        <f>(INDEX(Sheet1!$X$48:$Z$67,MATCH(Table1[[#This Row], [ROOM]],Sheet1!$P$48:$P$67,0),MATCH(Table1[[#This Row], [WEAPON]],Sheet1!$X$47:$Z$47,0)))/Table1[[#This Row], [NUM OF MEM]]</f>
        <v>5</v>
      </c>
      <c r="Q95" s="9">
        <f>Table1[[#This Row], [ROOM TIME]]+Table1[[#This Row], [GUARD TIME]]</f>
        <v>47.587777777777774</v>
      </c>
      <c r="R95" s="4">
        <f>Sheet1!$K$3*_xlfn.XLOOKUP(Table1[[#This Row], [DISGUISE]],Sheet1!$A$21:$A$23,Sheet1!$D$21:$D$23)</f>
        <v>69</v>
      </c>
      <c r="S95" s="9">
        <f>Table1[[#This Row], [TOTAL TIME]]-Table1[[#This Row], [TOTAL TIME TAKEN]]</f>
        <v>21.412222222222226</v>
      </c>
      <c r="T95" t="str">
        <f>IF(Table1[[#This Row], [TIME DIFFERENCE]]&gt;=0,"PASS","FAIL")</f>
        <v>PASS</v>
      </c>
      <c r="U95" s="9">
        <f>Table1[[#This Row], [TRC]]+Table1[[#This Row], [DRC]]+Table1[[#This Row], [WRC]]+Table1[[#This Row], [ERC]]+Table1[[#This Row], [EQRC]]</f>
        <v>7908410.4749999996</v>
      </c>
      <c r="V95" s="9">
        <f>Table1[[#This Row], [TOTAL COST]]+_xlfn.XLOOKUP(Table1[[#This Row], [TEAM]],Sheet1!$A$12:$A$17,Sheet1!$I$12:$I$17)</f>
        <v>8204910.4749999996</v>
      </c>
      <c r="W95" s="9">
        <f>Table1[[#This Row], [LOOT]]-Table1[[#This Row], [TOTAL COST]]</f>
        <v>10091589.525</v>
      </c>
      <c r="X95" s="9">
        <f>IF(Table1[[#This Row], [PASS/FAIL]]="FAIL",0,Table1[[#This Row], [PROFIT]])</f>
        <v>10091589.525</v>
      </c>
    </row>
    <row r="96" spans="1:24" ht="19.5" customHeight="1" x14ac:dyDescent="0.45">
      <c r="A96" t="s">
        <v>14</v>
      </c>
      <c r="B96" s="14">
        <f>_xlfn.XLOOKUP(Table1[[#This Row], [TEAM]],Sheet1!$A$12:$A$17,Sheet1!$F$12:$F$17)</f>
        <v>2</v>
      </c>
      <c r="C96" s="14">
        <f>_xlfn.XLOOKUP(Table1[[#This Row], [TEAM]],Sheet1!$A$12:$A$17,Sheet1!$G$12:$G$17)</f>
        <v>5949600</v>
      </c>
      <c r="D96" t="s">
        <v>26</v>
      </c>
      <c r="E96" s="4">
        <f>_xlfn.XLOOKUP(Table1[[#This Row], [ROOM]],Sheet1!$A$47:$A$66,Sheet1!$B$47:$B$66)</f>
        <v>136</v>
      </c>
      <c r="F96" t="s">
        <v>58</v>
      </c>
      <c r="G96" s="4">
        <f>_xlfn.XLOOKUP(Table1[[#This Row], [DISGUISE]],Sheet1!$A$21:$A$23,Sheet1!$B$21:$B$23)*Table1[[#This Row], [NUM OF MEM]]*(1+_xlfn.XLOOKUP(Table1[[#This Row], [DISGUISE]],Sheet1!$A$21:$A$23,Sheet1!$C$21:$C$23))</f>
        <v>25600</v>
      </c>
      <c r="H96" s="13" t="s">
        <v>66</v>
      </c>
      <c r="I96" s="4">
        <f>_xlfn.XLOOKUP(Table1[[#This Row], [WEAPON]],Sheet1!$A$27:$A$29,Sheet1!$B$27:$B$29)*Table1[[#This Row], [NUM OF MEM]]*(1+_xlfn.XLOOKUP(Table1[[#This Row], [WEAPON]],Sheet1!$A$27:$A$29,Sheet1!$C$27:$C$29))</f>
        <v>72000</v>
      </c>
      <c r="J96" t="s">
        <v>64</v>
      </c>
      <c r="K96" s="9">
        <f>Table1[[#This Row], [NUM OF MEM]]*Table1[[#This Row], [TOTAL TIME TAKEN]]*_xlfn.XLOOKUP(Table1[[#This Row], [EXIT]],Sheet1!$A$70:$A$71,Sheet1!$B$70:$B$71)*(1+_xlfn.XLOOKUP(Table1[[#This Row], [EXIT]],Sheet1!$A$70:$A$71,Sheet1!$C$70:$C$71))</f>
        <v>1704013.1999999995</v>
      </c>
      <c r="L96" s="13" t="s">
        <v>65</v>
      </c>
      <c r="M96" s="4">
        <f>IF(Table1[[#This Row], [EQUIPMENT]]="YES",Sheet1!$C$44*(1+Sheet1!$D$44),0)</f>
        <v>307500</v>
      </c>
      <c r="N96" s="4">
        <f>_xlfn.XLOOKUP(Table1[[#This Row], [ROOM]],Sheet1!$A$47:$A$66,Sheet1!$F$47:$F$66)</f>
        <v>18150000</v>
      </c>
      <c r="O96" s="9">
        <f>_xlfn.XLOOKUP(_xlfn.CONCAT(Table1[[#This Row], [TEAM]],Table1[[#This Row], [ROOM]]),'ROOM TIME'!$H$2:$H$121,'ROOM TIME'!$J$2:$J$121)</f>
        <v>58.241249999999987</v>
      </c>
      <c r="P96" s="9">
        <f>(INDEX(Sheet1!$X$48:$Z$67,MATCH(Table1[[#This Row], [ROOM]],Sheet1!$P$48:$P$67,0),MATCH(Table1[[#This Row], [WEAPON]],Sheet1!$X$47:$Z$47,0)))/Table1[[#This Row], [NUM OF MEM]]</f>
        <v>7.5</v>
      </c>
      <c r="Q96" s="9">
        <f>Table1[[#This Row], [ROOM TIME]]+Table1[[#This Row], [GUARD TIME]]</f>
        <v>65.74124999999998</v>
      </c>
      <c r="R96" s="4">
        <f>Sheet1!$K$3*_xlfn.XLOOKUP(Table1[[#This Row], [DISGUISE]],Sheet1!$A$21:$A$23,Sheet1!$D$21:$D$23)</f>
        <v>69</v>
      </c>
      <c r="S96" s="9">
        <f>Table1[[#This Row], [TOTAL TIME]]-Table1[[#This Row], [TOTAL TIME TAKEN]]</f>
        <v>3.2587500000000205</v>
      </c>
      <c r="T96" t="str">
        <f>IF(Table1[[#This Row], [TIME DIFFERENCE]]&gt;=0,"PASS","FAIL")</f>
        <v>PASS</v>
      </c>
      <c r="U96" s="9">
        <f>Table1[[#This Row], [TRC]]+Table1[[#This Row], [DRC]]+Table1[[#This Row], [WRC]]+Table1[[#This Row], [ERC]]+Table1[[#This Row], [EQRC]]</f>
        <v>8058713.1999999993</v>
      </c>
      <c r="V96" s="9">
        <f>Table1[[#This Row], [TOTAL COST]]+_xlfn.XLOOKUP(Table1[[#This Row], [TEAM]],Sheet1!$A$12:$A$17,Sheet1!$I$12:$I$17)</f>
        <v>8356193.1999999993</v>
      </c>
      <c r="W96" s="9">
        <f>Table1[[#This Row], [LOOT]]-Table1[[#This Row], [TOTAL COST]]</f>
        <v>10091286.800000001</v>
      </c>
      <c r="X96" s="9">
        <f>IF(Table1[[#This Row], [PASS/FAIL]]="FAIL",0,Table1[[#This Row], [PROFIT]])</f>
        <v>10091286.800000001</v>
      </c>
    </row>
    <row r="97" spans="1:24" ht="19.5" customHeight="1" x14ac:dyDescent="0.45">
      <c r="A97" t="s">
        <v>12</v>
      </c>
      <c r="B97" s="14">
        <f>_xlfn.XLOOKUP(Table1[[#This Row], [TEAM]],Sheet1!$A$12:$A$17,Sheet1!$F$12:$F$17)</f>
        <v>3</v>
      </c>
      <c r="C97" s="14">
        <f>_xlfn.XLOOKUP(Table1[[#This Row], [TEAM]],Sheet1!$A$12:$A$17,Sheet1!$G$12:$G$17)</f>
        <v>5988750</v>
      </c>
      <c r="D97" t="s">
        <v>32</v>
      </c>
      <c r="E97" s="4">
        <f>_xlfn.XLOOKUP(Table1[[#This Row], [ROOM]],Sheet1!$A$47:$A$66,Sheet1!$B$47:$B$66)</f>
        <v>346</v>
      </c>
      <c r="F97" t="s">
        <v>62</v>
      </c>
      <c r="G97" s="4">
        <f>_xlfn.XLOOKUP(Table1[[#This Row], [DISGUISE]],Sheet1!$A$21:$A$23,Sheet1!$B$21:$B$23)*Table1[[#This Row], [NUM OF MEM]]*(1+_xlfn.XLOOKUP(Table1[[#This Row], [DISGUISE]],Sheet1!$A$21:$A$23,Sheet1!$C$21:$C$23))</f>
        <v>15600</v>
      </c>
      <c r="H97" s="13" t="s">
        <v>63</v>
      </c>
      <c r="I97" s="4">
        <f>_xlfn.XLOOKUP(Table1[[#This Row], [WEAPON]],Sheet1!$A$27:$A$29,Sheet1!$B$27:$B$29)*Table1[[#This Row], [NUM OF MEM]]*(1+_xlfn.XLOOKUP(Table1[[#This Row], [WEAPON]],Sheet1!$A$27:$A$29,Sheet1!$C$27:$C$29))</f>
        <v>69000</v>
      </c>
      <c r="J97" t="s">
        <v>64</v>
      </c>
      <c r="K97" s="9">
        <f>Table1[[#This Row], [NUM OF MEM]]*Table1[[#This Row], [TOTAL TIME TAKEN]]*_xlfn.XLOOKUP(Table1[[#This Row], [EXIT]],Sheet1!$A$70:$A$71,Sheet1!$B$70:$B$71)*(1+_xlfn.XLOOKUP(Table1[[#This Row], [EXIT]],Sheet1!$A$70:$A$71,Sheet1!$C$70:$C$71))</f>
        <v>1728215.9999999993</v>
      </c>
      <c r="L97" s="13" t="s">
        <v>65</v>
      </c>
      <c r="M97" s="4">
        <f>IF(Table1[[#This Row], [EQUIPMENT]]="YES",Sheet1!$C$44*(1+Sheet1!$D$44),0)</f>
        <v>307500</v>
      </c>
      <c r="N97" s="4">
        <f>_xlfn.XLOOKUP(Table1[[#This Row], [ROOM]],Sheet1!$A$47:$A$66,Sheet1!$F$47:$F$66)</f>
        <v>18200000</v>
      </c>
      <c r="O97" s="9">
        <f>_xlfn.XLOOKUP(_xlfn.CONCAT(Table1[[#This Row], [TEAM]],Table1[[#This Row], [ROOM]]),'ROOM TIME'!$H$2:$H$121,'ROOM TIME'!$J$2:$J$121)</f>
        <v>38.599999999999987</v>
      </c>
      <c r="P97" s="9">
        <f>(INDEX(Sheet1!$X$48:$Z$67,MATCH(Table1[[#This Row], [ROOM]],Sheet1!$P$48:$P$67,0),MATCH(Table1[[#This Row], [WEAPON]],Sheet1!$X$47:$Z$47,0)))/Table1[[#This Row], [NUM OF MEM]]</f>
        <v>5.8500000000000005</v>
      </c>
      <c r="Q97" s="9">
        <f>Table1[[#This Row], [ROOM TIME]]+Table1[[#This Row], [GUARD TIME]]</f>
        <v>44.449999999999989</v>
      </c>
      <c r="R97" s="4">
        <f>Sheet1!$K$3*_xlfn.XLOOKUP(Table1[[#This Row], [DISGUISE]],Sheet1!$A$21:$A$23,Sheet1!$D$21:$D$23)</f>
        <v>66</v>
      </c>
      <c r="S97" s="9">
        <f>Table1[[#This Row], [TOTAL TIME]]-Table1[[#This Row], [TOTAL TIME TAKEN]]</f>
        <v>21.550000000000011</v>
      </c>
      <c r="T97" t="str">
        <f>IF(Table1[[#This Row], [TIME DIFFERENCE]]&gt;=0,"PASS","FAIL")</f>
        <v>PASS</v>
      </c>
      <c r="U97" s="9">
        <f>Table1[[#This Row], [TRC]]+Table1[[#This Row], [DRC]]+Table1[[#This Row], [WRC]]+Table1[[#This Row], [ERC]]+Table1[[#This Row], [EQRC]]</f>
        <v>8109065.9999999991</v>
      </c>
      <c r="V97" s="9">
        <f>Table1[[#This Row], [TOTAL COST]]+_xlfn.XLOOKUP(Table1[[#This Row], [TEAM]],Sheet1!$A$12:$A$17,Sheet1!$I$12:$I$17)</f>
        <v>8408503.5</v>
      </c>
      <c r="W97" s="4">
        <f>Table1[[#This Row], [LOOT]]-Table1[[#This Row], [TOTAL COST]]</f>
        <v>10090934</v>
      </c>
      <c r="X97" s="4">
        <f>IF(Table1[[#This Row], [PASS/FAIL]]="FAIL",0,Table1[[#This Row], [PROFIT]])</f>
        <v>10090934</v>
      </c>
    </row>
    <row r="98" spans="1:24" ht="19.5" customHeight="1" x14ac:dyDescent="0.45">
      <c r="A98" t="s">
        <v>15</v>
      </c>
      <c r="B98" s="14">
        <f>_xlfn.XLOOKUP(Table1[[#This Row], [TEAM]],Sheet1!$A$12:$A$17,Sheet1!$F$12:$F$17)</f>
        <v>2</v>
      </c>
      <c r="C98" s="14">
        <f>_xlfn.XLOOKUP(Table1[[#This Row], [TEAM]],Sheet1!$A$12:$A$17,Sheet1!$G$12:$G$17)</f>
        <v>5932950</v>
      </c>
      <c r="D98" t="s">
        <v>33</v>
      </c>
      <c r="E98" s="4">
        <f>_xlfn.XLOOKUP(Table1[[#This Row], [ROOM]],Sheet1!$A$47:$A$66,Sheet1!$B$47:$B$66)</f>
        <v>356</v>
      </c>
      <c r="F98" t="s">
        <v>58</v>
      </c>
      <c r="G98" s="4">
        <f>_xlfn.XLOOKUP(Table1[[#This Row], [DISGUISE]],Sheet1!$A$21:$A$23,Sheet1!$B$21:$B$23)*Table1[[#This Row], [NUM OF MEM]]*(1+_xlfn.XLOOKUP(Table1[[#This Row], [DISGUISE]],Sheet1!$A$21:$A$23,Sheet1!$C$21:$C$23))</f>
        <v>25600</v>
      </c>
      <c r="H98" s="13" t="s">
        <v>66</v>
      </c>
      <c r="I98" s="4">
        <f>_xlfn.XLOOKUP(Table1[[#This Row], [WEAPON]],Sheet1!$A$27:$A$29,Sheet1!$B$27:$B$29)*Table1[[#This Row], [NUM OF MEM]]*(1+_xlfn.XLOOKUP(Table1[[#This Row], [WEAPON]],Sheet1!$A$27:$A$29,Sheet1!$C$27:$C$29))</f>
        <v>72000</v>
      </c>
      <c r="J98" t="s">
        <v>60</v>
      </c>
      <c r="K98" s="9">
        <f>Table1[[#This Row], [NUM OF MEM]]*Table1[[#This Row], [TOTAL TIME TAKEN]]*_xlfn.XLOOKUP(Table1[[#This Row], [EXIT]],Sheet1!$A$70:$A$71,Sheet1!$B$70:$B$71)*(1+_xlfn.XLOOKUP(Table1[[#This Row], [EXIT]],Sheet1!$A$70:$A$71,Sheet1!$C$70:$C$71))</f>
        <v>1671753.9374999995</v>
      </c>
      <c r="L98" s="13" t="s">
        <v>65</v>
      </c>
      <c r="M98" s="4">
        <f>IF(Table1[[#This Row], [EQUIPMENT]]="YES",Sheet1!$C$44*(1+Sheet1!$D$44),0)</f>
        <v>307500</v>
      </c>
      <c r="N98" s="4">
        <f>_xlfn.XLOOKUP(Table1[[#This Row], [ROOM]],Sheet1!$A$47:$A$66,Sheet1!$F$47:$F$66)</f>
        <v>18100000</v>
      </c>
      <c r="O98" s="9">
        <f>_xlfn.XLOOKUP(_xlfn.CONCAT(Table1[[#This Row], [TEAM]],Table1[[#This Row], [ROOM]]),'ROOM TIME'!$H$2:$H$121,'ROOM TIME'!$J$2:$J$121)</f>
        <v>57.637499999999989</v>
      </c>
      <c r="P98" s="9">
        <f>(INDEX(Sheet1!$X$48:$Z$67,MATCH(Table1[[#This Row], [ROOM]],Sheet1!$P$48:$P$67,0),MATCH(Table1[[#This Row], [WEAPON]],Sheet1!$X$47:$Z$47,0)))/Table1[[#This Row], [NUM OF MEM]]</f>
        <v>7.5</v>
      </c>
      <c r="Q98" s="9">
        <f>Table1[[#This Row], [ROOM TIME]]+Table1[[#This Row], [GUARD TIME]]</f>
        <v>65.137499999999989</v>
      </c>
      <c r="R98" s="4">
        <f>Sheet1!$K$3*_xlfn.XLOOKUP(Table1[[#This Row], [DISGUISE]],Sheet1!$A$21:$A$23,Sheet1!$D$21:$D$23)</f>
        <v>69</v>
      </c>
      <c r="S98" s="9">
        <f>Table1[[#This Row], [TOTAL TIME]]-Table1[[#This Row], [TOTAL TIME TAKEN]]</f>
        <v>3.8625000000000114</v>
      </c>
      <c r="T98" t="str">
        <f>IF(Table1[[#This Row], [TIME DIFFERENCE]]&gt;=0,"PASS","FAIL")</f>
        <v>PASS</v>
      </c>
      <c r="U98" s="9">
        <f>Table1[[#This Row], [TRC]]+Table1[[#This Row], [DRC]]+Table1[[#This Row], [WRC]]+Table1[[#This Row], [ERC]]+Table1[[#This Row], [EQRC]]</f>
        <v>8009803.9375</v>
      </c>
      <c r="V98" s="9">
        <f>Table1[[#This Row], [TOTAL COST]]+_xlfn.XLOOKUP(Table1[[#This Row], [TEAM]],Sheet1!$A$12:$A$17,Sheet1!$I$12:$I$17)</f>
        <v>8306451.4375</v>
      </c>
      <c r="W98" s="9">
        <f>Table1[[#This Row], [LOOT]]-Table1[[#This Row], [TOTAL COST]]</f>
        <v>10090196.0625</v>
      </c>
      <c r="X98" s="9">
        <f>IF(Table1[[#This Row], [PASS/FAIL]]="FAIL",0,Table1[[#This Row], [PROFIT]])</f>
        <v>10090196.0625</v>
      </c>
    </row>
    <row r="99" spans="1:24" ht="19.5" customHeight="1" x14ac:dyDescent="0.45">
      <c r="A99" t="s">
        <v>12</v>
      </c>
      <c r="B99" s="14">
        <f>_xlfn.XLOOKUP(Table1[[#This Row], [TEAM]],Sheet1!$A$12:$A$17,Sheet1!$F$12:$F$17)</f>
        <v>3</v>
      </c>
      <c r="C99" s="14">
        <f>_xlfn.XLOOKUP(Table1[[#This Row], [TEAM]],Sheet1!$A$12:$A$17,Sheet1!$G$12:$G$17)</f>
        <v>5988750</v>
      </c>
      <c r="D99" t="s">
        <v>24</v>
      </c>
      <c r="E99" s="4">
        <f>_xlfn.XLOOKUP(Table1[[#This Row], [ROOM]],Sheet1!$A$47:$A$66,Sheet1!$B$47:$B$66)</f>
        <v>345</v>
      </c>
      <c r="F99" t="s">
        <v>62</v>
      </c>
      <c r="G99" s="4">
        <f>_xlfn.XLOOKUP(Table1[[#This Row], [DISGUISE]],Sheet1!$A$21:$A$23,Sheet1!$B$21:$B$23)*Table1[[#This Row], [NUM OF MEM]]*(1+_xlfn.XLOOKUP(Table1[[#This Row], [DISGUISE]],Sheet1!$A$21:$A$23,Sheet1!$C$21:$C$23))</f>
        <v>15600</v>
      </c>
      <c r="H99" s="13" t="s">
        <v>59</v>
      </c>
      <c r="I99" s="4">
        <f>_xlfn.XLOOKUP(Table1[[#This Row], [WEAPON]],Sheet1!$A$27:$A$29,Sheet1!$B$27:$B$29)*Table1[[#This Row], [NUM OF MEM]]*(1+_xlfn.XLOOKUP(Table1[[#This Row], [WEAPON]],Sheet1!$A$27:$A$29,Sheet1!$C$27:$C$29))</f>
        <v>136500</v>
      </c>
      <c r="J99" t="s">
        <v>64</v>
      </c>
      <c r="K99" s="9">
        <f>Table1[[#This Row], [NUM OF MEM]]*Table1[[#This Row], [TOTAL TIME TAKEN]]*_xlfn.XLOOKUP(Table1[[#This Row], [EXIT]],Sheet1!$A$70:$A$71,Sheet1!$B$70:$B$71)*(1+_xlfn.XLOOKUP(Table1[[#This Row], [EXIT]],Sheet1!$A$70:$A$71,Sheet1!$C$70:$C$71))</f>
        <v>1770249.5999999996</v>
      </c>
      <c r="L99" s="13" t="s">
        <v>61</v>
      </c>
      <c r="M99" s="4">
        <f>IF(Table1[[#This Row], [EQUIPMENT]]="YES",Sheet1!$C$44*(1+Sheet1!$D$44),0)</f>
        <v>0</v>
      </c>
      <c r="N99" s="4">
        <f>_xlfn.XLOOKUP(Table1[[#This Row], [ROOM]],Sheet1!$A$47:$A$66,Sheet1!$F$47:$F$66)</f>
        <v>18000000</v>
      </c>
      <c r="O99" s="9">
        <f>_xlfn.XLOOKUP(_xlfn.CONCAT(Table1[[#This Row], [TEAM]],Table1[[#This Row], [ROOM]]),'ROOM TIME'!$H$2:$H$121,'ROOM TIME'!$J$2:$J$121)</f>
        <v>40.9311111111111</v>
      </c>
      <c r="P99" s="9">
        <f>(INDEX(Sheet1!$X$48:$Z$67,MATCH(Table1[[#This Row], [ROOM]],Sheet1!$P$48:$P$67,0),MATCH(Table1[[#This Row], [WEAPON]],Sheet1!$X$47:$Z$47,0)))/Table1[[#This Row], [NUM OF MEM]]</f>
        <v>4.5999999999999996</v>
      </c>
      <c r="Q99" s="9">
        <f>Table1[[#This Row], [ROOM TIME]]+Table1[[#This Row], [GUARD TIME]]</f>
        <v>45.531111111111102</v>
      </c>
      <c r="R99" s="4">
        <f>Sheet1!$K$3*_xlfn.XLOOKUP(Table1[[#This Row], [DISGUISE]],Sheet1!$A$21:$A$23,Sheet1!$D$21:$D$23)</f>
        <v>66</v>
      </c>
      <c r="S99" s="9">
        <f>Table1[[#This Row], [TOTAL TIME]]-Table1[[#This Row], [TOTAL TIME TAKEN]]</f>
        <v>20.468888888888898</v>
      </c>
      <c r="T99" t="str">
        <f>IF(Table1[[#This Row], [TIME DIFFERENCE]]&gt;=0,"PASS","FAIL")</f>
        <v>PASS</v>
      </c>
      <c r="U99" s="9">
        <f>Table1[[#This Row], [TRC]]+Table1[[#This Row], [DRC]]+Table1[[#This Row], [WRC]]+Table1[[#This Row], [ERC]]+Table1[[#This Row], [EQRC]]</f>
        <v>7911099.5999999996</v>
      </c>
      <c r="V99" s="9">
        <f>Table1[[#This Row], [TOTAL COST]]+_xlfn.XLOOKUP(Table1[[#This Row], [TEAM]],Sheet1!$A$12:$A$17,Sheet1!$I$12:$I$17)</f>
        <v>8210537.0999999996</v>
      </c>
      <c r="W99" s="9">
        <f>Table1[[#This Row], [LOOT]]-Table1[[#This Row], [TOTAL COST]]</f>
        <v>10088900.4</v>
      </c>
      <c r="X99" s="9">
        <f>IF(Table1[[#This Row], [PASS/FAIL]]="FAIL",0,Table1[[#This Row], [PROFIT]])</f>
        <v>10088900.4</v>
      </c>
    </row>
    <row r="100" spans="1:24" ht="19.5" customHeight="1" x14ac:dyDescent="0.45">
      <c r="A100" t="s">
        <v>15</v>
      </c>
      <c r="B100" s="14">
        <f>_xlfn.XLOOKUP(Table1[[#This Row], [TEAM]],Sheet1!$A$12:$A$17,Sheet1!$F$12:$F$17)</f>
        <v>2</v>
      </c>
      <c r="C100" s="14">
        <f>_xlfn.XLOOKUP(Table1[[#This Row], [TEAM]],Sheet1!$A$12:$A$17,Sheet1!$G$12:$G$17)</f>
        <v>5932950</v>
      </c>
      <c r="D100" t="s">
        <v>33</v>
      </c>
      <c r="E100" s="4">
        <f>_xlfn.XLOOKUP(Table1[[#This Row], [ROOM]],Sheet1!$A$47:$A$66,Sheet1!$B$47:$B$66)</f>
        <v>356</v>
      </c>
      <c r="F100" t="s">
        <v>62</v>
      </c>
      <c r="G100" s="4">
        <f>_xlfn.XLOOKUP(Table1[[#This Row], [DISGUISE]],Sheet1!$A$21:$A$23,Sheet1!$B$21:$B$23)*Table1[[#This Row], [NUM OF MEM]]*(1+_xlfn.XLOOKUP(Table1[[#This Row], [DISGUISE]],Sheet1!$A$21:$A$23,Sheet1!$C$21:$C$23))</f>
        <v>10400</v>
      </c>
      <c r="H100" s="13" t="s">
        <v>66</v>
      </c>
      <c r="I100" s="4">
        <f>_xlfn.XLOOKUP(Table1[[#This Row], [WEAPON]],Sheet1!$A$27:$A$29,Sheet1!$B$27:$B$29)*Table1[[#This Row], [NUM OF MEM]]*(1+_xlfn.XLOOKUP(Table1[[#This Row], [WEAPON]],Sheet1!$A$27:$A$29,Sheet1!$C$27:$C$29))</f>
        <v>72000</v>
      </c>
      <c r="J100" t="s">
        <v>64</v>
      </c>
      <c r="K100" s="9">
        <f>Table1[[#This Row], [NUM OF MEM]]*Table1[[#This Row], [TOTAL TIME TAKEN]]*_xlfn.XLOOKUP(Table1[[#This Row], [EXIT]],Sheet1!$A$70:$A$71,Sheet1!$B$70:$B$71)*(1+_xlfn.XLOOKUP(Table1[[#This Row], [EXIT]],Sheet1!$A$70:$A$71,Sheet1!$C$70:$C$71))</f>
        <v>1688363.9999999998</v>
      </c>
      <c r="L100" s="13" t="s">
        <v>65</v>
      </c>
      <c r="M100" s="4">
        <f>IF(Table1[[#This Row], [EQUIPMENT]]="YES",Sheet1!$C$44*(1+Sheet1!$D$44),0)</f>
        <v>307500</v>
      </c>
      <c r="N100" s="4">
        <f>_xlfn.XLOOKUP(Table1[[#This Row], [ROOM]],Sheet1!$A$47:$A$66,Sheet1!$F$47:$F$66)</f>
        <v>18100000</v>
      </c>
      <c r="O100" s="9">
        <f>_xlfn.XLOOKUP(_xlfn.CONCAT(Table1[[#This Row], [TEAM]],Table1[[#This Row], [ROOM]]),'ROOM TIME'!$H$2:$H$121,'ROOM TIME'!$J$2:$J$121)</f>
        <v>57.637499999999989</v>
      </c>
      <c r="P100" s="9">
        <f>(INDEX(Sheet1!$X$48:$Z$67,MATCH(Table1[[#This Row], [ROOM]],Sheet1!$P$48:$P$67,0),MATCH(Table1[[#This Row], [WEAPON]],Sheet1!$X$47:$Z$47,0)))/Table1[[#This Row], [NUM OF MEM]]</f>
        <v>7.5</v>
      </c>
      <c r="Q100" s="9">
        <f>Table1[[#This Row], [ROOM TIME]]+Table1[[#This Row], [GUARD TIME]]</f>
        <v>65.137499999999989</v>
      </c>
      <c r="R100" s="4">
        <f>Sheet1!$K$3*_xlfn.XLOOKUP(Table1[[#This Row], [DISGUISE]],Sheet1!$A$21:$A$23,Sheet1!$D$21:$D$23)</f>
        <v>66</v>
      </c>
      <c r="S100" s="9">
        <f>Table1[[#This Row], [TOTAL TIME]]-Table1[[#This Row], [TOTAL TIME TAKEN]]</f>
        <v>0.86250000000001137</v>
      </c>
      <c r="T100" t="str">
        <f>IF(Table1[[#This Row], [TIME DIFFERENCE]]&gt;=0,"PASS","FAIL")</f>
        <v>PASS</v>
      </c>
      <c r="U100" s="4">
        <f>Table1[[#This Row], [TRC]]+Table1[[#This Row], [DRC]]+Table1[[#This Row], [WRC]]+Table1[[#This Row], [ERC]]+Table1[[#This Row], [EQRC]]</f>
        <v>8011214</v>
      </c>
      <c r="V100" s="9">
        <f>Table1[[#This Row], [TOTAL COST]]+_xlfn.XLOOKUP(Table1[[#This Row], [TEAM]],Sheet1!$A$12:$A$17,Sheet1!$I$12:$I$17)</f>
        <v>8307861.5</v>
      </c>
      <c r="W100" s="4">
        <f>Table1[[#This Row], [LOOT]]-Table1[[#This Row], [TOTAL COST]]</f>
        <v>10088786</v>
      </c>
      <c r="X100" s="4">
        <f>IF(Table1[[#This Row], [PASS/FAIL]]="FAIL",0,Table1[[#This Row], [PROFIT]])</f>
        <v>10088786</v>
      </c>
    </row>
    <row r="101" spans="1:24" ht="19.5" customHeight="1" x14ac:dyDescent="0.45">
      <c r="A101" t="s">
        <v>14</v>
      </c>
      <c r="B101" s="14">
        <f>_xlfn.XLOOKUP(Table1[[#This Row], [TEAM]],Sheet1!$A$12:$A$17,Sheet1!$F$12:$F$17)</f>
        <v>2</v>
      </c>
      <c r="C101" s="14">
        <f>_xlfn.XLOOKUP(Table1[[#This Row], [TEAM]],Sheet1!$A$12:$A$17,Sheet1!$G$12:$G$17)</f>
        <v>5949600</v>
      </c>
      <c r="D101" t="s">
        <v>33</v>
      </c>
      <c r="E101" s="4">
        <f>_xlfn.XLOOKUP(Table1[[#This Row], [ROOM]],Sheet1!$A$47:$A$66,Sheet1!$B$47:$B$66)</f>
        <v>356</v>
      </c>
      <c r="F101" t="s">
        <v>62</v>
      </c>
      <c r="G101" s="4">
        <f>_xlfn.XLOOKUP(Table1[[#This Row], [DISGUISE]],Sheet1!$A$21:$A$23,Sheet1!$B$21:$B$23)*Table1[[#This Row], [NUM OF MEM]]*(1+_xlfn.XLOOKUP(Table1[[#This Row], [DISGUISE]],Sheet1!$A$21:$A$23,Sheet1!$C$21:$C$23))</f>
        <v>10400</v>
      </c>
      <c r="H101" s="13" t="s">
        <v>66</v>
      </c>
      <c r="I101" s="4">
        <f>_xlfn.XLOOKUP(Table1[[#This Row], [WEAPON]],Sheet1!$A$27:$A$29,Sheet1!$B$27:$B$29)*Table1[[#This Row], [NUM OF MEM]]*(1+_xlfn.XLOOKUP(Table1[[#This Row], [WEAPON]],Sheet1!$A$27:$A$29,Sheet1!$C$27:$C$29))</f>
        <v>72000</v>
      </c>
      <c r="J101" t="s">
        <v>60</v>
      </c>
      <c r="K101" s="9">
        <f>Table1[[#This Row], [NUM OF MEM]]*Table1[[#This Row], [TOTAL TIME TAKEN]]*_xlfn.XLOOKUP(Table1[[#This Row], [EXIT]],Sheet1!$A$70:$A$71,Sheet1!$B$70:$B$71)*(1+_xlfn.XLOOKUP(Table1[[#This Row], [EXIT]],Sheet1!$A$70:$A$71,Sheet1!$C$70:$C$71))</f>
        <v>1672042.6687499993</v>
      </c>
      <c r="L101" s="13" t="s">
        <v>65</v>
      </c>
      <c r="M101" s="4">
        <f>IF(Table1[[#This Row], [EQUIPMENT]]="YES",Sheet1!$C$44*(1+Sheet1!$D$44),0)</f>
        <v>307500</v>
      </c>
      <c r="N101" s="4">
        <f>_xlfn.XLOOKUP(Table1[[#This Row], [ROOM]],Sheet1!$A$47:$A$66,Sheet1!$F$47:$F$66)</f>
        <v>18100000</v>
      </c>
      <c r="O101" s="9">
        <f>_xlfn.XLOOKUP(_xlfn.CONCAT(Table1[[#This Row], [TEAM]],Table1[[#This Row], [ROOM]]),'ROOM TIME'!$H$2:$H$121,'ROOM TIME'!$J$2:$J$121)</f>
        <v>57.648749999999986</v>
      </c>
      <c r="P101" s="9">
        <f>(INDEX(Sheet1!$X$48:$Z$67,MATCH(Table1[[#This Row], [ROOM]],Sheet1!$P$48:$P$67,0),MATCH(Table1[[#This Row], [WEAPON]],Sheet1!$X$47:$Z$47,0)))/Table1[[#This Row], [NUM OF MEM]]</f>
        <v>7.5</v>
      </c>
      <c r="Q101" s="9">
        <f>Table1[[#This Row], [ROOM TIME]]+Table1[[#This Row], [GUARD TIME]]</f>
        <v>65.148749999999978</v>
      </c>
      <c r="R101" s="4">
        <f>Sheet1!$K$3*_xlfn.XLOOKUP(Table1[[#This Row], [DISGUISE]],Sheet1!$A$21:$A$23,Sheet1!$D$21:$D$23)</f>
        <v>66</v>
      </c>
      <c r="S101" s="9">
        <f>Table1[[#This Row], [TOTAL TIME]]-Table1[[#This Row], [TOTAL TIME TAKEN]]</f>
        <v>0.8512500000000216</v>
      </c>
      <c r="T101" t="str">
        <f>IF(Table1[[#This Row], [TIME DIFFERENCE]]&gt;=0,"PASS","FAIL")</f>
        <v>PASS</v>
      </c>
      <c r="U101" s="9">
        <f>Table1[[#This Row], [TRC]]+Table1[[#This Row], [DRC]]+Table1[[#This Row], [WRC]]+Table1[[#This Row], [ERC]]+Table1[[#This Row], [EQRC]]</f>
        <v>8011542.6687499993</v>
      </c>
      <c r="V101" s="9">
        <f>Table1[[#This Row], [TOTAL COST]]+_xlfn.XLOOKUP(Table1[[#This Row], [TEAM]],Sheet1!$A$12:$A$17,Sheet1!$I$12:$I$17)</f>
        <v>8309022.6687499993</v>
      </c>
      <c r="W101" s="9">
        <f>Table1[[#This Row], [LOOT]]-Table1[[#This Row], [TOTAL COST]]</f>
        <v>10088457.331250001</v>
      </c>
      <c r="X101" s="9">
        <f>IF(Table1[[#This Row], [PASS/FAIL]]="FAIL",0,Table1[[#This Row], [PROFIT]])</f>
        <v>10088457.331250001</v>
      </c>
    </row>
    <row r="102" spans="1:24" ht="19.5" customHeight="1" x14ac:dyDescent="0.45">
      <c r="A102" t="s">
        <v>13</v>
      </c>
      <c r="B102" s="14">
        <f>_xlfn.XLOOKUP(Table1[[#This Row], [TEAM]],Sheet1!$A$12:$A$17,Sheet1!$F$12:$F$17)</f>
        <v>3</v>
      </c>
      <c r="C102" s="14">
        <f>_xlfn.XLOOKUP(Table1[[#This Row], [TEAM]],Sheet1!$A$12:$A$17,Sheet1!$G$12:$G$17)</f>
        <v>5930000</v>
      </c>
      <c r="D102" t="s">
        <v>32</v>
      </c>
      <c r="E102" s="4">
        <f>_xlfn.XLOOKUP(Table1[[#This Row], [ROOM]],Sheet1!$A$47:$A$66,Sheet1!$B$47:$B$66)</f>
        <v>346</v>
      </c>
      <c r="F102" t="s">
        <v>62</v>
      </c>
      <c r="G102" s="4">
        <f>_xlfn.XLOOKUP(Table1[[#This Row], [DISGUISE]],Sheet1!$A$21:$A$23,Sheet1!$B$21:$B$23)*Table1[[#This Row], [NUM OF MEM]]*(1+_xlfn.XLOOKUP(Table1[[#This Row], [DISGUISE]],Sheet1!$A$21:$A$23,Sheet1!$C$21:$C$23))</f>
        <v>15600</v>
      </c>
      <c r="H102" s="13" t="s">
        <v>66</v>
      </c>
      <c r="I102" s="4">
        <f>_xlfn.XLOOKUP(Table1[[#This Row], [WEAPON]],Sheet1!$A$27:$A$29,Sheet1!$B$27:$B$29)*Table1[[#This Row], [NUM OF MEM]]*(1+_xlfn.XLOOKUP(Table1[[#This Row], [WEAPON]],Sheet1!$A$27:$A$29,Sheet1!$C$27:$C$29))</f>
        <v>108000</v>
      </c>
      <c r="J102" t="s">
        <v>60</v>
      </c>
      <c r="K102" s="9">
        <f>Table1[[#This Row], [NUM OF MEM]]*Table1[[#This Row], [TOTAL TIME TAKEN]]*_xlfn.XLOOKUP(Table1[[#This Row], [EXIT]],Sheet1!$A$70:$A$71,Sheet1!$B$70:$B$71)*(1+_xlfn.XLOOKUP(Table1[[#This Row], [EXIT]],Sheet1!$A$70:$A$71,Sheet1!$C$70:$C$71))</f>
        <v>1750780.7499999995</v>
      </c>
      <c r="L102" s="13" t="s">
        <v>65</v>
      </c>
      <c r="M102" s="4">
        <f>IF(Table1[[#This Row], [EQUIPMENT]]="YES",Sheet1!$C$44*(1+Sheet1!$D$44),0)</f>
        <v>307500</v>
      </c>
      <c r="N102" s="4">
        <f>_xlfn.XLOOKUP(Table1[[#This Row], [ROOM]],Sheet1!$A$47:$A$66,Sheet1!$F$47:$F$66)</f>
        <v>18200000</v>
      </c>
      <c r="O102" s="9">
        <f>_xlfn.XLOOKUP(_xlfn.CONCAT(Table1[[#This Row], [TEAM]],Table1[[#This Row], [ROOM]]),'ROOM TIME'!$H$2:$H$121,'ROOM TIME'!$J$2:$J$121)</f>
        <v>40.061111111111103</v>
      </c>
      <c r="P102" s="9">
        <f>(INDEX(Sheet1!$X$48:$Z$67,MATCH(Table1[[#This Row], [ROOM]],Sheet1!$P$48:$P$67,0),MATCH(Table1[[#This Row], [WEAPON]],Sheet1!$X$47:$Z$47,0)))/Table1[[#This Row], [NUM OF MEM]]</f>
        <v>5.416666666666667</v>
      </c>
      <c r="Q102" s="9">
        <f>Table1[[#This Row], [ROOM TIME]]+Table1[[#This Row], [GUARD TIME]]</f>
        <v>45.477777777777767</v>
      </c>
      <c r="R102" s="4">
        <f>Sheet1!$K$3*_xlfn.XLOOKUP(Table1[[#This Row], [DISGUISE]],Sheet1!$A$21:$A$23,Sheet1!$D$21:$D$23)</f>
        <v>66</v>
      </c>
      <c r="S102" s="9">
        <f>Table1[[#This Row], [TOTAL TIME]]-Table1[[#This Row], [TOTAL TIME TAKEN]]</f>
        <v>20.522222222222233</v>
      </c>
      <c r="T102" t="str">
        <f>IF(Table1[[#This Row], [TIME DIFFERENCE]]&gt;=0,"PASS","FAIL")</f>
        <v>PASS</v>
      </c>
      <c r="U102" s="9">
        <f>Table1[[#This Row], [TRC]]+Table1[[#This Row], [DRC]]+Table1[[#This Row], [WRC]]+Table1[[#This Row], [ERC]]+Table1[[#This Row], [EQRC]]</f>
        <v>8111880.75</v>
      </c>
      <c r="V102" s="9">
        <f>Table1[[#This Row], [TOTAL COST]]+_xlfn.XLOOKUP(Table1[[#This Row], [TEAM]],Sheet1!$A$12:$A$17,Sheet1!$I$12:$I$17)</f>
        <v>8408380.75</v>
      </c>
      <c r="W102" s="9">
        <f>Table1[[#This Row], [LOOT]]-Table1[[#This Row], [TOTAL COST]]</f>
        <v>10088119.25</v>
      </c>
      <c r="X102" s="9">
        <f>IF(Table1[[#This Row], [PASS/FAIL]]="FAIL",0,Table1[[#This Row], [PROFIT]])</f>
        <v>10088119.25</v>
      </c>
    </row>
    <row r="103" spans="1:24" ht="19.5" customHeight="1" x14ac:dyDescent="0.45">
      <c r="A103" t="s">
        <v>14</v>
      </c>
      <c r="B103" s="14">
        <f>_xlfn.XLOOKUP(Table1[[#This Row], [TEAM]],Sheet1!$A$12:$A$17,Sheet1!$F$12:$F$17)</f>
        <v>2</v>
      </c>
      <c r="C103" s="14">
        <f>_xlfn.XLOOKUP(Table1[[#This Row], [TEAM]],Sheet1!$A$12:$A$17,Sheet1!$G$12:$G$17)</f>
        <v>5949600</v>
      </c>
      <c r="D103" t="s">
        <v>26</v>
      </c>
      <c r="E103" s="4">
        <f>_xlfn.XLOOKUP(Table1[[#This Row], [ROOM]],Sheet1!$A$47:$A$66,Sheet1!$B$47:$B$66)</f>
        <v>136</v>
      </c>
      <c r="F103" t="s">
        <v>58</v>
      </c>
      <c r="G10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3" s="13" t="s">
        <v>59</v>
      </c>
      <c r="I103" s="4">
        <f>_xlfn.XLOOKUP(Table1[[#This Row], [WEAPON]],Sheet1!$A$27:$A$29,Sheet1!$B$27:$B$29)*Table1[[#This Row], [NUM OF MEM]]*(1+_xlfn.XLOOKUP(Table1[[#This Row], [WEAPON]],Sheet1!$A$27:$A$29,Sheet1!$C$27:$C$29))</f>
        <v>91000</v>
      </c>
      <c r="J103" t="s">
        <v>64</v>
      </c>
      <c r="K103" s="9">
        <f>Table1[[#This Row], [NUM OF MEM]]*Table1[[#This Row], [TOTAL TIME TAKEN]]*_xlfn.XLOOKUP(Table1[[#This Row], [EXIT]],Sheet1!$A$70:$A$71,Sheet1!$B$70:$B$71)*(1+_xlfn.XLOOKUP(Table1[[#This Row], [EXIT]],Sheet1!$A$70:$A$71,Sheet1!$C$70:$C$71))</f>
        <v>1688461.1999999997</v>
      </c>
      <c r="L103" s="13" t="s">
        <v>65</v>
      </c>
      <c r="M103" s="4">
        <f>IF(Table1[[#This Row], [EQUIPMENT]]="YES",Sheet1!$C$44*(1+Sheet1!$D$44),0)</f>
        <v>307500</v>
      </c>
      <c r="N103" s="4">
        <f>_xlfn.XLOOKUP(Table1[[#This Row], [ROOM]],Sheet1!$A$47:$A$66,Sheet1!$F$47:$F$66)</f>
        <v>18150000</v>
      </c>
      <c r="O103" s="9">
        <f>_xlfn.XLOOKUP(_xlfn.CONCAT(Table1[[#This Row], [TEAM]],Table1[[#This Row], [ROOM]]),'ROOM TIME'!$H$2:$H$121,'ROOM TIME'!$J$2:$J$121)</f>
        <v>58.241249999999987</v>
      </c>
      <c r="P103" s="9">
        <f>(INDEX(Sheet1!$X$48:$Z$67,MATCH(Table1[[#This Row], [ROOM]],Sheet1!$P$48:$P$67,0),MATCH(Table1[[#This Row], [WEAPON]],Sheet1!$X$47:$Z$47,0)))/Table1[[#This Row], [NUM OF MEM]]</f>
        <v>6.8999999999999995</v>
      </c>
      <c r="Q103" s="9">
        <f>Table1[[#This Row], [ROOM TIME]]+Table1[[#This Row], [GUARD TIME]]</f>
        <v>65.141249999999985</v>
      </c>
      <c r="R103" s="4">
        <f>Sheet1!$K$3*_xlfn.XLOOKUP(Table1[[#This Row], [DISGUISE]],Sheet1!$A$21:$A$23,Sheet1!$D$21:$D$23)</f>
        <v>69</v>
      </c>
      <c r="S103" s="9">
        <f>Table1[[#This Row], [TOTAL TIME]]-Table1[[#This Row], [TOTAL TIME TAKEN]]</f>
        <v>3.8587500000000148</v>
      </c>
      <c r="T103" t="str">
        <f>IF(Table1[[#This Row], [TIME DIFFERENCE]]&gt;=0,"PASS","FAIL")</f>
        <v>PASS</v>
      </c>
      <c r="U103" s="9">
        <f>Table1[[#This Row], [TRC]]+Table1[[#This Row], [DRC]]+Table1[[#This Row], [WRC]]+Table1[[#This Row], [ERC]]+Table1[[#This Row], [EQRC]]</f>
        <v>8062161.1999999993</v>
      </c>
      <c r="V103" s="9">
        <f>Table1[[#This Row], [TOTAL COST]]+_xlfn.XLOOKUP(Table1[[#This Row], [TEAM]],Sheet1!$A$12:$A$17,Sheet1!$I$12:$I$17)</f>
        <v>8359641.1999999993</v>
      </c>
      <c r="W103" s="9">
        <f>Table1[[#This Row], [LOOT]]-Table1[[#This Row], [TOTAL COST]]</f>
        <v>10087838.800000001</v>
      </c>
      <c r="X103" s="9">
        <f>IF(Table1[[#This Row], [PASS/FAIL]]="FAIL",0,Table1[[#This Row], [PROFIT]])</f>
        <v>10087838.800000001</v>
      </c>
    </row>
    <row r="104" spans="1:24" ht="19.5" customHeight="1" x14ac:dyDescent="0.45">
      <c r="A104" t="s">
        <v>13</v>
      </c>
      <c r="B104" s="14">
        <f>_xlfn.XLOOKUP(Table1[[#This Row], [TEAM]],Sheet1!$A$12:$A$17,Sheet1!$F$12:$F$17)</f>
        <v>3</v>
      </c>
      <c r="C104" s="14">
        <f>_xlfn.XLOOKUP(Table1[[#This Row], [TEAM]],Sheet1!$A$12:$A$17,Sheet1!$G$12:$G$17)</f>
        <v>5930000</v>
      </c>
      <c r="D104" t="s">
        <v>32</v>
      </c>
      <c r="E104" s="4">
        <f>_xlfn.XLOOKUP(Table1[[#This Row], [ROOM]],Sheet1!$A$47:$A$66,Sheet1!$B$47:$B$66)</f>
        <v>346</v>
      </c>
      <c r="F104" t="s">
        <v>58</v>
      </c>
      <c r="G104" s="4">
        <f>_xlfn.XLOOKUP(Table1[[#This Row], [DISGUISE]],Sheet1!$A$21:$A$23,Sheet1!$B$21:$B$23)*Table1[[#This Row], [NUM OF MEM]]*(1+_xlfn.XLOOKUP(Table1[[#This Row], [DISGUISE]],Sheet1!$A$21:$A$23,Sheet1!$C$21:$C$23))</f>
        <v>38400</v>
      </c>
      <c r="H104" s="13" t="s">
        <v>63</v>
      </c>
      <c r="I104" s="4">
        <f>_xlfn.XLOOKUP(Table1[[#This Row], [WEAPON]],Sheet1!$A$27:$A$29,Sheet1!$B$27:$B$29)*Table1[[#This Row], [NUM OF MEM]]*(1+_xlfn.XLOOKUP(Table1[[#This Row], [WEAPON]],Sheet1!$A$27:$A$29,Sheet1!$C$27:$C$29))</f>
        <v>69000</v>
      </c>
      <c r="J104" t="s">
        <v>60</v>
      </c>
      <c r="K104" s="9">
        <f>Table1[[#This Row], [NUM OF MEM]]*Table1[[#This Row], [TOTAL TIME TAKEN]]*_xlfn.XLOOKUP(Table1[[#This Row], [EXIT]],Sheet1!$A$70:$A$71,Sheet1!$B$70:$B$71)*(1+_xlfn.XLOOKUP(Table1[[#This Row], [EXIT]],Sheet1!$A$70:$A$71,Sheet1!$C$70:$C$71))</f>
        <v>1767462.9999999995</v>
      </c>
      <c r="L104" s="13" t="s">
        <v>65</v>
      </c>
      <c r="M104" s="4">
        <f>IF(Table1[[#This Row], [EQUIPMENT]]="YES",Sheet1!$C$44*(1+Sheet1!$D$44),0)</f>
        <v>307500</v>
      </c>
      <c r="N104" s="4">
        <f>_xlfn.XLOOKUP(Table1[[#This Row], [ROOM]],Sheet1!$A$47:$A$66,Sheet1!$F$47:$F$66)</f>
        <v>18200000</v>
      </c>
      <c r="O104" s="9">
        <f>_xlfn.XLOOKUP(_xlfn.CONCAT(Table1[[#This Row], [TEAM]],Table1[[#This Row], [ROOM]]),'ROOM TIME'!$H$2:$H$121,'ROOM TIME'!$J$2:$J$121)</f>
        <v>40.061111111111103</v>
      </c>
      <c r="P104" s="9">
        <f>(INDEX(Sheet1!$X$48:$Z$67,MATCH(Table1[[#This Row], [ROOM]],Sheet1!$P$48:$P$67,0),MATCH(Table1[[#This Row], [WEAPON]],Sheet1!$X$47:$Z$47,0)))/Table1[[#This Row], [NUM OF MEM]]</f>
        <v>5.8500000000000005</v>
      </c>
      <c r="Q104" s="9">
        <f>Table1[[#This Row], [ROOM TIME]]+Table1[[#This Row], [GUARD TIME]]</f>
        <v>45.911111111111104</v>
      </c>
      <c r="R104" s="4">
        <f>Sheet1!$K$3*_xlfn.XLOOKUP(Table1[[#This Row], [DISGUISE]],Sheet1!$A$21:$A$23,Sheet1!$D$21:$D$23)</f>
        <v>69</v>
      </c>
      <c r="S104" s="9">
        <f>Table1[[#This Row], [TOTAL TIME]]-Table1[[#This Row], [TOTAL TIME TAKEN]]</f>
        <v>23.088888888888896</v>
      </c>
      <c r="T104" t="str">
        <f>IF(Table1[[#This Row], [TIME DIFFERENCE]]&gt;=0,"PASS","FAIL")</f>
        <v>PASS</v>
      </c>
      <c r="U104" s="4">
        <f>Table1[[#This Row], [TRC]]+Table1[[#This Row], [DRC]]+Table1[[#This Row], [WRC]]+Table1[[#This Row], [ERC]]+Table1[[#This Row], [EQRC]]</f>
        <v>8112363</v>
      </c>
      <c r="V104" s="4">
        <f>Table1[[#This Row], [TOTAL COST]]+_xlfn.XLOOKUP(Table1[[#This Row], [TEAM]],Sheet1!$A$12:$A$17,Sheet1!$I$12:$I$17)</f>
        <v>8408863</v>
      </c>
      <c r="W104" s="4">
        <f>Table1[[#This Row], [LOOT]]-Table1[[#This Row], [TOTAL COST]]</f>
        <v>10087637</v>
      </c>
      <c r="X104" s="4">
        <f>IF(Table1[[#This Row], [PASS/FAIL]]="FAIL",0,Table1[[#This Row], [PROFIT]])</f>
        <v>10087637</v>
      </c>
    </row>
    <row r="105" spans="1:24" ht="19.5" customHeight="1" x14ac:dyDescent="0.45">
      <c r="A105" t="s">
        <v>15</v>
      </c>
      <c r="B105" s="14">
        <f>_xlfn.XLOOKUP(Table1[[#This Row], [TEAM]],Sheet1!$A$12:$A$17,Sheet1!$F$12:$F$17)</f>
        <v>2</v>
      </c>
      <c r="C105" s="14">
        <f>_xlfn.XLOOKUP(Table1[[#This Row], [TEAM]],Sheet1!$A$12:$A$17,Sheet1!$G$12:$G$17)</f>
        <v>5932950</v>
      </c>
      <c r="D105" t="s">
        <v>33</v>
      </c>
      <c r="E105" s="4">
        <f>_xlfn.XLOOKUP(Table1[[#This Row], [ROOM]],Sheet1!$A$47:$A$66,Sheet1!$B$47:$B$66)</f>
        <v>356</v>
      </c>
      <c r="F105" t="s">
        <v>58</v>
      </c>
      <c r="G105" s="4">
        <f>_xlfn.XLOOKUP(Table1[[#This Row], [DISGUISE]],Sheet1!$A$21:$A$23,Sheet1!$B$21:$B$23)*Table1[[#This Row], [NUM OF MEM]]*(1+_xlfn.XLOOKUP(Table1[[#This Row], [DISGUISE]],Sheet1!$A$21:$A$23,Sheet1!$C$21:$C$23))</f>
        <v>25600</v>
      </c>
      <c r="H105" s="13" t="s">
        <v>59</v>
      </c>
      <c r="I105" s="4">
        <f>_xlfn.XLOOKUP(Table1[[#This Row], [WEAPON]],Sheet1!$A$27:$A$29,Sheet1!$B$27:$B$29)*Table1[[#This Row], [NUM OF MEM]]*(1+_xlfn.XLOOKUP(Table1[[#This Row], [WEAPON]],Sheet1!$A$27:$A$29,Sheet1!$C$27:$C$29))</f>
        <v>91000</v>
      </c>
      <c r="J105" t="s">
        <v>60</v>
      </c>
      <c r="K105" s="9">
        <f>Table1[[#This Row], [NUM OF MEM]]*Table1[[#This Row], [TOTAL TIME TAKEN]]*_xlfn.XLOOKUP(Table1[[#This Row], [EXIT]],Sheet1!$A$70:$A$71,Sheet1!$B$70:$B$71)*(1+_xlfn.XLOOKUP(Table1[[#This Row], [EXIT]],Sheet1!$A$70:$A$71,Sheet1!$C$70:$C$71))</f>
        <v>1656354.9375</v>
      </c>
      <c r="L105" s="13" t="s">
        <v>65</v>
      </c>
      <c r="M105" s="4">
        <f>IF(Table1[[#This Row], [EQUIPMENT]]="YES",Sheet1!$C$44*(1+Sheet1!$D$44),0)</f>
        <v>307500</v>
      </c>
      <c r="N105" s="4">
        <f>_xlfn.XLOOKUP(Table1[[#This Row], [ROOM]],Sheet1!$A$47:$A$66,Sheet1!$F$47:$F$66)</f>
        <v>18100000</v>
      </c>
      <c r="O105" s="9">
        <f>_xlfn.XLOOKUP(_xlfn.CONCAT(Table1[[#This Row], [TEAM]],Table1[[#This Row], [ROOM]]),'ROOM TIME'!$H$2:$H$121,'ROOM TIME'!$J$2:$J$121)</f>
        <v>57.637499999999989</v>
      </c>
      <c r="P105" s="9">
        <f>(INDEX(Sheet1!$X$48:$Z$67,MATCH(Table1[[#This Row], [ROOM]],Sheet1!$P$48:$P$67,0),MATCH(Table1[[#This Row], [WEAPON]],Sheet1!$X$47:$Z$47,0)))/Table1[[#This Row], [NUM OF MEM]]</f>
        <v>6.8999999999999995</v>
      </c>
      <c r="Q105" s="9">
        <f>Table1[[#This Row], [ROOM TIME]]+Table1[[#This Row], [GUARD TIME]]</f>
        <v>64.537499999999994</v>
      </c>
      <c r="R105" s="4">
        <f>Sheet1!$K$3*_xlfn.XLOOKUP(Table1[[#This Row], [DISGUISE]],Sheet1!$A$21:$A$23,Sheet1!$D$21:$D$23)</f>
        <v>69</v>
      </c>
      <c r="S105" s="9">
        <f>Table1[[#This Row], [TOTAL TIME]]-Table1[[#This Row], [TOTAL TIME TAKEN]]</f>
        <v>4.4625000000000057</v>
      </c>
      <c r="T105" t="str">
        <f>IF(Table1[[#This Row], [TIME DIFFERENCE]]&gt;=0,"PASS","FAIL")</f>
        <v>PASS</v>
      </c>
      <c r="U105" s="9">
        <f>Table1[[#This Row], [TRC]]+Table1[[#This Row], [DRC]]+Table1[[#This Row], [WRC]]+Table1[[#This Row], [ERC]]+Table1[[#This Row], [EQRC]]</f>
        <v>8013404.9375</v>
      </c>
      <c r="V105" s="9">
        <f>Table1[[#This Row], [TOTAL COST]]+_xlfn.XLOOKUP(Table1[[#This Row], [TEAM]],Sheet1!$A$12:$A$17,Sheet1!$I$12:$I$17)</f>
        <v>8310052.4375</v>
      </c>
      <c r="W105" s="9">
        <f>Table1[[#This Row], [LOOT]]-Table1[[#This Row], [TOTAL COST]]</f>
        <v>10086595.0625</v>
      </c>
      <c r="X105" s="9">
        <f>IF(Table1[[#This Row], [PASS/FAIL]]="FAIL",0,Table1[[#This Row], [PROFIT]])</f>
        <v>10086595.0625</v>
      </c>
    </row>
    <row r="106" spans="1:24" ht="19.5" customHeight="1" x14ac:dyDescent="0.45">
      <c r="A106" t="s">
        <v>12</v>
      </c>
      <c r="B106" s="14">
        <f>_xlfn.XLOOKUP(Table1[[#This Row], [TEAM]],Sheet1!$A$12:$A$17,Sheet1!$F$12:$F$17)</f>
        <v>3</v>
      </c>
      <c r="C106" s="14">
        <f>_xlfn.XLOOKUP(Table1[[#This Row], [TEAM]],Sheet1!$A$12:$A$17,Sheet1!$G$12:$G$17)</f>
        <v>5988750</v>
      </c>
      <c r="D106" t="s">
        <v>32</v>
      </c>
      <c r="E106" s="4">
        <f>_xlfn.XLOOKUP(Table1[[#This Row], [ROOM]],Sheet1!$A$47:$A$66,Sheet1!$B$47:$B$66)</f>
        <v>346</v>
      </c>
      <c r="F106" t="s">
        <v>62</v>
      </c>
      <c r="G106" s="4">
        <f>_xlfn.XLOOKUP(Table1[[#This Row], [DISGUISE]],Sheet1!$A$21:$A$23,Sheet1!$B$21:$B$23)*Table1[[#This Row], [NUM OF MEM]]*(1+_xlfn.XLOOKUP(Table1[[#This Row], [DISGUISE]],Sheet1!$A$21:$A$23,Sheet1!$C$21:$C$23))</f>
        <v>15600</v>
      </c>
      <c r="H106" s="13" t="s">
        <v>66</v>
      </c>
      <c r="I106" s="4">
        <f>_xlfn.XLOOKUP(Table1[[#This Row], [WEAPON]],Sheet1!$A$27:$A$29,Sheet1!$B$27:$B$29)*Table1[[#This Row], [NUM OF MEM]]*(1+_xlfn.XLOOKUP(Table1[[#This Row], [WEAPON]],Sheet1!$A$27:$A$29,Sheet1!$C$27:$C$29))</f>
        <v>108000</v>
      </c>
      <c r="J106" t="s">
        <v>60</v>
      </c>
      <c r="K106" s="9">
        <f>Table1[[#This Row], [NUM OF MEM]]*Table1[[#This Row], [TOTAL TIME TAKEN]]*_xlfn.XLOOKUP(Table1[[#This Row], [EXIT]],Sheet1!$A$70:$A$71,Sheet1!$B$70:$B$71)*(1+_xlfn.XLOOKUP(Table1[[#This Row], [EXIT]],Sheet1!$A$70:$A$71,Sheet1!$C$70:$C$71))</f>
        <v>1694531.6249999993</v>
      </c>
      <c r="L106" s="13" t="s">
        <v>65</v>
      </c>
      <c r="M106" s="4">
        <f>IF(Table1[[#This Row], [EQUIPMENT]]="YES",Sheet1!$C$44*(1+Sheet1!$D$44),0)</f>
        <v>307500</v>
      </c>
      <c r="N106" s="4">
        <f>_xlfn.XLOOKUP(Table1[[#This Row], [ROOM]],Sheet1!$A$47:$A$66,Sheet1!$F$47:$F$66)</f>
        <v>18200000</v>
      </c>
      <c r="O106" s="9">
        <f>_xlfn.XLOOKUP(_xlfn.CONCAT(Table1[[#This Row], [TEAM]],Table1[[#This Row], [ROOM]]),'ROOM TIME'!$H$2:$H$121,'ROOM TIME'!$J$2:$J$121)</f>
        <v>38.599999999999987</v>
      </c>
      <c r="P106" s="9">
        <f>(INDEX(Sheet1!$X$48:$Z$67,MATCH(Table1[[#This Row], [ROOM]],Sheet1!$P$48:$P$67,0),MATCH(Table1[[#This Row], [WEAPON]],Sheet1!$X$47:$Z$47,0)))/Table1[[#This Row], [NUM OF MEM]]</f>
        <v>5.416666666666667</v>
      </c>
      <c r="Q106" s="9">
        <f>Table1[[#This Row], [ROOM TIME]]+Table1[[#This Row], [GUARD TIME]]</f>
        <v>44.016666666666652</v>
      </c>
      <c r="R106" s="4">
        <f>Sheet1!$K$3*_xlfn.XLOOKUP(Table1[[#This Row], [DISGUISE]],Sheet1!$A$21:$A$23,Sheet1!$D$21:$D$23)</f>
        <v>66</v>
      </c>
      <c r="S106" s="9">
        <f>Table1[[#This Row], [TOTAL TIME]]-Table1[[#This Row], [TOTAL TIME TAKEN]]</f>
        <v>21.983333333333348</v>
      </c>
      <c r="T106" t="str">
        <f>IF(Table1[[#This Row], [TIME DIFFERENCE]]&gt;=0,"PASS","FAIL")</f>
        <v>PASS</v>
      </c>
      <c r="U106" s="9">
        <f>Table1[[#This Row], [TRC]]+Table1[[#This Row], [DRC]]+Table1[[#This Row], [WRC]]+Table1[[#This Row], [ERC]]+Table1[[#This Row], [EQRC]]</f>
        <v>8114381.6249999991</v>
      </c>
      <c r="V106" s="9">
        <f>Table1[[#This Row], [TOTAL COST]]+_xlfn.XLOOKUP(Table1[[#This Row], [TEAM]],Sheet1!$A$12:$A$17,Sheet1!$I$12:$I$17)</f>
        <v>8413819.125</v>
      </c>
      <c r="W106" s="9">
        <f>Table1[[#This Row], [LOOT]]-Table1[[#This Row], [TOTAL COST]]</f>
        <v>10085618.375</v>
      </c>
      <c r="X106" s="9">
        <f>IF(Table1[[#This Row], [PASS/FAIL]]="FAIL",0,Table1[[#This Row], [PROFIT]])</f>
        <v>10085618.375</v>
      </c>
    </row>
    <row r="107" spans="1:24" ht="19.5" customHeight="1" x14ac:dyDescent="0.45">
      <c r="A107" t="s">
        <v>15</v>
      </c>
      <c r="B107" s="14">
        <f>_xlfn.XLOOKUP(Table1[[#This Row], [TEAM]],Sheet1!$A$12:$A$17,Sheet1!$F$12:$F$17)</f>
        <v>2</v>
      </c>
      <c r="C107" s="14">
        <f>_xlfn.XLOOKUP(Table1[[#This Row], [TEAM]],Sheet1!$A$12:$A$17,Sheet1!$G$12:$G$17)</f>
        <v>5932950</v>
      </c>
      <c r="D107" t="s">
        <v>33</v>
      </c>
      <c r="E107" s="4">
        <f>_xlfn.XLOOKUP(Table1[[#This Row], [ROOM]],Sheet1!$A$47:$A$66,Sheet1!$B$47:$B$66)</f>
        <v>356</v>
      </c>
      <c r="F107" t="s">
        <v>62</v>
      </c>
      <c r="G107" s="4">
        <f>_xlfn.XLOOKUP(Table1[[#This Row], [DISGUISE]],Sheet1!$A$21:$A$23,Sheet1!$B$21:$B$23)*Table1[[#This Row], [NUM OF MEM]]*(1+_xlfn.XLOOKUP(Table1[[#This Row], [DISGUISE]],Sheet1!$A$21:$A$23,Sheet1!$C$21:$C$23))</f>
        <v>10400</v>
      </c>
      <c r="H107" s="13" t="s">
        <v>59</v>
      </c>
      <c r="I107" s="4">
        <f>_xlfn.XLOOKUP(Table1[[#This Row], [WEAPON]],Sheet1!$A$27:$A$29,Sheet1!$B$27:$B$29)*Table1[[#This Row], [NUM OF MEM]]*(1+_xlfn.XLOOKUP(Table1[[#This Row], [WEAPON]],Sheet1!$A$27:$A$29,Sheet1!$C$27:$C$29))</f>
        <v>91000</v>
      </c>
      <c r="J107" t="s">
        <v>64</v>
      </c>
      <c r="K107" s="9">
        <f>Table1[[#This Row], [NUM OF MEM]]*Table1[[#This Row], [TOTAL TIME TAKEN]]*_xlfn.XLOOKUP(Table1[[#This Row], [EXIT]],Sheet1!$A$70:$A$71,Sheet1!$B$70:$B$71)*(1+_xlfn.XLOOKUP(Table1[[#This Row], [EXIT]],Sheet1!$A$70:$A$71,Sheet1!$C$70:$C$71))</f>
        <v>1672811.9999999998</v>
      </c>
      <c r="L107" s="13" t="s">
        <v>65</v>
      </c>
      <c r="M107" s="4">
        <f>IF(Table1[[#This Row], [EQUIPMENT]]="YES",Sheet1!$C$44*(1+Sheet1!$D$44),0)</f>
        <v>307500</v>
      </c>
      <c r="N107" s="4">
        <f>_xlfn.XLOOKUP(Table1[[#This Row], [ROOM]],Sheet1!$A$47:$A$66,Sheet1!$F$47:$F$66)</f>
        <v>18100000</v>
      </c>
      <c r="O107" s="9">
        <f>_xlfn.XLOOKUP(_xlfn.CONCAT(Table1[[#This Row], [TEAM]],Table1[[#This Row], [ROOM]]),'ROOM TIME'!$H$2:$H$121,'ROOM TIME'!$J$2:$J$121)</f>
        <v>57.637499999999989</v>
      </c>
      <c r="P107" s="9">
        <f>(INDEX(Sheet1!$X$48:$Z$67,MATCH(Table1[[#This Row], [ROOM]],Sheet1!$P$48:$P$67,0),MATCH(Table1[[#This Row], [WEAPON]],Sheet1!$X$47:$Z$47,0)))/Table1[[#This Row], [NUM OF MEM]]</f>
        <v>6.8999999999999995</v>
      </c>
      <c r="Q107" s="9">
        <f>Table1[[#This Row], [ROOM TIME]]+Table1[[#This Row], [GUARD TIME]]</f>
        <v>64.537499999999994</v>
      </c>
      <c r="R107" s="4">
        <f>Sheet1!$K$3*_xlfn.XLOOKUP(Table1[[#This Row], [DISGUISE]],Sheet1!$A$21:$A$23,Sheet1!$D$21:$D$23)</f>
        <v>66</v>
      </c>
      <c r="S107" s="9">
        <f>Table1[[#This Row], [TOTAL TIME]]-Table1[[#This Row], [TOTAL TIME TAKEN]]</f>
        <v>1.4625000000000057</v>
      </c>
      <c r="T107" t="str">
        <f>IF(Table1[[#This Row], [TIME DIFFERENCE]]&gt;=0,"PASS","FAIL")</f>
        <v>PASS</v>
      </c>
      <c r="U107" s="4">
        <f>Table1[[#This Row], [TRC]]+Table1[[#This Row], [DRC]]+Table1[[#This Row], [WRC]]+Table1[[#This Row], [ERC]]+Table1[[#This Row], [EQRC]]</f>
        <v>8014662</v>
      </c>
      <c r="V107" s="9">
        <f>Table1[[#This Row], [TOTAL COST]]+_xlfn.XLOOKUP(Table1[[#This Row], [TEAM]],Sheet1!$A$12:$A$17,Sheet1!$I$12:$I$17)</f>
        <v>8311309.5</v>
      </c>
      <c r="W107" s="4">
        <f>Table1[[#This Row], [LOOT]]-Table1[[#This Row], [TOTAL COST]]</f>
        <v>10085338</v>
      </c>
      <c r="X107" s="4">
        <f>IF(Table1[[#This Row], [PASS/FAIL]]="FAIL",0,Table1[[#This Row], [PROFIT]])</f>
        <v>10085338</v>
      </c>
    </row>
    <row r="108" spans="1:24" ht="19.5" customHeight="1" x14ac:dyDescent="0.45">
      <c r="A108" t="s">
        <v>12</v>
      </c>
      <c r="B108" s="14">
        <f>_xlfn.XLOOKUP(Table1[[#This Row], [TEAM]],Sheet1!$A$12:$A$17,Sheet1!$F$12:$F$17)</f>
        <v>3</v>
      </c>
      <c r="C108" s="14">
        <f>_xlfn.XLOOKUP(Table1[[#This Row], [TEAM]],Sheet1!$A$12:$A$17,Sheet1!$G$12:$G$17)</f>
        <v>5988750</v>
      </c>
      <c r="D108" t="s">
        <v>32</v>
      </c>
      <c r="E108" s="4">
        <f>_xlfn.XLOOKUP(Table1[[#This Row], [ROOM]],Sheet1!$A$47:$A$66,Sheet1!$B$47:$B$66)</f>
        <v>346</v>
      </c>
      <c r="F108" t="s">
        <v>58</v>
      </c>
      <c r="G108" s="4">
        <f>_xlfn.XLOOKUP(Table1[[#This Row], [DISGUISE]],Sheet1!$A$21:$A$23,Sheet1!$B$21:$B$23)*Table1[[#This Row], [NUM OF MEM]]*(1+_xlfn.XLOOKUP(Table1[[#This Row], [DISGUISE]],Sheet1!$A$21:$A$23,Sheet1!$C$21:$C$23))</f>
        <v>38400</v>
      </c>
      <c r="H108" s="13" t="s">
        <v>63</v>
      </c>
      <c r="I108" s="4">
        <f>_xlfn.XLOOKUP(Table1[[#This Row], [WEAPON]],Sheet1!$A$27:$A$29,Sheet1!$B$27:$B$29)*Table1[[#This Row], [NUM OF MEM]]*(1+_xlfn.XLOOKUP(Table1[[#This Row], [WEAPON]],Sheet1!$A$27:$A$29,Sheet1!$C$27:$C$29))</f>
        <v>69000</v>
      </c>
      <c r="J108" t="s">
        <v>60</v>
      </c>
      <c r="K108" s="9">
        <f>Table1[[#This Row], [NUM OF MEM]]*Table1[[#This Row], [TOTAL TIME TAKEN]]*_xlfn.XLOOKUP(Table1[[#This Row], [EXIT]],Sheet1!$A$70:$A$71,Sheet1!$B$70:$B$71)*(1+_xlfn.XLOOKUP(Table1[[#This Row], [EXIT]],Sheet1!$A$70:$A$71,Sheet1!$C$70:$C$71))</f>
        <v>1711213.8749999995</v>
      </c>
      <c r="L108" s="13" t="s">
        <v>65</v>
      </c>
      <c r="M108" s="4">
        <f>IF(Table1[[#This Row], [EQUIPMENT]]="YES",Sheet1!$C$44*(1+Sheet1!$D$44),0)</f>
        <v>307500</v>
      </c>
      <c r="N108" s="4">
        <f>_xlfn.XLOOKUP(Table1[[#This Row], [ROOM]],Sheet1!$A$47:$A$66,Sheet1!$F$47:$F$66)</f>
        <v>18200000</v>
      </c>
      <c r="O108" s="9">
        <f>_xlfn.XLOOKUP(_xlfn.CONCAT(Table1[[#This Row], [TEAM]],Table1[[#This Row], [ROOM]]),'ROOM TIME'!$H$2:$H$121,'ROOM TIME'!$J$2:$J$121)</f>
        <v>38.599999999999987</v>
      </c>
      <c r="P108" s="9">
        <f>(INDEX(Sheet1!$X$48:$Z$67,MATCH(Table1[[#This Row], [ROOM]],Sheet1!$P$48:$P$67,0),MATCH(Table1[[#This Row], [WEAPON]],Sheet1!$X$47:$Z$47,0)))/Table1[[#This Row], [NUM OF MEM]]</f>
        <v>5.8500000000000005</v>
      </c>
      <c r="Q108" s="9">
        <f>Table1[[#This Row], [ROOM TIME]]+Table1[[#This Row], [GUARD TIME]]</f>
        <v>44.449999999999989</v>
      </c>
      <c r="R108" s="4">
        <f>Sheet1!$K$3*_xlfn.XLOOKUP(Table1[[#This Row], [DISGUISE]],Sheet1!$A$21:$A$23,Sheet1!$D$21:$D$23)</f>
        <v>69</v>
      </c>
      <c r="S108" s="9">
        <f>Table1[[#This Row], [TOTAL TIME]]-Table1[[#This Row], [TOTAL TIME TAKEN]]</f>
        <v>24.550000000000011</v>
      </c>
      <c r="T108" t="str">
        <f>IF(Table1[[#This Row], [TIME DIFFERENCE]]&gt;=0,"PASS","FAIL")</f>
        <v>PASS</v>
      </c>
      <c r="U108" s="9">
        <f>Table1[[#This Row], [TRC]]+Table1[[#This Row], [DRC]]+Table1[[#This Row], [WRC]]+Table1[[#This Row], [ERC]]+Table1[[#This Row], [EQRC]]</f>
        <v>8114863.875</v>
      </c>
      <c r="V108" s="9">
        <f>Table1[[#This Row], [TOTAL COST]]+_xlfn.XLOOKUP(Table1[[#This Row], [TEAM]],Sheet1!$A$12:$A$17,Sheet1!$I$12:$I$17)</f>
        <v>8414301.375</v>
      </c>
      <c r="W108" s="9">
        <f>Table1[[#This Row], [LOOT]]-Table1[[#This Row], [TOTAL COST]]</f>
        <v>10085136.125</v>
      </c>
      <c r="X108" s="9">
        <f>IF(Table1[[#This Row], [PASS/FAIL]]="FAIL",0,Table1[[#This Row], [PROFIT]])</f>
        <v>10085136.125</v>
      </c>
    </row>
    <row r="109" spans="1:24" ht="19.5" customHeight="1" x14ac:dyDescent="0.45">
      <c r="A109" t="s">
        <v>14</v>
      </c>
      <c r="B109" s="14">
        <f>_xlfn.XLOOKUP(Table1[[#This Row], [TEAM]],Sheet1!$A$12:$A$17,Sheet1!$F$12:$F$17)</f>
        <v>2</v>
      </c>
      <c r="C109" s="14">
        <f>_xlfn.XLOOKUP(Table1[[#This Row], [TEAM]],Sheet1!$A$12:$A$17,Sheet1!$G$12:$G$17)</f>
        <v>5949600</v>
      </c>
      <c r="D109" t="s">
        <v>33</v>
      </c>
      <c r="E109" s="4">
        <f>_xlfn.XLOOKUP(Table1[[#This Row], [ROOM]],Sheet1!$A$47:$A$66,Sheet1!$B$47:$B$66)</f>
        <v>356</v>
      </c>
      <c r="F109" t="s">
        <v>62</v>
      </c>
      <c r="G109" s="4">
        <f>_xlfn.XLOOKUP(Table1[[#This Row], [DISGUISE]],Sheet1!$A$21:$A$23,Sheet1!$B$21:$B$23)*Table1[[#This Row], [NUM OF MEM]]*(1+_xlfn.XLOOKUP(Table1[[#This Row], [DISGUISE]],Sheet1!$A$21:$A$23,Sheet1!$C$21:$C$23))</f>
        <v>10400</v>
      </c>
      <c r="H109" s="13" t="s">
        <v>59</v>
      </c>
      <c r="I109" s="4">
        <f>_xlfn.XLOOKUP(Table1[[#This Row], [WEAPON]],Sheet1!$A$27:$A$29,Sheet1!$B$27:$B$29)*Table1[[#This Row], [NUM OF MEM]]*(1+_xlfn.XLOOKUP(Table1[[#This Row], [WEAPON]],Sheet1!$A$27:$A$29,Sheet1!$C$27:$C$29))</f>
        <v>91000</v>
      </c>
      <c r="J109" t="s">
        <v>60</v>
      </c>
      <c r="K109" s="9">
        <f>Table1[[#This Row], [NUM OF MEM]]*Table1[[#This Row], [TOTAL TIME TAKEN]]*_xlfn.XLOOKUP(Table1[[#This Row], [EXIT]],Sheet1!$A$70:$A$71,Sheet1!$B$70:$B$71)*(1+_xlfn.XLOOKUP(Table1[[#This Row], [EXIT]],Sheet1!$A$70:$A$71,Sheet1!$C$70:$C$71))</f>
        <v>1656643.6687499997</v>
      </c>
      <c r="L109" s="13" t="s">
        <v>65</v>
      </c>
      <c r="M109" s="4">
        <f>IF(Table1[[#This Row], [EQUIPMENT]]="YES",Sheet1!$C$44*(1+Sheet1!$D$44),0)</f>
        <v>307500</v>
      </c>
      <c r="N109" s="4">
        <f>_xlfn.XLOOKUP(Table1[[#This Row], [ROOM]],Sheet1!$A$47:$A$66,Sheet1!$F$47:$F$66)</f>
        <v>18100000</v>
      </c>
      <c r="O109" s="9">
        <f>_xlfn.XLOOKUP(_xlfn.CONCAT(Table1[[#This Row], [TEAM]],Table1[[#This Row], [ROOM]]),'ROOM TIME'!$H$2:$H$121,'ROOM TIME'!$J$2:$J$121)</f>
        <v>57.648749999999986</v>
      </c>
      <c r="P109" s="9">
        <f>(INDEX(Sheet1!$X$48:$Z$67,MATCH(Table1[[#This Row], [ROOM]],Sheet1!$P$48:$P$67,0),MATCH(Table1[[#This Row], [WEAPON]],Sheet1!$X$47:$Z$47,0)))/Table1[[#This Row], [NUM OF MEM]]</f>
        <v>6.8999999999999995</v>
      </c>
      <c r="Q109" s="9">
        <f>Table1[[#This Row], [ROOM TIME]]+Table1[[#This Row], [GUARD TIME]]</f>
        <v>64.548749999999984</v>
      </c>
      <c r="R109" s="4">
        <f>Sheet1!$K$3*_xlfn.XLOOKUP(Table1[[#This Row], [DISGUISE]],Sheet1!$A$21:$A$23,Sheet1!$D$21:$D$23)</f>
        <v>66</v>
      </c>
      <c r="S109" s="9">
        <f>Table1[[#This Row], [TOTAL TIME]]-Table1[[#This Row], [TOTAL TIME TAKEN]]</f>
        <v>1.4512500000000159</v>
      </c>
      <c r="T109" t="str">
        <f>IF(Table1[[#This Row], [TIME DIFFERENCE]]&gt;=0,"PASS","FAIL")</f>
        <v>PASS</v>
      </c>
      <c r="U109" s="9">
        <f>Table1[[#This Row], [TRC]]+Table1[[#This Row], [DRC]]+Table1[[#This Row], [WRC]]+Table1[[#This Row], [ERC]]+Table1[[#This Row], [EQRC]]</f>
        <v>8015143.6687499993</v>
      </c>
      <c r="V109" s="9">
        <f>Table1[[#This Row], [TOTAL COST]]+_xlfn.XLOOKUP(Table1[[#This Row], [TEAM]],Sheet1!$A$12:$A$17,Sheet1!$I$12:$I$17)</f>
        <v>8312623.6687499993</v>
      </c>
      <c r="W109" s="9">
        <f>Table1[[#This Row], [LOOT]]-Table1[[#This Row], [TOTAL COST]]</f>
        <v>10084856.331250001</v>
      </c>
      <c r="X109" s="9">
        <f>IF(Table1[[#This Row], [PASS/FAIL]]="FAIL",0,Table1[[#This Row], [PROFIT]])</f>
        <v>10084856.331250001</v>
      </c>
    </row>
    <row r="110" spans="1:24" ht="19.5" customHeight="1" x14ac:dyDescent="0.45">
      <c r="A110" t="s">
        <v>12</v>
      </c>
      <c r="B110" s="14">
        <f>_xlfn.XLOOKUP(Table1[[#This Row], [TEAM]],Sheet1!$A$12:$A$17,Sheet1!$F$12:$F$17)</f>
        <v>3</v>
      </c>
      <c r="C110" s="14">
        <f>_xlfn.XLOOKUP(Table1[[#This Row], [TEAM]],Sheet1!$A$12:$A$17,Sheet1!$G$12:$G$17)</f>
        <v>5988750</v>
      </c>
      <c r="D110" t="s">
        <v>19</v>
      </c>
      <c r="E110" s="4">
        <f>_xlfn.XLOOKUP(Table1[[#This Row], [ROOM]],Sheet1!$A$47:$A$66,Sheet1!$B$47:$B$66)</f>
        <v>135</v>
      </c>
      <c r="F110" t="s">
        <v>62</v>
      </c>
      <c r="G110" s="4">
        <f>_xlfn.XLOOKUP(Table1[[#This Row], [DISGUISE]],Sheet1!$A$21:$A$23,Sheet1!$B$21:$B$23)*Table1[[#This Row], [NUM OF MEM]]*(1+_xlfn.XLOOKUP(Table1[[#This Row], [DISGUISE]],Sheet1!$A$21:$A$23,Sheet1!$C$21:$C$23))</f>
        <v>15600</v>
      </c>
      <c r="H110" s="13" t="s">
        <v>63</v>
      </c>
      <c r="I110" s="4">
        <f>_xlfn.XLOOKUP(Table1[[#This Row], [WEAPON]],Sheet1!$A$27:$A$29,Sheet1!$B$27:$B$29)*Table1[[#This Row], [NUM OF MEM]]*(1+_xlfn.XLOOKUP(Table1[[#This Row], [WEAPON]],Sheet1!$A$27:$A$29,Sheet1!$C$27:$C$29))</f>
        <v>69000</v>
      </c>
      <c r="J110" t="s">
        <v>64</v>
      </c>
      <c r="K110" s="9">
        <f>Table1[[#This Row], [NUM OF MEM]]*Table1[[#This Row], [TOTAL TIME TAKEN]]*_xlfn.XLOOKUP(Table1[[#This Row], [EXIT]],Sheet1!$A$70:$A$71,Sheet1!$B$70:$B$71)*(1+_xlfn.XLOOKUP(Table1[[#This Row], [EXIT]],Sheet1!$A$70:$A$71,Sheet1!$C$70:$C$71))</f>
        <v>1792367.9999999993</v>
      </c>
      <c r="L110" s="13" t="s">
        <v>61</v>
      </c>
      <c r="M110" s="4">
        <f>IF(Table1[[#This Row], [EQUIPMENT]]="YES",Sheet1!$C$44*(1+Sheet1!$D$44),0)</f>
        <v>0</v>
      </c>
      <c r="N110" s="4">
        <f>_xlfn.XLOOKUP(Table1[[#This Row], [ROOM]],Sheet1!$A$47:$A$66,Sheet1!$F$47:$F$66)</f>
        <v>17950000</v>
      </c>
      <c r="O110" s="9">
        <f>_xlfn.XLOOKUP(_xlfn.CONCAT(Table1[[#This Row], [TEAM]],Table1[[#This Row], [ROOM]]),'ROOM TIME'!$H$2:$H$121,'ROOM TIME'!$J$2:$J$121)</f>
        <v>41.149999999999984</v>
      </c>
      <c r="P110" s="9">
        <f>(INDEX(Sheet1!$X$48:$Z$67,MATCH(Table1[[#This Row], [ROOM]],Sheet1!$P$48:$P$67,0),MATCH(Table1[[#This Row], [WEAPON]],Sheet1!$X$47:$Z$47,0)))/Table1[[#This Row], [NUM OF MEM]]</f>
        <v>4.95</v>
      </c>
      <c r="Q110" s="9">
        <f>Table1[[#This Row], [ROOM TIME]]+Table1[[#This Row], [GUARD TIME]]</f>
        <v>46.099999999999987</v>
      </c>
      <c r="R110" s="4">
        <f>Sheet1!$K$3*_xlfn.XLOOKUP(Table1[[#This Row], [DISGUISE]],Sheet1!$A$21:$A$23,Sheet1!$D$21:$D$23)</f>
        <v>66</v>
      </c>
      <c r="S110" s="9">
        <f>Table1[[#This Row], [TOTAL TIME]]-Table1[[#This Row], [TOTAL TIME TAKEN]]</f>
        <v>19.900000000000013</v>
      </c>
      <c r="T110" t="str">
        <f>IF(Table1[[#This Row], [TIME DIFFERENCE]]&gt;=0,"PASS","FAIL")</f>
        <v>PASS</v>
      </c>
      <c r="U110" s="9">
        <f>Table1[[#This Row], [TRC]]+Table1[[#This Row], [DRC]]+Table1[[#This Row], [WRC]]+Table1[[#This Row], [ERC]]+Table1[[#This Row], [EQRC]]</f>
        <v>7865717.9999999991</v>
      </c>
      <c r="V110" s="9">
        <f>Table1[[#This Row], [TOTAL COST]]+_xlfn.XLOOKUP(Table1[[#This Row], [TEAM]],Sheet1!$A$12:$A$17,Sheet1!$I$12:$I$17)</f>
        <v>8165155.4999999991</v>
      </c>
      <c r="W110" s="4">
        <f>Table1[[#This Row], [LOOT]]-Table1[[#This Row], [TOTAL COST]]</f>
        <v>10084282</v>
      </c>
      <c r="X110" s="4">
        <f>IF(Table1[[#This Row], [PASS/FAIL]]="FAIL",0,Table1[[#This Row], [PROFIT]])</f>
        <v>10084282</v>
      </c>
    </row>
    <row r="111" spans="1:24" ht="19.5" customHeight="1" x14ac:dyDescent="0.45">
      <c r="A111" t="s">
        <v>15</v>
      </c>
      <c r="B111" s="14">
        <f>_xlfn.XLOOKUP(Table1[[#This Row], [TEAM]],Sheet1!$A$12:$A$17,Sheet1!$F$12:$F$17)</f>
        <v>2</v>
      </c>
      <c r="C111" s="14">
        <f>_xlfn.XLOOKUP(Table1[[#This Row], [TEAM]],Sheet1!$A$12:$A$17,Sheet1!$G$12:$G$17)</f>
        <v>5932950</v>
      </c>
      <c r="D111" t="s">
        <v>33</v>
      </c>
      <c r="E111" s="4">
        <f>_xlfn.XLOOKUP(Table1[[#This Row], [ROOM]],Sheet1!$A$47:$A$66,Sheet1!$B$47:$B$66)</f>
        <v>356</v>
      </c>
      <c r="F111" t="s">
        <v>58</v>
      </c>
      <c r="G111" s="4">
        <f>_xlfn.XLOOKUP(Table1[[#This Row], [DISGUISE]],Sheet1!$A$21:$A$23,Sheet1!$B$21:$B$23)*Table1[[#This Row], [NUM OF MEM]]*(1+_xlfn.XLOOKUP(Table1[[#This Row], [DISGUISE]],Sheet1!$A$21:$A$23,Sheet1!$C$21:$C$23))</f>
        <v>25600</v>
      </c>
      <c r="H111" s="13" t="s">
        <v>63</v>
      </c>
      <c r="I111" s="4">
        <f>_xlfn.XLOOKUP(Table1[[#This Row], [WEAPON]],Sheet1!$A$27:$A$29,Sheet1!$B$27:$B$29)*Table1[[#This Row], [NUM OF MEM]]*(1+_xlfn.XLOOKUP(Table1[[#This Row], [WEAPON]],Sheet1!$A$27:$A$29,Sheet1!$C$27:$C$29))</f>
        <v>46000</v>
      </c>
      <c r="J111" t="s">
        <v>64</v>
      </c>
      <c r="K111" s="9">
        <f>Table1[[#This Row], [NUM OF MEM]]*Table1[[#This Row], [TOTAL TIME TAKEN]]*_xlfn.XLOOKUP(Table1[[#This Row], [EXIT]],Sheet1!$A$70:$A$71,Sheet1!$B$70:$B$71)*(1+_xlfn.XLOOKUP(Table1[[#This Row], [EXIT]],Sheet1!$A$70:$A$71,Sheet1!$C$70:$C$71))</f>
        <v>1703915.9999999993</v>
      </c>
      <c r="L111" s="13" t="s">
        <v>65</v>
      </c>
      <c r="M111" s="4">
        <f>IF(Table1[[#This Row], [EQUIPMENT]]="YES",Sheet1!$C$44*(1+Sheet1!$D$44),0)</f>
        <v>307500</v>
      </c>
      <c r="N111" s="4">
        <f>_xlfn.XLOOKUP(Table1[[#This Row], [ROOM]],Sheet1!$A$47:$A$66,Sheet1!$F$47:$F$66)</f>
        <v>18100000</v>
      </c>
      <c r="O111" s="9">
        <f>_xlfn.XLOOKUP(_xlfn.CONCAT(Table1[[#This Row], [TEAM]],Table1[[#This Row], [ROOM]]),'ROOM TIME'!$H$2:$H$121,'ROOM TIME'!$J$2:$J$121)</f>
        <v>57.637499999999989</v>
      </c>
      <c r="P111" s="9">
        <f>(INDEX(Sheet1!$X$48:$Z$67,MATCH(Table1[[#This Row], [ROOM]],Sheet1!$P$48:$P$67,0),MATCH(Table1[[#This Row], [WEAPON]],Sheet1!$X$47:$Z$47,0)))/Table1[[#This Row], [NUM OF MEM]]</f>
        <v>8.1000000000000014</v>
      </c>
      <c r="Q111" s="9">
        <f>Table1[[#This Row], [ROOM TIME]]+Table1[[#This Row], [GUARD TIME]]</f>
        <v>65.737499999999983</v>
      </c>
      <c r="R111" s="4">
        <f>Sheet1!$K$3*_xlfn.XLOOKUP(Table1[[#This Row], [DISGUISE]],Sheet1!$A$21:$A$23,Sheet1!$D$21:$D$23)</f>
        <v>69</v>
      </c>
      <c r="S111" s="9">
        <f>Table1[[#This Row], [TOTAL TIME]]-Table1[[#This Row], [TOTAL TIME TAKEN]]</f>
        <v>3.2625000000000171</v>
      </c>
      <c r="T111" t="str">
        <f>IF(Table1[[#This Row], [TIME DIFFERENCE]]&gt;=0,"PASS","FAIL")</f>
        <v>PASS</v>
      </c>
      <c r="U111" s="9">
        <f>Table1[[#This Row], [TRC]]+Table1[[#This Row], [DRC]]+Table1[[#This Row], [WRC]]+Table1[[#This Row], [ERC]]+Table1[[#This Row], [EQRC]]</f>
        <v>8015965.9999999991</v>
      </c>
      <c r="V111" s="9">
        <f>Table1[[#This Row], [TOTAL COST]]+_xlfn.XLOOKUP(Table1[[#This Row], [TEAM]],Sheet1!$A$12:$A$17,Sheet1!$I$12:$I$17)</f>
        <v>8312613.4999999991</v>
      </c>
      <c r="W111" s="4">
        <f>Table1[[#This Row], [LOOT]]-Table1[[#This Row], [TOTAL COST]]</f>
        <v>10084034</v>
      </c>
      <c r="X111" s="4">
        <f>IF(Table1[[#This Row], [PASS/FAIL]]="FAIL",0,Table1[[#This Row], [PROFIT]])</f>
        <v>10084034</v>
      </c>
    </row>
    <row r="112" spans="1:24" ht="19.5" customHeight="1" x14ac:dyDescent="0.45">
      <c r="A112" t="s">
        <v>14</v>
      </c>
      <c r="B112" s="14">
        <f>_xlfn.XLOOKUP(Table1[[#This Row], [TEAM]],Sheet1!$A$12:$A$17,Sheet1!$F$12:$F$17)</f>
        <v>2</v>
      </c>
      <c r="C112" s="14">
        <f>_xlfn.XLOOKUP(Table1[[#This Row], [TEAM]],Sheet1!$A$12:$A$17,Sheet1!$G$12:$G$17)</f>
        <v>5949600</v>
      </c>
      <c r="D112" t="s">
        <v>33</v>
      </c>
      <c r="E112" s="4">
        <f>_xlfn.XLOOKUP(Table1[[#This Row], [ROOM]],Sheet1!$A$47:$A$66,Sheet1!$B$47:$B$66)</f>
        <v>356</v>
      </c>
      <c r="F112" t="s">
        <v>58</v>
      </c>
      <c r="G112" s="4">
        <f>_xlfn.XLOOKUP(Table1[[#This Row], [DISGUISE]],Sheet1!$A$21:$A$23,Sheet1!$B$21:$B$23)*Table1[[#This Row], [NUM OF MEM]]*(1+_xlfn.XLOOKUP(Table1[[#This Row], [DISGUISE]],Sheet1!$A$21:$A$23,Sheet1!$C$21:$C$23))</f>
        <v>25600</v>
      </c>
      <c r="H112" s="13" t="s">
        <v>63</v>
      </c>
      <c r="I112" s="4">
        <f>_xlfn.XLOOKUP(Table1[[#This Row], [WEAPON]],Sheet1!$A$27:$A$29,Sheet1!$B$27:$B$29)*Table1[[#This Row], [NUM OF MEM]]*(1+_xlfn.XLOOKUP(Table1[[#This Row], [WEAPON]],Sheet1!$A$27:$A$29,Sheet1!$C$27:$C$29))</f>
        <v>46000</v>
      </c>
      <c r="J112" t="s">
        <v>60</v>
      </c>
      <c r="K112" s="9">
        <f>Table1[[#This Row], [NUM OF MEM]]*Table1[[#This Row], [TOTAL TIME TAKEN]]*_xlfn.XLOOKUP(Table1[[#This Row], [EXIT]],Sheet1!$A$70:$A$71,Sheet1!$B$70:$B$71)*(1+_xlfn.XLOOKUP(Table1[[#This Row], [EXIT]],Sheet1!$A$70:$A$71,Sheet1!$C$70:$C$71))</f>
        <v>1687441.6687499997</v>
      </c>
      <c r="L112" s="13" t="s">
        <v>65</v>
      </c>
      <c r="M112" s="4">
        <f>IF(Table1[[#This Row], [EQUIPMENT]]="YES",Sheet1!$C$44*(1+Sheet1!$D$44),0)</f>
        <v>307500</v>
      </c>
      <c r="N112" s="4">
        <f>_xlfn.XLOOKUP(Table1[[#This Row], [ROOM]],Sheet1!$A$47:$A$66,Sheet1!$F$47:$F$66)</f>
        <v>18100000</v>
      </c>
      <c r="O112" s="9">
        <f>_xlfn.XLOOKUP(_xlfn.CONCAT(Table1[[#This Row], [TEAM]],Table1[[#This Row], [ROOM]]),'ROOM TIME'!$H$2:$H$121,'ROOM TIME'!$J$2:$J$121)</f>
        <v>57.648749999999986</v>
      </c>
      <c r="P112" s="9">
        <f>(INDEX(Sheet1!$X$48:$Z$67,MATCH(Table1[[#This Row], [ROOM]],Sheet1!$P$48:$P$67,0),MATCH(Table1[[#This Row], [WEAPON]],Sheet1!$X$47:$Z$47,0)))/Table1[[#This Row], [NUM OF MEM]]</f>
        <v>8.1000000000000014</v>
      </c>
      <c r="Q112" s="9">
        <f>Table1[[#This Row], [ROOM TIME]]+Table1[[#This Row], [GUARD TIME]]</f>
        <v>65.748749999999987</v>
      </c>
      <c r="R112" s="4">
        <f>Sheet1!$K$3*_xlfn.XLOOKUP(Table1[[#This Row], [DISGUISE]],Sheet1!$A$21:$A$23,Sheet1!$D$21:$D$23)</f>
        <v>69</v>
      </c>
      <c r="S112" s="9">
        <f>Table1[[#This Row], [TOTAL TIME]]-Table1[[#This Row], [TOTAL TIME TAKEN]]</f>
        <v>3.2512500000000131</v>
      </c>
      <c r="T112" t="str">
        <f>IF(Table1[[#This Row], [TIME DIFFERENCE]]&gt;=0,"PASS","FAIL")</f>
        <v>PASS</v>
      </c>
      <c r="U112" s="9">
        <f>Table1[[#This Row], [TRC]]+Table1[[#This Row], [DRC]]+Table1[[#This Row], [WRC]]+Table1[[#This Row], [ERC]]+Table1[[#This Row], [EQRC]]</f>
        <v>8016141.6687499993</v>
      </c>
      <c r="V112" s="9">
        <f>Table1[[#This Row], [TOTAL COST]]+_xlfn.XLOOKUP(Table1[[#This Row], [TEAM]],Sheet1!$A$12:$A$17,Sheet1!$I$12:$I$17)</f>
        <v>8313621.6687499993</v>
      </c>
      <c r="W112" s="9">
        <f>Table1[[#This Row], [LOOT]]-Table1[[#This Row], [TOTAL COST]]</f>
        <v>10083858.331250001</v>
      </c>
      <c r="X112" s="9">
        <f>IF(Table1[[#This Row], [PASS/FAIL]]="FAIL",0,Table1[[#This Row], [PROFIT]])</f>
        <v>10083858.331250001</v>
      </c>
    </row>
    <row r="113" spans="1:24" ht="19.5" customHeight="1" x14ac:dyDescent="0.45">
      <c r="A113" t="s">
        <v>13</v>
      </c>
      <c r="B113" s="14">
        <f>_xlfn.XLOOKUP(Table1[[#This Row], [TEAM]],Sheet1!$A$12:$A$17,Sheet1!$F$12:$F$17)</f>
        <v>3</v>
      </c>
      <c r="C113" s="14">
        <f>_xlfn.XLOOKUP(Table1[[#This Row], [TEAM]],Sheet1!$A$12:$A$17,Sheet1!$G$12:$G$17)</f>
        <v>5930000</v>
      </c>
      <c r="D113" t="s">
        <v>19</v>
      </c>
      <c r="E113" s="4">
        <f>_xlfn.XLOOKUP(Table1[[#This Row], [ROOM]],Sheet1!$A$47:$A$66,Sheet1!$B$47:$B$66)</f>
        <v>135</v>
      </c>
      <c r="F113" t="s">
        <v>62</v>
      </c>
      <c r="G11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3" s="13" t="s">
        <v>63</v>
      </c>
      <c r="I113" s="4">
        <f>_xlfn.XLOOKUP(Table1[[#This Row], [WEAPON]],Sheet1!$A$27:$A$29,Sheet1!$B$27:$B$29)*Table1[[#This Row], [NUM OF MEM]]*(1+_xlfn.XLOOKUP(Table1[[#This Row], [WEAPON]],Sheet1!$A$27:$A$29,Sheet1!$C$27:$C$29))</f>
        <v>69000</v>
      </c>
      <c r="J113" t="s">
        <v>64</v>
      </c>
      <c r="K113" s="9">
        <f>Table1[[#This Row], [NUM OF MEM]]*Table1[[#This Row], [TOTAL TIME TAKEN]]*_xlfn.XLOOKUP(Table1[[#This Row], [EXIT]],Sheet1!$A$70:$A$71,Sheet1!$B$70:$B$71)*(1+_xlfn.XLOOKUP(Table1[[#This Row], [EXIT]],Sheet1!$A$70:$A$71,Sheet1!$C$70:$C$71))</f>
        <v>1851724.7999999993</v>
      </c>
      <c r="L113" s="13" t="s">
        <v>61</v>
      </c>
      <c r="M113" s="4">
        <f>IF(Table1[[#This Row], [EQUIPMENT]]="YES",Sheet1!$C$44*(1+Sheet1!$D$44),0)</f>
        <v>0</v>
      </c>
      <c r="N113" s="4">
        <f>_xlfn.XLOOKUP(Table1[[#This Row], [ROOM]],Sheet1!$A$47:$A$66,Sheet1!$F$47:$F$66)</f>
        <v>17950000</v>
      </c>
      <c r="O113" s="9">
        <f>_xlfn.XLOOKUP(_xlfn.CONCAT(Table1[[#This Row], [TEAM]],Table1[[#This Row], [ROOM]]),'ROOM TIME'!$H$2:$H$121,'ROOM TIME'!$J$2:$J$121)</f>
        <v>42.676666666666655</v>
      </c>
      <c r="P113" s="9">
        <f>(INDEX(Sheet1!$X$48:$Z$67,MATCH(Table1[[#This Row], [ROOM]],Sheet1!$P$48:$P$67,0),MATCH(Table1[[#This Row], [WEAPON]],Sheet1!$X$47:$Z$47,0)))/Table1[[#This Row], [NUM OF MEM]]</f>
        <v>4.95</v>
      </c>
      <c r="Q113" s="9">
        <f>Table1[[#This Row], [ROOM TIME]]+Table1[[#This Row], [GUARD TIME]]</f>
        <v>47.626666666666658</v>
      </c>
      <c r="R113" s="4">
        <f>Sheet1!$K$3*_xlfn.XLOOKUP(Table1[[#This Row], [DISGUISE]],Sheet1!$A$21:$A$23,Sheet1!$D$21:$D$23)</f>
        <v>66</v>
      </c>
      <c r="S113" s="9">
        <f>Table1[[#This Row], [TOTAL TIME]]-Table1[[#This Row], [TOTAL TIME TAKEN]]</f>
        <v>18.373333333333342</v>
      </c>
      <c r="T113" t="str">
        <f>IF(Table1[[#This Row], [TIME DIFFERENCE]]&gt;=0,"PASS","FAIL")</f>
        <v>PASS</v>
      </c>
      <c r="U113" s="9">
        <f>Table1[[#This Row], [TRC]]+Table1[[#This Row], [DRC]]+Table1[[#This Row], [WRC]]+Table1[[#This Row], [ERC]]+Table1[[#This Row], [EQRC]]</f>
        <v>7866324.7999999989</v>
      </c>
      <c r="V113" s="9">
        <f>Table1[[#This Row], [TOTAL COST]]+_xlfn.XLOOKUP(Table1[[#This Row], [TEAM]],Sheet1!$A$12:$A$17,Sheet1!$I$12:$I$17)</f>
        <v>8162824.7999999989</v>
      </c>
      <c r="W113" s="9">
        <f>Table1[[#This Row], [LOOT]]-Table1[[#This Row], [TOTAL COST]]</f>
        <v>10083675.200000001</v>
      </c>
      <c r="X113" s="9">
        <f>IF(Table1[[#This Row], [PASS/FAIL]]="FAIL",0,Table1[[#This Row], [PROFIT]])</f>
        <v>10083675.200000001</v>
      </c>
    </row>
    <row r="114" spans="1:24" ht="19.5" customHeight="1" x14ac:dyDescent="0.45">
      <c r="A114" t="s">
        <v>12</v>
      </c>
      <c r="B114" s="14">
        <f>_xlfn.XLOOKUP(Table1[[#This Row], [TEAM]],Sheet1!$A$12:$A$17,Sheet1!$F$12:$F$17)</f>
        <v>3</v>
      </c>
      <c r="C114" s="14">
        <f>_xlfn.XLOOKUP(Table1[[#This Row], [TEAM]],Sheet1!$A$12:$A$17,Sheet1!$G$12:$G$17)</f>
        <v>5988750</v>
      </c>
      <c r="D114" t="s">
        <v>24</v>
      </c>
      <c r="E114" s="4">
        <f>_xlfn.XLOOKUP(Table1[[#This Row], [ROOM]],Sheet1!$A$47:$A$66,Sheet1!$B$47:$B$66)</f>
        <v>345</v>
      </c>
      <c r="F114" t="s">
        <v>58</v>
      </c>
      <c r="G114" s="4">
        <f>_xlfn.XLOOKUP(Table1[[#This Row], [DISGUISE]],Sheet1!$A$21:$A$23,Sheet1!$B$21:$B$23)*Table1[[#This Row], [NUM OF MEM]]*(1+_xlfn.XLOOKUP(Table1[[#This Row], [DISGUISE]],Sheet1!$A$21:$A$23,Sheet1!$C$21:$C$23))</f>
        <v>38400</v>
      </c>
      <c r="H114" s="13" t="s">
        <v>59</v>
      </c>
      <c r="I114" s="4">
        <f>_xlfn.XLOOKUP(Table1[[#This Row], [WEAPON]],Sheet1!$A$27:$A$29,Sheet1!$B$27:$B$29)*Table1[[#This Row], [NUM OF MEM]]*(1+_xlfn.XLOOKUP(Table1[[#This Row], [WEAPON]],Sheet1!$A$27:$A$29,Sheet1!$C$27:$C$29))</f>
        <v>136500</v>
      </c>
      <c r="J114" t="s">
        <v>60</v>
      </c>
      <c r="K114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1752833.9499999997</v>
      </c>
      <c r="L114" s="13" t="s">
        <v>61</v>
      </c>
      <c r="M114" s="4">
        <f>IF(Table1[[#This Row], [EQUIPMENT]]="YES",Sheet1!$C$44*(1+Sheet1!$D$44),0)</f>
        <v>0</v>
      </c>
      <c r="N114" s="4">
        <f>_xlfn.XLOOKUP(Table1[[#This Row], [ROOM]],Sheet1!$A$47:$A$66,Sheet1!$F$47:$F$66)</f>
        <v>18000000</v>
      </c>
      <c r="O114" s="9">
        <f>_xlfn.XLOOKUP(_xlfn.CONCAT(Table1[[#This Row], [TEAM]],Table1[[#This Row], [ROOM]]),'ROOM TIME'!$H$2:$H$121,'ROOM TIME'!$J$2:$J$121)</f>
        <v>40.9311111111111</v>
      </c>
      <c r="P114" s="9">
        <f>(INDEX(Sheet1!$X$48:$Z$67,MATCH(Table1[[#This Row], [ROOM]],Sheet1!$P$48:$P$67,0),MATCH(Table1[[#This Row], [WEAPON]],Sheet1!$X$47:$Z$47,0)))/Table1[[#This Row], [NUM OF MEM]]</f>
        <v>4.5999999999999996</v>
      </c>
      <c r="Q114" s="9">
        <f>Table1[[#This Row], [ROOM TIME]]+Table1[[#This Row], [GUARD TIME]]</f>
        <v>45.531111111111102</v>
      </c>
      <c r="R114" s="4">
        <f>Sheet1!$K$3*_xlfn.XLOOKUP(Table1[[#This Row], [DISGUISE]],Sheet1!$A$21:$A$23,Sheet1!$D$21:$D$23)</f>
        <v>69</v>
      </c>
      <c r="S114" s="9">
        <f>Table1[[#This Row], [TOTAL TIME]]-Table1[[#This Row], [TOTAL TIME TAKEN]]</f>
        <v>23.468888888888898</v>
      </c>
      <c r="T114" t="str">
        <f>IF(Table1[[#This Row], [TIME DIFFERENCE]]&gt;=0,"PASS","FAIL")</f>
        <v>PASS</v>
      </c>
      <c r="U114" s="9">
        <f>Table1[[#This Row], [TRC]]+Table1[[#This Row], [DRC]]+Table1[[#This Row], [WRC]]+Table1[[#This Row], [ERC]]+Table1[[#This Row], [EQRC]]</f>
        <v>7916483.9499999993</v>
      </c>
      <c r="V114" s="9">
        <f>Table1[[#This Row], [TOTAL COST]]+_xlfn.XLOOKUP(Table1[[#This Row], [TEAM]],Sheet1!$A$12:$A$17,Sheet1!$I$12:$I$17)</f>
        <v>8215921.4499999993</v>
      </c>
      <c r="W114" s="9">
        <f>Table1[[#This Row], [LOOT]]-Table1[[#This Row], [TOTAL COST]]</f>
        <v>10083516.050000001</v>
      </c>
      <c r="X114" s="9">
        <f>IF(Table1[[#This Row], [PASS/FAIL]]="FAIL",0,Table1[[#This Row], [PROFIT]])</f>
        <v>10083516.050000001</v>
      </c>
    </row>
    <row r="115" spans="1:24" ht="19.5" customHeight="1" x14ac:dyDescent="0.45">
      <c r="A115" t="s">
        <v>13</v>
      </c>
      <c r="B115" s="14">
        <f>_xlfn.XLOOKUP(Table1[[#This Row], [TEAM]],Sheet1!$A$12:$A$17,Sheet1!$F$12:$F$17)</f>
        <v>3</v>
      </c>
      <c r="C115" s="14">
        <f>_xlfn.XLOOKUP(Table1[[#This Row], [TEAM]],Sheet1!$A$12:$A$17,Sheet1!$G$12:$G$17)</f>
        <v>5930000</v>
      </c>
      <c r="D115" t="s">
        <v>24</v>
      </c>
      <c r="E115" s="4">
        <f>_xlfn.XLOOKUP(Table1[[#This Row], [ROOM]],Sheet1!$A$47:$A$66,Sheet1!$B$47:$B$66)</f>
        <v>345</v>
      </c>
      <c r="F115" t="s">
        <v>62</v>
      </c>
      <c r="G115" s="4">
        <f>_xlfn.XLOOKUP(Table1[[#This Row], [DISGUISE]],Sheet1!$A$21:$A$23,Sheet1!$B$21:$B$23)*Table1[[#This Row], [NUM OF MEM]]*(1+_xlfn.XLOOKUP(Table1[[#This Row], [DISGUISE]],Sheet1!$A$21:$A$23,Sheet1!$C$21:$C$23))</f>
        <v>15600</v>
      </c>
      <c r="H115" s="13" t="s">
        <v>59</v>
      </c>
      <c r="I115" s="4">
        <f>_xlfn.XLOOKUP(Table1[[#This Row], [WEAPON]],Sheet1!$A$27:$A$29,Sheet1!$B$27:$B$29)*Table1[[#This Row], [NUM OF MEM]]*(1+_xlfn.XLOOKUP(Table1[[#This Row], [WEAPON]],Sheet1!$A$27:$A$29,Sheet1!$C$27:$C$29))</f>
        <v>136500</v>
      </c>
      <c r="J115" t="s">
        <v>64</v>
      </c>
      <c r="K115" s="9">
        <f>Table1[[#This Row], [NUM OF MEM]]*Table1[[#This Row], [TOTAL TIME TAKEN]]*_xlfn.XLOOKUP(Table1[[#This Row], [EXIT]],Sheet1!$A$70:$A$71,Sheet1!$B$70:$B$71)*(1+_xlfn.XLOOKUP(Table1[[#This Row], [EXIT]],Sheet1!$A$70:$A$71,Sheet1!$C$70:$C$71))</f>
        <v>1834660.8</v>
      </c>
      <c r="L115" s="13" t="s">
        <v>61</v>
      </c>
      <c r="M115" s="4">
        <f>IF(Table1[[#This Row], [EQUIPMENT]]="YES",Sheet1!$C$44*(1+Sheet1!$D$44),0)</f>
        <v>0</v>
      </c>
      <c r="N115" s="4">
        <f>_xlfn.XLOOKUP(Table1[[#This Row], [ROOM]],Sheet1!$A$47:$A$66,Sheet1!$F$47:$F$66)</f>
        <v>18000000</v>
      </c>
      <c r="O115" s="9">
        <f>_xlfn.XLOOKUP(_xlfn.CONCAT(Table1[[#This Row], [TEAM]],Table1[[#This Row], [ROOM]]),'ROOM TIME'!$H$2:$H$121,'ROOM TIME'!$J$2:$J$121)</f>
        <v>42.587777777777774</v>
      </c>
      <c r="P115" s="9">
        <f>(INDEX(Sheet1!$X$48:$Z$67,MATCH(Table1[[#This Row], [ROOM]],Sheet1!$P$48:$P$67,0),MATCH(Table1[[#This Row], [WEAPON]],Sheet1!$X$47:$Z$47,0)))/Table1[[#This Row], [NUM OF MEM]]</f>
        <v>4.5999999999999996</v>
      </c>
      <c r="Q115" s="9">
        <f>Table1[[#This Row], [ROOM TIME]]+Table1[[#This Row], [GUARD TIME]]</f>
        <v>47.187777777777775</v>
      </c>
      <c r="R115" s="4">
        <f>Sheet1!$K$3*_xlfn.XLOOKUP(Table1[[#This Row], [DISGUISE]],Sheet1!$A$21:$A$23,Sheet1!$D$21:$D$23)</f>
        <v>66</v>
      </c>
      <c r="S115" s="9">
        <f>Table1[[#This Row], [TOTAL TIME]]-Table1[[#This Row], [TOTAL TIME TAKEN]]</f>
        <v>18.812222222222225</v>
      </c>
      <c r="T115" t="str">
        <f>IF(Table1[[#This Row], [TIME DIFFERENCE]]&gt;=0,"PASS","FAIL")</f>
        <v>PASS</v>
      </c>
      <c r="U115" s="9">
        <f>Table1[[#This Row], [TRC]]+Table1[[#This Row], [DRC]]+Table1[[#This Row], [WRC]]+Table1[[#This Row], [ERC]]+Table1[[#This Row], [EQRC]]</f>
        <v>7916760.7999999998</v>
      </c>
      <c r="V115" s="9">
        <f>Table1[[#This Row], [TOTAL COST]]+_xlfn.XLOOKUP(Table1[[#This Row], [TEAM]],Sheet1!$A$12:$A$17,Sheet1!$I$12:$I$17)</f>
        <v>8213260.7999999998</v>
      </c>
      <c r="W115" s="9">
        <f>Table1[[#This Row], [LOOT]]-Table1[[#This Row], [TOTAL COST]]</f>
        <v>10083239.199999999</v>
      </c>
      <c r="X115" s="9">
        <f>IF(Table1[[#This Row], [PASS/FAIL]]="FAIL",0,Table1[[#This Row], [PROFIT]])</f>
        <v>10083239.199999999</v>
      </c>
    </row>
    <row r="116" spans="1:24" ht="19.5" customHeight="1" x14ac:dyDescent="0.45">
      <c r="A116" t="s">
        <v>14</v>
      </c>
      <c r="B116" s="14">
        <f>_xlfn.XLOOKUP(Table1[[#This Row], [TEAM]],Sheet1!$A$12:$A$17,Sheet1!$F$12:$F$17)</f>
        <v>2</v>
      </c>
      <c r="C116" s="14">
        <f>_xlfn.XLOOKUP(Table1[[#This Row], [TEAM]],Sheet1!$A$12:$A$17,Sheet1!$G$12:$G$17)</f>
        <v>5949600</v>
      </c>
      <c r="D116" t="s">
        <v>33</v>
      </c>
      <c r="E116" s="4">
        <f>_xlfn.XLOOKUP(Table1[[#This Row], [ROOM]],Sheet1!$A$47:$A$66,Sheet1!$B$47:$B$66)</f>
        <v>356</v>
      </c>
      <c r="F116" t="s">
        <v>62</v>
      </c>
      <c r="G116" s="4">
        <f>_xlfn.XLOOKUP(Table1[[#This Row], [DISGUISE]],Sheet1!$A$21:$A$23,Sheet1!$B$21:$B$23)*Table1[[#This Row], [NUM OF MEM]]*(1+_xlfn.XLOOKUP(Table1[[#This Row], [DISGUISE]],Sheet1!$A$21:$A$23,Sheet1!$C$21:$C$23))</f>
        <v>10400</v>
      </c>
      <c r="H116" s="13" t="s">
        <v>63</v>
      </c>
      <c r="I116" s="4">
        <f>_xlfn.XLOOKUP(Table1[[#This Row], [WEAPON]],Sheet1!$A$27:$A$29,Sheet1!$B$27:$B$29)*Table1[[#This Row], [NUM OF MEM]]*(1+_xlfn.XLOOKUP(Table1[[#This Row], [WEAPON]],Sheet1!$A$27:$A$29,Sheet1!$C$27:$C$29))</f>
        <v>46000</v>
      </c>
      <c r="J116" t="s">
        <v>64</v>
      </c>
      <c r="K116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1704207.5999999996</v>
      </c>
      <c r="L116" s="13" t="s">
        <v>65</v>
      </c>
      <c r="M116" s="4">
        <f>IF(Table1[[#This Row], [EQUIPMENT]]="YES",Sheet1!$C$44*(1+Sheet1!$D$44),0)</f>
        <v>307500</v>
      </c>
      <c r="N116" s="4">
        <f>_xlfn.XLOOKUP(Table1[[#This Row], [ROOM]],Sheet1!$A$47:$A$66,Sheet1!$F$47:$F$66)</f>
        <v>18100000</v>
      </c>
      <c r="O116" s="9">
        <f>_xlfn.XLOOKUP(_xlfn.CONCAT(Table1[[#This Row], [TEAM]],Table1[[#This Row], [ROOM]]),'ROOM TIME'!$H$2:$H$121,'ROOM TIME'!$J$2:$J$121)</f>
        <v>57.648749999999986</v>
      </c>
      <c r="P116" s="9">
        <f>(INDEX(Sheet1!$X$48:$Z$67,MATCH(Table1[[#This Row], [ROOM]],Sheet1!$P$48:$P$67,0),MATCH(Table1[[#This Row], [WEAPON]],Sheet1!$X$47:$Z$47,0)))/Table1[[#This Row], [NUM OF MEM]]</f>
        <v>8.1000000000000014</v>
      </c>
      <c r="Q116" s="9">
        <f>Table1[[#This Row], [ROOM TIME]]+Table1[[#This Row], [GUARD TIME]]</f>
        <v>65.748749999999987</v>
      </c>
      <c r="R116" s="4">
        <f>Sheet1!$K$3*_xlfn.XLOOKUP(Table1[[#This Row], [DISGUISE]],Sheet1!$A$21:$A$23,Sheet1!$D$21:$D$23)</f>
        <v>66</v>
      </c>
      <c r="S116" s="9">
        <f>Table1[[#This Row], [TOTAL TIME]]-Table1[[#This Row], [TOTAL TIME TAKEN]]</f>
        <v>0.25125000000001307</v>
      </c>
      <c r="T116" t="str">
        <f>IF(Table1[[#This Row], [TIME DIFFERENCE]]&gt;=0,"PASS","FAIL")</f>
        <v>PASS</v>
      </c>
      <c r="U116" s="9">
        <f>Table1[[#This Row], [TRC]]+Table1[[#This Row], [DRC]]+Table1[[#This Row], [WRC]]+Table1[[#This Row], [ERC]]+Table1[[#This Row], [EQRC]]</f>
        <v>8017707.5999999996</v>
      </c>
      <c r="V116" s="9">
        <f>Table1[[#This Row], [TOTAL COST]]+_xlfn.XLOOKUP(Table1[[#This Row], [TEAM]],Sheet1!$A$12:$A$17,Sheet1!$I$12:$I$17)</f>
        <v>8315187.5999999996</v>
      </c>
      <c r="W116" s="9">
        <f>Table1[[#This Row], [LOOT]]-Table1[[#This Row], [TOTAL COST]]</f>
        <v>10082292.4</v>
      </c>
      <c r="X116" s="9">
        <f>IF(Table1[[#This Row], [PASS/FAIL]]="FAIL",0,Table1[[#This Row], [PROFIT]])</f>
        <v>10082292.4</v>
      </c>
    </row>
    <row r="117" spans="1:24" ht="19.5" customHeight="1" x14ac:dyDescent="0.45">
      <c r="A117" t="s">
        <v>12</v>
      </c>
      <c r="B117" s="14">
        <f>_xlfn.XLOOKUP(Table1[[#This Row], [TEAM]],Sheet1!$A$12:$A$17,Sheet1!$F$12:$F$17)</f>
        <v>3</v>
      </c>
      <c r="C117" s="14">
        <f>_xlfn.XLOOKUP(Table1[[#This Row], [TEAM]],Sheet1!$A$12:$A$17,Sheet1!$G$12:$G$17)</f>
        <v>5988750</v>
      </c>
      <c r="D117" t="s">
        <v>19</v>
      </c>
      <c r="E117" s="4">
        <f>_xlfn.XLOOKUP(Table1[[#This Row], [ROOM]],Sheet1!$A$47:$A$66,Sheet1!$B$47:$B$66)</f>
        <v>135</v>
      </c>
      <c r="F117" t="s">
        <v>58</v>
      </c>
      <c r="G117" s="4">
        <f>_xlfn.XLOOKUP(Table1[[#This Row], [DISGUISE]],Sheet1!$A$21:$A$23,Sheet1!$B$21:$B$23)*Table1[[#This Row], [NUM OF MEM]]*(1+_xlfn.XLOOKUP(Table1[[#This Row], [DISGUISE]],Sheet1!$A$21:$A$23,Sheet1!$C$21:$C$23))</f>
        <v>38400</v>
      </c>
      <c r="H117" s="13" t="s">
        <v>63</v>
      </c>
      <c r="I117" s="4">
        <f>_xlfn.XLOOKUP(Table1[[#This Row], [WEAPON]],Sheet1!$A$27:$A$29,Sheet1!$B$27:$B$29)*Table1[[#This Row], [NUM OF MEM]]*(1+_xlfn.XLOOKUP(Table1[[#This Row], [WEAPON]],Sheet1!$A$27:$A$29,Sheet1!$C$27:$C$29))</f>
        <v>69000</v>
      </c>
      <c r="J117" t="s">
        <v>60</v>
      </c>
      <c r="K117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1774734.7499999993</v>
      </c>
      <c r="L117" s="13" t="s">
        <v>61</v>
      </c>
      <c r="M117" s="4">
        <f>IF(Table1[[#This Row], [EQUIPMENT]]="YES",Sheet1!$C$44*(1+Sheet1!$D$44),0)</f>
        <v>0</v>
      </c>
      <c r="N117" s="4">
        <f>_xlfn.XLOOKUP(Table1[[#This Row], [ROOM]],Sheet1!$A$47:$A$66,Sheet1!$F$47:$F$66)</f>
        <v>17950000</v>
      </c>
      <c r="O117" s="9">
        <f>_xlfn.XLOOKUP(_xlfn.CONCAT(Table1[[#This Row], [TEAM]],Table1[[#This Row], [ROOM]]),'ROOM TIME'!$H$2:$H$121,'ROOM TIME'!$J$2:$J$121)</f>
        <v>41.149999999999984</v>
      </c>
      <c r="P117" s="9">
        <f>(INDEX(Sheet1!$X$48:$Z$67,MATCH(Table1[[#This Row], [ROOM]],Sheet1!$P$48:$P$67,0),MATCH(Table1[[#This Row], [WEAPON]],Sheet1!$X$47:$Z$47,0)))/Table1[[#This Row], [NUM OF MEM]]</f>
        <v>4.95</v>
      </c>
      <c r="Q117" s="9">
        <f>Table1[[#This Row], [ROOM TIME]]+Table1[[#This Row], [GUARD TIME]]</f>
        <v>46.099999999999987</v>
      </c>
      <c r="R117" s="4">
        <f>Sheet1!$K$3*_xlfn.XLOOKUP(Table1[[#This Row], [DISGUISE]],Sheet1!$A$21:$A$23,Sheet1!$D$21:$D$23)</f>
        <v>69</v>
      </c>
      <c r="S117" s="9">
        <f>Table1[[#This Row], [TOTAL TIME]]-Table1[[#This Row], [TOTAL TIME TAKEN]]</f>
        <v>22.900000000000013</v>
      </c>
      <c r="T117" t="str">
        <f>IF(Table1[[#This Row], [TIME DIFFERENCE]]&gt;=0,"PASS","FAIL")</f>
        <v>PASS</v>
      </c>
      <c r="U117" s="9">
        <f>Table1[[#This Row], [TRC]]+Table1[[#This Row], [DRC]]+Table1[[#This Row], [WRC]]+Table1[[#This Row], [ERC]]+Table1[[#This Row], [EQRC]]</f>
        <v>7870884.7499999991</v>
      </c>
      <c r="V117" s="9">
        <f>Table1[[#This Row], [TOTAL COST]]+_xlfn.XLOOKUP(Table1[[#This Row], [TEAM]],Sheet1!$A$12:$A$17,Sheet1!$I$12:$I$17)</f>
        <v>8170322.2499999991</v>
      </c>
      <c r="W117" s="9">
        <f>Table1[[#This Row], [LOOT]]-Table1[[#This Row], [TOTAL COST]]</f>
        <v>10079115.25</v>
      </c>
      <c r="X117" s="9">
        <f>IF(Table1[[#This Row], [PASS/FAIL]]="FAIL",0,Table1[[#This Row], [PROFIT]])</f>
        <v>10079115.25</v>
      </c>
    </row>
    <row r="118" spans="1:24" ht="19.5" customHeight="1" x14ac:dyDescent="0.45">
      <c r="A118" t="s">
        <v>13</v>
      </c>
      <c r="B118" s="14">
        <f>_xlfn.XLOOKUP(Table1[[#This Row], [TEAM]],Sheet1!$A$12:$A$17,Sheet1!$F$12:$F$17)</f>
        <v>3</v>
      </c>
      <c r="C118" s="14">
        <f>_xlfn.XLOOKUP(Table1[[#This Row], [TEAM]],Sheet1!$A$12:$A$17,Sheet1!$G$12:$G$17)</f>
        <v>5930000</v>
      </c>
      <c r="D118" t="s">
        <v>19</v>
      </c>
      <c r="E118" s="4">
        <f>_xlfn.XLOOKUP(Table1[[#This Row], [ROOM]],Sheet1!$A$47:$A$66,Sheet1!$B$47:$B$66)</f>
        <v>135</v>
      </c>
      <c r="F118" t="s">
        <v>58</v>
      </c>
      <c r="G11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" s="13" t="s">
        <v>63</v>
      </c>
      <c r="I118" s="4">
        <f>_xlfn.XLOOKUP(Table1[[#This Row], [WEAPON]],Sheet1!$A$27:$A$29,Sheet1!$B$27:$B$29)*Table1[[#This Row], [NUM OF MEM]]*(1+_xlfn.XLOOKUP(Table1[[#This Row], [WEAPON]],Sheet1!$A$27:$A$29,Sheet1!$C$27:$C$29))</f>
        <v>69000</v>
      </c>
      <c r="J118" t="s">
        <v>60</v>
      </c>
      <c r="K118" s="9">
        <f>Table1[[#This Row], [NUM OF MEM]]*Table1[[#This Row], [TOTAL TIME TAKEN]]*_xlfn.XLOOKUP(Table1[[#This Row], [EXIT]],Sheet1!$A$70:$A$71,Sheet1!$B$70:$B$71)*(1+_xlfn.XLOOKUP(Table1[[#This Row], [EXIT]],Sheet1!$A$70:$A$71,Sheet1!$C$70:$C$71))</f>
        <v>1833507.5999999996</v>
      </c>
      <c r="L118" s="13" t="s">
        <v>61</v>
      </c>
      <c r="M118" s="4">
        <f>IF(Table1[[#This Row], [EQUIPMENT]]="YES",Sheet1!$C$44*(1+Sheet1!$D$44),0)</f>
        <v>0</v>
      </c>
      <c r="N118" s="4">
        <f>_xlfn.XLOOKUP(Table1[[#This Row], [ROOM]],Sheet1!$A$47:$A$66,Sheet1!$F$47:$F$66)</f>
        <v>17950000</v>
      </c>
      <c r="O118" s="9">
        <f>_xlfn.XLOOKUP(_xlfn.CONCAT(Table1[[#This Row], [TEAM]],Table1[[#This Row], [ROOM]]),'ROOM TIME'!$H$2:$H$121,'ROOM TIME'!$J$2:$J$121)</f>
        <v>42.676666666666655</v>
      </c>
      <c r="P118" s="9">
        <f>(INDEX(Sheet1!$X$48:$Z$67,MATCH(Table1[[#This Row], [ROOM]],Sheet1!$P$48:$P$67,0),MATCH(Table1[[#This Row], [WEAPON]],Sheet1!$X$47:$Z$47,0)))/Table1[[#This Row], [NUM OF MEM]]</f>
        <v>4.95</v>
      </c>
      <c r="Q118" s="9">
        <f>Table1[[#This Row], [ROOM TIME]]+Table1[[#This Row], [GUARD TIME]]</f>
        <v>47.626666666666658</v>
      </c>
      <c r="R118" s="4">
        <f>Sheet1!$K$3*_xlfn.XLOOKUP(Table1[[#This Row], [DISGUISE]],Sheet1!$A$21:$A$23,Sheet1!$D$21:$D$23)</f>
        <v>69</v>
      </c>
      <c r="S118" s="9">
        <f>Table1[[#This Row], [TOTAL TIME]]-Table1[[#This Row], [TOTAL TIME TAKEN]]</f>
        <v>21.373333333333342</v>
      </c>
      <c r="T118" t="str">
        <f>IF(Table1[[#This Row], [TIME DIFFERENCE]]&gt;=0,"PASS","FAIL")</f>
        <v>PASS</v>
      </c>
      <c r="U118" s="9">
        <f>Table1[[#This Row], [TRC]]+Table1[[#This Row], [DRC]]+Table1[[#This Row], [WRC]]+Table1[[#This Row], [ERC]]+Table1[[#This Row], [EQRC]]</f>
        <v>7870907.5999999996</v>
      </c>
      <c r="V118" s="9">
        <f>Table1[[#This Row], [TOTAL COST]]+_xlfn.XLOOKUP(Table1[[#This Row], [TEAM]],Sheet1!$A$12:$A$17,Sheet1!$I$12:$I$17)</f>
        <v>8167407.5999999996</v>
      </c>
      <c r="W118" s="9">
        <f>Table1[[#This Row], [LOOT]]-Table1[[#This Row], [TOTAL COST]]</f>
        <v>10079092.4</v>
      </c>
      <c r="X118" s="9">
        <f>IF(Table1[[#This Row], [PASS/FAIL]]="FAIL",0,Table1[[#This Row], [PROFIT]])</f>
        <v>10079092.4</v>
      </c>
    </row>
    <row r="119" spans="1:24" ht="19.5" customHeight="1" x14ac:dyDescent="0.45">
      <c r="A119" t="s">
        <v>12</v>
      </c>
      <c r="B119" s="14">
        <f>_xlfn.XLOOKUP(Table1[[#This Row], [TEAM]],Sheet1!$A$12:$A$17,Sheet1!$F$12:$F$17)</f>
        <v>3</v>
      </c>
      <c r="C119" s="14">
        <f>_xlfn.XLOOKUP(Table1[[#This Row], [TEAM]],Sheet1!$A$12:$A$17,Sheet1!$G$12:$G$17)</f>
        <v>5988750</v>
      </c>
      <c r="D119" t="s">
        <v>24</v>
      </c>
      <c r="E119" s="4">
        <f>_xlfn.XLOOKUP(Table1[[#This Row], [ROOM]],Sheet1!$A$47:$A$66,Sheet1!$B$47:$B$66)</f>
        <v>345</v>
      </c>
      <c r="F119" t="s">
        <v>58</v>
      </c>
      <c r="G119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" s="13" t="s">
        <v>66</v>
      </c>
      <c r="I119" s="4">
        <f>_xlfn.XLOOKUP(Table1[[#This Row], [WEAPON]],Sheet1!$A$27:$A$29,Sheet1!$B$27:$B$29)*Table1[[#This Row], [NUM OF MEM]]*(1+_xlfn.XLOOKUP(Table1[[#This Row], [WEAPON]],Sheet1!$A$27:$A$29,Sheet1!$C$27:$C$29))</f>
        <v>108000</v>
      </c>
      <c r="J119" t="s">
        <v>64</v>
      </c>
      <c r="K119" s="9">
        <f>Table1[[#This Row], [NUM OF MEM]]*Table1[[#This Row], [TOTAL TIME TAKEN]]*_xlfn.XLOOKUP(Table1[[#This Row], [EXIT]],Sheet1!$A$70:$A$71,Sheet1!$B$70:$B$71)*(1+_xlfn.XLOOKUP(Table1[[#This Row], [EXIT]],Sheet1!$A$70:$A$71,Sheet1!$C$70:$C$71))</f>
        <v>1785801.5999999994</v>
      </c>
      <c r="L119" s="13" t="s">
        <v>61</v>
      </c>
      <c r="M119" s="4">
        <f>IF(Table1[[#This Row], [EQUIPMENT]]="YES",Sheet1!$C$44*(1+Sheet1!$D$44),0)</f>
        <v>0</v>
      </c>
      <c r="N119" s="4">
        <f>_xlfn.XLOOKUP(Table1[[#This Row], [ROOM]],Sheet1!$A$47:$A$66,Sheet1!$F$47:$F$66)</f>
        <v>18000000</v>
      </c>
      <c r="O119" s="9">
        <f>_xlfn.XLOOKUP(_xlfn.CONCAT(Table1[[#This Row], [TEAM]],Table1[[#This Row], [ROOM]]),'ROOM TIME'!$H$2:$H$121,'ROOM TIME'!$J$2:$J$121)</f>
        <v>40.9311111111111</v>
      </c>
      <c r="P119" s="4">
        <f>(INDEX(Sheet1!$X$48:$Z$67,MATCH(Table1[[#This Row], [ROOM]],Sheet1!$P$48:$P$67,0),MATCH(Table1[[#This Row], [WEAPON]],Sheet1!$X$47:$Z$47,0)))/Table1[[#This Row], [NUM OF MEM]]</f>
        <v>5</v>
      </c>
      <c r="Q119" s="9">
        <f>Table1[[#This Row], [ROOM TIME]]+Table1[[#This Row], [GUARD TIME]]</f>
        <v>45.9311111111111</v>
      </c>
      <c r="R119" s="4">
        <f>Sheet1!$K$3*_xlfn.XLOOKUP(Table1[[#This Row], [DISGUISE]],Sheet1!$A$21:$A$23,Sheet1!$D$21:$D$23)</f>
        <v>69</v>
      </c>
      <c r="S119" s="9">
        <f>Table1[[#This Row], [TOTAL TIME]]-Table1[[#This Row], [TOTAL TIME TAKEN]]</f>
        <v>23.0688888888889</v>
      </c>
      <c r="T119" t="str">
        <f>IF(Table1[[#This Row], [TIME DIFFERENCE]]&gt;=0,"PASS","FAIL")</f>
        <v>PASS</v>
      </c>
      <c r="U119" s="9">
        <f>Table1[[#This Row], [TRC]]+Table1[[#This Row], [DRC]]+Table1[[#This Row], [WRC]]+Table1[[#This Row], [ERC]]+Table1[[#This Row], [EQRC]]</f>
        <v>7920951.5999999996</v>
      </c>
      <c r="V119" s="9">
        <f>Table1[[#This Row], [TOTAL COST]]+_xlfn.XLOOKUP(Table1[[#This Row], [TEAM]],Sheet1!$A$12:$A$17,Sheet1!$I$12:$I$17)</f>
        <v>8220389.0999999996</v>
      </c>
      <c r="W119" s="9">
        <f>Table1[[#This Row], [LOOT]]-Table1[[#This Row], [TOTAL COST]]</f>
        <v>10079048.4</v>
      </c>
      <c r="X119" s="9">
        <f>IF(Table1[[#This Row], [PASS/FAIL]]="FAIL",0,Table1[[#This Row], [PROFIT]])</f>
        <v>10079048.4</v>
      </c>
    </row>
    <row r="120" spans="1:24" ht="19.5" customHeight="1" x14ac:dyDescent="0.45">
      <c r="A120" t="s">
        <v>13</v>
      </c>
      <c r="B120" s="14">
        <f>_xlfn.XLOOKUP(Table1[[#This Row], [TEAM]],Sheet1!$A$12:$A$17,Sheet1!$F$12:$F$17)</f>
        <v>3</v>
      </c>
      <c r="C120" s="14">
        <f>_xlfn.XLOOKUP(Table1[[#This Row], [TEAM]],Sheet1!$A$12:$A$17,Sheet1!$G$12:$G$17)</f>
        <v>5930000</v>
      </c>
      <c r="D120" t="s">
        <v>24</v>
      </c>
      <c r="E120" s="4">
        <f>_xlfn.XLOOKUP(Table1[[#This Row], [ROOM]],Sheet1!$A$47:$A$66,Sheet1!$B$47:$B$66)</f>
        <v>345</v>
      </c>
      <c r="F120" t="s">
        <v>58</v>
      </c>
      <c r="G120" s="4">
        <f>_xlfn.XLOOKUP(Table1[[#This Row], [DISGUISE]],Sheet1!$A$21:$A$23,Sheet1!$B$21:$B$23)*Table1[[#This Row], [NUM OF MEM]]*(1+_xlfn.XLOOKUP(Table1[[#This Row], [DISGUISE]],Sheet1!$A$21:$A$23,Sheet1!$C$21:$C$23))</f>
        <v>38400</v>
      </c>
      <c r="H120" s="13" t="s">
        <v>59</v>
      </c>
      <c r="I120" s="4">
        <f>_xlfn.XLOOKUP(Table1[[#This Row], [WEAPON]],Sheet1!$A$27:$A$29,Sheet1!$B$27:$B$29)*Table1[[#This Row], [NUM OF MEM]]*(1+_xlfn.XLOOKUP(Table1[[#This Row], [WEAPON]],Sheet1!$A$27:$A$29,Sheet1!$C$27:$C$29))</f>
        <v>136500</v>
      </c>
      <c r="J120" t="s">
        <v>60</v>
      </c>
      <c r="K120" s="9">
        <f>Table1[[#This Row], [NUM OF MEM]]*Table1[[#This Row], [TOTAL TIME TAKEN]]*_xlfn.XLOOKUP(Table1[[#This Row], [EXIT]],Sheet1!$A$70:$A$71,Sheet1!$B$70:$B$71)*(1+_xlfn.XLOOKUP(Table1[[#This Row], [EXIT]],Sheet1!$A$70:$A$71,Sheet1!$C$70:$C$71))</f>
        <v>1816611.4749999999</v>
      </c>
      <c r="L120" s="13" t="s">
        <v>61</v>
      </c>
      <c r="M120" s="4">
        <f>IF(Table1[[#This Row], [EQUIPMENT]]="YES",Sheet1!$C$44*(1+Sheet1!$D$44),0)</f>
        <v>0</v>
      </c>
      <c r="N120" s="4">
        <f>_xlfn.XLOOKUP(Table1[[#This Row], [ROOM]],Sheet1!$A$47:$A$66,Sheet1!$F$47:$F$66)</f>
        <v>18000000</v>
      </c>
      <c r="O120" s="9">
        <f>_xlfn.XLOOKUP(_xlfn.CONCAT(Table1[[#This Row], [TEAM]],Table1[[#This Row], [ROOM]]),'ROOM TIME'!$H$2:$H$121,'ROOM TIME'!$J$2:$J$121)</f>
        <v>42.587777777777774</v>
      </c>
      <c r="P120" s="9">
        <f>(INDEX(Sheet1!$X$48:$Z$67,MATCH(Table1[[#This Row], [ROOM]],Sheet1!$P$48:$P$67,0),MATCH(Table1[[#This Row], [WEAPON]],Sheet1!$X$47:$Z$47,0)))/Table1[[#This Row], [NUM OF MEM]]</f>
        <v>4.5999999999999996</v>
      </c>
      <c r="Q120" s="9">
        <f>Table1[[#This Row], [ROOM TIME]]+Table1[[#This Row], [GUARD TIME]]</f>
        <v>47.187777777777775</v>
      </c>
      <c r="R120" s="4">
        <f>Sheet1!$K$3*_xlfn.XLOOKUP(Table1[[#This Row], [DISGUISE]],Sheet1!$A$21:$A$23,Sheet1!$D$21:$D$23)</f>
        <v>69</v>
      </c>
      <c r="S120" s="9">
        <f>Table1[[#This Row], [TOTAL TIME]]-Table1[[#This Row], [TOTAL TIME TAKEN]]</f>
        <v>21.812222222222225</v>
      </c>
      <c r="T120" t="str">
        <f>IF(Table1[[#This Row], [TIME DIFFERENCE]]&gt;=0,"PASS","FAIL")</f>
        <v>PASS</v>
      </c>
      <c r="U120" s="9">
        <f>Table1[[#This Row], [TRC]]+Table1[[#This Row], [DRC]]+Table1[[#This Row], [WRC]]+Table1[[#This Row], [ERC]]+Table1[[#This Row], [EQRC]]</f>
        <v>7921511.4749999996</v>
      </c>
      <c r="V120" s="9">
        <f>Table1[[#This Row], [TOTAL COST]]+_xlfn.XLOOKUP(Table1[[#This Row], [TEAM]],Sheet1!$A$12:$A$17,Sheet1!$I$12:$I$17)</f>
        <v>8218011.4749999996</v>
      </c>
      <c r="W120" s="9">
        <f>Table1[[#This Row], [LOOT]]-Table1[[#This Row], [TOTAL COST]]</f>
        <v>10078488.525</v>
      </c>
      <c r="X120" s="9">
        <f>IF(Table1[[#This Row], [PASS/FAIL]]="FAIL",0,Table1[[#This Row], [PROFIT]])</f>
        <v>10078488.525</v>
      </c>
    </row>
    <row r="121" spans="1:24" ht="19.5" customHeight="1" x14ac:dyDescent="0.45">
      <c r="A121" t="s">
        <v>12</v>
      </c>
      <c r="B121" s="14">
        <f>_xlfn.XLOOKUP(Table1[[#This Row], [TEAM]],Sheet1!$A$12:$A$17,Sheet1!$F$12:$F$17)</f>
        <v>3</v>
      </c>
      <c r="C121" s="14">
        <f>_xlfn.XLOOKUP(Table1[[#This Row], [TEAM]],Sheet1!$A$12:$A$17,Sheet1!$G$12:$G$17)</f>
        <v>5988750</v>
      </c>
      <c r="D121" t="s">
        <v>19</v>
      </c>
      <c r="E121" s="4">
        <f>_xlfn.XLOOKUP(Table1[[#This Row], [ROOM]],Sheet1!$A$47:$A$66,Sheet1!$B$47:$B$66)</f>
        <v>135</v>
      </c>
      <c r="F121" t="s">
        <v>62</v>
      </c>
      <c r="G12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1" s="13" t="s">
        <v>66</v>
      </c>
      <c r="I121" s="4">
        <f>_xlfn.XLOOKUP(Table1[[#This Row], [WEAPON]],Sheet1!$A$27:$A$29,Sheet1!$B$27:$B$29)*Table1[[#This Row], [NUM OF MEM]]*(1+_xlfn.XLOOKUP(Table1[[#This Row], [WEAPON]],Sheet1!$A$27:$A$29,Sheet1!$C$27:$C$29))</f>
        <v>108000</v>
      </c>
      <c r="J121" t="s">
        <v>60</v>
      </c>
      <c r="K121" s="9">
        <f>Table1[[#This Row], [NUM OF MEM]]*Table1[[#This Row], [TOTAL TIME TAKEN]]*_xlfn.XLOOKUP(Table1[[#This Row], [EXIT]],Sheet1!$A$70:$A$71,Sheet1!$B$70:$B$71)*(1+_xlfn.XLOOKUP(Table1[[#This Row], [EXIT]],Sheet1!$A$70:$A$71,Sheet1!$C$70:$C$71))</f>
        <v>1760618.9999999993</v>
      </c>
      <c r="L121" s="13" t="s">
        <v>61</v>
      </c>
      <c r="M121" s="4">
        <f>IF(Table1[[#This Row], [EQUIPMENT]]="YES",Sheet1!$C$44*(1+Sheet1!$D$44),0)</f>
        <v>0</v>
      </c>
      <c r="N121" s="4">
        <f>_xlfn.XLOOKUP(Table1[[#This Row], [ROOM]],Sheet1!$A$47:$A$66,Sheet1!$F$47:$F$66)</f>
        <v>17950000</v>
      </c>
      <c r="O121" s="9">
        <f>_xlfn.XLOOKUP(_xlfn.CONCAT(Table1[[#This Row], [TEAM]],Table1[[#This Row], [ROOM]]),'ROOM TIME'!$H$2:$H$121,'ROOM TIME'!$J$2:$J$121)</f>
        <v>41.149999999999984</v>
      </c>
      <c r="P121" s="9">
        <f>(INDEX(Sheet1!$X$48:$Z$67,MATCH(Table1[[#This Row], [ROOM]],Sheet1!$P$48:$P$67,0),MATCH(Table1[[#This Row], [WEAPON]],Sheet1!$X$47:$Z$47,0)))/Table1[[#This Row], [NUM OF MEM]]</f>
        <v>4.583333333333333</v>
      </c>
      <c r="Q121" s="9">
        <f>Table1[[#This Row], [ROOM TIME]]+Table1[[#This Row], [GUARD TIME]]</f>
        <v>45.73333333333332</v>
      </c>
      <c r="R121" s="4">
        <f>Sheet1!$K$3*_xlfn.XLOOKUP(Table1[[#This Row], [DISGUISE]],Sheet1!$A$21:$A$23,Sheet1!$D$21:$D$23)</f>
        <v>66</v>
      </c>
      <c r="S121" s="9">
        <f>Table1[[#This Row], [TOTAL TIME]]-Table1[[#This Row], [TOTAL TIME TAKEN]]</f>
        <v>20.26666666666668</v>
      </c>
      <c r="T121" t="str">
        <f>IF(Table1[[#This Row], [TIME DIFFERENCE]]&gt;=0,"PASS","FAIL")</f>
        <v>PASS</v>
      </c>
      <c r="U121" s="9">
        <f>Table1[[#This Row], [TRC]]+Table1[[#This Row], [DRC]]+Table1[[#This Row], [WRC]]+Table1[[#This Row], [ERC]]+Table1[[#This Row], [EQRC]]</f>
        <v>7872968.9999999991</v>
      </c>
      <c r="V121" s="9">
        <f>Table1[[#This Row], [TOTAL COST]]+_xlfn.XLOOKUP(Table1[[#This Row], [TEAM]],Sheet1!$A$12:$A$17,Sheet1!$I$12:$I$17)</f>
        <v>8172406.4999999991</v>
      </c>
      <c r="W121" s="4">
        <f>Table1[[#This Row], [LOOT]]-Table1[[#This Row], [TOTAL COST]]</f>
        <v>10077031</v>
      </c>
      <c r="X121" s="4">
        <f>IF(Table1[[#This Row], [PASS/FAIL]]="FAIL",0,Table1[[#This Row], [PROFIT]])</f>
        <v>10077031</v>
      </c>
    </row>
    <row r="122" spans="1:24" ht="19.5" customHeight="1" x14ac:dyDescent="0.45">
      <c r="A122" t="s">
        <v>13</v>
      </c>
      <c r="B122" s="14">
        <f>_xlfn.XLOOKUP(Table1[[#This Row], [TEAM]],Sheet1!$A$12:$A$17,Sheet1!$F$12:$F$17)</f>
        <v>3</v>
      </c>
      <c r="C122" s="14">
        <f>_xlfn.XLOOKUP(Table1[[#This Row], [TEAM]],Sheet1!$A$12:$A$17,Sheet1!$G$12:$G$17)</f>
        <v>5930000</v>
      </c>
      <c r="D122" t="s">
        <v>19</v>
      </c>
      <c r="E122" s="4">
        <f>_xlfn.XLOOKUP(Table1[[#This Row], [ROOM]],Sheet1!$A$47:$A$66,Sheet1!$B$47:$B$66)</f>
        <v>135</v>
      </c>
      <c r="F122" t="s">
        <v>62</v>
      </c>
      <c r="G122" s="4">
        <f>_xlfn.XLOOKUP(Table1[[#This Row], [DISGUISE]],Sheet1!$A$21:$A$23,Sheet1!$B$21:$B$23)*Table1[[#This Row], [NUM OF MEM]]*(1+_xlfn.XLOOKUP(Table1[[#This Row], [DISGUISE]],Sheet1!$A$21:$A$23,Sheet1!$C$21:$C$23))</f>
        <v>15600</v>
      </c>
      <c r="H122" s="13" t="s">
        <v>66</v>
      </c>
      <c r="I122" s="4">
        <f>_xlfn.XLOOKUP(Table1[[#This Row], [WEAPON]],Sheet1!$A$27:$A$29,Sheet1!$B$27:$B$29)*Table1[[#This Row], [NUM OF MEM]]*(1+_xlfn.XLOOKUP(Table1[[#This Row], [WEAPON]],Sheet1!$A$27:$A$29,Sheet1!$C$27:$C$29))</f>
        <v>108000</v>
      </c>
      <c r="J122" t="s">
        <v>60</v>
      </c>
      <c r="K122" s="9">
        <f>Table1[[#This Row], [NUM OF MEM]]*Table1[[#This Row], [TOTAL TIME TAKEN]]*_xlfn.XLOOKUP(Table1[[#This Row], [EXIT]],Sheet1!$A$70:$A$71,Sheet1!$B$70:$B$71)*(1+_xlfn.XLOOKUP(Table1[[#This Row], [EXIT]],Sheet1!$A$70:$A$71,Sheet1!$C$70:$C$71))</f>
        <v>1819391.8499999996</v>
      </c>
      <c r="L122" s="13" t="s">
        <v>61</v>
      </c>
      <c r="M122" s="4">
        <f>IF(Table1[[#This Row], [EQUIPMENT]]="YES",Sheet1!$C$44*(1+Sheet1!$D$44),0)</f>
        <v>0</v>
      </c>
      <c r="N122" s="4">
        <f>_xlfn.XLOOKUP(Table1[[#This Row], [ROOM]],Sheet1!$A$47:$A$66,Sheet1!$F$47:$F$66)</f>
        <v>17950000</v>
      </c>
      <c r="O122" s="9">
        <f>_xlfn.XLOOKUP(_xlfn.CONCAT(Table1[[#This Row], [TEAM]],Table1[[#This Row], [ROOM]]),'ROOM TIME'!$H$2:$H$121,'ROOM TIME'!$J$2:$J$121)</f>
        <v>42.676666666666655</v>
      </c>
      <c r="P122" s="9">
        <f>(INDEX(Sheet1!$X$48:$Z$67,MATCH(Table1[[#This Row], [ROOM]],Sheet1!$P$48:$P$67,0),MATCH(Table1[[#This Row], [WEAPON]],Sheet1!$X$47:$Z$47,0)))/Table1[[#This Row], [NUM OF MEM]]</f>
        <v>4.583333333333333</v>
      </c>
      <c r="Q122" s="9">
        <f>Table1[[#This Row], [ROOM TIME]]+Table1[[#This Row], [GUARD TIME]]</f>
        <v>47.259999999999991</v>
      </c>
      <c r="R122" s="4">
        <f>Sheet1!$K$3*_xlfn.XLOOKUP(Table1[[#This Row], [DISGUISE]],Sheet1!$A$21:$A$23,Sheet1!$D$21:$D$23)</f>
        <v>66</v>
      </c>
      <c r="S122" s="9">
        <f>Table1[[#This Row], [TOTAL TIME]]-Table1[[#This Row], [TOTAL TIME TAKEN]]</f>
        <v>18.740000000000009</v>
      </c>
      <c r="T122" t="str">
        <f>IF(Table1[[#This Row], [TIME DIFFERENCE]]&gt;=0,"PASS","FAIL")</f>
        <v>PASS</v>
      </c>
      <c r="U122" s="9">
        <f>Table1[[#This Row], [TRC]]+Table1[[#This Row], [DRC]]+Table1[[#This Row], [WRC]]+Table1[[#This Row], [ERC]]+Table1[[#This Row], [EQRC]]</f>
        <v>7872991.8499999996</v>
      </c>
      <c r="V122" s="9">
        <f>Table1[[#This Row], [TOTAL COST]]+_xlfn.XLOOKUP(Table1[[#This Row], [TEAM]],Sheet1!$A$12:$A$17,Sheet1!$I$12:$I$17)</f>
        <v>8169491.8499999996</v>
      </c>
      <c r="W122" s="9">
        <f>Table1[[#This Row], [LOOT]]-Table1[[#This Row], [TOTAL COST]]</f>
        <v>10077008.15</v>
      </c>
      <c r="X122" s="9">
        <f>IF(Table1[[#This Row], [PASS/FAIL]]="FAIL",0,Table1[[#This Row], [PROFIT]])</f>
        <v>10077008.15</v>
      </c>
    </row>
    <row r="123" spans="1:24" ht="19.5" customHeight="1" x14ac:dyDescent="0.45">
      <c r="A123" t="s">
        <v>13</v>
      </c>
      <c r="B123" s="14">
        <f>_xlfn.XLOOKUP(Table1[[#This Row], [TEAM]],Sheet1!$A$12:$A$17,Sheet1!$F$12:$F$17)</f>
        <v>3</v>
      </c>
      <c r="C123" s="14">
        <f>_xlfn.XLOOKUP(Table1[[#This Row], [TEAM]],Sheet1!$A$12:$A$17,Sheet1!$G$12:$G$17)</f>
        <v>5930000</v>
      </c>
      <c r="D123" t="s">
        <v>32</v>
      </c>
      <c r="E123" s="4">
        <f>_xlfn.XLOOKUP(Table1[[#This Row], [ROOM]],Sheet1!$A$47:$A$66,Sheet1!$B$47:$B$66)</f>
        <v>346</v>
      </c>
      <c r="F123" t="s">
        <v>62</v>
      </c>
      <c r="G123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" s="13" t="s">
        <v>59</v>
      </c>
      <c r="I123" s="4">
        <f>_xlfn.XLOOKUP(Table1[[#This Row], [WEAPON]],Sheet1!$A$27:$A$29,Sheet1!$B$27:$B$29)*Table1[[#This Row], [NUM OF MEM]]*(1+_xlfn.XLOOKUP(Table1[[#This Row], [WEAPON]],Sheet1!$A$27:$A$29,Sheet1!$C$27:$C$29))</f>
        <v>136500</v>
      </c>
      <c r="J123" t="s">
        <v>60</v>
      </c>
      <c r="K123" s="9">
        <f>Table1[[#This Row], [NUM OF MEM]]*Table1[[#This Row], [TOTAL TIME TAKEN]]*_xlfn.XLOOKUP(Table1[[#This Row], [EXIT]],Sheet1!$A$70:$A$71,Sheet1!$B$70:$B$71)*(1+_xlfn.XLOOKUP(Table1[[#This Row], [EXIT]],Sheet1!$A$70:$A$71,Sheet1!$C$70:$C$71))</f>
        <v>1734098.5</v>
      </c>
      <c r="L123" s="13" t="s">
        <v>65</v>
      </c>
      <c r="M123" s="4">
        <f>IF(Table1[[#This Row], [EQUIPMENT]]="YES",Sheet1!$C$44*(1+Sheet1!$D$44),0)</f>
        <v>307500</v>
      </c>
      <c r="N123" s="4">
        <f>_xlfn.XLOOKUP(Table1[[#This Row], [ROOM]],Sheet1!$A$47:$A$66,Sheet1!$F$47:$F$66)</f>
        <v>18200000</v>
      </c>
      <c r="O123" s="9">
        <f>_xlfn.XLOOKUP(_xlfn.CONCAT(Table1[[#This Row], [TEAM]],Table1[[#This Row], [ROOM]]),'ROOM TIME'!$H$2:$H$121,'ROOM TIME'!$J$2:$J$121)</f>
        <v>40.061111111111103</v>
      </c>
      <c r="P123" s="9">
        <f>(INDEX(Sheet1!$X$48:$Z$67,MATCH(Table1[[#This Row], [ROOM]],Sheet1!$P$48:$P$67,0),MATCH(Table1[[#This Row], [WEAPON]],Sheet1!$X$47:$Z$47,0)))/Table1[[#This Row], [NUM OF MEM]]</f>
        <v>4.9833333333333334</v>
      </c>
      <c r="Q123" s="9">
        <f>Table1[[#This Row], [ROOM TIME]]+Table1[[#This Row], [GUARD TIME]]</f>
        <v>45.044444444444437</v>
      </c>
      <c r="R123" s="4">
        <f>Sheet1!$K$3*_xlfn.XLOOKUP(Table1[[#This Row], [DISGUISE]],Sheet1!$A$21:$A$23,Sheet1!$D$21:$D$23)</f>
        <v>66</v>
      </c>
      <c r="S123" s="9">
        <f>Table1[[#This Row], [TOTAL TIME]]-Table1[[#This Row], [TOTAL TIME TAKEN]]</f>
        <v>20.955555555555563</v>
      </c>
      <c r="T123" t="str">
        <f>IF(Table1[[#This Row], [TIME DIFFERENCE]]&gt;=0,"PASS","FAIL")</f>
        <v>PASS</v>
      </c>
      <c r="U123" s="9">
        <f>Table1[[#This Row], [TRC]]+Table1[[#This Row], [DRC]]+Table1[[#This Row], [WRC]]+Table1[[#This Row], [ERC]]+Table1[[#This Row], [EQRC]]</f>
        <v>8123698.5</v>
      </c>
      <c r="V123" s="9">
        <f>Table1[[#This Row], [TOTAL COST]]+_xlfn.XLOOKUP(Table1[[#This Row], [TEAM]],Sheet1!$A$12:$A$17,Sheet1!$I$12:$I$17)</f>
        <v>8420198.5</v>
      </c>
      <c r="W123" s="9">
        <f>Table1[[#This Row], [LOOT]]-Table1[[#This Row], [TOTAL COST]]</f>
        <v>10076301.5</v>
      </c>
      <c r="X123" s="9">
        <f>IF(Table1[[#This Row], [PASS/FAIL]]="FAIL",0,Table1[[#This Row], [PROFIT]])</f>
        <v>10076301.5</v>
      </c>
    </row>
    <row r="124" spans="1:24" ht="19.5" customHeight="1" x14ac:dyDescent="0.45">
      <c r="A124" t="s">
        <v>16</v>
      </c>
      <c r="B124" s="14">
        <f>_xlfn.XLOOKUP(Table1[[#This Row], [TEAM]],Sheet1!$A$12:$A$17,Sheet1!$F$12:$F$17)</f>
        <v>2</v>
      </c>
      <c r="C124" s="14">
        <f>_xlfn.XLOOKUP(Table1[[#This Row], [TEAM]],Sheet1!$A$12:$A$17,Sheet1!$G$12:$G$17)</f>
        <v>6082800</v>
      </c>
      <c r="D124" t="s">
        <v>18</v>
      </c>
      <c r="E124" s="4">
        <f>_xlfn.XLOOKUP(Table1[[#This Row], [ROOM]],Sheet1!$A$47:$A$66,Sheet1!$B$47:$B$66)</f>
        <v>134</v>
      </c>
      <c r="F124" t="s">
        <v>58</v>
      </c>
      <c r="G124" s="4">
        <f>_xlfn.XLOOKUP(Table1[[#This Row], [DISGUISE]],Sheet1!$A$21:$A$23,Sheet1!$B$21:$B$23)*Table1[[#This Row], [NUM OF MEM]]*(1+_xlfn.XLOOKUP(Table1[[#This Row], [DISGUISE]],Sheet1!$A$21:$A$23,Sheet1!$C$21:$C$23))</f>
        <v>25600</v>
      </c>
      <c r="H124" s="13" t="s">
        <v>59</v>
      </c>
      <c r="I124" s="4">
        <f>_xlfn.XLOOKUP(Table1[[#This Row], [WEAPON]],Sheet1!$A$27:$A$29,Sheet1!$B$27:$B$29)*Table1[[#This Row], [NUM OF MEM]]*(1+_xlfn.XLOOKUP(Table1[[#This Row], [WEAPON]],Sheet1!$A$27:$A$29,Sheet1!$C$27:$C$29))</f>
        <v>91000</v>
      </c>
      <c r="J124" t="s">
        <v>64</v>
      </c>
      <c r="K124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1775519.9999999998</v>
      </c>
      <c r="L124" s="13" t="s">
        <v>61</v>
      </c>
      <c r="M124" s="4">
        <f>IF(Table1[[#This Row], [EQUIPMENT]]="YES",Sheet1!$C$44*(1+Sheet1!$D$44),0)</f>
        <v>0</v>
      </c>
      <c r="N124" s="4">
        <f>_xlfn.XLOOKUP(Table1[[#This Row], [ROOM]],Sheet1!$A$47:$A$66,Sheet1!$F$47:$F$66)</f>
        <v>18050000</v>
      </c>
      <c r="O124" s="9">
        <f>_xlfn.XLOOKUP(_xlfn.CONCAT(Table1[[#This Row], [TEAM]],Table1[[#This Row], [ROOM]]),'ROOM TIME'!$H$2:$H$121,'ROOM TIME'!$J$2:$J$121)</f>
        <v>61.59999999999998</v>
      </c>
      <c r="P124" s="9">
        <f>(INDEX(Sheet1!$X$48:$Z$67,MATCH(Table1[[#This Row], [ROOM]],Sheet1!$P$48:$P$67,0),MATCH(Table1[[#This Row], [WEAPON]],Sheet1!$X$47:$Z$47,0)))/Table1[[#This Row], [NUM OF MEM]]</f>
        <v>6.8999999999999995</v>
      </c>
      <c r="Q124" s="9">
        <f>Table1[[#This Row], [ROOM TIME]]+Table1[[#This Row], [GUARD TIME]]</f>
        <v>68.499999999999986</v>
      </c>
      <c r="R124" s="4">
        <f>Sheet1!$K$3*_xlfn.XLOOKUP(Table1[[#This Row], [DISGUISE]],Sheet1!$A$21:$A$23,Sheet1!$D$21:$D$23)</f>
        <v>69</v>
      </c>
      <c r="S124" s="9">
        <f>Table1[[#This Row], [TOTAL TIME]]-Table1[[#This Row], [TOTAL TIME TAKEN]]</f>
        <v>0.50000000000001421</v>
      </c>
      <c r="T124" t="str">
        <f>IF(Table1[[#This Row], [TIME DIFFERENCE]]&gt;=0,"PASS","FAIL")</f>
        <v>PASS</v>
      </c>
      <c r="U124" s="4">
        <f>Table1[[#This Row], [TRC]]+Table1[[#This Row], [DRC]]+Table1[[#This Row], [WRC]]+Table1[[#This Row], [ERC]]+Table1[[#This Row], [EQRC]]</f>
        <v>7974920</v>
      </c>
      <c r="V124" s="4">
        <f>Table1[[#This Row], [TOTAL COST]]+_xlfn.XLOOKUP(Table1[[#This Row], [TEAM]],Sheet1!$A$12:$A$17,Sheet1!$I$12:$I$17)</f>
        <v>8279060</v>
      </c>
      <c r="W124" s="4">
        <f>Table1[[#This Row], [LOOT]]-Table1[[#This Row], [TOTAL COST]]</f>
        <v>10075080</v>
      </c>
      <c r="X124" s="4">
        <f>IF(Table1[[#This Row], [PASS/FAIL]]="FAIL",0,Table1[[#This Row], [PROFIT]])</f>
        <v>10075080</v>
      </c>
    </row>
    <row r="125" spans="1:24" ht="19.5" customHeight="1" x14ac:dyDescent="0.45">
      <c r="A125" t="s">
        <v>13</v>
      </c>
      <c r="B125" s="14">
        <f>_xlfn.XLOOKUP(Table1[[#This Row], [TEAM]],Sheet1!$A$12:$A$17,Sheet1!$F$12:$F$17)</f>
        <v>3</v>
      </c>
      <c r="C125" s="14">
        <f>_xlfn.XLOOKUP(Table1[[#This Row], [TEAM]],Sheet1!$A$12:$A$17,Sheet1!$G$12:$G$17)</f>
        <v>5930000</v>
      </c>
      <c r="D125" t="s">
        <v>26</v>
      </c>
      <c r="E125" s="4">
        <f>_xlfn.XLOOKUP(Table1[[#This Row], [ROOM]],Sheet1!$A$47:$A$66,Sheet1!$B$47:$B$66)</f>
        <v>136</v>
      </c>
      <c r="F125" t="s">
        <v>62</v>
      </c>
      <c r="G125" s="4">
        <f>_xlfn.XLOOKUP(Table1[[#This Row], [DISGUISE]],Sheet1!$A$21:$A$23,Sheet1!$B$21:$B$23)*Table1[[#This Row], [NUM OF MEM]]*(1+_xlfn.XLOOKUP(Table1[[#This Row], [DISGUISE]],Sheet1!$A$21:$A$23,Sheet1!$C$21:$C$23))</f>
        <v>15600</v>
      </c>
      <c r="H125" s="13" t="s">
        <v>63</v>
      </c>
      <c r="I125" s="4">
        <f>_xlfn.XLOOKUP(Table1[[#This Row], [WEAPON]],Sheet1!$A$27:$A$29,Sheet1!$B$27:$B$29)*Table1[[#This Row], [NUM OF MEM]]*(1+_xlfn.XLOOKUP(Table1[[#This Row], [WEAPON]],Sheet1!$A$27:$A$29,Sheet1!$C$27:$C$29))</f>
        <v>69000</v>
      </c>
      <c r="J125" t="s">
        <v>60</v>
      </c>
      <c r="K125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1753561.1249999993</v>
      </c>
      <c r="L125" s="13" t="s">
        <v>65</v>
      </c>
      <c r="M125" s="4">
        <f>IF(Table1[[#This Row], [EQUIPMENT]]="YES",Sheet1!$C$44*(1+Sheet1!$D$44),0)</f>
        <v>307500</v>
      </c>
      <c r="N125" s="4">
        <f>_xlfn.XLOOKUP(Table1[[#This Row], [ROOM]],Sheet1!$A$47:$A$66,Sheet1!$F$47:$F$66)</f>
        <v>18150000</v>
      </c>
      <c r="O125" s="9">
        <f>_xlfn.XLOOKUP(_xlfn.CONCAT(Table1[[#This Row], [TEAM]],Table1[[#This Row], [ROOM]]),'ROOM TIME'!$H$2:$H$121,'ROOM TIME'!$J$2:$J$121)</f>
        <v>40.149999999999984</v>
      </c>
      <c r="P125" s="9">
        <f>(INDEX(Sheet1!$X$48:$Z$67,MATCH(Table1[[#This Row], [ROOM]],Sheet1!$P$48:$P$67,0),MATCH(Table1[[#This Row], [WEAPON]],Sheet1!$X$47:$Z$47,0)))/Table1[[#This Row], [NUM OF MEM]]</f>
        <v>5.4000000000000012</v>
      </c>
      <c r="Q125" s="9">
        <f>Table1[[#This Row], [ROOM TIME]]+Table1[[#This Row], [GUARD TIME]]</f>
        <v>45.549999999999983</v>
      </c>
      <c r="R125" s="4">
        <f>Sheet1!$K$3*_xlfn.XLOOKUP(Table1[[#This Row], [DISGUISE]],Sheet1!$A$21:$A$23,Sheet1!$D$21:$D$23)</f>
        <v>66</v>
      </c>
      <c r="S125" s="9">
        <f>Table1[[#This Row], [TOTAL TIME]]-Table1[[#This Row], [TOTAL TIME TAKEN]]</f>
        <v>20.450000000000017</v>
      </c>
      <c r="T125" t="str">
        <f>IF(Table1[[#This Row], [TIME DIFFERENCE]]&gt;=0,"PASS","FAIL")</f>
        <v>PASS</v>
      </c>
      <c r="U125" s="9">
        <f>Table1[[#This Row], [TRC]]+Table1[[#This Row], [DRC]]+Table1[[#This Row], [WRC]]+Table1[[#This Row], [ERC]]+Table1[[#This Row], [EQRC]]</f>
        <v>8075661.1249999991</v>
      </c>
      <c r="V125" s="9">
        <f>Table1[[#This Row], [TOTAL COST]]+_xlfn.XLOOKUP(Table1[[#This Row], [TEAM]],Sheet1!$A$12:$A$17,Sheet1!$I$12:$I$17)</f>
        <v>8372161.1249999991</v>
      </c>
      <c r="W125" s="9">
        <f>Table1[[#This Row], [LOOT]]-Table1[[#This Row], [TOTAL COST]]</f>
        <v>10074338.875</v>
      </c>
      <c r="X125" s="9">
        <f>IF(Table1[[#This Row], [PASS/FAIL]]="FAIL",0,Table1[[#This Row], [PROFIT]])</f>
        <v>10074338.875</v>
      </c>
    </row>
    <row r="126" spans="1:24" ht="19.5" customHeight="1" x14ac:dyDescent="0.45">
      <c r="A126" t="s">
        <v>12</v>
      </c>
      <c r="B126" s="14">
        <f>_xlfn.XLOOKUP(Table1[[#This Row], [TEAM]],Sheet1!$A$12:$A$17,Sheet1!$F$12:$F$17)</f>
        <v>3</v>
      </c>
      <c r="C126" s="14">
        <f>_xlfn.XLOOKUP(Table1[[#This Row], [TEAM]],Sheet1!$A$12:$A$17,Sheet1!$G$12:$G$17)</f>
        <v>5988750</v>
      </c>
      <c r="D126" t="s">
        <v>32</v>
      </c>
      <c r="E126" s="4">
        <f>_xlfn.XLOOKUP(Table1[[#This Row], [ROOM]],Sheet1!$A$47:$A$66,Sheet1!$B$47:$B$66)</f>
        <v>346</v>
      </c>
      <c r="F126" t="s">
        <v>62</v>
      </c>
      <c r="G126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" s="13" t="s">
        <v>59</v>
      </c>
      <c r="I126" s="4">
        <f>_xlfn.XLOOKUP(Table1[[#This Row], [WEAPON]],Sheet1!$A$27:$A$29,Sheet1!$B$27:$B$29)*Table1[[#This Row], [NUM OF MEM]]*(1+_xlfn.XLOOKUP(Table1[[#This Row], [WEAPON]],Sheet1!$A$27:$A$29,Sheet1!$C$27:$C$29))</f>
        <v>136500</v>
      </c>
      <c r="J126" t="s">
        <v>60</v>
      </c>
      <c r="K126" s="9">
        <f>Table1[[#This Row], [NUM OF MEM]]*Table1[[#This Row], [TOTAL TIME TAKEN]]*_xlfn.XLOOKUP(Table1[[#This Row], [EXIT]],Sheet1!$A$70:$A$71,Sheet1!$B$70:$B$71)*(1+_xlfn.XLOOKUP(Table1[[#This Row], [EXIT]],Sheet1!$A$70:$A$71,Sheet1!$C$70:$C$71))</f>
        <v>1677849.3749999995</v>
      </c>
      <c r="L126" s="13" t="s">
        <v>65</v>
      </c>
      <c r="M126" s="4">
        <f>IF(Table1[[#This Row], [EQUIPMENT]]="YES",Sheet1!$C$44*(1+Sheet1!$D$44),0)</f>
        <v>307500</v>
      </c>
      <c r="N126" s="4">
        <f>_xlfn.XLOOKUP(Table1[[#This Row], [ROOM]],Sheet1!$A$47:$A$66,Sheet1!$F$47:$F$66)</f>
        <v>18200000</v>
      </c>
      <c r="O126" s="9">
        <f>_xlfn.XLOOKUP(_xlfn.CONCAT(Table1[[#This Row], [TEAM]],Table1[[#This Row], [ROOM]]),'ROOM TIME'!$H$2:$H$121,'ROOM TIME'!$J$2:$J$121)</f>
        <v>38.599999999999987</v>
      </c>
      <c r="P126" s="9">
        <f>(INDEX(Sheet1!$X$48:$Z$67,MATCH(Table1[[#This Row], [ROOM]],Sheet1!$P$48:$P$67,0),MATCH(Table1[[#This Row], [WEAPON]],Sheet1!$X$47:$Z$47,0)))/Table1[[#This Row], [NUM OF MEM]]</f>
        <v>4.9833333333333334</v>
      </c>
      <c r="Q126" s="9">
        <f>Table1[[#This Row], [ROOM TIME]]+Table1[[#This Row], [GUARD TIME]]</f>
        <v>43.583333333333321</v>
      </c>
      <c r="R126" s="4">
        <f>Sheet1!$K$3*_xlfn.XLOOKUP(Table1[[#This Row], [DISGUISE]],Sheet1!$A$21:$A$23,Sheet1!$D$21:$D$23)</f>
        <v>66</v>
      </c>
      <c r="S126" s="9">
        <f>Table1[[#This Row], [TOTAL TIME]]-Table1[[#This Row], [TOTAL TIME TAKEN]]</f>
        <v>22.416666666666679</v>
      </c>
      <c r="T126" t="str">
        <f>IF(Table1[[#This Row], [TIME DIFFERENCE]]&gt;=0,"PASS","FAIL")</f>
        <v>PASS</v>
      </c>
      <c r="U126" s="9">
        <f>Table1[[#This Row], [TRC]]+Table1[[#This Row], [DRC]]+Table1[[#This Row], [WRC]]+Table1[[#This Row], [ERC]]+Table1[[#This Row], [EQRC]]</f>
        <v>8126199.375</v>
      </c>
      <c r="V126" s="9">
        <f>Table1[[#This Row], [TOTAL COST]]+_xlfn.XLOOKUP(Table1[[#This Row], [TEAM]],Sheet1!$A$12:$A$17,Sheet1!$I$12:$I$17)</f>
        <v>8425636.875</v>
      </c>
      <c r="W126" s="9">
        <f>Table1[[#This Row], [LOOT]]-Table1[[#This Row], [TOTAL COST]]</f>
        <v>10073800.625</v>
      </c>
      <c r="X126" s="9">
        <f>IF(Table1[[#This Row], [PASS/FAIL]]="FAIL",0,Table1[[#This Row], [PROFIT]])</f>
        <v>10073800.625</v>
      </c>
    </row>
    <row r="127" spans="1:24" ht="19.5" customHeight="1" x14ac:dyDescent="0.45">
      <c r="A127" t="s">
        <v>15</v>
      </c>
      <c r="B127" s="14">
        <f>_xlfn.XLOOKUP(Table1[[#This Row], [TEAM]],Sheet1!$A$12:$A$17,Sheet1!$F$12:$F$17)</f>
        <v>2</v>
      </c>
      <c r="C127" s="14">
        <f>_xlfn.XLOOKUP(Table1[[#This Row], [TEAM]],Sheet1!$A$12:$A$17,Sheet1!$G$12:$G$17)</f>
        <v>5932950</v>
      </c>
      <c r="D127" t="s">
        <v>33</v>
      </c>
      <c r="E127" s="4">
        <f>_xlfn.XLOOKUP(Table1[[#This Row], [ROOM]],Sheet1!$A$47:$A$66,Sheet1!$B$47:$B$66)</f>
        <v>356</v>
      </c>
      <c r="F127" t="s">
        <v>58</v>
      </c>
      <c r="G127" s="4">
        <f>_xlfn.XLOOKUP(Table1[[#This Row], [DISGUISE]],Sheet1!$A$21:$A$23,Sheet1!$B$21:$B$23)*Table1[[#This Row], [NUM OF MEM]]*(1+_xlfn.XLOOKUP(Table1[[#This Row], [DISGUISE]],Sheet1!$A$21:$A$23,Sheet1!$C$21:$C$23))</f>
        <v>25600</v>
      </c>
      <c r="H127" s="13" t="s">
        <v>66</v>
      </c>
      <c r="I127" s="4">
        <f>_xlfn.XLOOKUP(Table1[[#This Row], [WEAPON]],Sheet1!$A$27:$A$29,Sheet1!$B$27:$B$29)*Table1[[#This Row], [NUM OF MEM]]*(1+_xlfn.XLOOKUP(Table1[[#This Row], [WEAPON]],Sheet1!$A$27:$A$29,Sheet1!$C$27:$C$29))</f>
        <v>72000</v>
      </c>
      <c r="J127" t="s">
        <v>64</v>
      </c>
      <c r="K127" s="9">
        <f>Table1[[#This Row], [NUM OF MEM]]*Table1[[#This Row], [TOTAL TIME TAKEN]]*_xlfn.XLOOKUP(Table1[[#This Row], [EXIT]],Sheet1!$A$70:$A$71,Sheet1!$B$70:$B$71)*(1+_xlfn.XLOOKUP(Table1[[#This Row], [EXIT]],Sheet1!$A$70:$A$71,Sheet1!$C$70:$C$71))</f>
        <v>1688363.9999999998</v>
      </c>
      <c r="L127" s="13" t="s">
        <v>65</v>
      </c>
      <c r="M127" s="4">
        <f>IF(Table1[[#This Row], [EQUIPMENT]]="YES",Sheet1!$C$44*(1+Sheet1!$D$44),0)</f>
        <v>307500</v>
      </c>
      <c r="N127" s="4">
        <f>_xlfn.XLOOKUP(Table1[[#This Row], [ROOM]],Sheet1!$A$47:$A$66,Sheet1!$F$47:$F$66)</f>
        <v>18100000</v>
      </c>
      <c r="O127" s="9">
        <f>_xlfn.XLOOKUP(_xlfn.CONCAT(Table1[[#This Row], [TEAM]],Table1[[#This Row], [ROOM]]),'ROOM TIME'!$H$2:$H$121,'ROOM TIME'!$J$2:$J$121)</f>
        <v>57.637499999999989</v>
      </c>
      <c r="P127" s="9">
        <f>(INDEX(Sheet1!$X$48:$Z$67,MATCH(Table1[[#This Row], [ROOM]],Sheet1!$P$48:$P$67,0),MATCH(Table1[[#This Row], [WEAPON]],Sheet1!$X$47:$Z$47,0)))/Table1[[#This Row], [NUM OF MEM]]</f>
        <v>7.5</v>
      </c>
      <c r="Q127" s="9">
        <f>Table1[[#This Row], [ROOM TIME]]+Table1[[#This Row], [GUARD TIME]]</f>
        <v>65.137499999999989</v>
      </c>
      <c r="R127" s="4">
        <f>Sheet1!$K$3*_xlfn.XLOOKUP(Table1[[#This Row], [DISGUISE]],Sheet1!$A$21:$A$23,Sheet1!$D$21:$D$23)</f>
        <v>69</v>
      </c>
      <c r="S127" s="9">
        <f>Table1[[#This Row], [TOTAL TIME]]-Table1[[#This Row], [TOTAL TIME TAKEN]]</f>
        <v>3.8625000000000114</v>
      </c>
      <c r="T127" t="str">
        <f>IF(Table1[[#This Row], [TIME DIFFERENCE]]&gt;=0,"PASS","FAIL")</f>
        <v>PASS</v>
      </c>
      <c r="U127" s="4">
        <f>Table1[[#This Row], [TRC]]+Table1[[#This Row], [DRC]]+Table1[[#This Row], [WRC]]+Table1[[#This Row], [ERC]]+Table1[[#This Row], [EQRC]]</f>
        <v>8026414</v>
      </c>
      <c r="V127" s="9">
        <f>Table1[[#This Row], [TOTAL COST]]+_xlfn.XLOOKUP(Table1[[#This Row], [TEAM]],Sheet1!$A$12:$A$17,Sheet1!$I$12:$I$17)</f>
        <v>8323061.5</v>
      </c>
      <c r="W127" s="4">
        <f>Table1[[#This Row], [LOOT]]-Table1[[#This Row], [TOTAL COST]]</f>
        <v>10073586</v>
      </c>
      <c r="X127" s="4">
        <f>IF(Table1[[#This Row], [PASS/FAIL]]="FAIL",0,Table1[[#This Row], [PROFIT]])</f>
        <v>10073586</v>
      </c>
    </row>
    <row r="128" spans="1:24" ht="19.5" customHeight="1" x14ac:dyDescent="0.45">
      <c r="A128" t="s">
        <v>13</v>
      </c>
      <c r="B128" s="14">
        <f>_xlfn.XLOOKUP(Table1[[#This Row], [TEAM]],Sheet1!$A$12:$A$17,Sheet1!$F$12:$F$17)</f>
        <v>3</v>
      </c>
      <c r="C128" s="14">
        <f>_xlfn.XLOOKUP(Table1[[#This Row], [TEAM]],Sheet1!$A$12:$A$17,Sheet1!$G$12:$G$17)</f>
        <v>5930000</v>
      </c>
      <c r="D128" t="s">
        <v>24</v>
      </c>
      <c r="E128" s="4">
        <f>_xlfn.XLOOKUP(Table1[[#This Row], [ROOM]],Sheet1!$A$47:$A$66,Sheet1!$B$47:$B$66)</f>
        <v>345</v>
      </c>
      <c r="F128" t="s">
        <v>58</v>
      </c>
      <c r="G128" s="4">
        <f>_xlfn.XLOOKUP(Table1[[#This Row], [DISGUISE]],Sheet1!$A$21:$A$23,Sheet1!$B$21:$B$23)*Table1[[#This Row], [NUM OF MEM]]*(1+_xlfn.XLOOKUP(Table1[[#This Row], [DISGUISE]],Sheet1!$A$21:$A$23,Sheet1!$C$21:$C$23))</f>
        <v>38400</v>
      </c>
      <c r="H128" s="13" t="s">
        <v>66</v>
      </c>
      <c r="I128" s="4">
        <f>_xlfn.XLOOKUP(Table1[[#This Row], [WEAPON]],Sheet1!$A$27:$A$29,Sheet1!$B$27:$B$29)*Table1[[#This Row], [NUM OF MEM]]*(1+_xlfn.XLOOKUP(Table1[[#This Row], [WEAPON]],Sheet1!$A$27:$A$29,Sheet1!$C$27:$C$29))</f>
        <v>108000</v>
      </c>
      <c r="J128" t="s">
        <v>64</v>
      </c>
      <c r="K128" s="9">
        <f>Table1[[#This Row], [NUM OF MEM]]*Table1[[#This Row], [TOTAL TIME TAKEN]]*_xlfn.XLOOKUP(Table1[[#This Row], [EXIT]],Sheet1!$A$70:$A$71,Sheet1!$B$70:$B$71)*(1+_xlfn.XLOOKUP(Table1[[#This Row], [EXIT]],Sheet1!$A$70:$A$71,Sheet1!$C$70:$C$71))</f>
        <v>1850212.7999999996</v>
      </c>
      <c r="L128" s="13" t="s">
        <v>61</v>
      </c>
      <c r="M128" s="4">
        <f>IF(Table1[[#This Row], [EQUIPMENT]]="YES",Sheet1!$C$44*(1+Sheet1!$D$44),0)</f>
        <v>0</v>
      </c>
      <c r="N128" s="4">
        <f>_xlfn.XLOOKUP(Table1[[#This Row], [ROOM]],Sheet1!$A$47:$A$66,Sheet1!$F$47:$F$66)</f>
        <v>18000000</v>
      </c>
      <c r="O128" s="9">
        <f>_xlfn.XLOOKUP(_xlfn.CONCAT(Table1[[#This Row], [TEAM]],Table1[[#This Row], [ROOM]]),'ROOM TIME'!$H$2:$H$121,'ROOM TIME'!$J$2:$J$121)</f>
        <v>42.587777777777774</v>
      </c>
      <c r="P128" s="4">
        <f>(INDEX(Sheet1!$X$48:$Z$67,MATCH(Table1[[#This Row], [ROOM]],Sheet1!$P$48:$P$67,0),MATCH(Table1[[#This Row], [WEAPON]],Sheet1!$X$47:$Z$47,0)))/Table1[[#This Row], [NUM OF MEM]]</f>
        <v>5</v>
      </c>
      <c r="Q128" s="9">
        <f>Table1[[#This Row], [ROOM TIME]]+Table1[[#This Row], [GUARD TIME]]</f>
        <v>47.587777777777774</v>
      </c>
      <c r="R128" s="4">
        <f>Sheet1!$K$3*_xlfn.XLOOKUP(Table1[[#This Row], [DISGUISE]],Sheet1!$A$21:$A$23,Sheet1!$D$21:$D$23)</f>
        <v>69</v>
      </c>
      <c r="S128" s="9">
        <f>Table1[[#This Row], [TOTAL TIME]]-Table1[[#This Row], [TOTAL TIME TAKEN]]</f>
        <v>21.412222222222226</v>
      </c>
      <c r="T128" t="str">
        <f>IF(Table1[[#This Row], [TIME DIFFERENCE]]&gt;=0,"PASS","FAIL")</f>
        <v>PASS</v>
      </c>
      <c r="U128" s="9">
        <f>Table1[[#This Row], [TRC]]+Table1[[#This Row], [DRC]]+Table1[[#This Row], [WRC]]+Table1[[#This Row], [ERC]]+Table1[[#This Row], [EQRC]]</f>
        <v>7926612.7999999998</v>
      </c>
      <c r="V128" s="9">
        <f>Table1[[#This Row], [TOTAL COST]]+_xlfn.XLOOKUP(Table1[[#This Row], [TEAM]],Sheet1!$A$12:$A$17,Sheet1!$I$12:$I$17)</f>
        <v>8223112.7999999998</v>
      </c>
      <c r="W128" s="9">
        <f>Table1[[#This Row], [LOOT]]-Table1[[#This Row], [TOTAL COST]]</f>
        <v>10073387.199999999</v>
      </c>
      <c r="X128" s="9">
        <f>IF(Table1[[#This Row], [PASS/FAIL]]="FAIL",0,Table1[[#This Row], [PROFIT]])</f>
        <v>10073387.199999999</v>
      </c>
    </row>
    <row r="129" spans="1:24" ht="19.5" customHeight="1" x14ac:dyDescent="0.45">
      <c r="A129" t="s">
        <v>14</v>
      </c>
      <c r="B129" s="14">
        <f>_xlfn.XLOOKUP(Table1[[#This Row], [TEAM]],Sheet1!$A$12:$A$17,Sheet1!$F$12:$F$17)</f>
        <v>2</v>
      </c>
      <c r="C129" s="14">
        <f>_xlfn.XLOOKUP(Table1[[#This Row], [TEAM]],Sheet1!$A$12:$A$17,Sheet1!$G$12:$G$17)</f>
        <v>5949600</v>
      </c>
      <c r="D129" t="s">
        <v>33</v>
      </c>
      <c r="E129" s="4">
        <f>_xlfn.XLOOKUP(Table1[[#This Row], [ROOM]],Sheet1!$A$47:$A$66,Sheet1!$B$47:$B$66)</f>
        <v>356</v>
      </c>
      <c r="F129" t="s">
        <v>58</v>
      </c>
      <c r="G1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29" s="13" t="s">
        <v>66</v>
      </c>
      <c r="I129" s="4">
        <f>_xlfn.XLOOKUP(Table1[[#This Row], [WEAPON]],Sheet1!$A$27:$A$29,Sheet1!$B$27:$B$29)*Table1[[#This Row], [NUM OF MEM]]*(1+_xlfn.XLOOKUP(Table1[[#This Row], [WEAPON]],Sheet1!$A$27:$A$29,Sheet1!$C$27:$C$29))</f>
        <v>72000</v>
      </c>
      <c r="J129" t="s">
        <v>60</v>
      </c>
      <c r="K129" s="9">
        <f>Table1[[#This Row], [NUM OF MEM]]*Table1[[#This Row], [TOTAL TIME TAKEN]]*_xlfn.XLOOKUP(Table1[[#This Row], [EXIT]],Sheet1!$A$70:$A$71,Sheet1!$B$70:$B$71)*(1+_xlfn.XLOOKUP(Table1[[#This Row], [EXIT]],Sheet1!$A$70:$A$71,Sheet1!$C$70:$C$71))</f>
        <v>1672042.6687499993</v>
      </c>
      <c r="L129" s="13" t="s">
        <v>65</v>
      </c>
      <c r="M129" s="4">
        <f>IF(Table1[[#This Row], [EQUIPMENT]]="YES",Sheet1!$C$44*(1+Sheet1!$D$44),0)</f>
        <v>307500</v>
      </c>
      <c r="N129" s="4">
        <f>_xlfn.XLOOKUP(Table1[[#This Row], [ROOM]],Sheet1!$A$47:$A$66,Sheet1!$F$47:$F$66)</f>
        <v>18100000</v>
      </c>
      <c r="O129" s="9">
        <f>_xlfn.XLOOKUP(_xlfn.CONCAT(Table1[[#This Row], [TEAM]],Table1[[#This Row], [ROOM]]),'ROOM TIME'!$H$2:$H$121,'ROOM TIME'!$J$2:$J$121)</f>
        <v>57.648749999999986</v>
      </c>
      <c r="P129" s="9">
        <f>(INDEX(Sheet1!$X$48:$Z$67,MATCH(Table1[[#This Row], [ROOM]],Sheet1!$P$48:$P$67,0),MATCH(Table1[[#This Row], [WEAPON]],Sheet1!$X$47:$Z$47,0)))/Table1[[#This Row], [NUM OF MEM]]</f>
        <v>7.5</v>
      </c>
      <c r="Q129" s="9">
        <f>Table1[[#This Row], [ROOM TIME]]+Table1[[#This Row], [GUARD TIME]]</f>
        <v>65.148749999999978</v>
      </c>
      <c r="R129" s="4">
        <f>Sheet1!$K$3*_xlfn.XLOOKUP(Table1[[#This Row], [DISGUISE]],Sheet1!$A$21:$A$23,Sheet1!$D$21:$D$23)</f>
        <v>69</v>
      </c>
      <c r="S129" s="9">
        <f>Table1[[#This Row], [TOTAL TIME]]-Table1[[#This Row], [TOTAL TIME TAKEN]]</f>
        <v>3.8512500000000216</v>
      </c>
      <c r="T129" t="str">
        <f>IF(Table1[[#This Row], [TIME DIFFERENCE]]&gt;=0,"PASS","FAIL")</f>
        <v>PASS</v>
      </c>
      <c r="U129" s="9">
        <f>Table1[[#This Row], [TRC]]+Table1[[#This Row], [DRC]]+Table1[[#This Row], [WRC]]+Table1[[#This Row], [ERC]]+Table1[[#This Row], [EQRC]]</f>
        <v>8026742.6687499993</v>
      </c>
      <c r="V129" s="9">
        <f>Table1[[#This Row], [TOTAL COST]]+_xlfn.XLOOKUP(Table1[[#This Row], [TEAM]],Sheet1!$A$12:$A$17,Sheet1!$I$12:$I$17)</f>
        <v>8324222.6687499993</v>
      </c>
      <c r="W129" s="9">
        <f>Table1[[#This Row], [LOOT]]-Table1[[#This Row], [TOTAL COST]]</f>
        <v>10073257.331250001</v>
      </c>
      <c r="X129" s="9">
        <f>IF(Table1[[#This Row], [PASS/FAIL]]="FAIL",0,Table1[[#This Row], [PROFIT]])</f>
        <v>10073257.331250001</v>
      </c>
    </row>
    <row r="130" spans="1:24" ht="19.5" customHeight="1" x14ac:dyDescent="0.45">
      <c r="A130" t="s">
        <v>14</v>
      </c>
      <c r="B130" s="14">
        <f>_xlfn.XLOOKUP(Table1[[#This Row], [TEAM]],Sheet1!$A$12:$A$17,Sheet1!$F$12:$F$17)</f>
        <v>2</v>
      </c>
      <c r="C130" s="14">
        <f>_xlfn.XLOOKUP(Table1[[#This Row], [TEAM]],Sheet1!$A$12:$A$17,Sheet1!$G$12:$G$17)</f>
        <v>5949600</v>
      </c>
      <c r="D130" t="s">
        <v>33</v>
      </c>
      <c r="E130" s="4">
        <f>_xlfn.XLOOKUP(Table1[[#This Row], [ROOM]],Sheet1!$A$47:$A$66,Sheet1!$B$47:$B$66)</f>
        <v>356</v>
      </c>
      <c r="F130" t="s">
        <v>62</v>
      </c>
      <c r="G130" s="4">
        <f>_xlfn.XLOOKUP(Table1[[#This Row], [DISGUISE]],Sheet1!$A$21:$A$23,Sheet1!$B$21:$B$23)*Table1[[#This Row], [NUM OF MEM]]*(1+_xlfn.XLOOKUP(Table1[[#This Row], [DISGUISE]],Sheet1!$A$21:$A$23,Sheet1!$C$21:$C$23))</f>
        <v>10400</v>
      </c>
      <c r="H130" s="13" t="s">
        <v>66</v>
      </c>
      <c r="I130" s="4">
        <f>_xlfn.XLOOKUP(Table1[[#This Row], [WEAPON]],Sheet1!$A$27:$A$29,Sheet1!$B$27:$B$29)*Table1[[#This Row], [NUM OF MEM]]*(1+_xlfn.XLOOKUP(Table1[[#This Row], [WEAPON]],Sheet1!$A$27:$A$29,Sheet1!$C$27:$C$29))</f>
        <v>72000</v>
      </c>
      <c r="J130" t="s">
        <v>64</v>
      </c>
      <c r="K130" s="9">
        <f>Table1[[#This Row], [NUM OF MEM]]*Table1[[#This Row], [TOTAL TIME TAKEN]]*_xlfn.XLOOKUP(Table1[[#This Row], [EXIT]],Sheet1!$A$70:$A$71,Sheet1!$B$70:$B$71)*(1+_xlfn.XLOOKUP(Table1[[#This Row], [EXIT]],Sheet1!$A$70:$A$71,Sheet1!$C$70:$C$71))</f>
        <v>1688655.5999999994</v>
      </c>
      <c r="L130" s="13" t="s">
        <v>65</v>
      </c>
      <c r="M130" s="4">
        <f>IF(Table1[[#This Row], [EQUIPMENT]]="YES",Sheet1!$C$44*(1+Sheet1!$D$44),0)</f>
        <v>307500</v>
      </c>
      <c r="N130" s="4">
        <f>_xlfn.XLOOKUP(Table1[[#This Row], [ROOM]],Sheet1!$A$47:$A$66,Sheet1!$F$47:$F$66)</f>
        <v>18100000</v>
      </c>
      <c r="O130" s="9">
        <f>_xlfn.XLOOKUP(_xlfn.CONCAT(Table1[[#This Row], [TEAM]],Table1[[#This Row], [ROOM]]),'ROOM TIME'!$H$2:$H$121,'ROOM TIME'!$J$2:$J$121)</f>
        <v>57.648749999999986</v>
      </c>
      <c r="P130" s="9">
        <f>(INDEX(Sheet1!$X$48:$Z$67,MATCH(Table1[[#This Row], [ROOM]],Sheet1!$P$48:$P$67,0),MATCH(Table1[[#This Row], [WEAPON]],Sheet1!$X$47:$Z$47,0)))/Table1[[#This Row], [NUM OF MEM]]</f>
        <v>7.5</v>
      </c>
      <c r="Q130" s="9">
        <f>Table1[[#This Row], [ROOM TIME]]+Table1[[#This Row], [GUARD TIME]]</f>
        <v>65.148749999999978</v>
      </c>
      <c r="R130" s="4">
        <f>Sheet1!$K$3*_xlfn.XLOOKUP(Table1[[#This Row], [DISGUISE]],Sheet1!$A$21:$A$23,Sheet1!$D$21:$D$23)</f>
        <v>66</v>
      </c>
      <c r="S130" s="9">
        <f>Table1[[#This Row], [TOTAL TIME]]-Table1[[#This Row], [TOTAL TIME TAKEN]]</f>
        <v>0.8512500000000216</v>
      </c>
      <c r="T130" t="str">
        <f>IF(Table1[[#This Row], [TIME DIFFERENCE]]&gt;=0,"PASS","FAIL")</f>
        <v>PASS</v>
      </c>
      <c r="U130" s="9">
        <f>Table1[[#This Row], [TRC]]+Table1[[#This Row], [DRC]]+Table1[[#This Row], [WRC]]+Table1[[#This Row], [ERC]]+Table1[[#This Row], [EQRC]]</f>
        <v>8028155.5999999996</v>
      </c>
      <c r="V130" s="9">
        <f>Table1[[#This Row], [TOTAL COST]]+_xlfn.XLOOKUP(Table1[[#This Row], [TEAM]],Sheet1!$A$12:$A$17,Sheet1!$I$12:$I$17)</f>
        <v>8325635.5999999996</v>
      </c>
      <c r="W130" s="9">
        <f>Table1[[#This Row], [LOOT]]-Table1[[#This Row], [TOTAL COST]]</f>
        <v>10071844.4</v>
      </c>
      <c r="X130" s="9">
        <f>IF(Table1[[#This Row], [PASS/FAIL]]="FAIL",0,Table1[[#This Row], [PROFIT]])</f>
        <v>10071844.4</v>
      </c>
    </row>
    <row r="131" spans="1:24" ht="19.5" customHeight="1" x14ac:dyDescent="0.45">
      <c r="A131" t="s">
        <v>13</v>
      </c>
      <c r="B131" s="14">
        <f>_xlfn.XLOOKUP(Table1[[#This Row], [TEAM]],Sheet1!$A$12:$A$17,Sheet1!$F$12:$F$17)</f>
        <v>3</v>
      </c>
      <c r="C131" s="14">
        <f>_xlfn.XLOOKUP(Table1[[#This Row], [TEAM]],Sheet1!$A$12:$A$17,Sheet1!$G$12:$G$17)</f>
        <v>5930000</v>
      </c>
      <c r="D131" t="s">
        <v>32</v>
      </c>
      <c r="E131" s="4">
        <f>_xlfn.XLOOKUP(Table1[[#This Row], [ROOM]],Sheet1!$A$47:$A$66,Sheet1!$B$47:$B$66)</f>
        <v>346</v>
      </c>
      <c r="F131" t="s">
        <v>62</v>
      </c>
      <c r="G131" s="4">
        <f>_xlfn.XLOOKUP(Table1[[#This Row], [DISGUISE]],Sheet1!$A$21:$A$23,Sheet1!$B$21:$B$23)*Table1[[#This Row], [NUM OF MEM]]*(1+_xlfn.XLOOKUP(Table1[[#This Row], [DISGUISE]],Sheet1!$A$21:$A$23,Sheet1!$C$21:$C$23))</f>
        <v>15600</v>
      </c>
      <c r="H131" s="13" t="s">
        <v>66</v>
      </c>
      <c r="I131" s="4">
        <f>_xlfn.XLOOKUP(Table1[[#This Row], [WEAPON]],Sheet1!$A$27:$A$29,Sheet1!$B$27:$B$29)*Table1[[#This Row], [NUM OF MEM]]*(1+_xlfn.XLOOKUP(Table1[[#This Row], [WEAPON]],Sheet1!$A$27:$A$29,Sheet1!$C$27:$C$29))</f>
        <v>108000</v>
      </c>
      <c r="J131" t="s">
        <v>64</v>
      </c>
      <c r="K131" s="9">
        <f>Table1[[#This Row], [NUM OF MEM]]*Table1[[#This Row], [TOTAL TIME TAKEN]]*_xlfn.XLOOKUP(Table1[[#This Row], [EXIT]],Sheet1!$A$70:$A$71,Sheet1!$B$70:$B$71)*(1+_xlfn.XLOOKUP(Table1[[#This Row], [EXIT]],Sheet1!$A$70:$A$71,Sheet1!$C$70:$C$71))</f>
        <v>1768175.9999999998</v>
      </c>
      <c r="L131" s="13" t="s">
        <v>65</v>
      </c>
      <c r="M131" s="4">
        <f>IF(Table1[[#This Row], [EQUIPMENT]]="YES",Sheet1!$C$44*(1+Sheet1!$D$44),0)</f>
        <v>307500</v>
      </c>
      <c r="N131" s="4">
        <f>_xlfn.XLOOKUP(Table1[[#This Row], [ROOM]],Sheet1!$A$47:$A$66,Sheet1!$F$47:$F$66)</f>
        <v>18200000</v>
      </c>
      <c r="O131" s="9">
        <f>_xlfn.XLOOKUP(_xlfn.CONCAT(Table1[[#This Row], [TEAM]],Table1[[#This Row], [ROOM]]),'ROOM TIME'!$H$2:$H$121,'ROOM TIME'!$J$2:$J$121)</f>
        <v>40.061111111111103</v>
      </c>
      <c r="P131" s="9">
        <f>(INDEX(Sheet1!$X$48:$Z$67,MATCH(Table1[[#This Row], [ROOM]],Sheet1!$P$48:$P$67,0),MATCH(Table1[[#This Row], [WEAPON]],Sheet1!$X$47:$Z$47,0)))/Table1[[#This Row], [NUM OF MEM]]</f>
        <v>5.416666666666667</v>
      </c>
      <c r="Q131" s="9">
        <f>Table1[[#This Row], [ROOM TIME]]+Table1[[#This Row], [GUARD TIME]]</f>
        <v>45.477777777777767</v>
      </c>
      <c r="R131" s="4">
        <f>Sheet1!$K$3*_xlfn.XLOOKUP(Table1[[#This Row], [DISGUISE]],Sheet1!$A$21:$A$23,Sheet1!$D$21:$D$23)</f>
        <v>66</v>
      </c>
      <c r="S131" s="9">
        <f>Table1[[#This Row], [TOTAL TIME]]-Table1[[#This Row], [TOTAL TIME TAKEN]]</f>
        <v>20.522222222222233</v>
      </c>
      <c r="T131" t="str">
        <f>IF(Table1[[#This Row], [TIME DIFFERENCE]]&gt;=0,"PASS","FAIL")</f>
        <v>PASS</v>
      </c>
      <c r="U131" s="4">
        <f>Table1[[#This Row], [TRC]]+Table1[[#This Row], [DRC]]+Table1[[#This Row], [WRC]]+Table1[[#This Row], [ERC]]+Table1[[#This Row], [EQRC]]</f>
        <v>8129276</v>
      </c>
      <c r="V131" s="4">
        <f>Table1[[#This Row], [TOTAL COST]]+_xlfn.XLOOKUP(Table1[[#This Row], [TEAM]],Sheet1!$A$12:$A$17,Sheet1!$I$12:$I$17)</f>
        <v>8425776</v>
      </c>
      <c r="W131" s="4">
        <f>Table1[[#This Row], [LOOT]]-Table1[[#This Row], [TOTAL COST]]</f>
        <v>10070724</v>
      </c>
      <c r="X131" s="4">
        <f>IF(Table1[[#This Row], [PASS/FAIL]]="FAIL",0,Table1[[#This Row], [PROFIT]])</f>
        <v>10070724</v>
      </c>
    </row>
    <row r="132" spans="1:24" ht="19.5" customHeight="1" x14ac:dyDescent="0.45">
      <c r="A132" t="s">
        <v>15</v>
      </c>
      <c r="B132" s="14">
        <f>_xlfn.XLOOKUP(Table1[[#This Row], [TEAM]],Sheet1!$A$12:$A$17,Sheet1!$F$12:$F$17)</f>
        <v>2</v>
      </c>
      <c r="C132" s="14">
        <f>_xlfn.XLOOKUP(Table1[[#This Row], [TEAM]],Sheet1!$A$12:$A$17,Sheet1!$G$12:$G$17)</f>
        <v>5932950</v>
      </c>
      <c r="D132" t="s">
        <v>33</v>
      </c>
      <c r="E132" s="4">
        <f>_xlfn.XLOOKUP(Table1[[#This Row], [ROOM]],Sheet1!$A$47:$A$66,Sheet1!$B$47:$B$66)</f>
        <v>356</v>
      </c>
      <c r="F132" t="s">
        <v>58</v>
      </c>
      <c r="G132" s="4">
        <f>_xlfn.XLOOKUP(Table1[[#This Row], [DISGUISE]],Sheet1!$A$21:$A$23,Sheet1!$B$21:$B$23)*Table1[[#This Row], [NUM OF MEM]]*(1+_xlfn.XLOOKUP(Table1[[#This Row], [DISGUISE]],Sheet1!$A$21:$A$23,Sheet1!$C$21:$C$23))</f>
        <v>25600</v>
      </c>
      <c r="H132" s="13" t="s">
        <v>59</v>
      </c>
      <c r="I132" s="4">
        <f>_xlfn.XLOOKUP(Table1[[#This Row], [WEAPON]],Sheet1!$A$27:$A$29,Sheet1!$B$27:$B$29)*Table1[[#This Row], [NUM OF MEM]]*(1+_xlfn.XLOOKUP(Table1[[#This Row], [WEAPON]],Sheet1!$A$27:$A$29,Sheet1!$C$27:$C$29))</f>
        <v>91000</v>
      </c>
      <c r="J132" t="s">
        <v>64</v>
      </c>
      <c r="K132" s="9">
        <f>Table1[[#This Row], [NUM OF MEM]]*Table1[[#This Row], [TOTAL TIME TAKEN]]*_xlfn.XLOOKUP(Table1[[#This Row], [EXIT]],Sheet1!$A$70:$A$71,Sheet1!$B$70:$B$71)*(1+_xlfn.XLOOKUP(Table1[[#This Row], [EXIT]],Sheet1!$A$70:$A$71,Sheet1!$C$70:$C$71))</f>
        <v>1672811.9999999998</v>
      </c>
      <c r="L132" s="13" t="s">
        <v>65</v>
      </c>
      <c r="M132" s="4">
        <f>IF(Table1[[#This Row], [EQUIPMENT]]="YES",Sheet1!$C$44*(1+Sheet1!$D$44),0)</f>
        <v>307500</v>
      </c>
      <c r="N132" s="4">
        <f>_xlfn.XLOOKUP(Table1[[#This Row], [ROOM]],Sheet1!$A$47:$A$66,Sheet1!$F$47:$F$66)</f>
        <v>18100000</v>
      </c>
      <c r="O132" s="9">
        <f>_xlfn.XLOOKUP(_xlfn.CONCAT(Table1[[#This Row], [TEAM]],Table1[[#This Row], [ROOM]]),'ROOM TIME'!$H$2:$H$121,'ROOM TIME'!$J$2:$J$121)</f>
        <v>57.637499999999989</v>
      </c>
      <c r="P132" s="9">
        <f>(INDEX(Sheet1!$X$48:$Z$67,MATCH(Table1[[#This Row], [ROOM]],Sheet1!$P$48:$P$67,0),MATCH(Table1[[#This Row], [WEAPON]],Sheet1!$X$47:$Z$47,0)))/Table1[[#This Row], [NUM OF MEM]]</f>
        <v>6.8999999999999995</v>
      </c>
      <c r="Q132" s="9">
        <f>Table1[[#This Row], [ROOM TIME]]+Table1[[#This Row], [GUARD TIME]]</f>
        <v>64.537499999999994</v>
      </c>
      <c r="R132" s="4">
        <f>Sheet1!$K$3*_xlfn.XLOOKUP(Table1[[#This Row], [DISGUISE]],Sheet1!$A$21:$A$23,Sheet1!$D$21:$D$23)</f>
        <v>69</v>
      </c>
      <c r="S132" s="9">
        <f>Table1[[#This Row], [TOTAL TIME]]-Table1[[#This Row], [TOTAL TIME TAKEN]]</f>
        <v>4.4625000000000057</v>
      </c>
      <c r="T132" t="str">
        <f>IF(Table1[[#This Row], [TIME DIFFERENCE]]&gt;=0,"PASS","FAIL")</f>
        <v>PASS</v>
      </c>
      <c r="U132" s="4">
        <f>Table1[[#This Row], [TRC]]+Table1[[#This Row], [DRC]]+Table1[[#This Row], [WRC]]+Table1[[#This Row], [ERC]]+Table1[[#This Row], [EQRC]]</f>
        <v>8029862</v>
      </c>
      <c r="V132" s="9">
        <f>Table1[[#This Row], [TOTAL COST]]+_xlfn.XLOOKUP(Table1[[#This Row], [TEAM]],Sheet1!$A$12:$A$17,Sheet1!$I$12:$I$17)</f>
        <v>8326509.5</v>
      </c>
      <c r="W132" s="4">
        <f>Table1[[#This Row], [LOOT]]-Table1[[#This Row], [TOTAL COST]]</f>
        <v>10070138</v>
      </c>
      <c r="X132" s="4">
        <f>IF(Table1[[#This Row], [PASS/FAIL]]="FAIL",0,Table1[[#This Row], [PROFIT]])</f>
        <v>10070138</v>
      </c>
    </row>
    <row r="133" spans="1:24" ht="19.5" customHeight="1" x14ac:dyDescent="0.45">
      <c r="A133" t="s">
        <v>13</v>
      </c>
      <c r="B133" s="14">
        <f>_xlfn.XLOOKUP(Table1[[#This Row], [TEAM]],Sheet1!$A$12:$A$17,Sheet1!$F$12:$F$17)</f>
        <v>3</v>
      </c>
      <c r="C133" s="14">
        <f>_xlfn.XLOOKUP(Table1[[#This Row], [TEAM]],Sheet1!$A$12:$A$17,Sheet1!$G$12:$G$17)</f>
        <v>5930000</v>
      </c>
      <c r="D133" t="s">
        <v>32</v>
      </c>
      <c r="E133" s="4">
        <f>_xlfn.XLOOKUP(Table1[[#This Row], [ROOM]],Sheet1!$A$47:$A$66,Sheet1!$B$47:$B$66)</f>
        <v>346</v>
      </c>
      <c r="F133" t="s">
        <v>58</v>
      </c>
      <c r="G133" s="4">
        <f>_xlfn.XLOOKUP(Table1[[#This Row], [DISGUISE]],Sheet1!$A$21:$A$23,Sheet1!$B$21:$B$23)*Table1[[#This Row], [NUM OF MEM]]*(1+_xlfn.XLOOKUP(Table1[[#This Row], [DISGUISE]],Sheet1!$A$21:$A$23,Sheet1!$C$21:$C$23))</f>
        <v>38400</v>
      </c>
      <c r="H133" s="13" t="s">
        <v>63</v>
      </c>
      <c r="I133" s="4">
        <f>_xlfn.XLOOKUP(Table1[[#This Row], [WEAPON]],Sheet1!$A$27:$A$29,Sheet1!$B$27:$B$29)*Table1[[#This Row], [NUM OF MEM]]*(1+_xlfn.XLOOKUP(Table1[[#This Row], [WEAPON]],Sheet1!$A$27:$A$29,Sheet1!$C$27:$C$29))</f>
        <v>69000</v>
      </c>
      <c r="J133" t="s">
        <v>64</v>
      </c>
      <c r="K133" s="9">
        <f>Table1[[#This Row], [NUM OF MEM]]*Table1[[#This Row], [TOTAL TIME TAKEN]]*_xlfn.XLOOKUP(Table1[[#This Row], [EXIT]],Sheet1!$A$70:$A$71,Sheet1!$B$70:$B$71)*(1+_xlfn.XLOOKUP(Table1[[#This Row], [EXIT]],Sheet1!$A$70:$A$71,Sheet1!$C$70:$C$71))</f>
        <v>1785023.9999999998</v>
      </c>
      <c r="L133" s="13" t="s">
        <v>65</v>
      </c>
      <c r="M133" s="4">
        <f>IF(Table1[[#This Row], [EQUIPMENT]]="YES",Sheet1!$C$44*(1+Sheet1!$D$44),0)</f>
        <v>307500</v>
      </c>
      <c r="N133" s="4">
        <f>_xlfn.XLOOKUP(Table1[[#This Row], [ROOM]],Sheet1!$A$47:$A$66,Sheet1!$F$47:$F$66)</f>
        <v>18200000</v>
      </c>
      <c r="O133" s="9">
        <f>_xlfn.XLOOKUP(_xlfn.CONCAT(Table1[[#This Row], [TEAM]],Table1[[#This Row], [ROOM]]),'ROOM TIME'!$H$2:$H$121,'ROOM TIME'!$J$2:$J$121)</f>
        <v>40.061111111111103</v>
      </c>
      <c r="P133" s="9">
        <f>(INDEX(Sheet1!$X$48:$Z$67,MATCH(Table1[[#This Row], [ROOM]],Sheet1!$P$48:$P$67,0),MATCH(Table1[[#This Row], [WEAPON]],Sheet1!$X$47:$Z$47,0)))/Table1[[#This Row], [NUM OF MEM]]</f>
        <v>5.8500000000000005</v>
      </c>
      <c r="Q133" s="9">
        <f>Table1[[#This Row], [ROOM TIME]]+Table1[[#This Row], [GUARD TIME]]</f>
        <v>45.911111111111104</v>
      </c>
      <c r="R133" s="4">
        <f>Sheet1!$K$3*_xlfn.XLOOKUP(Table1[[#This Row], [DISGUISE]],Sheet1!$A$21:$A$23,Sheet1!$D$21:$D$23)</f>
        <v>69</v>
      </c>
      <c r="S133" s="9">
        <f>Table1[[#This Row], [TOTAL TIME]]-Table1[[#This Row], [TOTAL TIME TAKEN]]</f>
        <v>23.088888888888896</v>
      </c>
      <c r="T133" t="str">
        <f>IF(Table1[[#This Row], [TIME DIFFERENCE]]&gt;=0,"PASS","FAIL")</f>
        <v>PASS</v>
      </c>
      <c r="U133" s="4">
        <f>Table1[[#This Row], [TRC]]+Table1[[#This Row], [DRC]]+Table1[[#This Row], [WRC]]+Table1[[#This Row], [ERC]]+Table1[[#This Row], [EQRC]]</f>
        <v>8129924</v>
      </c>
      <c r="V133" s="4">
        <f>Table1[[#This Row], [TOTAL COST]]+_xlfn.XLOOKUP(Table1[[#This Row], [TEAM]],Sheet1!$A$12:$A$17,Sheet1!$I$12:$I$17)</f>
        <v>8426424</v>
      </c>
      <c r="W133" s="4">
        <f>Table1[[#This Row], [LOOT]]-Table1[[#This Row], [TOTAL COST]]</f>
        <v>10070076</v>
      </c>
      <c r="X133" s="4">
        <f>IF(Table1[[#This Row], [PASS/FAIL]]="FAIL",0,Table1[[#This Row], [PROFIT]])</f>
        <v>10070076</v>
      </c>
    </row>
    <row r="134" spans="1:24" ht="19.5" customHeight="1" x14ac:dyDescent="0.45">
      <c r="A134" t="s">
        <v>14</v>
      </c>
      <c r="B134" s="14">
        <f>_xlfn.XLOOKUP(Table1[[#This Row], [TEAM]],Sheet1!$A$12:$A$17,Sheet1!$F$12:$F$17)</f>
        <v>2</v>
      </c>
      <c r="C134" s="14">
        <f>_xlfn.XLOOKUP(Table1[[#This Row], [TEAM]],Sheet1!$A$12:$A$17,Sheet1!$G$12:$G$17)</f>
        <v>5949600</v>
      </c>
      <c r="D134" t="s">
        <v>33</v>
      </c>
      <c r="E134" s="4">
        <f>_xlfn.XLOOKUP(Table1[[#This Row], [ROOM]],Sheet1!$A$47:$A$66,Sheet1!$B$47:$B$66)</f>
        <v>356</v>
      </c>
      <c r="F134" t="s">
        <v>58</v>
      </c>
      <c r="G13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4" s="13" t="s">
        <v>59</v>
      </c>
      <c r="I134" s="4">
        <f>_xlfn.XLOOKUP(Table1[[#This Row], [WEAPON]],Sheet1!$A$27:$A$29,Sheet1!$B$27:$B$29)*Table1[[#This Row], [NUM OF MEM]]*(1+_xlfn.XLOOKUP(Table1[[#This Row], [WEAPON]],Sheet1!$A$27:$A$29,Sheet1!$C$27:$C$29))</f>
        <v>91000</v>
      </c>
      <c r="J134" t="s">
        <v>60</v>
      </c>
      <c r="K134" s="9">
        <f>Table1[[#This Row], [NUM OF MEM]]*Table1[[#This Row], [TOTAL TIME TAKEN]]*_xlfn.XLOOKUP(Table1[[#This Row], [EXIT]],Sheet1!$A$70:$A$71,Sheet1!$B$70:$B$71)*(1+_xlfn.XLOOKUP(Table1[[#This Row], [EXIT]],Sheet1!$A$70:$A$71,Sheet1!$C$70:$C$71))</f>
        <v>1656643.6687499997</v>
      </c>
      <c r="L134" s="13" t="s">
        <v>65</v>
      </c>
      <c r="M134" s="4">
        <f>IF(Table1[[#This Row], [EQUIPMENT]]="YES",Sheet1!$C$44*(1+Sheet1!$D$44),0)</f>
        <v>307500</v>
      </c>
      <c r="N134" s="4">
        <f>_xlfn.XLOOKUP(Table1[[#This Row], [ROOM]],Sheet1!$A$47:$A$66,Sheet1!$F$47:$F$66)</f>
        <v>18100000</v>
      </c>
      <c r="O134" s="9">
        <f>_xlfn.XLOOKUP(_xlfn.CONCAT(Table1[[#This Row], [TEAM]],Table1[[#This Row], [ROOM]]),'ROOM TIME'!$H$2:$H$121,'ROOM TIME'!$J$2:$J$121)</f>
        <v>57.648749999999986</v>
      </c>
      <c r="P134" s="9">
        <f>(INDEX(Sheet1!$X$48:$Z$67,MATCH(Table1[[#This Row], [ROOM]],Sheet1!$P$48:$P$67,0),MATCH(Table1[[#This Row], [WEAPON]],Sheet1!$X$47:$Z$47,0)))/Table1[[#This Row], [NUM OF MEM]]</f>
        <v>6.8999999999999995</v>
      </c>
      <c r="Q134" s="9">
        <f>Table1[[#This Row], [ROOM TIME]]+Table1[[#This Row], [GUARD TIME]]</f>
        <v>64.548749999999984</v>
      </c>
      <c r="R134" s="4">
        <f>Sheet1!$K$3*_xlfn.XLOOKUP(Table1[[#This Row], [DISGUISE]],Sheet1!$A$21:$A$23,Sheet1!$D$21:$D$23)</f>
        <v>69</v>
      </c>
      <c r="S134" s="9">
        <f>Table1[[#This Row], [TOTAL TIME]]-Table1[[#This Row], [TOTAL TIME TAKEN]]</f>
        <v>4.4512500000000159</v>
      </c>
      <c r="T134" t="str">
        <f>IF(Table1[[#This Row], [TIME DIFFERENCE]]&gt;=0,"PASS","FAIL")</f>
        <v>PASS</v>
      </c>
      <c r="U134" s="9">
        <f>Table1[[#This Row], [TRC]]+Table1[[#This Row], [DRC]]+Table1[[#This Row], [WRC]]+Table1[[#This Row], [ERC]]+Table1[[#This Row], [EQRC]]</f>
        <v>8030343.6687499993</v>
      </c>
      <c r="V134" s="9">
        <f>Table1[[#This Row], [TOTAL COST]]+_xlfn.XLOOKUP(Table1[[#This Row], [TEAM]],Sheet1!$A$12:$A$17,Sheet1!$I$12:$I$17)</f>
        <v>8327823.6687499993</v>
      </c>
      <c r="W134" s="9">
        <f>Table1[[#This Row], [LOOT]]-Table1[[#This Row], [TOTAL COST]]</f>
        <v>10069656.331250001</v>
      </c>
      <c r="X134" s="9">
        <f>IF(Table1[[#This Row], [PASS/FAIL]]="FAIL",0,Table1[[#This Row], [PROFIT]])</f>
        <v>10069656.331250001</v>
      </c>
    </row>
    <row r="135" spans="1:24" ht="19.5" customHeight="1" x14ac:dyDescent="0.45">
      <c r="A135" t="s">
        <v>12</v>
      </c>
      <c r="B135" s="14">
        <f>_xlfn.XLOOKUP(Table1[[#This Row], [TEAM]],Sheet1!$A$12:$A$17,Sheet1!$F$12:$F$17)</f>
        <v>3</v>
      </c>
      <c r="C135" s="14">
        <f>_xlfn.XLOOKUP(Table1[[#This Row], [TEAM]],Sheet1!$A$12:$A$17,Sheet1!$G$12:$G$17)</f>
        <v>5988750</v>
      </c>
      <c r="D135" t="s">
        <v>32</v>
      </c>
      <c r="E135" s="4">
        <f>_xlfn.XLOOKUP(Table1[[#This Row], [ROOM]],Sheet1!$A$47:$A$66,Sheet1!$B$47:$B$66)</f>
        <v>346</v>
      </c>
      <c r="F135" t="s">
        <v>62</v>
      </c>
      <c r="G135" s="4">
        <f>_xlfn.XLOOKUP(Table1[[#This Row], [DISGUISE]],Sheet1!$A$21:$A$23,Sheet1!$B$21:$B$23)*Table1[[#This Row], [NUM OF MEM]]*(1+_xlfn.XLOOKUP(Table1[[#This Row], [DISGUISE]],Sheet1!$A$21:$A$23,Sheet1!$C$21:$C$23))</f>
        <v>15600</v>
      </c>
      <c r="H135" s="13" t="s">
        <v>66</v>
      </c>
      <c r="I135" s="4">
        <f>_xlfn.XLOOKUP(Table1[[#This Row], [WEAPON]],Sheet1!$A$27:$A$29,Sheet1!$B$27:$B$29)*Table1[[#This Row], [NUM OF MEM]]*(1+_xlfn.XLOOKUP(Table1[[#This Row], [WEAPON]],Sheet1!$A$27:$A$29,Sheet1!$C$27:$C$29))</f>
        <v>108000</v>
      </c>
      <c r="J135" t="s">
        <v>64</v>
      </c>
      <c r="K135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1711367.9999999993</v>
      </c>
      <c r="L135" s="13" t="s">
        <v>65</v>
      </c>
      <c r="M135" s="4">
        <f>IF(Table1[[#This Row], [EQUIPMENT]]="YES",Sheet1!$C$44*(1+Sheet1!$D$44),0)</f>
        <v>307500</v>
      </c>
      <c r="N135" s="4">
        <f>_xlfn.XLOOKUP(Table1[[#This Row], [ROOM]],Sheet1!$A$47:$A$66,Sheet1!$F$47:$F$66)</f>
        <v>18200000</v>
      </c>
      <c r="O135" s="9">
        <f>_xlfn.XLOOKUP(_xlfn.CONCAT(Table1[[#This Row], [TEAM]],Table1[[#This Row], [ROOM]]),'ROOM TIME'!$H$2:$H$121,'ROOM TIME'!$J$2:$J$121)</f>
        <v>38.599999999999987</v>
      </c>
      <c r="P135" s="9">
        <f>(INDEX(Sheet1!$X$48:$Z$67,MATCH(Table1[[#This Row], [ROOM]],Sheet1!$P$48:$P$67,0),MATCH(Table1[[#This Row], [WEAPON]],Sheet1!$X$47:$Z$47,0)))/Table1[[#This Row], [NUM OF MEM]]</f>
        <v>5.416666666666667</v>
      </c>
      <c r="Q135" s="9">
        <f>Table1[[#This Row], [ROOM TIME]]+Table1[[#This Row], [GUARD TIME]]</f>
        <v>44.016666666666652</v>
      </c>
      <c r="R135" s="4">
        <f>Sheet1!$K$3*_xlfn.XLOOKUP(Table1[[#This Row], [DISGUISE]],Sheet1!$A$21:$A$23,Sheet1!$D$21:$D$23)</f>
        <v>66</v>
      </c>
      <c r="S135" s="9">
        <f>Table1[[#This Row], [TOTAL TIME]]-Table1[[#This Row], [TOTAL TIME TAKEN]]</f>
        <v>21.983333333333348</v>
      </c>
      <c r="T135" t="str">
        <f>IF(Table1[[#This Row], [TIME DIFFERENCE]]&gt;=0,"PASS","FAIL")</f>
        <v>PASS</v>
      </c>
      <c r="U135" s="9">
        <f>Table1[[#This Row], [TRC]]+Table1[[#This Row], [DRC]]+Table1[[#This Row], [WRC]]+Table1[[#This Row], [ERC]]+Table1[[#This Row], [EQRC]]</f>
        <v>8131217.9999999991</v>
      </c>
      <c r="V135" s="9">
        <f>Table1[[#This Row], [TOTAL COST]]+_xlfn.XLOOKUP(Table1[[#This Row], [TEAM]],Sheet1!$A$12:$A$17,Sheet1!$I$12:$I$17)</f>
        <v>8430655.5</v>
      </c>
      <c r="W135" s="4">
        <f>Table1[[#This Row], [LOOT]]-Table1[[#This Row], [TOTAL COST]]</f>
        <v>10068782</v>
      </c>
      <c r="X135" s="4">
        <f>IF(Table1[[#This Row], [PASS/FAIL]]="FAIL",0,Table1[[#This Row], [PROFIT]])</f>
        <v>10068782</v>
      </c>
    </row>
    <row r="136" spans="1:24" ht="19.5" customHeight="1" x14ac:dyDescent="0.45">
      <c r="A136" t="s">
        <v>14</v>
      </c>
      <c r="B136" s="14">
        <f>_xlfn.XLOOKUP(Table1[[#This Row], [TEAM]],Sheet1!$A$12:$A$17,Sheet1!$F$12:$F$17)</f>
        <v>2</v>
      </c>
      <c r="C136" s="14">
        <f>_xlfn.XLOOKUP(Table1[[#This Row], [TEAM]],Sheet1!$A$12:$A$17,Sheet1!$G$12:$G$17)</f>
        <v>5949600</v>
      </c>
      <c r="D136" t="s">
        <v>33</v>
      </c>
      <c r="E136" s="4">
        <f>_xlfn.XLOOKUP(Table1[[#This Row], [ROOM]],Sheet1!$A$47:$A$66,Sheet1!$B$47:$B$66)</f>
        <v>356</v>
      </c>
      <c r="F136" t="s">
        <v>62</v>
      </c>
      <c r="G136" s="4">
        <f>_xlfn.XLOOKUP(Table1[[#This Row], [DISGUISE]],Sheet1!$A$21:$A$23,Sheet1!$B$21:$B$23)*Table1[[#This Row], [NUM OF MEM]]*(1+_xlfn.XLOOKUP(Table1[[#This Row], [DISGUISE]],Sheet1!$A$21:$A$23,Sheet1!$C$21:$C$23))</f>
        <v>10400</v>
      </c>
      <c r="H136" s="13" t="s">
        <v>59</v>
      </c>
      <c r="I136" s="4">
        <f>_xlfn.XLOOKUP(Table1[[#This Row], [WEAPON]],Sheet1!$A$27:$A$29,Sheet1!$B$27:$B$29)*Table1[[#This Row], [NUM OF MEM]]*(1+_xlfn.XLOOKUP(Table1[[#This Row], [WEAPON]],Sheet1!$A$27:$A$29,Sheet1!$C$27:$C$29))</f>
        <v>91000</v>
      </c>
      <c r="J136" t="s">
        <v>64</v>
      </c>
      <c r="K136" s="9">
        <f>Table1[[#This Row], [NUM OF MEM]]*Table1[[#This Row], [TOTAL TIME TAKEN]]*_xlfn.XLOOKUP(Table1[[#This Row], [EXIT]],Sheet1!$A$70:$A$71,Sheet1!$B$70:$B$71)*(1+_xlfn.XLOOKUP(Table1[[#This Row], [EXIT]],Sheet1!$A$70:$A$71,Sheet1!$C$70:$C$71))</f>
        <v>1673103.5999999996</v>
      </c>
      <c r="L136" s="13" t="s">
        <v>65</v>
      </c>
      <c r="M136" s="4">
        <f>IF(Table1[[#This Row], [EQUIPMENT]]="YES",Sheet1!$C$44*(1+Sheet1!$D$44),0)</f>
        <v>307500</v>
      </c>
      <c r="N136" s="4">
        <f>_xlfn.XLOOKUP(Table1[[#This Row], [ROOM]],Sheet1!$A$47:$A$66,Sheet1!$F$47:$F$66)</f>
        <v>18100000</v>
      </c>
      <c r="O136" s="9">
        <f>_xlfn.XLOOKUP(_xlfn.CONCAT(Table1[[#This Row], [TEAM]],Table1[[#This Row], [ROOM]]),'ROOM TIME'!$H$2:$H$121,'ROOM TIME'!$J$2:$J$121)</f>
        <v>57.648749999999986</v>
      </c>
      <c r="P136" s="9">
        <f>(INDEX(Sheet1!$X$48:$Z$67,MATCH(Table1[[#This Row], [ROOM]],Sheet1!$P$48:$P$67,0),MATCH(Table1[[#This Row], [WEAPON]],Sheet1!$X$47:$Z$47,0)))/Table1[[#This Row], [NUM OF MEM]]</f>
        <v>6.8999999999999995</v>
      </c>
      <c r="Q136" s="9">
        <f>Table1[[#This Row], [ROOM TIME]]+Table1[[#This Row], [GUARD TIME]]</f>
        <v>64.548749999999984</v>
      </c>
      <c r="R136" s="4">
        <f>Sheet1!$K$3*_xlfn.XLOOKUP(Table1[[#This Row], [DISGUISE]],Sheet1!$A$21:$A$23,Sheet1!$D$21:$D$23)</f>
        <v>66</v>
      </c>
      <c r="S136" s="9">
        <f>Table1[[#This Row], [TOTAL TIME]]-Table1[[#This Row], [TOTAL TIME TAKEN]]</f>
        <v>1.4512500000000159</v>
      </c>
      <c r="T136" t="str">
        <f>IF(Table1[[#This Row], [TIME DIFFERENCE]]&gt;=0,"PASS","FAIL")</f>
        <v>PASS</v>
      </c>
      <c r="U136" s="9">
        <f>Table1[[#This Row], [TRC]]+Table1[[#This Row], [DRC]]+Table1[[#This Row], [WRC]]+Table1[[#This Row], [ERC]]+Table1[[#This Row], [EQRC]]</f>
        <v>8031603.5999999996</v>
      </c>
      <c r="V136" s="9">
        <f>Table1[[#This Row], [TOTAL COST]]+_xlfn.XLOOKUP(Table1[[#This Row], [TEAM]],Sheet1!$A$12:$A$17,Sheet1!$I$12:$I$17)</f>
        <v>8329083.5999999996</v>
      </c>
      <c r="W136" s="9">
        <f>Table1[[#This Row], [LOOT]]-Table1[[#This Row], [TOTAL COST]]</f>
        <v>10068396.4</v>
      </c>
      <c r="X136" s="9">
        <f>IF(Table1[[#This Row], [PASS/FAIL]]="FAIL",0,Table1[[#This Row], [PROFIT]])</f>
        <v>10068396.4</v>
      </c>
    </row>
    <row r="137" spans="1:24" ht="19.5" customHeight="1" x14ac:dyDescent="0.45">
      <c r="A137" t="s">
        <v>12</v>
      </c>
      <c r="B137" s="14">
        <f>_xlfn.XLOOKUP(Table1[[#This Row], [TEAM]],Sheet1!$A$12:$A$17,Sheet1!$F$12:$F$17)</f>
        <v>3</v>
      </c>
      <c r="C137" s="14">
        <f>_xlfn.XLOOKUP(Table1[[#This Row], [TEAM]],Sheet1!$A$12:$A$17,Sheet1!$G$12:$G$17)</f>
        <v>5988750</v>
      </c>
      <c r="D137" t="s">
        <v>32</v>
      </c>
      <c r="E137" s="4">
        <f>_xlfn.XLOOKUP(Table1[[#This Row], [ROOM]],Sheet1!$A$47:$A$66,Sheet1!$B$47:$B$66)</f>
        <v>346</v>
      </c>
      <c r="F137" t="s">
        <v>58</v>
      </c>
      <c r="G137" s="4">
        <f>_xlfn.XLOOKUP(Table1[[#This Row], [DISGUISE]],Sheet1!$A$21:$A$23,Sheet1!$B$21:$B$23)*Table1[[#This Row], [NUM OF MEM]]*(1+_xlfn.XLOOKUP(Table1[[#This Row], [DISGUISE]],Sheet1!$A$21:$A$23,Sheet1!$C$21:$C$23))</f>
        <v>38400</v>
      </c>
      <c r="H137" s="13" t="s">
        <v>63</v>
      </c>
      <c r="I137" s="4">
        <f>_xlfn.XLOOKUP(Table1[[#This Row], [WEAPON]],Sheet1!$A$27:$A$29,Sheet1!$B$27:$B$29)*Table1[[#This Row], [NUM OF MEM]]*(1+_xlfn.XLOOKUP(Table1[[#This Row], [WEAPON]],Sheet1!$A$27:$A$29,Sheet1!$C$27:$C$29))</f>
        <v>69000</v>
      </c>
      <c r="J137" t="s">
        <v>64</v>
      </c>
      <c r="K137" s="9">
        <f>Table1[[#This Row], [NUM OF MEM]]*Table1[[#This Row], [TOTAL TIME TAKEN]]*_xlfn.XLOOKUP(Table1[[#This Row], [EXIT]],Sheet1!$A$70:$A$71,Sheet1!$B$70:$B$71)*(1+_xlfn.XLOOKUP(Table1[[#This Row], [EXIT]],Sheet1!$A$70:$A$71,Sheet1!$C$70:$C$71))</f>
        <v>1728215.9999999993</v>
      </c>
      <c r="L137" s="13" t="s">
        <v>65</v>
      </c>
      <c r="M137" s="4">
        <f>IF(Table1[[#This Row], [EQUIPMENT]]="YES",Sheet1!$C$44*(1+Sheet1!$D$44),0)</f>
        <v>307500</v>
      </c>
      <c r="N137" s="4">
        <f>_xlfn.XLOOKUP(Table1[[#This Row], [ROOM]],Sheet1!$A$47:$A$66,Sheet1!$F$47:$F$66)</f>
        <v>18200000</v>
      </c>
      <c r="O137" s="9">
        <f>_xlfn.XLOOKUP(_xlfn.CONCAT(Table1[[#This Row], [TEAM]],Table1[[#This Row], [ROOM]]),'ROOM TIME'!$H$2:$H$121,'ROOM TIME'!$J$2:$J$121)</f>
        <v>38.599999999999987</v>
      </c>
      <c r="P137" s="9">
        <f>(INDEX(Sheet1!$X$48:$Z$67,MATCH(Table1[[#This Row], [ROOM]],Sheet1!$P$48:$P$67,0),MATCH(Table1[[#This Row], [WEAPON]],Sheet1!$X$47:$Z$47,0)))/Table1[[#This Row], [NUM OF MEM]]</f>
        <v>5.8500000000000005</v>
      </c>
      <c r="Q137" s="9">
        <f>Table1[[#This Row], [ROOM TIME]]+Table1[[#This Row], [GUARD TIME]]</f>
        <v>44.449999999999989</v>
      </c>
      <c r="R137" s="4">
        <f>Sheet1!$K$3*_xlfn.XLOOKUP(Table1[[#This Row], [DISGUISE]],Sheet1!$A$21:$A$23,Sheet1!$D$21:$D$23)</f>
        <v>69</v>
      </c>
      <c r="S137" s="9">
        <f>Table1[[#This Row], [TOTAL TIME]]-Table1[[#This Row], [TOTAL TIME TAKEN]]</f>
        <v>24.550000000000011</v>
      </c>
      <c r="T137" t="str">
        <f>IF(Table1[[#This Row], [TIME DIFFERENCE]]&gt;=0,"PASS","FAIL")</f>
        <v>PASS</v>
      </c>
      <c r="U137" s="9">
        <f>Table1[[#This Row], [TRC]]+Table1[[#This Row], [DRC]]+Table1[[#This Row], [WRC]]+Table1[[#This Row], [ERC]]+Table1[[#This Row], [EQRC]]</f>
        <v>8131865.9999999991</v>
      </c>
      <c r="V137" s="9">
        <f>Table1[[#This Row], [TOTAL COST]]+_xlfn.XLOOKUP(Table1[[#This Row], [TEAM]],Sheet1!$A$12:$A$17,Sheet1!$I$12:$I$17)</f>
        <v>8431303.5</v>
      </c>
      <c r="W137" s="4">
        <f>Table1[[#This Row], [LOOT]]-Table1[[#This Row], [TOTAL COST]]</f>
        <v>10068134</v>
      </c>
      <c r="X137" s="4">
        <f>IF(Table1[[#This Row], [PASS/FAIL]]="FAIL",0,Table1[[#This Row], [PROFIT]])</f>
        <v>10068134</v>
      </c>
    </row>
    <row r="138" spans="1:24" ht="19.5" customHeight="1" x14ac:dyDescent="0.45">
      <c r="A138" t="s">
        <v>14</v>
      </c>
      <c r="B138" s="14">
        <f>_xlfn.XLOOKUP(Table1[[#This Row], [TEAM]],Sheet1!$A$12:$A$17,Sheet1!$F$12:$F$17)</f>
        <v>2</v>
      </c>
      <c r="C138" s="14">
        <f>_xlfn.XLOOKUP(Table1[[#This Row], [TEAM]],Sheet1!$A$12:$A$17,Sheet1!$G$12:$G$17)</f>
        <v>5949600</v>
      </c>
      <c r="D138" t="s">
        <v>33</v>
      </c>
      <c r="E138" s="4">
        <f>_xlfn.XLOOKUP(Table1[[#This Row], [ROOM]],Sheet1!$A$47:$A$66,Sheet1!$B$47:$B$66)</f>
        <v>356</v>
      </c>
      <c r="F138" t="s">
        <v>58</v>
      </c>
      <c r="G138" s="4">
        <f>_xlfn.XLOOKUP(Table1[[#This Row], [DISGUISE]],Sheet1!$A$21:$A$23,Sheet1!$B$21:$B$23)*Table1[[#This Row], [NUM OF MEM]]*(1+_xlfn.XLOOKUP(Table1[[#This Row], [DISGUISE]],Sheet1!$A$21:$A$23,Sheet1!$C$21:$C$23))</f>
        <v>25600</v>
      </c>
      <c r="H138" s="13" t="s">
        <v>63</v>
      </c>
      <c r="I138" s="4">
        <f>_xlfn.XLOOKUP(Table1[[#This Row], [WEAPON]],Sheet1!$A$27:$A$29,Sheet1!$B$27:$B$29)*Table1[[#This Row], [NUM OF MEM]]*(1+_xlfn.XLOOKUP(Table1[[#This Row], [WEAPON]],Sheet1!$A$27:$A$29,Sheet1!$C$27:$C$29))</f>
        <v>46000</v>
      </c>
      <c r="J138" t="s">
        <v>64</v>
      </c>
      <c r="K138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1704207.5999999996</v>
      </c>
      <c r="L138" s="13" t="s">
        <v>65</v>
      </c>
      <c r="M138" s="4">
        <f>IF(Table1[[#This Row], [EQUIPMENT]]="YES",Sheet1!$C$44*(1+Sheet1!$D$44),0)</f>
        <v>307500</v>
      </c>
      <c r="N138" s="4">
        <f>_xlfn.XLOOKUP(Table1[[#This Row], [ROOM]],Sheet1!$A$47:$A$66,Sheet1!$F$47:$F$66)</f>
        <v>18100000</v>
      </c>
      <c r="O138" s="9">
        <f>_xlfn.XLOOKUP(_xlfn.CONCAT(Table1[[#This Row], [TEAM]],Table1[[#This Row], [ROOM]]),'ROOM TIME'!$H$2:$H$121,'ROOM TIME'!$J$2:$J$121)</f>
        <v>57.648749999999986</v>
      </c>
      <c r="P138" s="9">
        <f>(INDEX(Sheet1!$X$48:$Z$67,MATCH(Table1[[#This Row], [ROOM]],Sheet1!$P$48:$P$67,0),MATCH(Table1[[#This Row], [WEAPON]],Sheet1!$X$47:$Z$47,0)))/Table1[[#This Row], [NUM OF MEM]]</f>
        <v>8.1000000000000014</v>
      </c>
      <c r="Q138" s="9">
        <f>Table1[[#This Row], [ROOM TIME]]+Table1[[#This Row], [GUARD TIME]]</f>
        <v>65.748749999999987</v>
      </c>
      <c r="R138" s="4">
        <f>Sheet1!$K$3*_xlfn.XLOOKUP(Table1[[#This Row], [DISGUISE]],Sheet1!$A$21:$A$23,Sheet1!$D$21:$D$23)</f>
        <v>69</v>
      </c>
      <c r="S138" s="9">
        <f>Table1[[#This Row], [TOTAL TIME]]-Table1[[#This Row], [TOTAL TIME TAKEN]]</f>
        <v>3.2512500000000131</v>
      </c>
      <c r="T138" t="str">
        <f>IF(Table1[[#This Row], [TIME DIFFERENCE]]&gt;=0,"PASS","FAIL")</f>
        <v>PASS</v>
      </c>
      <c r="U138" s="9">
        <f>Table1[[#This Row], [TRC]]+Table1[[#This Row], [DRC]]+Table1[[#This Row], [WRC]]+Table1[[#This Row], [ERC]]+Table1[[#This Row], [EQRC]]</f>
        <v>8032907.5999999996</v>
      </c>
      <c r="V138" s="9">
        <f>Table1[[#This Row], [TOTAL COST]]+_xlfn.XLOOKUP(Table1[[#This Row], [TEAM]],Sheet1!$A$12:$A$17,Sheet1!$I$12:$I$17)</f>
        <v>8330387.5999999996</v>
      </c>
      <c r="W138" s="9">
        <f>Table1[[#This Row], [LOOT]]-Table1[[#This Row], [TOTAL COST]]</f>
        <v>10067092.4</v>
      </c>
      <c r="X138" s="9">
        <f>IF(Table1[[#This Row], [PASS/FAIL]]="FAIL",0,Table1[[#This Row], [PROFIT]])</f>
        <v>10067092.4</v>
      </c>
    </row>
    <row r="139" spans="1:24" ht="19.5" customHeight="1" x14ac:dyDescent="0.45">
      <c r="A139" t="s">
        <v>12</v>
      </c>
      <c r="B139" s="14">
        <f>_xlfn.XLOOKUP(Table1[[#This Row], [TEAM]],Sheet1!$A$12:$A$17,Sheet1!$F$12:$F$17)</f>
        <v>3</v>
      </c>
      <c r="C139" s="14">
        <f>_xlfn.XLOOKUP(Table1[[#This Row], [TEAM]],Sheet1!$A$12:$A$17,Sheet1!$G$12:$G$17)</f>
        <v>5988750</v>
      </c>
      <c r="D139" t="s">
        <v>26</v>
      </c>
      <c r="E139" s="4">
        <f>_xlfn.XLOOKUP(Table1[[#This Row], [ROOM]],Sheet1!$A$47:$A$66,Sheet1!$B$47:$B$66)</f>
        <v>136</v>
      </c>
      <c r="F139" t="s">
        <v>62</v>
      </c>
      <c r="G139" s="4">
        <f>_xlfn.XLOOKUP(Table1[[#This Row], [DISGUISE]],Sheet1!$A$21:$A$23,Sheet1!$B$21:$B$23)*Table1[[#This Row], [NUM OF MEM]]*(1+_xlfn.XLOOKUP(Table1[[#This Row], [DISGUISE]],Sheet1!$A$21:$A$23,Sheet1!$C$21:$C$23))</f>
        <v>15600</v>
      </c>
      <c r="H139" s="13" t="s">
        <v>63</v>
      </c>
      <c r="I139" s="4">
        <f>_xlfn.XLOOKUP(Table1[[#This Row], [WEAPON]],Sheet1!$A$27:$A$29,Sheet1!$B$27:$B$29)*Table1[[#This Row], [NUM OF MEM]]*(1+_xlfn.XLOOKUP(Table1[[#This Row], [WEAPON]],Sheet1!$A$27:$A$29,Sheet1!$C$27:$C$29))</f>
        <v>69000</v>
      </c>
      <c r="J139" t="s">
        <v>60</v>
      </c>
      <c r="K139" s="9">
        <f>Table1[[#This Row], [NUM OF MEM]]*Table1[[#This Row], [TOTAL TIME TAKEN]]*_xlfn.XLOOKUP(Table1[[#This Row], [EXIT]],Sheet1!$A$70:$A$71,Sheet1!$B$70:$B$71)*(1+_xlfn.XLOOKUP(Table1[[#This Row], [EXIT]],Sheet1!$A$70:$A$71,Sheet1!$C$70:$C$71))</f>
        <v>1702316.6749999993</v>
      </c>
      <c r="L139" s="13" t="s">
        <v>65</v>
      </c>
      <c r="M139" s="4">
        <f>IF(Table1[[#This Row], [EQUIPMENT]]="YES",Sheet1!$C$44*(1+Sheet1!$D$44),0)</f>
        <v>307500</v>
      </c>
      <c r="N139" s="4">
        <f>_xlfn.XLOOKUP(Table1[[#This Row], [ROOM]],Sheet1!$A$47:$A$66,Sheet1!$F$47:$F$66)</f>
        <v>18150000</v>
      </c>
      <c r="O139" s="9">
        <f>_xlfn.XLOOKUP(_xlfn.CONCAT(Table1[[#This Row], [TEAM]],Table1[[#This Row], [ROOM]]),'ROOM TIME'!$H$2:$H$121,'ROOM TIME'!$J$2:$J$121)</f>
        <v>38.818888888888871</v>
      </c>
      <c r="P139" s="9">
        <f>(INDEX(Sheet1!$X$48:$Z$67,MATCH(Table1[[#This Row], [ROOM]],Sheet1!$P$48:$P$67,0),MATCH(Table1[[#This Row], [WEAPON]],Sheet1!$X$47:$Z$47,0)))/Table1[[#This Row], [NUM OF MEM]]</f>
        <v>5.4000000000000012</v>
      </c>
      <c r="Q139" s="9">
        <f>Table1[[#This Row], [ROOM TIME]]+Table1[[#This Row], [GUARD TIME]]</f>
        <v>44.21888888888887</v>
      </c>
      <c r="R139" s="4">
        <f>Sheet1!$K$3*_xlfn.XLOOKUP(Table1[[#This Row], [DISGUISE]],Sheet1!$A$21:$A$23,Sheet1!$D$21:$D$23)</f>
        <v>66</v>
      </c>
      <c r="S139" s="9">
        <f>Table1[[#This Row], [TOTAL TIME]]-Table1[[#This Row], [TOTAL TIME TAKEN]]</f>
        <v>21.78111111111113</v>
      </c>
      <c r="T139" t="str">
        <f>IF(Table1[[#This Row], [TIME DIFFERENCE]]&gt;=0,"PASS","FAIL")</f>
        <v>PASS</v>
      </c>
      <c r="U139" s="9">
        <f>Table1[[#This Row], [TRC]]+Table1[[#This Row], [DRC]]+Table1[[#This Row], [WRC]]+Table1[[#This Row], [ERC]]+Table1[[#This Row], [EQRC]]</f>
        <v>8083166.6749999989</v>
      </c>
      <c r="V139" s="9">
        <f>Table1[[#This Row], [TOTAL COST]]+_xlfn.XLOOKUP(Table1[[#This Row], [TEAM]],Sheet1!$A$12:$A$17,Sheet1!$I$12:$I$17)</f>
        <v>8382604.1749999989</v>
      </c>
      <c r="W139" s="9">
        <f>Table1[[#This Row], [LOOT]]-Table1[[#This Row], [TOTAL COST]]</f>
        <v>10066833.325000001</v>
      </c>
      <c r="X139" s="9">
        <f>IF(Table1[[#This Row], [PASS/FAIL]]="FAIL",0,Table1[[#This Row], [PROFIT]])</f>
        <v>10066833.325000001</v>
      </c>
    </row>
    <row r="140" spans="1:24" ht="19.5" customHeight="1" x14ac:dyDescent="0.45">
      <c r="A140" t="s">
        <v>12</v>
      </c>
      <c r="B140" s="14">
        <f>_xlfn.XLOOKUP(Table1[[#This Row], [TEAM]],Sheet1!$A$12:$A$17,Sheet1!$F$12:$F$17)</f>
        <v>3</v>
      </c>
      <c r="C140" s="14">
        <f>_xlfn.XLOOKUP(Table1[[#This Row], [TEAM]],Sheet1!$A$12:$A$17,Sheet1!$G$12:$G$17)</f>
        <v>5988750</v>
      </c>
      <c r="D140" t="s">
        <v>24</v>
      </c>
      <c r="E140" s="4">
        <f>_xlfn.XLOOKUP(Table1[[#This Row], [ROOM]],Sheet1!$A$47:$A$66,Sheet1!$B$47:$B$66)</f>
        <v>345</v>
      </c>
      <c r="F140" t="s">
        <v>58</v>
      </c>
      <c r="G140" s="4">
        <f>_xlfn.XLOOKUP(Table1[[#This Row], [DISGUISE]],Sheet1!$A$21:$A$23,Sheet1!$B$21:$B$23)*Table1[[#This Row], [NUM OF MEM]]*(1+_xlfn.XLOOKUP(Table1[[#This Row], [DISGUISE]],Sheet1!$A$21:$A$23,Sheet1!$C$21:$C$23))</f>
        <v>38400</v>
      </c>
      <c r="H140" s="13" t="s">
        <v>59</v>
      </c>
      <c r="I140" s="4">
        <f>_xlfn.XLOOKUP(Table1[[#This Row], [WEAPON]],Sheet1!$A$27:$A$29,Sheet1!$B$27:$B$29)*Table1[[#This Row], [NUM OF MEM]]*(1+_xlfn.XLOOKUP(Table1[[#This Row], [WEAPON]],Sheet1!$A$27:$A$29,Sheet1!$C$27:$C$29))</f>
        <v>136500</v>
      </c>
      <c r="J140" t="s">
        <v>64</v>
      </c>
      <c r="K140" s="9">
        <f>Table1[[#This Row], [NUM OF MEM]]*Table1[[#This Row], [TOTAL TIME TAKEN]]*_xlfn.XLOOKUP(Table1[[#This Row], [EXIT]],Sheet1!$A$70:$A$71,Sheet1!$B$70:$B$71)*(1+_xlfn.XLOOKUP(Table1[[#This Row], [EXIT]],Sheet1!$A$70:$A$71,Sheet1!$C$70:$C$71))</f>
        <v>1770249.5999999996</v>
      </c>
      <c r="L140" s="13" t="s">
        <v>61</v>
      </c>
      <c r="M140" s="4">
        <f>IF(Table1[[#This Row], [EQUIPMENT]]="YES",Sheet1!$C$44*(1+Sheet1!$D$44),0)</f>
        <v>0</v>
      </c>
      <c r="N140" s="4">
        <f>_xlfn.XLOOKUP(Table1[[#This Row], [ROOM]],Sheet1!$A$47:$A$66,Sheet1!$F$47:$F$66)</f>
        <v>18000000</v>
      </c>
      <c r="O140" s="9">
        <f>_xlfn.XLOOKUP(_xlfn.CONCAT(Table1[[#This Row], [TEAM]],Table1[[#This Row], [ROOM]]),'ROOM TIME'!$H$2:$H$121,'ROOM TIME'!$J$2:$J$121)</f>
        <v>40.9311111111111</v>
      </c>
      <c r="P140" s="9">
        <f>(INDEX(Sheet1!$X$48:$Z$67,MATCH(Table1[[#This Row], [ROOM]],Sheet1!$P$48:$P$67,0),MATCH(Table1[[#This Row], [WEAPON]],Sheet1!$X$47:$Z$47,0)))/Table1[[#This Row], [NUM OF MEM]]</f>
        <v>4.5999999999999996</v>
      </c>
      <c r="Q140" s="9">
        <f>Table1[[#This Row], [ROOM TIME]]+Table1[[#This Row], [GUARD TIME]]</f>
        <v>45.531111111111102</v>
      </c>
      <c r="R140" s="4">
        <f>Sheet1!$K$3*_xlfn.XLOOKUP(Table1[[#This Row], [DISGUISE]],Sheet1!$A$21:$A$23,Sheet1!$D$21:$D$23)</f>
        <v>69</v>
      </c>
      <c r="S140" s="9">
        <f>Table1[[#This Row], [TOTAL TIME]]-Table1[[#This Row], [TOTAL TIME TAKEN]]</f>
        <v>23.468888888888898</v>
      </c>
      <c r="T140" t="str">
        <f>IF(Table1[[#This Row], [TIME DIFFERENCE]]&gt;=0,"PASS","FAIL")</f>
        <v>PASS</v>
      </c>
      <c r="U140" s="9">
        <f>Table1[[#This Row], [TRC]]+Table1[[#This Row], [DRC]]+Table1[[#This Row], [WRC]]+Table1[[#This Row], [ERC]]+Table1[[#This Row], [EQRC]]</f>
        <v>7933899.5999999996</v>
      </c>
      <c r="V140" s="9">
        <f>Table1[[#This Row], [TOTAL COST]]+_xlfn.XLOOKUP(Table1[[#This Row], [TEAM]],Sheet1!$A$12:$A$17,Sheet1!$I$12:$I$17)</f>
        <v>8233337.0999999996</v>
      </c>
      <c r="W140" s="9">
        <f>Table1[[#This Row], [LOOT]]-Table1[[#This Row], [TOTAL COST]]</f>
        <v>10066100.4</v>
      </c>
      <c r="X140" s="9">
        <f>IF(Table1[[#This Row], [PASS/FAIL]]="FAIL",0,Table1[[#This Row], [PROFIT]])</f>
        <v>10066100.4</v>
      </c>
    </row>
    <row r="141" spans="1:24" ht="19.5" customHeight="1" x14ac:dyDescent="0.45">
      <c r="A141" t="s">
        <v>13</v>
      </c>
      <c r="B141" s="14">
        <f>_xlfn.XLOOKUP(Table1[[#This Row], [TEAM]],Sheet1!$A$12:$A$17,Sheet1!$F$12:$F$17)</f>
        <v>3</v>
      </c>
      <c r="C141" s="14">
        <f>_xlfn.XLOOKUP(Table1[[#This Row], [TEAM]],Sheet1!$A$12:$A$17,Sheet1!$G$12:$G$17)</f>
        <v>5930000</v>
      </c>
      <c r="D141" t="s">
        <v>32</v>
      </c>
      <c r="E141" s="4">
        <f>_xlfn.XLOOKUP(Table1[[#This Row], [ROOM]],Sheet1!$A$47:$A$66,Sheet1!$B$47:$B$66)</f>
        <v>346</v>
      </c>
      <c r="F141" t="s">
        <v>58</v>
      </c>
      <c r="G141" s="4">
        <f>_xlfn.XLOOKUP(Table1[[#This Row], [DISGUISE]],Sheet1!$A$21:$A$23,Sheet1!$B$21:$B$23)*Table1[[#This Row], [NUM OF MEM]]*(1+_xlfn.XLOOKUP(Table1[[#This Row], [DISGUISE]],Sheet1!$A$21:$A$23,Sheet1!$C$21:$C$23))</f>
        <v>38400</v>
      </c>
      <c r="H141" s="13" t="s">
        <v>66</v>
      </c>
      <c r="I141" s="4">
        <f>_xlfn.XLOOKUP(Table1[[#This Row], [WEAPON]],Sheet1!$A$27:$A$29,Sheet1!$B$27:$B$29)*Table1[[#This Row], [NUM OF MEM]]*(1+_xlfn.XLOOKUP(Table1[[#This Row], [WEAPON]],Sheet1!$A$27:$A$29,Sheet1!$C$27:$C$29))</f>
        <v>108000</v>
      </c>
      <c r="J141" t="s">
        <v>60</v>
      </c>
      <c r="K141" s="9">
        <f>Table1[[#This Row], [NUM OF MEM]]*Table1[[#This Row], [TOTAL TIME TAKEN]]*_xlfn.XLOOKUP(Table1[[#This Row], [EXIT]],Sheet1!$A$70:$A$71,Sheet1!$B$70:$B$71)*(1+_xlfn.XLOOKUP(Table1[[#This Row], [EXIT]],Sheet1!$A$70:$A$71,Sheet1!$C$70:$C$71))</f>
        <v>1750780.7499999995</v>
      </c>
      <c r="L141" s="13" t="s">
        <v>65</v>
      </c>
      <c r="M141" s="4">
        <f>IF(Table1[[#This Row], [EQUIPMENT]]="YES",Sheet1!$C$44*(1+Sheet1!$D$44),0)</f>
        <v>307500</v>
      </c>
      <c r="N141" s="4">
        <f>_xlfn.XLOOKUP(Table1[[#This Row], [ROOM]],Sheet1!$A$47:$A$66,Sheet1!$F$47:$F$66)</f>
        <v>18200000</v>
      </c>
      <c r="O141" s="9">
        <f>_xlfn.XLOOKUP(_xlfn.CONCAT(Table1[[#This Row], [TEAM]],Table1[[#This Row], [ROOM]]),'ROOM TIME'!$H$2:$H$121,'ROOM TIME'!$J$2:$J$121)</f>
        <v>40.061111111111103</v>
      </c>
      <c r="P141" s="9">
        <f>(INDEX(Sheet1!$X$48:$Z$67,MATCH(Table1[[#This Row], [ROOM]],Sheet1!$P$48:$P$67,0),MATCH(Table1[[#This Row], [WEAPON]],Sheet1!$X$47:$Z$47,0)))/Table1[[#This Row], [NUM OF MEM]]</f>
        <v>5.416666666666667</v>
      </c>
      <c r="Q141" s="9">
        <f>Table1[[#This Row], [ROOM TIME]]+Table1[[#This Row], [GUARD TIME]]</f>
        <v>45.477777777777767</v>
      </c>
      <c r="R141" s="4">
        <f>Sheet1!$K$3*_xlfn.XLOOKUP(Table1[[#This Row], [DISGUISE]],Sheet1!$A$21:$A$23,Sheet1!$D$21:$D$23)</f>
        <v>69</v>
      </c>
      <c r="S141" s="9">
        <f>Table1[[#This Row], [TOTAL TIME]]-Table1[[#This Row], [TOTAL TIME TAKEN]]</f>
        <v>23.522222222222233</v>
      </c>
      <c r="T141" t="str">
        <f>IF(Table1[[#This Row], [TIME DIFFERENCE]]&gt;=0,"PASS","FAIL")</f>
        <v>PASS</v>
      </c>
      <c r="U141" s="9">
        <f>Table1[[#This Row], [TRC]]+Table1[[#This Row], [DRC]]+Table1[[#This Row], [WRC]]+Table1[[#This Row], [ERC]]+Table1[[#This Row], [EQRC]]</f>
        <v>8134680.75</v>
      </c>
      <c r="V141" s="9">
        <f>Table1[[#This Row], [TOTAL COST]]+_xlfn.XLOOKUP(Table1[[#This Row], [TEAM]],Sheet1!$A$12:$A$17,Sheet1!$I$12:$I$17)</f>
        <v>8431180.75</v>
      </c>
      <c r="W141" s="9">
        <f>Table1[[#This Row], [LOOT]]-Table1[[#This Row], [TOTAL COST]]</f>
        <v>10065319.25</v>
      </c>
      <c r="X141" s="9">
        <f>IF(Table1[[#This Row], [PASS/FAIL]]="FAIL",0,Table1[[#This Row], [PROFIT]])</f>
        <v>10065319.25</v>
      </c>
    </row>
    <row r="142" spans="1:24" ht="19.5" customHeight="1" x14ac:dyDescent="0.45">
      <c r="A142" t="s">
        <v>12</v>
      </c>
      <c r="B142" s="14">
        <f>_xlfn.XLOOKUP(Table1[[#This Row], [TEAM]],Sheet1!$A$12:$A$17,Sheet1!$F$12:$F$17)</f>
        <v>3</v>
      </c>
      <c r="C142" s="14">
        <f>_xlfn.XLOOKUP(Table1[[#This Row], [TEAM]],Sheet1!$A$12:$A$17,Sheet1!$G$12:$G$17)</f>
        <v>5988750</v>
      </c>
      <c r="D142" t="s">
        <v>32</v>
      </c>
      <c r="E142" s="4">
        <f>_xlfn.XLOOKUP(Table1[[#This Row], [ROOM]],Sheet1!$A$47:$A$66,Sheet1!$B$47:$B$66)</f>
        <v>346</v>
      </c>
      <c r="F142" t="s">
        <v>58</v>
      </c>
      <c r="G142" s="4">
        <f>_xlfn.XLOOKUP(Table1[[#This Row], [DISGUISE]],Sheet1!$A$21:$A$23,Sheet1!$B$21:$B$23)*Table1[[#This Row], [NUM OF MEM]]*(1+_xlfn.XLOOKUP(Table1[[#This Row], [DISGUISE]],Sheet1!$A$21:$A$23,Sheet1!$C$21:$C$23))</f>
        <v>38400</v>
      </c>
      <c r="H142" s="13" t="s">
        <v>66</v>
      </c>
      <c r="I142" s="4">
        <f>_xlfn.XLOOKUP(Table1[[#This Row], [WEAPON]],Sheet1!$A$27:$A$29,Sheet1!$B$27:$B$29)*Table1[[#This Row], [NUM OF MEM]]*(1+_xlfn.XLOOKUP(Table1[[#This Row], [WEAPON]],Sheet1!$A$27:$A$29,Sheet1!$C$27:$C$29))</f>
        <v>108000</v>
      </c>
      <c r="J142" t="s">
        <v>60</v>
      </c>
      <c r="K142" s="9">
        <f>Table1[[#This Row], [NUM OF MEM]]*Table1[[#This Row], [TOTAL TIME TAKEN]]*_xlfn.XLOOKUP(Table1[[#This Row], [EXIT]],Sheet1!$A$70:$A$71,Sheet1!$B$70:$B$71)*(1+_xlfn.XLOOKUP(Table1[[#This Row], [EXIT]],Sheet1!$A$70:$A$71,Sheet1!$C$70:$C$71))</f>
        <v>1694531.6249999993</v>
      </c>
      <c r="L142" s="13" t="s">
        <v>65</v>
      </c>
      <c r="M142" s="4">
        <f>IF(Table1[[#This Row], [EQUIPMENT]]="YES",Sheet1!$C$44*(1+Sheet1!$D$44),0)</f>
        <v>307500</v>
      </c>
      <c r="N142" s="4">
        <f>_xlfn.XLOOKUP(Table1[[#This Row], [ROOM]],Sheet1!$A$47:$A$66,Sheet1!$F$47:$F$66)</f>
        <v>18200000</v>
      </c>
      <c r="O142" s="9">
        <f>_xlfn.XLOOKUP(_xlfn.CONCAT(Table1[[#This Row], [TEAM]],Table1[[#This Row], [ROOM]]),'ROOM TIME'!$H$2:$H$121,'ROOM TIME'!$J$2:$J$121)</f>
        <v>38.599999999999987</v>
      </c>
      <c r="P142" s="9">
        <f>(INDEX(Sheet1!$X$48:$Z$67,MATCH(Table1[[#This Row], [ROOM]],Sheet1!$P$48:$P$67,0),MATCH(Table1[[#This Row], [WEAPON]],Sheet1!$X$47:$Z$47,0)))/Table1[[#This Row], [NUM OF MEM]]</f>
        <v>5.416666666666667</v>
      </c>
      <c r="Q142" s="9">
        <f>Table1[[#This Row], [ROOM TIME]]+Table1[[#This Row], [GUARD TIME]]</f>
        <v>44.016666666666652</v>
      </c>
      <c r="R142" s="4">
        <f>Sheet1!$K$3*_xlfn.XLOOKUP(Table1[[#This Row], [DISGUISE]],Sheet1!$A$21:$A$23,Sheet1!$D$21:$D$23)</f>
        <v>69</v>
      </c>
      <c r="S142" s="9">
        <f>Table1[[#This Row], [TOTAL TIME]]-Table1[[#This Row], [TOTAL TIME TAKEN]]</f>
        <v>24.983333333333348</v>
      </c>
      <c r="T142" t="str">
        <f>IF(Table1[[#This Row], [TIME DIFFERENCE]]&gt;=0,"PASS","FAIL")</f>
        <v>PASS</v>
      </c>
      <c r="U142" s="9">
        <f>Table1[[#This Row], [TRC]]+Table1[[#This Row], [DRC]]+Table1[[#This Row], [WRC]]+Table1[[#This Row], [ERC]]+Table1[[#This Row], [EQRC]]</f>
        <v>8137181.6249999991</v>
      </c>
      <c r="V142" s="9">
        <f>Table1[[#This Row], [TOTAL COST]]+_xlfn.XLOOKUP(Table1[[#This Row], [TEAM]],Sheet1!$A$12:$A$17,Sheet1!$I$12:$I$17)</f>
        <v>8436619.125</v>
      </c>
      <c r="W142" s="9">
        <f>Table1[[#This Row], [LOOT]]-Table1[[#This Row], [TOTAL COST]]</f>
        <v>10062818.375</v>
      </c>
      <c r="X142" s="9">
        <f>IF(Table1[[#This Row], [PASS/FAIL]]="FAIL",0,Table1[[#This Row], [PROFIT]])</f>
        <v>10062818.375</v>
      </c>
    </row>
    <row r="143" spans="1:24" ht="19.5" customHeight="1" x14ac:dyDescent="0.45">
      <c r="A143" t="s">
        <v>12</v>
      </c>
      <c r="B143" s="14">
        <f>_xlfn.XLOOKUP(Table1[[#This Row], [TEAM]],Sheet1!$A$12:$A$17,Sheet1!$F$12:$F$17)</f>
        <v>3</v>
      </c>
      <c r="C143" s="14">
        <f>_xlfn.XLOOKUP(Table1[[#This Row], [TEAM]],Sheet1!$A$12:$A$17,Sheet1!$G$12:$G$17)</f>
        <v>5988750</v>
      </c>
      <c r="D143" t="s">
        <v>19</v>
      </c>
      <c r="E143" s="4">
        <f>_xlfn.XLOOKUP(Table1[[#This Row], [ROOM]],Sheet1!$A$47:$A$66,Sheet1!$B$47:$B$66)</f>
        <v>135</v>
      </c>
      <c r="F143" t="s">
        <v>62</v>
      </c>
      <c r="G143" s="4">
        <f>_xlfn.XLOOKUP(Table1[[#This Row], [DISGUISE]],Sheet1!$A$21:$A$23,Sheet1!$B$21:$B$23)*Table1[[#This Row], [NUM OF MEM]]*(1+_xlfn.XLOOKUP(Table1[[#This Row], [DISGUISE]],Sheet1!$A$21:$A$23,Sheet1!$C$21:$C$23))</f>
        <v>15600</v>
      </c>
      <c r="H143" s="13" t="s">
        <v>59</v>
      </c>
      <c r="I143" s="4">
        <f>_xlfn.XLOOKUP(Table1[[#This Row], [WEAPON]],Sheet1!$A$27:$A$29,Sheet1!$B$27:$B$29)*Table1[[#This Row], [NUM OF MEM]]*(1+_xlfn.XLOOKUP(Table1[[#This Row], [WEAPON]],Sheet1!$A$27:$A$29,Sheet1!$C$27:$C$29))</f>
        <v>136500</v>
      </c>
      <c r="J143" t="s">
        <v>60</v>
      </c>
      <c r="K143" s="9">
        <f>Table1[[#This Row], [NUM OF MEM]]*Table1[[#This Row], [TOTAL TIME TAKEN]]*_xlfn.XLOOKUP(Table1[[#This Row], [EXIT]],Sheet1!$A$70:$A$71,Sheet1!$B$70:$B$71)*(1+_xlfn.XLOOKUP(Table1[[#This Row], [EXIT]],Sheet1!$A$70:$A$71,Sheet1!$C$70:$C$71))</f>
        <v>1746503.2499999995</v>
      </c>
      <c r="L143" s="13" t="s">
        <v>61</v>
      </c>
      <c r="M143" s="4">
        <f>IF(Table1[[#This Row], [EQUIPMENT]]="YES",Sheet1!$C$44*(1+Sheet1!$D$44),0)</f>
        <v>0</v>
      </c>
      <c r="N143" s="4">
        <f>_xlfn.XLOOKUP(Table1[[#This Row], [ROOM]],Sheet1!$A$47:$A$66,Sheet1!$F$47:$F$66)</f>
        <v>17950000</v>
      </c>
      <c r="O143" s="9">
        <f>_xlfn.XLOOKUP(_xlfn.CONCAT(Table1[[#This Row], [TEAM]],Table1[[#This Row], [ROOM]]),'ROOM TIME'!$H$2:$H$121,'ROOM TIME'!$J$2:$J$121)</f>
        <v>41.149999999999984</v>
      </c>
      <c r="P143" s="9">
        <f>(INDEX(Sheet1!$X$48:$Z$67,MATCH(Table1[[#This Row], [ROOM]],Sheet1!$P$48:$P$67,0),MATCH(Table1[[#This Row], [WEAPON]],Sheet1!$X$47:$Z$47,0)))/Table1[[#This Row], [NUM OF MEM]]</f>
        <v>4.2166666666666659</v>
      </c>
      <c r="Q143" s="9">
        <f>Table1[[#This Row], [ROOM TIME]]+Table1[[#This Row], [GUARD TIME]]</f>
        <v>45.366666666666653</v>
      </c>
      <c r="R143" s="4">
        <f>Sheet1!$K$3*_xlfn.XLOOKUP(Table1[[#This Row], [DISGUISE]],Sheet1!$A$21:$A$23,Sheet1!$D$21:$D$23)</f>
        <v>66</v>
      </c>
      <c r="S143" s="9">
        <f>Table1[[#This Row], [TOTAL TIME]]-Table1[[#This Row], [TOTAL TIME TAKEN]]</f>
        <v>20.633333333333347</v>
      </c>
      <c r="T143" t="str">
        <f>IF(Table1[[#This Row], [TIME DIFFERENCE]]&gt;=0,"PASS","FAIL")</f>
        <v>PASS</v>
      </c>
      <c r="U143" s="9">
        <f>Table1[[#This Row], [TRC]]+Table1[[#This Row], [DRC]]+Table1[[#This Row], [WRC]]+Table1[[#This Row], [ERC]]+Table1[[#This Row], [EQRC]]</f>
        <v>7887353.25</v>
      </c>
      <c r="V143" s="9">
        <f>Table1[[#This Row], [TOTAL COST]]+_xlfn.XLOOKUP(Table1[[#This Row], [TEAM]],Sheet1!$A$12:$A$17,Sheet1!$I$12:$I$17)</f>
        <v>8186790.75</v>
      </c>
      <c r="W143" s="9">
        <f>Table1[[#This Row], [LOOT]]-Table1[[#This Row], [TOTAL COST]]</f>
        <v>10062646.75</v>
      </c>
      <c r="X143" s="9">
        <f>IF(Table1[[#This Row], [PASS/FAIL]]="FAIL",0,Table1[[#This Row], [PROFIT]])</f>
        <v>10062646.75</v>
      </c>
    </row>
    <row r="144" spans="1:24" ht="19.5" customHeight="1" x14ac:dyDescent="0.45">
      <c r="A144" t="s">
        <v>13</v>
      </c>
      <c r="B144" s="14">
        <f>_xlfn.XLOOKUP(Table1[[#This Row], [TEAM]],Sheet1!$A$12:$A$17,Sheet1!$F$12:$F$17)</f>
        <v>3</v>
      </c>
      <c r="C144" s="14">
        <f>_xlfn.XLOOKUP(Table1[[#This Row], [TEAM]],Sheet1!$A$12:$A$17,Sheet1!$G$12:$G$17)</f>
        <v>5930000</v>
      </c>
      <c r="D144" t="s">
        <v>19</v>
      </c>
      <c r="E144" s="4">
        <f>_xlfn.XLOOKUP(Table1[[#This Row], [ROOM]],Sheet1!$A$47:$A$66,Sheet1!$B$47:$B$66)</f>
        <v>135</v>
      </c>
      <c r="F144" t="s">
        <v>62</v>
      </c>
      <c r="G144" s="4">
        <f>_xlfn.XLOOKUP(Table1[[#This Row], [DISGUISE]],Sheet1!$A$21:$A$23,Sheet1!$B$21:$B$23)*Table1[[#This Row], [NUM OF MEM]]*(1+_xlfn.XLOOKUP(Table1[[#This Row], [DISGUISE]],Sheet1!$A$21:$A$23,Sheet1!$C$21:$C$23))</f>
        <v>15600</v>
      </c>
      <c r="H144" s="13" t="s">
        <v>59</v>
      </c>
      <c r="I144" s="4">
        <f>_xlfn.XLOOKUP(Table1[[#This Row], [WEAPON]],Sheet1!$A$27:$A$29,Sheet1!$B$27:$B$29)*Table1[[#This Row], [NUM OF MEM]]*(1+_xlfn.XLOOKUP(Table1[[#This Row], [WEAPON]],Sheet1!$A$27:$A$29,Sheet1!$C$27:$C$29))</f>
        <v>136500</v>
      </c>
      <c r="J144" t="s">
        <v>60</v>
      </c>
      <c r="K144" s="9">
        <f>Table1[[#This Row], [NUM OF MEM]]*Table1[[#This Row], [TOTAL TIME TAKEN]]*_xlfn.XLOOKUP(Table1[[#This Row], [EXIT]],Sheet1!$A$70:$A$71,Sheet1!$B$70:$B$71)*(1+_xlfn.XLOOKUP(Table1[[#This Row], [EXIT]],Sheet1!$A$70:$A$71,Sheet1!$C$70:$C$71))</f>
        <v>1805276.0999999996</v>
      </c>
      <c r="L144" s="13" t="s">
        <v>61</v>
      </c>
      <c r="M144" s="4">
        <f>IF(Table1[[#This Row], [EQUIPMENT]]="YES",Sheet1!$C$44*(1+Sheet1!$D$44),0)</f>
        <v>0</v>
      </c>
      <c r="N144" s="4">
        <f>_xlfn.XLOOKUP(Table1[[#This Row], [ROOM]],Sheet1!$A$47:$A$66,Sheet1!$F$47:$F$66)</f>
        <v>17950000</v>
      </c>
      <c r="O144" s="9">
        <f>_xlfn.XLOOKUP(_xlfn.CONCAT(Table1[[#This Row], [TEAM]],Table1[[#This Row], [ROOM]]),'ROOM TIME'!$H$2:$H$121,'ROOM TIME'!$J$2:$J$121)</f>
        <v>42.676666666666655</v>
      </c>
      <c r="P144" s="9">
        <f>(INDEX(Sheet1!$X$48:$Z$67,MATCH(Table1[[#This Row], [ROOM]],Sheet1!$P$48:$P$67,0),MATCH(Table1[[#This Row], [WEAPON]],Sheet1!$X$47:$Z$47,0)))/Table1[[#This Row], [NUM OF MEM]]</f>
        <v>4.2166666666666659</v>
      </c>
      <c r="Q144" s="9">
        <f>Table1[[#This Row], [ROOM TIME]]+Table1[[#This Row], [GUARD TIME]]</f>
        <v>46.893333333333324</v>
      </c>
      <c r="R144" s="4">
        <f>Sheet1!$K$3*_xlfn.XLOOKUP(Table1[[#This Row], [DISGUISE]],Sheet1!$A$21:$A$23,Sheet1!$D$21:$D$23)</f>
        <v>66</v>
      </c>
      <c r="S144" s="9">
        <f>Table1[[#This Row], [TOTAL TIME]]-Table1[[#This Row], [TOTAL TIME TAKEN]]</f>
        <v>19.106666666666676</v>
      </c>
      <c r="T144" t="str">
        <f>IF(Table1[[#This Row], [TIME DIFFERENCE]]&gt;=0,"PASS","FAIL")</f>
        <v>PASS</v>
      </c>
      <c r="U144" s="9">
        <f>Table1[[#This Row], [TRC]]+Table1[[#This Row], [DRC]]+Table1[[#This Row], [WRC]]+Table1[[#This Row], [ERC]]+Table1[[#This Row], [EQRC]]</f>
        <v>7887376.0999999996</v>
      </c>
      <c r="V144" s="9">
        <f>Table1[[#This Row], [TOTAL COST]]+_xlfn.XLOOKUP(Table1[[#This Row], [TEAM]],Sheet1!$A$12:$A$17,Sheet1!$I$12:$I$17)</f>
        <v>8183876.0999999996</v>
      </c>
      <c r="W144" s="9">
        <f>Table1[[#This Row], [LOOT]]-Table1[[#This Row], [TOTAL COST]]</f>
        <v>10062623.9</v>
      </c>
      <c r="X144" s="9">
        <f>IF(Table1[[#This Row], [PASS/FAIL]]="FAIL",0,Table1[[#This Row], [PROFIT]])</f>
        <v>10062623.9</v>
      </c>
    </row>
    <row r="145" spans="1:24" ht="19.5" customHeight="1" x14ac:dyDescent="0.45">
      <c r="A145" t="s">
        <v>12</v>
      </c>
      <c r="B145" s="14">
        <f>_xlfn.XLOOKUP(Table1[[#This Row], [TEAM]],Sheet1!$A$12:$A$17,Sheet1!$F$12:$F$17)</f>
        <v>3</v>
      </c>
      <c r="C145" s="14">
        <f>_xlfn.XLOOKUP(Table1[[#This Row], [TEAM]],Sheet1!$A$12:$A$17,Sheet1!$G$12:$G$17)</f>
        <v>5988750</v>
      </c>
      <c r="D145" t="s">
        <v>19</v>
      </c>
      <c r="E145" s="4">
        <f>_xlfn.XLOOKUP(Table1[[#This Row], [ROOM]],Sheet1!$A$47:$A$66,Sheet1!$B$47:$B$66)</f>
        <v>135</v>
      </c>
      <c r="F145" t="s">
        <v>58</v>
      </c>
      <c r="G145" s="4">
        <f>_xlfn.XLOOKUP(Table1[[#This Row], [DISGUISE]],Sheet1!$A$21:$A$23,Sheet1!$B$21:$B$23)*Table1[[#This Row], [NUM OF MEM]]*(1+_xlfn.XLOOKUP(Table1[[#This Row], [DISGUISE]],Sheet1!$A$21:$A$23,Sheet1!$C$21:$C$23))</f>
        <v>38400</v>
      </c>
      <c r="H145" s="13" t="s">
        <v>63</v>
      </c>
      <c r="I145" s="4">
        <f>_xlfn.XLOOKUP(Table1[[#This Row], [WEAPON]],Sheet1!$A$27:$A$29,Sheet1!$B$27:$B$29)*Table1[[#This Row], [NUM OF MEM]]*(1+_xlfn.XLOOKUP(Table1[[#This Row], [WEAPON]],Sheet1!$A$27:$A$29,Sheet1!$C$27:$C$29))</f>
        <v>69000</v>
      </c>
      <c r="J145" t="s">
        <v>64</v>
      </c>
      <c r="K145" s="9">
        <f>Table1[[#This Row], [NUM OF MEM]]*Table1[[#This Row], [TOTAL TIME TAKEN]]*_xlfn.XLOOKUP(Table1[[#This Row], [EXIT]],Sheet1!$A$70:$A$71,Sheet1!$B$70:$B$71)*(1+_xlfn.XLOOKUP(Table1[[#This Row], [EXIT]],Sheet1!$A$70:$A$71,Sheet1!$C$70:$C$71))</f>
        <v>1792367.9999999993</v>
      </c>
      <c r="L145" s="13" t="s">
        <v>61</v>
      </c>
      <c r="M145" s="4">
        <f>IF(Table1[[#This Row], [EQUIPMENT]]="YES",Sheet1!$C$44*(1+Sheet1!$D$44),0)</f>
        <v>0</v>
      </c>
      <c r="N145" s="4">
        <f>_xlfn.XLOOKUP(Table1[[#This Row], [ROOM]],Sheet1!$A$47:$A$66,Sheet1!$F$47:$F$66)</f>
        <v>17950000</v>
      </c>
      <c r="O145" s="9">
        <f>_xlfn.XLOOKUP(_xlfn.CONCAT(Table1[[#This Row], [TEAM]],Table1[[#This Row], [ROOM]]),'ROOM TIME'!$H$2:$H$121,'ROOM TIME'!$J$2:$J$121)</f>
        <v>41.149999999999984</v>
      </c>
      <c r="P145" s="9">
        <f>(INDEX(Sheet1!$X$48:$Z$67,MATCH(Table1[[#This Row], [ROOM]],Sheet1!$P$48:$P$67,0),MATCH(Table1[[#This Row], [WEAPON]],Sheet1!$X$47:$Z$47,0)))/Table1[[#This Row], [NUM OF MEM]]</f>
        <v>4.95</v>
      </c>
      <c r="Q145" s="9">
        <f>Table1[[#This Row], [ROOM TIME]]+Table1[[#This Row], [GUARD TIME]]</f>
        <v>46.099999999999987</v>
      </c>
      <c r="R145" s="4">
        <f>Sheet1!$K$3*_xlfn.XLOOKUP(Table1[[#This Row], [DISGUISE]],Sheet1!$A$21:$A$23,Sheet1!$D$21:$D$23)</f>
        <v>69</v>
      </c>
      <c r="S145" s="9">
        <f>Table1[[#This Row], [TOTAL TIME]]-Table1[[#This Row], [TOTAL TIME TAKEN]]</f>
        <v>22.900000000000013</v>
      </c>
      <c r="T145" t="str">
        <f>IF(Table1[[#This Row], [TIME DIFFERENCE]]&gt;=0,"PASS","FAIL")</f>
        <v>PASS</v>
      </c>
      <c r="U145" s="9">
        <f>Table1[[#This Row], [TRC]]+Table1[[#This Row], [DRC]]+Table1[[#This Row], [WRC]]+Table1[[#This Row], [ERC]]+Table1[[#This Row], [EQRC]]</f>
        <v>7888517.9999999991</v>
      </c>
      <c r="V145" s="9">
        <f>Table1[[#This Row], [TOTAL COST]]+_xlfn.XLOOKUP(Table1[[#This Row], [TEAM]],Sheet1!$A$12:$A$17,Sheet1!$I$12:$I$17)</f>
        <v>8187955.4999999991</v>
      </c>
      <c r="W145" s="4">
        <f>Table1[[#This Row], [LOOT]]-Table1[[#This Row], [TOTAL COST]]</f>
        <v>10061482</v>
      </c>
      <c r="X145" s="4">
        <f>IF(Table1[[#This Row], [PASS/FAIL]]="FAIL",0,Table1[[#This Row], [PROFIT]])</f>
        <v>10061482</v>
      </c>
    </row>
    <row r="146" spans="1:24" ht="19.5" customHeight="1" x14ac:dyDescent="0.45">
      <c r="A146" t="s">
        <v>13</v>
      </c>
      <c r="B146" s="14">
        <f>_xlfn.XLOOKUP(Table1[[#This Row], [TEAM]],Sheet1!$A$12:$A$17,Sheet1!$F$12:$F$17)</f>
        <v>3</v>
      </c>
      <c r="C146" s="14">
        <f>_xlfn.XLOOKUP(Table1[[#This Row], [TEAM]],Sheet1!$A$12:$A$17,Sheet1!$G$12:$G$17)</f>
        <v>5930000</v>
      </c>
      <c r="D146" t="s">
        <v>19</v>
      </c>
      <c r="E146" s="4">
        <f>_xlfn.XLOOKUP(Table1[[#This Row], [ROOM]],Sheet1!$A$47:$A$66,Sheet1!$B$47:$B$66)</f>
        <v>135</v>
      </c>
      <c r="F146" t="s">
        <v>58</v>
      </c>
      <c r="G14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6" s="13" t="s">
        <v>63</v>
      </c>
      <c r="I146" s="4">
        <f>_xlfn.XLOOKUP(Table1[[#This Row], [WEAPON]],Sheet1!$A$27:$A$29,Sheet1!$B$27:$B$29)*Table1[[#This Row], [NUM OF MEM]]*(1+_xlfn.XLOOKUP(Table1[[#This Row], [WEAPON]],Sheet1!$A$27:$A$29,Sheet1!$C$27:$C$29))</f>
        <v>69000</v>
      </c>
      <c r="J146" t="s">
        <v>64</v>
      </c>
      <c r="K146" s="9">
        <f>Table1[[#This Row], [NUM OF MEM]]*Table1[[#This Row], [TOTAL TIME TAKEN]]*_xlfn.XLOOKUP(Table1[[#This Row], [EXIT]],Sheet1!$A$70:$A$71,Sheet1!$B$70:$B$71)*(1+_xlfn.XLOOKUP(Table1[[#This Row], [EXIT]],Sheet1!$A$70:$A$71,Sheet1!$C$70:$C$71))</f>
        <v>1851724.7999999993</v>
      </c>
      <c r="L146" s="13" t="s">
        <v>61</v>
      </c>
      <c r="M146" s="4">
        <f>IF(Table1[[#This Row], [EQUIPMENT]]="YES",Sheet1!$C$44*(1+Sheet1!$D$44),0)</f>
        <v>0</v>
      </c>
      <c r="N146" s="4">
        <f>_xlfn.XLOOKUP(Table1[[#This Row], [ROOM]],Sheet1!$A$47:$A$66,Sheet1!$F$47:$F$66)</f>
        <v>17950000</v>
      </c>
      <c r="O146" s="9">
        <f>_xlfn.XLOOKUP(_xlfn.CONCAT(Table1[[#This Row], [TEAM]],Table1[[#This Row], [ROOM]]),'ROOM TIME'!$H$2:$H$121,'ROOM TIME'!$J$2:$J$121)</f>
        <v>42.676666666666655</v>
      </c>
      <c r="P146" s="9">
        <f>(INDEX(Sheet1!$X$48:$Z$67,MATCH(Table1[[#This Row], [ROOM]],Sheet1!$P$48:$P$67,0),MATCH(Table1[[#This Row], [WEAPON]],Sheet1!$X$47:$Z$47,0)))/Table1[[#This Row], [NUM OF MEM]]</f>
        <v>4.95</v>
      </c>
      <c r="Q146" s="9">
        <f>Table1[[#This Row], [ROOM TIME]]+Table1[[#This Row], [GUARD TIME]]</f>
        <v>47.626666666666658</v>
      </c>
      <c r="R146" s="4">
        <f>Sheet1!$K$3*_xlfn.XLOOKUP(Table1[[#This Row], [DISGUISE]],Sheet1!$A$21:$A$23,Sheet1!$D$21:$D$23)</f>
        <v>69</v>
      </c>
      <c r="S146" s="9">
        <f>Table1[[#This Row], [TOTAL TIME]]-Table1[[#This Row], [TOTAL TIME TAKEN]]</f>
        <v>21.373333333333342</v>
      </c>
      <c r="T146" t="str">
        <f>IF(Table1[[#This Row], [TIME DIFFERENCE]]&gt;=0,"PASS","FAIL")</f>
        <v>PASS</v>
      </c>
      <c r="U146" s="9">
        <f>Table1[[#This Row], [TRC]]+Table1[[#This Row], [DRC]]+Table1[[#This Row], [WRC]]+Table1[[#This Row], [ERC]]+Table1[[#This Row], [EQRC]]</f>
        <v>7889124.7999999989</v>
      </c>
      <c r="V146" s="9">
        <f>Table1[[#This Row], [TOTAL COST]]+_xlfn.XLOOKUP(Table1[[#This Row], [TEAM]],Sheet1!$A$12:$A$17,Sheet1!$I$12:$I$17)</f>
        <v>8185624.7999999989</v>
      </c>
      <c r="W146" s="9">
        <f>Table1[[#This Row], [LOOT]]-Table1[[#This Row], [TOTAL COST]]</f>
        <v>10060875.200000001</v>
      </c>
      <c r="X146" s="9">
        <f>IF(Table1[[#This Row], [PASS/FAIL]]="FAIL",0,Table1[[#This Row], [PROFIT]])</f>
        <v>10060875.200000001</v>
      </c>
    </row>
    <row r="147" spans="1:24" ht="19.5" customHeight="1" x14ac:dyDescent="0.45">
      <c r="A147" t="s">
        <v>16</v>
      </c>
      <c r="B147" s="14">
        <f>_xlfn.XLOOKUP(Table1[[#This Row], [TEAM]],Sheet1!$A$12:$A$17,Sheet1!$F$12:$F$17)</f>
        <v>2</v>
      </c>
      <c r="C147" s="14">
        <f>_xlfn.XLOOKUP(Table1[[#This Row], [TEAM]],Sheet1!$A$12:$A$17,Sheet1!$G$12:$G$17)</f>
        <v>6082800</v>
      </c>
      <c r="D147" t="s">
        <v>24</v>
      </c>
      <c r="E147" s="4">
        <f>_xlfn.XLOOKUP(Table1[[#This Row], [ROOM]],Sheet1!$A$47:$A$66,Sheet1!$B$47:$B$66)</f>
        <v>345</v>
      </c>
      <c r="F147" t="s">
        <v>58</v>
      </c>
      <c r="G147" s="4">
        <f>_xlfn.XLOOKUP(Table1[[#This Row], [DISGUISE]],Sheet1!$A$21:$A$23,Sheet1!$B$21:$B$23)*Table1[[#This Row], [NUM OF MEM]]*(1+_xlfn.XLOOKUP(Table1[[#This Row], [DISGUISE]],Sheet1!$A$21:$A$23,Sheet1!$C$21:$C$23))</f>
        <v>25600</v>
      </c>
      <c r="H147" s="13" t="s">
        <v>66</v>
      </c>
      <c r="I147" s="4">
        <f>_xlfn.XLOOKUP(Table1[[#This Row], [WEAPON]],Sheet1!$A$27:$A$29,Sheet1!$B$27:$B$29)*Table1[[#This Row], [NUM OF MEM]]*(1+_xlfn.XLOOKUP(Table1[[#This Row], [WEAPON]],Sheet1!$A$27:$A$29,Sheet1!$C$27:$C$29))</f>
        <v>72000</v>
      </c>
      <c r="J147" t="s">
        <v>60</v>
      </c>
      <c r="K147" s="9">
        <f>Table1[[#This Row], [NUM OF MEM]]*Table1[[#This Row], [TOTAL TIME TAKEN]]*_xlfn.XLOOKUP(Table1[[#This Row], [EXIT]],Sheet1!$A$70:$A$71,Sheet1!$B$70:$B$71)*(1+_xlfn.XLOOKUP(Table1[[#This Row], [EXIT]],Sheet1!$A$70:$A$71,Sheet1!$C$70:$C$71))</f>
        <v>1759047.0187499993</v>
      </c>
      <c r="L147" s="13" t="s">
        <v>61</v>
      </c>
      <c r="M147" s="4">
        <f>IF(Table1[[#This Row], [EQUIPMENT]]="YES",Sheet1!$C$44*(1+Sheet1!$D$44),0)</f>
        <v>0</v>
      </c>
      <c r="N147" s="4">
        <f>_xlfn.XLOOKUP(Table1[[#This Row], [ROOM]],Sheet1!$A$47:$A$66,Sheet1!$F$47:$F$66)</f>
        <v>18000000</v>
      </c>
      <c r="O147" s="9">
        <f>_xlfn.XLOOKUP(_xlfn.CONCAT(Table1[[#This Row], [TEAM]],Table1[[#This Row], [ROOM]]),'ROOM TIME'!$H$2:$H$121,'ROOM TIME'!$J$2:$J$121)</f>
        <v>61.038749999999979</v>
      </c>
      <c r="P147" s="9">
        <f>(INDEX(Sheet1!$X$48:$Z$67,MATCH(Table1[[#This Row], [ROOM]],Sheet1!$P$48:$P$67,0),MATCH(Table1[[#This Row], [WEAPON]],Sheet1!$X$47:$Z$47,0)))/Table1[[#This Row], [NUM OF MEM]]</f>
        <v>7.5</v>
      </c>
      <c r="Q147" s="9">
        <f>Table1[[#This Row], [ROOM TIME]]+Table1[[#This Row], [GUARD TIME]]</f>
        <v>68.538749999999979</v>
      </c>
      <c r="R147" s="4">
        <f>Sheet1!$K$3*_xlfn.XLOOKUP(Table1[[#This Row], [DISGUISE]],Sheet1!$A$21:$A$23,Sheet1!$D$21:$D$23)</f>
        <v>69</v>
      </c>
      <c r="S147" s="9">
        <f>Table1[[#This Row], [TOTAL TIME]]-Table1[[#This Row], [TOTAL TIME TAKEN]]</f>
        <v>0.46125000000002103</v>
      </c>
      <c r="T147" t="str">
        <f>IF(Table1[[#This Row], [TIME DIFFERENCE]]&gt;=0,"PASS","FAIL")</f>
        <v>PASS</v>
      </c>
      <c r="U147" s="9">
        <f>Table1[[#This Row], [TRC]]+Table1[[#This Row], [DRC]]+Table1[[#This Row], [WRC]]+Table1[[#This Row], [ERC]]+Table1[[#This Row], [EQRC]]</f>
        <v>7939447.0187499989</v>
      </c>
      <c r="V147" s="9">
        <f>Table1[[#This Row], [TOTAL COST]]+_xlfn.XLOOKUP(Table1[[#This Row], [TEAM]],Sheet1!$A$12:$A$17,Sheet1!$I$12:$I$17)</f>
        <v>8243587.0187499989</v>
      </c>
      <c r="W147" s="9">
        <f>Table1[[#This Row], [LOOT]]-Table1[[#This Row], [TOTAL COST]]</f>
        <v>10060552.981250001</v>
      </c>
      <c r="X147" s="9">
        <f>IF(Table1[[#This Row], [PASS/FAIL]]="FAIL",0,Table1[[#This Row], [PROFIT]])</f>
        <v>10060552.981250001</v>
      </c>
    </row>
    <row r="148" spans="1:24" ht="19.5" customHeight="1" x14ac:dyDescent="0.45">
      <c r="A148" t="s">
        <v>13</v>
      </c>
      <c r="B148" s="14">
        <f>_xlfn.XLOOKUP(Table1[[#This Row], [TEAM]],Sheet1!$A$12:$A$17,Sheet1!$F$12:$F$17)</f>
        <v>3</v>
      </c>
      <c r="C148" s="14">
        <f>_xlfn.XLOOKUP(Table1[[#This Row], [TEAM]],Sheet1!$A$12:$A$17,Sheet1!$G$12:$G$17)</f>
        <v>5930000</v>
      </c>
      <c r="D148" t="s">
        <v>24</v>
      </c>
      <c r="E148" s="4">
        <f>_xlfn.XLOOKUP(Table1[[#This Row], [ROOM]],Sheet1!$A$47:$A$66,Sheet1!$B$47:$B$66)</f>
        <v>345</v>
      </c>
      <c r="F148" t="s">
        <v>58</v>
      </c>
      <c r="G148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" s="13" t="s">
        <v>59</v>
      </c>
      <c r="I148" s="4">
        <f>_xlfn.XLOOKUP(Table1[[#This Row], [WEAPON]],Sheet1!$A$27:$A$29,Sheet1!$B$27:$B$29)*Table1[[#This Row], [NUM OF MEM]]*(1+_xlfn.XLOOKUP(Table1[[#This Row], [WEAPON]],Sheet1!$A$27:$A$29,Sheet1!$C$27:$C$29))</f>
        <v>136500</v>
      </c>
      <c r="J148" t="s">
        <v>64</v>
      </c>
      <c r="K148" s="9">
        <f>Table1[[#This Row], [NUM OF MEM]]*Table1[[#This Row], [TOTAL TIME TAKEN]]*_xlfn.XLOOKUP(Table1[[#This Row], [EXIT]],Sheet1!$A$70:$A$71,Sheet1!$B$70:$B$71)*(1+_xlfn.XLOOKUP(Table1[[#This Row], [EXIT]],Sheet1!$A$70:$A$71,Sheet1!$C$70:$C$71))</f>
        <v>1834660.8</v>
      </c>
      <c r="L148" s="13" t="s">
        <v>61</v>
      </c>
      <c r="M148" s="4">
        <f>IF(Table1[[#This Row], [EQUIPMENT]]="YES",Sheet1!$C$44*(1+Sheet1!$D$44),0)</f>
        <v>0</v>
      </c>
      <c r="N148" s="4">
        <f>_xlfn.XLOOKUP(Table1[[#This Row], [ROOM]],Sheet1!$A$47:$A$66,Sheet1!$F$47:$F$66)</f>
        <v>18000000</v>
      </c>
      <c r="O148" s="9">
        <f>_xlfn.XLOOKUP(_xlfn.CONCAT(Table1[[#This Row], [TEAM]],Table1[[#This Row], [ROOM]]),'ROOM TIME'!$H$2:$H$121,'ROOM TIME'!$J$2:$J$121)</f>
        <v>42.587777777777774</v>
      </c>
      <c r="P148" s="9">
        <f>(INDEX(Sheet1!$X$48:$Z$67,MATCH(Table1[[#This Row], [ROOM]],Sheet1!$P$48:$P$67,0),MATCH(Table1[[#This Row], [WEAPON]],Sheet1!$X$47:$Z$47,0)))/Table1[[#This Row], [NUM OF MEM]]</f>
        <v>4.5999999999999996</v>
      </c>
      <c r="Q148" s="9">
        <f>Table1[[#This Row], [ROOM TIME]]+Table1[[#This Row], [GUARD TIME]]</f>
        <v>47.187777777777775</v>
      </c>
      <c r="R148" s="4">
        <f>Sheet1!$K$3*_xlfn.XLOOKUP(Table1[[#This Row], [DISGUISE]],Sheet1!$A$21:$A$23,Sheet1!$D$21:$D$23)</f>
        <v>69</v>
      </c>
      <c r="S148" s="9">
        <f>Table1[[#This Row], [TOTAL TIME]]-Table1[[#This Row], [TOTAL TIME TAKEN]]</f>
        <v>21.812222222222225</v>
      </c>
      <c r="T148" t="str">
        <f>IF(Table1[[#This Row], [TIME DIFFERENCE]]&gt;=0,"PASS","FAIL")</f>
        <v>PASS</v>
      </c>
      <c r="U148" s="9">
        <f>Table1[[#This Row], [TRC]]+Table1[[#This Row], [DRC]]+Table1[[#This Row], [WRC]]+Table1[[#This Row], [ERC]]+Table1[[#This Row], [EQRC]]</f>
        <v>7939560.7999999998</v>
      </c>
      <c r="V148" s="9">
        <f>Table1[[#This Row], [TOTAL COST]]+_xlfn.XLOOKUP(Table1[[#This Row], [TEAM]],Sheet1!$A$12:$A$17,Sheet1!$I$12:$I$17)</f>
        <v>8236060.7999999998</v>
      </c>
      <c r="W148" s="9">
        <f>Table1[[#This Row], [LOOT]]-Table1[[#This Row], [TOTAL COST]]</f>
        <v>10060439.199999999</v>
      </c>
      <c r="X148" s="9">
        <f>IF(Table1[[#This Row], [PASS/FAIL]]="FAIL",0,Table1[[#This Row], [PROFIT]])</f>
        <v>10060439.199999999</v>
      </c>
    </row>
    <row r="149" spans="1:24" ht="19.5" customHeight="1" x14ac:dyDescent="0.45">
      <c r="A149" t="s">
        <v>12</v>
      </c>
      <c r="B149" s="14">
        <f>_xlfn.XLOOKUP(Table1[[#This Row], [TEAM]],Sheet1!$A$12:$A$17,Sheet1!$F$12:$F$17)</f>
        <v>3</v>
      </c>
      <c r="C149" s="14">
        <f>_xlfn.XLOOKUP(Table1[[#This Row], [TEAM]],Sheet1!$A$12:$A$17,Sheet1!$G$12:$G$17)</f>
        <v>5988750</v>
      </c>
      <c r="D149" t="s">
        <v>19</v>
      </c>
      <c r="E149" s="4">
        <f>_xlfn.XLOOKUP(Table1[[#This Row], [ROOM]],Sheet1!$A$47:$A$66,Sheet1!$B$47:$B$66)</f>
        <v>135</v>
      </c>
      <c r="F149" t="s">
        <v>62</v>
      </c>
      <c r="G149" s="4">
        <f>_xlfn.XLOOKUP(Table1[[#This Row], [DISGUISE]],Sheet1!$A$21:$A$23,Sheet1!$B$21:$B$23)*Table1[[#This Row], [NUM OF MEM]]*(1+_xlfn.XLOOKUP(Table1[[#This Row], [DISGUISE]],Sheet1!$A$21:$A$23,Sheet1!$C$21:$C$23))</f>
        <v>15600</v>
      </c>
      <c r="H149" s="13" t="s">
        <v>66</v>
      </c>
      <c r="I149" s="4">
        <f>_xlfn.XLOOKUP(Table1[[#This Row], [WEAPON]],Sheet1!$A$27:$A$29,Sheet1!$B$27:$B$29)*Table1[[#This Row], [NUM OF MEM]]*(1+_xlfn.XLOOKUP(Table1[[#This Row], [WEAPON]],Sheet1!$A$27:$A$29,Sheet1!$C$27:$C$29))</f>
        <v>108000</v>
      </c>
      <c r="J149" t="s">
        <v>64</v>
      </c>
      <c r="K149" s="9">
        <f>Table1[[#This Row], [NUM OF MEM]]*Table1[[#This Row], [TOTAL TIME TAKEN]]*_xlfn.XLOOKUP(Table1[[#This Row], [EXIT]],Sheet1!$A$70:$A$71,Sheet1!$B$70:$B$71)*(1+_xlfn.XLOOKUP(Table1[[#This Row], [EXIT]],Sheet1!$A$70:$A$71,Sheet1!$C$70:$C$71))</f>
        <v>1778111.9999999993</v>
      </c>
      <c r="L149" s="13" t="s">
        <v>61</v>
      </c>
      <c r="M149" s="4">
        <f>IF(Table1[[#This Row], [EQUIPMENT]]="YES",Sheet1!$C$44*(1+Sheet1!$D$44),0)</f>
        <v>0</v>
      </c>
      <c r="N149" s="4">
        <f>_xlfn.XLOOKUP(Table1[[#This Row], [ROOM]],Sheet1!$A$47:$A$66,Sheet1!$F$47:$F$66)</f>
        <v>17950000</v>
      </c>
      <c r="O149" s="9">
        <f>_xlfn.XLOOKUP(_xlfn.CONCAT(Table1[[#This Row], [TEAM]],Table1[[#This Row], [ROOM]]),'ROOM TIME'!$H$2:$H$121,'ROOM TIME'!$J$2:$J$121)</f>
        <v>41.149999999999984</v>
      </c>
      <c r="P149" s="9">
        <f>(INDEX(Sheet1!$X$48:$Z$67,MATCH(Table1[[#This Row], [ROOM]],Sheet1!$P$48:$P$67,0),MATCH(Table1[[#This Row], [WEAPON]],Sheet1!$X$47:$Z$47,0)))/Table1[[#This Row], [NUM OF MEM]]</f>
        <v>4.583333333333333</v>
      </c>
      <c r="Q149" s="9">
        <f>Table1[[#This Row], [ROOM TIME]]+Table1[[#This Row], [GUARD TIME]]</f>
        <v>45.73333333333332</v>
      </c>
      <c r="R149" s="4">
        <f>Sheet1!$K$3*_xlfn.XLOOKUP(Table1[[#This Row], [DISGUISE]],Sheet1!$A$21:$A$23,Sheet1!$D$21:$D$23)</f>
        <v>66</v>
      </c>
      <c r="S149" s="9">
        <f>Table1[[#This Row], [TOTAL TIME]]-Table1[[#This Row], [TOTAL TIME TAKEN]]</f>
        <v>20.26666666666668</v>
      </c>
      <c r="T149" t="str">
        <f>IF(Table1[[#This Row], [TIME DIFFERENCE]]&gt;=0,"PASS","FAIL")</f>
        <v>PASS</v>
      </c>
      <c r="U149" s="9">
        <f>Table1[[#This Row], [TRC]]+Table1[[#This Row], [DRC]]+Table1[[#This Row], [WRC]]+Table1[[#This Row], [ERC]]+Table1[[#This Row], [EQRC]]</f>
        <v>7890461.9999999991</v>
      </c>
      <c r="V149" s="9">
        <f>Table1[[#This Row], [TOTAL COST]]+_xlfn.XLOOKUP(Table1[[#This Row], [TEAM]],Sheet1!$A$12:$A$17,Sheet1!$I$12:$I$17)</f>
        <v>8189899.4999999991</v>
      </c>
      <c r="W149" s="4">
        <f>Table1[[#This Row], [LOOT]]-Table1[[#This Row], [TOTAL COST]]</f>
        <v>10059538</v>
      </c>
      <c r="X149" s="4">
        <f>IF(Table1[[#This Row], [PASS/FAIL]]="FAIL",0,Table1[[#This Row], [PROFIT]])</f>
        <v>10059538</v>
      </c>
    </row>
    <row r="150" spans="1:24" ht="19.5" customHeight="1" x14ac:dyDescent="0.45">
      <c r="A150" t="s">
        <v>13</v>
      </c>
      <c r="B150" s="14">
        <f>_xlfn.XLOOKUP(Table1[[#This Row], [TEAM]],Sheet1!$A$12:$A$17,Sheet1!$F$12:$F$17)</f>
        <v>3</v>
      </c>
      <c r="C150" s="14">
        <f>_xlfn.XLOOKUP(Table1[[#This Row], [TEAM]],Sheet1!$A$12:$A$17,Sheet1!$G$12:$G$17)</f>
        <v>5930000</v>
      </c>
      <c r="D150" t="s">
        <v>32</v>
      </c>
      <c r="E150" s="4">
        <f>_xlfn.XLOOKUP(Table1[[#This Row], [ROOM]],Sheet1!$A$47:$A$66,Sheet1!$B$47:$B$66)</f>
        <v>346</v>
      </c>
      <c r="F150" t="s">
        <v>62</v>
      </c>
      <c r="G15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" s="13" t="s">
        <v>59</v>
      </c>
      <c r="I150" s="4">
        <f>_xlfn.XLOOKUP(Table1[[#This Row], [WEAPON]],Sheet1!$A$27:$A$29,Sheet1!$B$27:$B$29)*Table1[[#This Row], [NUM OF MEM]]*(1+_xlfn.XLOOKUP(Table1[[#This Row], [WEAPON]],Sheet1!$A$27:$A$29,Sheet1!$C$27:$C$29))</f>
        <v>136500</v>
      </c>
      <c r="J150" t="s">
        <v>64</v>
      </c>
      <c r="K150" s="4">
        <f>Table1[[#This Row], [NUM OF MEM]]*Table1[[#This Row], [TOTAL TIME TAKEN]]*_xlfn.XLOOKUP(Table1[[#This Row], [EXIT]],Sheet1!$A$70:$A$71,Sheet1!$B$70:$B$71)*(1+_xlfn.XLOOKUP(Table1[[#This Row], [EXIT]],Sheet1!$A$70:$A$71,Sheet1!$C$70:$C$71))</f>
        <v>1751328</v>
      </c>
      <c r="L150" s="13" t="s">
        <v>65</v>
      </c>
      <c r="M150" s="4">
        <f>IF(Table1[[#This Row], [EQUIPMENT]]="YES",Sheet1!$C$44*(1+Sheet1!$D$44),0)</f>
        <v>307500</v>
      </c>
      <c r="N150" s="4">
        <f>_xlfn.XLOOKUP(Table1[[#This Row], [ROOM]],Sheet1!$A$47:$A$66,Sheet1!$F$47:$F$66)</f>
        <v>18200000</v>
      </c>
      <c r="O150" s="9">
        <f>_xlfn.XLOOKUP(_xlfn.CONCAT(Table1[[#This Row], [TEAM]],Table1[[#This Row], [ROOM]]),'ROOM TIME'!$H$2:$H$121,'ROOM TIME'!$J$2:$J$121)</f>
        <v>40.061111111111103</v>
      </c>
      <c r="P150" s="9">
        <f>(INDEX(Sheet1!$X$48:$Z$67,MATCH(Table1[[#This Row], [ROOM]],Sheet1!$P$48:$P$67,0),MATCH(Table1[[#This Row], [WEAPON]],Sheet1!$X$47:$Z$47,0)))/Table1[[#This Row], [NUM OF MEM]]</f>
        <v>4.9833333333333334</v>
      </c>
      <c r="Q150" s="9">
        <f>Table1[[#This Row], [ROOM TIME]]+Table1[[#This Row], [GUARD TIME]]</f>
        <v>45.044444444444437</v>
      </c>
      <c r="R150" s="4">
        <f>Sheet1!$K$3*_xlfn.XLOOKUP(Table1[[#This Row], [DISGUISE]],Sheet1!$A$21:$A$23,Sheet1!$D$21:$D$23)</f>
        <v>66</v>
      </c>
      <c r="S150" s="9">
        <f>Table1[[#This Row], [TOTAL TIME]]-Table1[[#This Row], [TOTAL TIME TAKEN]]</f>
        <v>20.955555555555563</v>
      </c>
      <c r="T150" t="str">
        <f>IF(Table1[[#This Row], [TIME DIFFERENCE]]&gt;=0,"PASS","FAIL")</f>
        <v>PASS</v>
      </c>
      <c r="U150" s="4">
        <f>Table1[[#This Row], [TRC]]+Table1[[#This Row], [DRC]]+Table1[[#This Row], [WRC]]+Table1[[#This Row], [ERC]]+Table1[[#This Row], [EQRC]]</f>
        <v>8140928</v>
      </c>
      <c r="V150" s="4">
        <f>Table1[[#This Row], [TOTAL COST]]+_xlfn.XLOOKUP(Table1[[#This Row], [TEAM]],Sheet1!$A$12:$A$17,Sheet1!$I$12:$I$17)</f>
        <v>8437428</v>
      </c>
      <c r="W150" s="4">
        <f>Table1[[#This Row], [LOOT]]-Table1[[#This Row], [TOTAL COST]]</f>
        <v>10059072</v>
      </c>
      <c r="X150" s="4">
        <f>IF(Table1[[#This Row], [PASS/FAIL]]="FAIL",0,Table1[[#This Row], [PROFIT]])</f>
        <v>10059072</v>
      </c>
    </row>
    <row r="151" spans="1:24" ht="19.5" customHeight="1" x14ac:dyDescent="0.45">
      <c r="A151" t="s">
        <v>13</v>
      </c>
      <c r="B151" s="14">
        <f>_xlfn.XLOOKUP(Table1[[#This Row], [TEAM]],Sheet1!$A$12:$A$17,Sheet1!$F$12:$F$17)</f>
        <v>3</v>
      </c>
      <c r="C151" s="14">
        <f>_xlfn.XLOOKUP(Table1[[#This Row], [TEAM]],Sheet1!$A$12:$A$17,Sheet1!$G$12:$G$17)</f>
        <v>5930000</v>
      </c>
      <c r="D151" t="s">
        <v>19</v>
      </c>
      <c r="E151" s="4">
        <f>_xlfn.XLOOKUP(Table1[[#This Row], [ROOM]],Sheet1!$A$47:$A$66,Sheet1!$B$47:$B$66)</f>
        <v>135</v>
      </c>
      <c r="F151" t="s">
        <v>62</v>
      </c>
      <c r="G151" s="4">
        <f>_xlfn.XLOOKUP(Table1[[#This Row], [DISGUISE]],Sheet1!$A$21:$A$23,Sheet1!$B$21:$B$23)*Table1[[#This Row], [NUM OF MEM]]*(1+_xlfn.XLOOKUP(Table1[[#This Row], [DISGUISE]],Sheet1!$A$21:$A$23,Sheet1!$C$21:$C$23))</f>
        <v>15600</v>
      </c>
      <c r="H151" s="13" t="s">
        <v>66</v>
      </c>
      <c r="I151" s="4">
        <f>_xlfn.XLOOKUP(Table1[[#This Row], [WEAPON]],Sheet1!$A$27:$A$29,Sheet1!$B$27:$B$29)*Table1[[#This Row], [NUM OF MEM]]*(1+_xlfn.XLOOKUP(Table1[[#This Row], [WEAPON]],Sheet1!$A$27:$A$29,Sheet1!$C$27:$C$29))</f>
        <v>108000</v>
      </c>
      <c r="J151" t="s">
        <v>64</v>
      </c>
      <c r="K151" s="9">
        <f>Table1[[#This Row], [NUM OF MEM]]*Table1[[#This Row], [TOTAL TIME TAKEN]]*_xlfn.XLOOKUP(Table1[[#This Row], [EXIT]],Sheet1!$A$70:$A$71,Sheet1!$B$70:$B$71)*(1+_xlfn.XLOOKUP(Table1[[#This Row], [EXIT]],Sheet1!$A$70:$A$71,Sheet1!$C$70:$C$71))</f>
        <v>1837468.7999999996</v>
      </c>
      <c r="L151" s="13" t="s">
        <v>61</v>
      </c>
      <c r="M151" s="4">
        <f>IF(Table1[[#This Row], [EQUIPMENT]]="YES",Sheet1!$C$44*(1+Sheet1!$D$44),0)</f>
        <v>0</v>
      </c>
      <c r="N151" s="4">
        <f>_xlfn.XLOOKUP(Table1[[#This Row], [ROOM]],Sheet1!$A$47:$A$66,Sheet1!$F$47:$F$66)</f>
        <v>17950000</v>
      </c>
      <c r="O151" s="9">
        <f>_xlfn.XLOOKUP(_xlfn.CONCAT(Table1[[#This Row], [TEAM]],Table1[[#This Row], [ROOM]]),'ROOM TIME'!$H$2:$H$121,'ROOM TIME'!$J$2:$J$121)</f>
        <v>42.676666666666655</v>
      </c>
      <c r="P151" s="9">
        <f>(INDEX(Sheet1!$X$48:$Z$67,MATCH(Table1[[#This Row], [ROOM]],Sheet1!$P$48:$P$67,0),MATCH(Table1[[#This Row], [WEAPON]],Sheet1!$X$47:$Z$47,0)))/Table1[[#This Row], [NUM OF MEM]]</f>
        <v>4.583333333333333</v>
      </c>
      <c r="Q151" s="9">
        <f>Table1[[#This Row], [ROOM TIME]]+Table1[[#This Row], [GUARD TIME]]</f>
        <v>47.259999999999991</v>
      </c>
      <c r="R151" s="4">
        <f>Sheet1!$K$3*_xlfn.XLOOKUP(Table1[[#This Row], [DISGUISE]],Sheet1!$A$21:$A$23,Sheet1!$D$21:$D$23)</f>
        <v>66</v>
      </c>
      <c r="S151" s="9">
        <f>Table1[[#This Row], [TOTAL TIME]]-Table1[[#This Row], [TOTAL TIME TAKEN]]</f>
        <v>18.740000000000009</v>
      </c>
      <c r="T151" t="str">
        <f>IF(Table1[[#This Row], [TIME DIFFERENCE]]&gt;=0,"PASS","FAIL")</f>
        <v>PASS</v>
      </c>
      <c r="U151" s="9">
        <f>Table1[[#This Row], [TRC]]+Table1[[#This Row], [DRC]]+Table1[[#This Row], [WRC]]+Table1[[#This Row], [ERC]]+Table1[[#This Row], [EQRC]]</f>
        <v>7891068.7999999998</v>
      </c>
      <c r="V151" s="9">
        <f>Table1[[#This Row], [TOTAL COST]]+_xlfn.XLOOKUP(Table1[[#This Row], [TEAM]],Sheet1!$A$12:$A$17,Sheet1!$I$12:$I$17)</f>
        <v>8187568.7999999998</v>
      </c>
      <c r="W151" s="9">
        <f>Table1[[#This Row], [LOOT]]-Table1[[#This Row], [TOTAL COST]]</f>
        <v>10058931.199999999</v>
      </c>
      <c r="X151" s="9">
        <f>IF(Table1[[#This Row], [PASS/FAIL]]="FAIL",0,Table1[[#This Row], [PROFIT]])</f>
        <v>10058931.199999999</v>
      </c>
    </row>
    <row r="152" spans="1:24" ht="19.5" customHeight="1" x14ac:dyDescent="0.45">
      <c r="A152" t="s">
        <v>12</v>
      </c>
      <c r="B152" s="14">
        <f>_xlfn.XLOOKUP(Table1[[#This Row], [TEAM]],Sheet1!$A$12:$A$17,Sheet1!$F$12:$F$17)</f>
        <v>3</v>
      </c>
      <c r="C152" s="14">
        <f>_xlfn.XLOOKUP(Table1[[#This Row], [TEAM]],Sheet1!$A$12:$A$17,Sheet1!$G$12:$G$17)</f>
        <v>5988750</v>
      </c>
      <c r="D152" t="s">
        <v>32</v>
      </c>
      <c r="E152" s="4">
        <f>_xlfn.XLOOKUP(Table1[[#This Row], [ROOM]],Sheet1!$A$47:$A$66,Sheet1!$B$47:$B$66)</f>
        <v>346</v>
      </c>
      <c r="F152" t="s">
        <v>62</v>
      </c>
      <c r="G152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" s="13" t="s">
        <v>59</v>
      </c>
      <c r="I152" s="4">
        <f>_xlfn.XLOOKUP(Table1[[#This Row], [WEAPON]],Sheet1!$A$27:$A$29,Sheet1!$B$27:$B$29)*Table1[[#This Row], [NUM OF MEM]]*(1+_xlfn.XLOOKUP(Table1[[#This Row], [WEAPON]],Sheet1!$A$27:$A$29,Sheet1!$C$27:$C$29))</f>
        <v>136500</v>
      </c>
      <c r="J152" t="s">
        <v>64</v>
      </c>
      <c r="K152" s="9">
        <f>Table1[[#This Row], [NUM OF MEM]]*Table1[[#This Row], [TOTAL TIME TAKEN]]*_xlfn.XLOOKUP(Table1[[#This Row], [EXIT]],Sheet1!$A$70:$A$71,Sheet1!$B$70:$B$71)*(1+_xlfn.XLOOKUP(Table1[[#This Row], [EXIT]],Sheet1!$A$70:$A$71,Sheet1!$C$70:$C$71))</f>
        <v>1694519.9999999998</v>
      </c>
      <c r="L152" s="13" t="s">
        <v>65</v>
      </c>
      <c r="M152" s="4">
        <f>IF(Table1[[#This Row], [EQUIPMENT]]="YES",Sheet1!$C$44*(1+Sheet1!$D$44),0)</f>
        <v>307500</v>
      </c>
      <c r="N152" s="4">
        <f>_xlfn.XLOOKUP(Table1[[#This Row], [ROOM]],Sheet1!$A$47:$A$66,Sheet1!$F$47:$F$66)</f>
        <v>18200000</v>
      </c>
      <c r="O152" s="9">
        <f>_xlfn.XLOOKUP(_xlfn.CONCAT(Table1[[#This Row], [TEAM]],Table1[[#This Row], [ROOM]]),'ROOM TIME'!$H$2:$H$121,'ROOM TIME'!$J$2:$J$121)</f>
        <v>38.599999999999987</v>
      </c>
      <c r="P152" s="9">
        <f>(INDEX(Sheet1!$X$48:$Z$67,MATCH(Table1[[#This Row], [ROOM]],Sheet1!$P$48:$P$67,0),MATCH(Table1[[#This Row], [WEAPON]],Sheet1!$X$47:$Z$47,0)))/Table1[[#This Row], [NUM OF MEM]]</f>
        <v>4.9833333333333334</v>
      </c>
      <c r="Q152" s="9">
        <f>Table1[[#This Row], [ROOM TIME]]+Table1[[#This Row], [GUARD TIME]]</f>
        <v>43.583333333333321</v>
      </c>
      <c r="R152" s="4">
        <f>Sheet1!$K$3*_xlfn.XLOOKUP(Table1[[#This Row], [DISGUISE]],Sheet1!$A$21:$A$23,Sheet1!$D$21:$D$23)</f>
        <v>66</v>
      </c>
      <c r="S152" s="9">
        <f>Table1[[#This Row], [TOTAL TIME]]-Table1[[#This Row], [TOTAL TIME TAKEN]]</f>
        <v>22.416666666666679</v>
      </c>
      <c r="T152" t="str">
        <f>IF(Table1[[#This Row], [TIME DIFFERENCE]]&gt;=0,"PASS","FAIL")</f>
        <v>PASS</v>
      </c>
      <c r="U152" s="4">
        <f>Table1[[#This Row], [TRC]]+Table1[[#This Row], [DRC]]+Table1[[#This Row], [WRC]]+Table1[[#This Row], [ERC]]+Table1[[#This Row], [EQRC]]</f>
        <v>8142870</v>
      </c>
      <c r="V152" s="9">
        <f>Table1[[#This Row], [TOTAL COST]]+_xlfn.XLOOKUP(Table1[[#This Row], [TEAM]],Sheet1!$A$12:$A$17,Sheet1!$I$12:$I$17)</f>
        <v>8442307.5</v>
      </c>
      <c r="W152" s="4">
        <f>Table1[[#This Row], [LOOT]]-Table1[[#This Row], [TOTAL COST]]</f>
        <v>10057130</v>
      </c>
      <c r="X152" s="4">
        <f>IF(Table1[[#This Row], [PASS/FAIL]]="FAIL",0,Table1[[#This Row], [PROFIT]])</f>
        <v>10057130</v>
      </c>
    </row>
    <row r="153" spans="1:24" ht="19.5" customHeight="1" x14ac:dyDescent="0.45">
      <c r="A153" t="s">
        <v>16</v>
      </c>
      <c r="B153" s="14">
        <f>_xlfn.XLOOKUP(Table1[[#This Row], [TEAM]],Sheet1!$A$12:$A$17,Sheet1!$F$12:$F$17)</f>
        <v>2</v>
      </c>
      <c r="C153" s="14">
        <f>_xlfn.XLOOKUP(Table1[[#This Row], [TEAM]],Sheet1!$A$12:$A$17,Sheet1!$G$12:$G$17)</f>
        <v>6082800</v>
      </c>
      <c r="D153" t="s">
        <v>24</v>
      </c>
      <c r="E153" s="4">
        <f>_xlfn.XLOOKUP(Table1[[#This Row], [ROOM]],Sheet1!$A$47:$A$66,Sheet1!$B$47:$B$66)</f>
        <v>345</v>
      </c>
      <c r="F153" t="s">
        <v>58</v>
      </c>
      <c r="G153" s="4">
        <f>_xlfn.XLOOKUP(Table1[[#This Row], [DISGUISE]],Sheet1!$A$21:$A$23,Sheet1!$B$21:$B$23)*Table1[[#This Row], [NUM OF MEM]]*(1+_xlfn.XLOOKUP(Table1[[#This Row], [DISGUISE]],Sheet1!$A$21:$A$23,Sheet1!$C$21:$C$23))</f>
        <v>25600</v>
      </c>
      <c r="H153" s="13" t="s">
        <v>59</v>
      </c>
      <c r="I153" s="4">
        <f>_xlfn.XLOOKUP(Table1[[#This Row], [WEAPON]],Sheet1!$A$27:$A$29,Sheet1!$B$27:$B$29)*Table1[[#This Row], [NUM OF MEM]]*(1+_xlfn.XLOOKUP(Table1[[#This Row], [WEAPON]],Sheet1!$A$27:$A$29,Sheet1!$C$27:$C$29))</f>
        <v>91000</v>
      </c>
      <c r="J153" t="s">
        <v>60</v>
      </c>
      <c r="K153" s="9">
        <f>Table1[[#This Row], [NUM OF MEM]]*Table1[[#This Row], [TOTAL TIME TAKEN]]*_xlfn.XLOOKUP(Table1[[#This Row], [EXIT]],Sheet1!$A$70:$A$71,Sheet1!$B$70:$B$71)*(1+_xlfn.XLOOKUP(Table1[[#This Row], [EXIT]],Sheet1!$A$70:$A$71,Sheet1!$C$70:$C$71))</f>
        <v>1743648.0187499996</v>
      </c>
      <c r="L153" s="13" t="s">
        <v>61</v>
      </c>
      <c r="M153" s="4">
        <f>IF(Table1[[#This Row], [EQUIPMENT]]="YES",Sheet1!$C$44*(1+Sheet1!$D$44),0)</f>
        <v>0</v>
      </c>
      <c r="N153" s="4">
        <f>_xlfn.XLOOKUP(Table1[[#This Row], [ROOM]],Sheet1!$A$47:$A$66,Sheet1!$F$47:$F$66)</f>
        <v>18000000</v>
      </c>
      <c r="O153" s="9">
        <f>_xlfn.XLOOKUP(_xlfn.CONCAT(Table1[[#This Row], [TEAM]],Table1[[#This Row], [ROOM]]),'ROOM TIME'!$H$2:$H$121,'ROOM TIME'!$J$2:$J$121)</f>
        <v>61.038749999999979</v>
      </c>
      <c r="P153" s="9">
        <f>(INDEX(Sheet1!$X$48:$Z$67,MATCH(Table1[[#This Row], [ROOM]],Sheet1!$P$48:$P$67,0),MATCH(Table1[[#This Row], [WEAPON]],Sheet1!$X$47:$Z$47,0)))/Table1[[#This Row], [NUM OF MEM]]</f>
        <v>6.8999999999999995</v>
      </c>
      <c r="Q153" s="9">
        <f>Table1[[#This Row], [ROOM TIME]]+Table1[[#This Row], [GUARD TIME]]</f>
        <v>67.938749999999985</v>
      </c>
      <c r="R153" s="4">
        <f>Sheet1!$K$3*_xlfn.XLOOKUP(Table1[[#This Row], [DISGUISE]],Sheet1!$A$21:$A$23,Sheet1!$D$21:$D$23)</f>
        <v>69</v>
      </c>
      <c r="S153" s="9">
        <f>Table1[[#This Row], [TOTAL TIME]]-Table1[[#This Row], [TOTAL TIME TAKEN]]</f>
        <v>1.0612500000000153</v>
      </c>
      <c r="T153" t="str">
        <f>IF(Table1[[#This Row], [TIME DIFFERENCE]]&gt;=0,"PASS","FAIL")</f>
        <v>PASS</v>
      </c>
      <c r="U153" s="9">
        <f>Table1[[#This Row], [TRC]]+Table1[[#This Row], [DRC]]+Table1[[#This Row], [WRC]]+Table1[[#This Row], [ERC]]+Table1[[#This Row], [EQRC]]</f>
        <v>7943048.0187499998</v>
      </c>
      <c r="V153" s="9">
        <f>Table1[[#This Row], [TOTAL COST]]+_xlfn.XLOOKUP(Table1[[#This Row], [TEAM]],Sheet1!$A$12:$A$17,Sheet1!$I$12:$I$17)</f>
        <v>8247188.0187499998</v>
      </c>
      <c r="W153" s="9">
        <f>Table1[[#This Row], [LOOT]]-Table1[[#This Row], [TOTAL COST]]</f>
        <v>10056951.981249999</v>
      </c>
      <c r="X153" s="9">
        <f>IF(Table1[[#This Row], [PASS/FAIL]]="FAIL",0,Table1[[#This Row], [PROFIT]])</f>
        <v>10056951.981249999</v>
      </c>
    </row>
    <row r="154" spans="1:24" ht="19.5" customHeight="1" x14ac:dyDescent="0.45">
      <c r="A154" t="s">
        <v>13</v>
      </c>
      <c r="B154" s="14">
        <f>_xlfn.XLOOKUP(Table1[[#This Row], [TEAM]],Sheet1!$A$12:$A$17,Sheet1!$F$12:$F$17)</f>
        <v>3</v>
      </c>
      <c r="C154" s="14">
        <f>_xlfn.XLOOKUP(Table1[[#This Row], [TEAM]],Sheet1!$A$12:$A$17,Sheet1!$G$12:$G$17)</f>
        <v>5930000</v>
      </c>
      <c r="D154" t="s">
        <v>26</v>
      </c>
      <c r="E154" s="4">
        <f>_xlfn.XLOOKUP(Table1[[#This Row], [ROOM]],Sheet1!$A$47:$A$66,Sheet1!$B$47:$B$66)</f>
        <v>136</v>
      </c>
      <c r="F154" t="s">
        <v>62</v>
      </c>
      <c r="G15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4" s="13" t="s">
        <v>63</v>
      </c>
      <c r="I154" s="4">
        <f>_xlfn.XLOOKUP(Table1[[#This Row], [WEAPON]],Sheet1!$A$27:$A$29,Sheet1!$B$27:$B$29)*Table1[[#This Row], [NUM OF MEM]]*(1+_xlfn.XLOOKUP(Table1[[#This Row], [WEAPON]],Sheet1!$A$27:$A$29,Sheet1!$C$27:$C$29))</f>
        <v>69000</v>
      </c>
      <c r="J154" t="s">
        <v>64</v>
      </c>
      <c r="K154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1770983.9999999993</v>
      </c>
      <c r="L154" s="13" t="s">
        <v>65</v>
      </c>
      <c r="M154" s="4">
        <f>IF(Table1[[#This Row], [EQUIPMENT]]="YES",Sheet1!$C$44*(1+Sheet1!$D$44),0)</f>
        <v>307500</v>
      </c>
      <c r="N154" s="4">
        <f>_xlfn.XLOOKUP(Table1[[#This Row], [ROOM]],Sheet1!$A$47:$A$66,Sheet1!$F$47:$F$66)</f>
        <v>18150000</v>
      </c>
      <c r="O154" s="9">
        <f>_xlfn.XLOOKUP(_xlfn.CONCAT(Table1[[#This Row], [TEAM]],Table1[[#This Row], [ROOM]]),'ROOM TIME'!$H$2:$H$121,'ROOM TIME'!$J$2:$J$121)</f>
        <v>40.149999999999984</v>
      </c>
      <c r="P154" s="9">
        <f>(INDEX(Sheet1!$X$48:$Z$67,MATCH(Table1[[#This Row], [ROOM]],Sheet1!$P$48:$P$67,0),MATCH(Table1[[#This Row], [WEAPON]],Sheet1!$X$47:$Z$47,0)))/Table1[[#This Row], [NUM OF MEM]]</f>
        <v>5.4000000000000012</v>
      </c>
      <c r="Q154" s="9">
        <f>Table1[[#This Row], [ROOM TIME]]+Table1[[#This Row], [GUARD TIME]]</f>
        <v>45.549999999999983</v>
      </c>
      <c r="R154" s="4">
        <f>Sheet1!$K$3*_xlfn.XLOOKUP(Table1[[#This Row], [DISGUISE]],Sheet1!$A$21:$A$23,Sheet1!$D$21:$D$23)</f>
        <v>66</v>
      </c>
      <c r="S154" s="9">
        <f>Table1[[#This Row], [TOTAL TIME]]-Table1[[#This Row], [TOTAL TIME TAKEN]]</f>
        <v>20.450000000000017</v>
      </c>
      <c r="T154" t="str">
        <f>IF(Table1[[#This Row], [TIME DIFFERENCE]]&gt;=0,"PASS","FAIL")</f>
        <v>PASS</v>
      </c>
      <c r="U154" s="9">
        <f>Table1[[#This Row], [TRC]]+Table1[[#This Row], [DRC]]+Table1[[#This Row], [WRC]]+Table1[[#This Row], [ERC]]+Table1[[#This Row], [EQRC]]</f>
        <v>8093083.9999999991</v>
      </c>
      <c r="V154" s="4">
        <f>Table1[[#This Row], [TOTAL COST]]+_xlfn.XLOOKUP(Table1[[#This Row], [TEAM]],Sheet1!$A$12:$A$17,Sheet1!$I$12:$I$17)</f>
        <v>8389584</v>
      </c>
      <c r="W154" s="4">
        <f>Table1[[#This Row], [LOOT]]-Table1[[#This Row], [TOTAL COST]]</f>
        <v>10056916</v>
      </c>
      <c r="X154" s="4">
        <f>IF(Table1[[#This Row], [PASS/FAIL]]="FAIL",0,Table1[[#This Row], [PROFIT]])</f>
        <v>10056916</v>
      </c>
    </row>
    <row r="155" spans="1:24" ht="19.5" customHeight="1" x14ac:dyDescent="0.45">
      <c r="A155" t="s">
        <v>14</v>
      </c>
      <c r="B155" s="14">
        <f>_xlfn.XLOOKUP(Table1[[#This Row], [TEAM]],Sheet1!$A$12:$A$17,Sheet1!$F$12:$F$17)</f>
        <v>2</v>
      </c>
      <c r="C155" s="14">
        <f>_xlfn.XLOOKUP(Table1[[#This Row], [TEAM]],Sheet1!$A$12:$A$17,Sheet1!$G$12:$G$17)</f>
        <v>5949600</v>
      </c>
      <c r="D155" t="s">
        <v>33</v>
      </c>
      <c r="E155" s="4">
        <f>_xlfn.XLOOKUP(Table1[[#This Row], [ROOM]],Sheet1!$A$47:$A$66,Sheet1!$B$47:$B$66)</f>
        <v>356</v>
      </c>
      <c r="F155" t="s">
        <v>58</v>
      </c>
      <c r="G155" s="4">
        <f>_xlfn.XLOOKUP(Table1[[#This Row], [DISGUISE]],Sheet1!$A$21:$A$23,Sheet1!$B$21:$B$23)*Table1[[#This Row], [NUM OF MEM]]*(1+_xlfn.XLOOKUP(Table1[[#This Row], [DISGUISE]],Sheet1!$A$21:$A$23,Sheet1!$C$21:$C$23))</f>
        <v>25600</v>
      </c>
      <c r="H155" s="13" t="s">
        <v>66</v>
      </c>
      <c r="I155" s="4">
        <f>_xlfn.XLOOKUP(Table1[[#This Row], [WEAPON]],Sheet1!$A$27:$A$29,Sheet1!$B$27:$B$29)*Table1[[#This Row], [NUM OF MEM]]*(1+_xlfn.XLOOKUP(Table1[[#This Row], [WEAPON]],Sheet1!$A$27:$A$29,Sheet1!$C$27:$C$29))</f>
        <v>72000</v>
      </c>
      <c r="J155" t="s">
        <v>64</v>
      </c>
      <c r="K155" s="9">
        <f>Table1[[#This Row], [NUM OF MEM]]*Table1[[#This Row], [TOTAL TIME TAKEN]]*_xlfn.XLOOKUP(Table1[[#This Row], [EXIT]],Sheet1!$A$70:$A$71,Sheet1!$B$70:$B$71)*(1+_xlfn.XLOOKUP(Table1[[#This Row], [EXIT]],Sheet1!$A$70:$A$71,Sheet1!$C$70:$C$71))</f>
        <v>1688655.5999999994</v>
      </c>
      <c r="L155" s="13" t="s">
        <v>65</v>
      </c>
      <c r="M155" s="4">
        <f>IF(Table1[[#This Row], [EQUIPMENT]]="YES",Sheet1!$C$44*(1+Sheet1!$D$44),0)</f>
        <v>307500</v>
      </c>
      <c r="N155" s="4">
        <f>_xlfn.XLOOKUP(Table1[[#This Row], [ROOM]],Sheet1!$A$47:$A$66,Sheet1!$F$47:$F$66)</f>
        <v>18100000</v>
      </c>
      <c r="O155" s="9">
        <f>_xlfn.XLOOKUP(_xlfn.CONCAT(Table1[[#This Row], [TEAM]],Table1[[#This Row], [ROOM]]),'ROOM TIME'!$H$2:$H$121,'ROOM TIME'!$J$2:$J$121)</f>
        <v>57.648749999999986</v>
      </c>
      <c r="P155" s="9">
        <f>(INDEX(Sheet1!$X$48:$Z$67,MATCH(Table1[[#This Row], [ROOM]],Sheet1!$P$48:$P$67,0),MATCH(Table1[[#This Row], [WEAPON]],Sheet1!$X$47:$Z$47,0)))/Table1[[#This Row], [NUM OF MEM]]</f>
        <v>7.5</v>
      </c>
      <c r="Q155" s="9">
        <f>Table1[[#This Row], [ROOM TIME]]+Table1[[#This Row], [GUARD TIME]]</f>
        <v>65.148749999999978</v>
      </c>
      <c r="R155" s="4">
        <f>Sheet1!$K$3*_xlfn.XLOOKUP(Table1[[#This Row], [DISGUISE]],Sheet1!$A$21:$A$23,Sheet1!$D$21:$D$23)</f>
        <v>69</v>
      </c>
      <c r="S155" s="9">
        <f>Table1[[#This Row], [TOTAL TIME]]-Table1[[#This Row], [TOTAL TIME TAKEN]]</f>
        <v>3.8512500000000216</v>
      </c>
      <c r="T155" t="str">
        <f>IF(Table1[[#This Row], [TIME DIFFERENCE]]&gt;=0,"PASS","FAIL")</f>
        <v>PASS</v>
      </c>
      <c r="U155" s="9">
        <f>Table1[[#This Row], [TRC]]+Table1[[#This Row], [DRC]]+Table1[[#This Row], [WRC]]+Table1[[#This Row], [ERC]]+Table1[[#This Row], [EQRC]]</f>
        <v>8043355.5999999996</v>
      </c>
      <c r="V155" s="9">
        <f>Table1[[#This Row], [TOTAL COST]]+_xlfn.XLOOKUP(Table1[[#This Row], [TEAM]],Sheet1!$A$12:$A$17,Sheet1!$I$12:$I$17)</f>
        <v>8340835.5999999996</v>
      </c>
      <c r="W155" s="9">
        <f>Table1[[#This Row], [LOOT]]-Table1[[#This Row], [TOTAL COST]]</f>
        <v>10056644.4</v>
      </c>
      <c r="X155" s="9">
        <f>IF(Table1[[#This Row], [PASS/FAIL]]="FAIL",0,Table1[[#This Row], [PROFIT]])</f>
        <v>10056644.4</v>
      </c>
    </row>
    <row r="156" spans="1:24" ht="19.5" customHeight="1" x14ac:dyDescent="0.45">
      <c r="A156" t="s">
        <v>12</v>
      </c>
      <c r="B156" s="14">
        <f>_xlfn.XLOOKUP(Table1[[#This Row], [TEAM]],Sheet1!$A$12:$A$17,Sheet1!$F$12:$F$17)</f>
        <v>3</v>
      </c>
      <c r="C156" s="14">
        <f>_xlfn.XLOOKUP(Table1[[#This Row], [TEAM]],Sheet1!$A$12:$A$17,Sheet1!$G$12:$G$17)</f>
        <v>5988750</v>
      </c>
      <c r="D156" t="s">
        <v>19</v>
      </c>
      <c r="E156" s="4">
        <f>_xlfn.XLOOKUP(Table1[[#This Row], [ROOM]],Sheet1!$A$47:$A$66,Sheet1!$B$47:$B$66)</f>
        <v>135</v>
      </c>
      <c r="F156" t="s">
        <v>58</v>
      </c>
      <c r="G1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" s="13" t="s">
        <v>66</v>
      </c>
      <c r="I156" s="4">
        <f>_xlfn.XLOOKUP(Table1[[#This Row], [WEAPON]],Sheet1!$A$27:$A$29,Sheet1!$B$27:$B$29)*Table1[[#This Row], [NUM OF MEM]]*(1+_xlfn.XLOOKUP(Table1[[#This Row], [WEAPON]],Sheet1!$A$27:$A$29,Sheet1!$C$27:$C$29))</f>
        <v>108000</v>
      </c>
      <c r="J156" t="s">
        <v>60</v>
      </c>
      <c r="K156" s="9">
        <f>Table1[[#This Row], [NUM OF MEM]]*Table1[[#This Row], [TOTAL TIME TAKEN]]*_xlfn.XLOOKUP(Table1[[#This Row], [EXIT]],Sheet1!$A$70:$A$71,Sheet1!$B$70:$B$71)*(1+_xlfn.XLOOKUP(Table1[[#This Row], [EXIT]],Sheet1!$A$70:$A$71,Sheet1!$C$70:$C$71))</f>
        <v>1760618.9999999993</v>
      </c>
      <c r="L156" s="13" t="s">
        <v>61</v>
      </c>
      <c r="M156" s="4">
        <f>IF(Table1[[#This Row], [EQUIPMENT]]="YES",Sheet1!$C$44*(1+Sheet1!$D$44),0)</f>
        <v>0</v>
      </c>
      <c r="N156" s="4">
        <f>_xlfn.XLOOKUP(Table1[[#This Row], [ROOM]],Sheet1!$A$47:$A$66,Sheet1!$F$47:$F$66)</f>
        <v>17950000</v>
      </c>
      <c r="O156" s="9">
        <f>_xlfn.XLOOKUP(_xlfn.CONCAT(Table1[[#This Row], [TEAM]],Table1[[#This Row], [ROOM]]),'ROOM TIME'!$H$2:$H$121,'ROOM TIME'!$J$2:$J$121)</f>
        <v>41.149999999999984</v>
      </c>
      <c r="P156" s="9">
        <f>(INDEX(Sheet1!$X$48:$Z$67,MATCH(Table1[[#This Row], [ROOM]],Sheet1!$P$48:$P$67,0),MATCH(Table1[[#This Row], [WEAPON]],Sheet1!$X$47:$Z$47,0)))/Table1[[#This Row], [NUM OF MEM]]</f>
        <v>4.583333333333333</v>
      </c>
      <c r="Q156" s="9">
        <f>Table1[[#This Row], [ROOM TIME]]+Table1[[#This Row], [GUARD TIME]]</f>
        <v>45.73333333333332</v>
      </c>
      <c r="R156" s="4">
        <f>Sheet1!$K$3*_xlfn.XLOOKUP(Table1[[#This Row], [DISGUISE]],Sheet1!$A$21:$A$23,Sheet1!$D$21:$D$23)</f>
        <v>69</v>
      </c>
      <c r="S156" s="9">
        <f>Table1[[#This Row], [TOTAL TIME]]-Table1[[#This Row], [TOTAL TIME TAKEN]]</f>
        <v>23.26666666666668</v>
      </c>
      <c r="T156" t="str">
        <f>IF(Table1[[#This Row], [TIME DIFFERENCE]]&gt;=0,"PASS","FAIL")</f>
        <v>PASS</v>
      </c>
      <c r="U156" s="9">
        <f>Table1[[#This Row], [TRC]]+Table1[[#This Row], [DRC]]+Table1[[#This Row], [WRC]]+Table1[[#This Row], [ERC]]+Table1[[#This Row], [EQRC]]</f>
        <v>7895768.9999999991</v>
      </c>
      <c r="V156" s="9">
        <f>Table1[[#This Row], [TOTAL COST]]+_xlfn.XLOOKUP(Table1[[#This Row], [TEAM]],Sheet1!$A$12:$A$17,Sheet1!$I$12:$I$17)</f>
        <v>8195206.4999999991</v>
      </c>
      <c r="W156" s="4">
        <f>Table1[[#This Row], [LOOT]]-Table1[[#This Row], [TOTAL COST]]</f>
        <v>10054231</v>
      </c>
      <c r="X156" s="4">
        <f>IF(Table1[[#This Row], [PASS/FAIL]]="FAIL",0,Table1[[#This Row], [PROFIT]])</f>
        <v>10054231</v>
      </c>
    </row>
    <row r="157" spans="1:24" ht="19.5" customHeight="1" x14ac:dyDescent="0.45">
      <c r="A157" t="s">
        <v>13</v>
      </c>
      <c r="B157" s="14">
        <f>_xlfn.XLOOKUP(Table1[[#This Row], [TEAM]],Sheet1!$A$12:$A$17,Sheet1!$F$12:$F$17)</f>
        <v>3</v>
      </c>
      <c r="C157" s="14">
        <f>_xlfn.XLOOKUP(Table1[[#This Row], [TEAM]],Sheet1!$A$12:$A$17,Sheet1!$G$12:$G$17)</f>
        <v>5930000</v>
      </c>
      <c r="D157" t="s">
        <v>19</v>
      </c>
      <c r="E157" s="4">
        <f>_xlfn.XLOOKUP(Table1[[#This Row], [ROOM]],Sheet1!$A$47:$A$66,Sheet1!$B$47:$B$66)</f>
        <v>135</v>
      </c>
      <c r="F157" t="s">
        <v>58</v>
      </c>
      <c r="G15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7" s="13" t="s">
        <v>66</v>
      </c>
      <c r="I157" s="4">
        <f>_xlfn.XLOOKUP(Table1[[#This Row], [WEAPON]],Sheet1!$A$27:$A$29,Sheet1!$B$27:$B$29)*Table1[[#This Row], [NUM OF MEM]]*(1+_xlfn.XLOOKUP(Table1[[#This Row], [WEAPON]],Sheet1!$A$27:$A$29,Sheet1!$C$27:$C$29))</f>
        <v>108000</v>
      </c>
      <c r="J157" t="s">
        <v>60</v>
      </c>
      <c r="K157" s="9">
        <f>Table1[[#This Row], [NUM OF MEM]]*Table1[[#This Row], [TOTAL TIME TAKEN]]*_xlfn.XLOOKUP(Table1[[#This Row], [EXIT]],Sheet1!$A$70:$A$71,Sheet1!$B$70:$B$71)*(1+_xlfn.XLOOKUP(Table1[[#This Row], [EXIT]],Sheet1!$A$70:$A$71,Sheet1!$C$70:$C$71))</f>
        <v>1819391.8499999996</v>
      </c>
      <c r="L157" s="13" t="s">
        <v>61</v>
      </c>
      <c r="M157" s="4">
        <f>IF(Table1[[#This Row], [EQUIPMENT]]="YES",Sheet1!$C$44*(1+Sheet1!$D$44),0)</f>
        <v>0</v>
      </c>
      <c r="N157" s="4">
        <f>_xlfn.XLOOKUP(Table1[[#This Row], [ROOM]],Sheet1!$A$47:$A$66,Sheet1!$F$47:$F$66)</f>
        <v>17950000</v>
      </c>
      <c r="O157" s="9">
        <f>_xlfn.XLOOKUP(_xlfn.CONCAT(Table1[[#This Row], [TEAM]],Table1[[#This Row], [ROOM]]),'ROOM TIME'!$H$2:$H$121,'ROOM TIME'!$J$2:$J$121)</f>
        <v>42.676666666666655</v>
      </c>
      <c r="P157" s="9">
        <f>(INDEX(Sheet1!$X$48:$Z$67,MATCH(Table1[[#This Row], [ROOM]],Sheet1!$P$48:$P$67,0),MATCH(Table1[[#This Row], [WEAPON]],Sheet1!$X$47:$Z$47,0)))/Table1[[#This Row], [NUM OF MEM]]</f>
        <v>4.583333333333333</v>
      </c>
      <c r="Q157" s="9">
        <f>Table1[[#This Row], [ROOM TIME]]+Table1[[#This Row], [GUARD TIME]]</f>
        <v>47.259999999999991</v>
      </c>
      <c r="R157" s="4">
        <f>Sheet1!$K$3*_xlfn.XLOOKUP(Table1[[#This Row], [DISGUISE]],Sheet1!$A$21:$A$23,Sheet1!$D$21:$D$23)</f>
        <v>69</v>
      </c>
      <c r="S157" s="9">
        <f>Table1[[#This Row], [TOTAL TIME]]-Table1[[#This Row], [TOTAL TIME TAKEN]]</f>
        <v>21.740000000000009</v>
      </c>
      <c r="T157" t="str">
        <f>IF(Table1[[#This Row], [TIME DIFFERENCE]]&gt;=0,"PASS","FAIL")</f>
        <v>PASS</v>
      </c>
      <c r="U157" s="9">
        <f>Table1[[#This Row], [TRC]]+Table1[[#This Row], [DRC]]+Table1[[#This Row], [WRC]]+Table1[[#This Row], [ERC]]+Table1[[#This Row], [EQRC]]</f>
        <v>7895791.8499999996</v>
      </c>
      <c r="V157" s="9">
        <f>Table1[[#This Row], [TOTAL COST]]+_xlfn.XLOOKUP(Table1[[#This Row], [TEAM]],Sheet1!$A$12:$A$17,Sheet1!$I$12:$I$17)</f>
        <v>8192291.8499999996</v>
      </c>
      <c r="W157" s="9">
        <f>Table1[[#This Row], [LOOT]]-Table1[[#This Row], [TOTAL COST]]</f>
        <v>10054208.15</v>
      </c>
      <c r="X157" s="9">
        <f>IF(Table1[[#This Row], [PASS/FAIL]]="FAIL",0,Table1[[#This Row], [PROFIT]])</f>
        <v>10054208.15</v>
      </c>
    </row>
    <row r="158" spans="1:24" ht="19.5" customHeight="1" x14ac:dyDescent="0.45">
      <c r="A158" t="s">
        <v>13</v>
      </c>
      <c r="B158" s="14">
        <f>_xlfn.XLOOKUP(Table1[[#This Row], [TEAM]],Sheet1!$A$12:$A$17,Sheet1!$F$12:$F$17)</f>
        <v>3</v>
      </c>
      <c r="C158" s="14">
        <f>_xlfn.XLOOKUP(Table1[[#This Row], [TEAM]],Sheet1!$A$12:$A$17,Sheet1!$G$12:$G$17)</f>
        <v>5930000</v>
      </c>
      <c r="D158" t="s">
        <v>32</v>
      </c>
      <c r="E158" s="4">
        <f>_xlfn.XLOOKUP(Table1[[#This Row], [ROOM]],Sheet1!$A$47:$A$66,Sheet1!$B$47:$B$66)</f>
        <v>346</v>
      </c>
      <c r="F158" t="s">
        <v>58</v>
      </c>
      <c r="G158" s="4">
        <f>_xlfn.XLOOKUP(Table1[[#This Row], [DISGUISE]],Sheet1!$A$21:$A$23,Sheet1!$B$21:$B$23)*Table1[[#This Row], [NUM OF MEM]]*(1+_xlfn.XLOOKUP(Table1[[#This Row], [DISGUISE]],Sheet1!$A$21:$A$23,Sheet1!$C$21:$C$23))</f>
        <v>38400</v>
      </c>
      <c r="H158" s="13" t="s">
        <v>59</v>
      </c>
      <c r="I158" s="4">
        <f>_xlfn.XLOOKUP(Table1[[#This Row], [WEAPON]],Sheet1!$A$27:$A$29,Sheet1!$B$27:$B$29)*Table1[[#This Row], [NUM OF MEM]]*(1+_xlfn.XLOOKUP(Table1[[#This Row], [WEAPON]],Sheet1!$A$27:$A$29,Sheet1!$C$27:$C$29))</f>
        <v>136500</v>
      </c>
      <c r="J158" t="s">
        <v>60</v>
      </c>
      <c r="K158" s="9">
        <f>Table1[[#This Row], [NUM OF MEM]]*Table1[[#This Row], [TOTAL TIME TAKEN]]*_xlfn.XLOOKUP(Table1[[#This Row], [EXIT]],Sheet1!$A$70:$A$71,Sheet1!$B$70:$B$71)*(1+_xlfn.XLOOKUP(Table1[[#This Row], [EXIT]],Sheet1!$A$70:$A$71,Sheet1!$C$70:$C$71))</f>
        <v>1734098.5</v>
      </c>
      <c r="L158" s="13" t="s">
        <v>65</v>
      </c>
      <c r="M158" s="4">
        <f>IF(Table1[[#This Row], [EQUIPMENT]]="YES",Sheet1!$C$44*(1+Sheet1!$D$44),0)</f>
        <v>307500</v>
      </c>
      <c r="N158" s="4">
        <f>_xlfn.XLOOKUP(Table1[[#This Row], [ROOM]],Sheet1!$A$47:$A$66,Sheet1!$F$47:$F$66)</f>
        <v>18200000</v>
      </c>
      <c r="O158" s="9">
        <f>_xlfn.XLOOKUP(_xlfn.CONCAT(Table1[[#This Row], [TEAM]],Table1[[#This Row], [ROOM]]),'ROOM TIME'!$H$2:$H$121,'ROOM TIME'!$J$2:$J$121)</f>
        <v>40.061111111111103</v>
      </c>
      <c r="P158" s="9">
        <f>(INDEX(Sheet1!$X$48:$Z$67,MATCH(Table1[[#This Row], [ROOM]],Sheet1!$P$48:$P$67,0),MATCH(Table1[[#This Row], [WEAPON]],Sheet1!$X$47:$Z$47,0)))/Table1[[#This Row], [NUM OF MEM]]</f>
        <v>4.9833333333333334</v>
      </c>
      <c r="Q158" s="9">
        <f>Table1[[#This Row], [ROOM TIME]]+Table1[[#This Row], [GUARD TIME]]</f>
        <v>45.044444444444437</v>
      </c>
      <c r="R158" s="4">
        <f>Sheet1!$K$3*_xlfn.XLOOKUP(Table1[[#This Row], [DISGUISE]],Sheet1!$A$21:$A$23,Sheet1!$D$21:$D$23)</f>
        <v>69</v>
      </c>
      <c r="S158" s="9">
        <f>Table1[[#This Row], [TOTAL TIME]]-Table1[[#This Row], [TOTAL TIME TAKEN]]</f>
        <v>23.955555555555563</v>
      </c>
      <c r="T158" t="str">
        <f>IF(Table1[[#This Row], [TIME DIFFERENCE]]&gt;=0,"PASS","FAIL")</f>
        <v>PASS</v>
      </c>
      <c r="U158" s="9">
        <f>Table1[[#This Row], [TRC]]+Table1[[#This Row], [DRC]]+Table1[[#This Row], [WRC]]+Table1[[#This Row], [ERC]]+Table1[[#This Row], [EQRC]]</f>
        <v>8146498.5</v>
      </c>
      <c r="V158" s="9">
        <f>Table1[[#This Row], [TOTAL COST]]+_xlfn.XLOOKUP(Table1[[#This Row], [TEAM]],Sheet1!$A$12:$A$17,Sheet1!$I$12:$I$17)</f>
        <v>8442998.5</v>
      </c>
      <c r="W158" s="9">
        <f>Table1[[#This Row], [LOOT]]-Table1[[#This Row], [TOTAL COST]]</f>
        <v>10053501.5</v>
      </c>
      <c r="X158" s="9">
        <f>IF(Table1[[#This Row], [PASS/FAIL]]="FAIL",0,Table1[[#This Row], [PROFIT]])</f>
        <v>10053501.5</v>
      </c>
    </row>
    <row r="159" spans="1:24" ht="19.5" customHeight="1" x14ac:dyDescent="0.45">
      <c r="A159" t="s">
        <v>14</v>
      </c>
      <c r="B159" s="14">
        <f>_xlfn.XLOOKUP(Table1[[#This Row], [TEAM]],Sheet1!$A$12:$A$17,Sheet1!$F$12:$F$17)</f>
        <v>2</v>
      </c>
      <c r="C159" s="14">
        <f>_xlfn.XLOOKUP(Table1[[#This Row], [TEAM]],Sheet1!$A$12:$A$17,Sheet1!$G$12:$G$17)</f>
        <v>5949600</v>
      </c>
      <c r="D159" t="s">
        <v>33</v>
      </c>
      <c r="E159" s="4">
        <f>_xlfn.XLOOKUP(Table1[[#This Row], [ROOM]],Sheet1!$A$47:$A$66,Sheet1!$B$47:$B$66)</f>
        <v>356</v>
      </c>
      <c r="F159" t="s">
        <v>58</v>
      </c>
      <c r="G159" s="4">
        <f>_xlfn.XLOOKUP(Table1[[#This Row], [DISGUISE]],Sheet1!$A$21:$A$23,Sheet1!$B$21:$B$23)*Table1[[#This Row], [NUM OF MEM]]*(1+_xlfn.XLOOKUP(Table1[[#This Row], [DISGUISE]],Sheet1!$A$21:$A$23,Sheet1!$C$21:$C$23))</f>
        <v>25600</v>
      </c>
      <c r="H159" s="13" t="s">
        <v>59</v>
      </c>
      <c r="I159" s="4">
        <f>_xlfn.XLOOKUP(Table1[[#This Row], [WEAPON]],Sheet1!$A$27:$A$29,Sheet1!$B$27:$B$29)*Table1[[#This Row], [NUM OF MEM]]*(1+_xlfn.XLOOKUP(Table1[[#This Row], [WEAPON]],Sheet1!$A$27:$A$29,Sheet1!$C$27:$C$29))</f>
        <v>91000</v>
      </c>
      <c r="J159" t="s">
        <v>64</v>
      </c>
      <c r="K159" s="9">
        <f>Table1[[#This Row], [NUM OF MEM]]*Table1[[#This Row], [TOTAL TIME TAKEN]]*_xlfn.XLOOKUP(Table1[[#This Row], [EXIT]],Sheet1!$A$70:$A$71,Sheet1!$B$70:$B$71)*(1+_xlfn.XLOOKUP(Table1[[#This Row], [EXIT]],Sheet1!$A$70:$A$71,Sheet1!$C$70:$C$71))</f>
        <v>1673103.5999999996</v>
      </c>
      <c r="L159" s="13" t="s">
        <v>65</v>
      </c>
      <c r="M159" s="4">
        <f>IF(Table1[[#This Row], [EQUIPMENT]]="YES",Sheet1!$C$44*(1+Sheet1!$D$44),0)</f>
        <v>307500</v>
      </c>
      <c r="N159" s="4">
        <f>_xlfn.XLOOKUP(Table1[[#This Row], [ROOM]],Sheet1!$A$47:$A$66,Sheet1!$F$47:$F$66)</f>
        <v>18100000</v>
      </c>
      <c r="O159" s="9">
        <f>_xlfn.XLOOKUP(_xlfn.CONCAT(Table1[[#This Row], [TEAM]],Table1[[#This Row], [ROOM]]),'ROOM TIME'!$H$2:$H$121,'ROOM TIME'!$J$2:$J$121)</f>
        <v>57.648749999999986</v>
      </c>
      <c r="P159" s="9">
        <f>(INDEX(Sheet1!$X$48:$Z$67,MATCH(Table1[[#This Row], [ROOM]],Sheet1!$P$48:$P$67,0),MATCH(Table1[[#This Row], [WEAPON]],Sheet1!$X$47:$Z$47,0)))/Table1[[#This Row], [NUM OF MEM]]</f>
        <v>6.8999999999999995</v>
      </c>
      <c r="Q159" s="9">
        <f>Table1[[#This Row], [ROOM TIME]]+Table1[[#This Row], [GUARD TIME]]</f>
        <v>64.548749999999984</v>
      </c>
      <c r="R159" s="4">
        <f>Sheet1!$K$3*_xlfn.XLOOKUP(Table1[[#This Row], [DISGUISE]],Sheet1!$A$21:$A$23,Sheet1!$D$21:$D$23)</f>
        <v>69</v>
      </c>
      <c r="S159" s="9">
        <f>Table1[[#This Row], [TOTAL TIME]]-Table1[[#This Row], [TOTAL TIME TAKEN]]</f>
        <v>4.4512500000000159</v>
      </c>
      <c r="T159" t="str">
        <f>IF(Table1[[#This Row], [TIME DIFFERENCE]]&gt;=0,"PASS","FAIL")</f>
        <v>PASS</v>
      </c>
      <c r="U159" s="9">
        <f>Table1[[#This Row], [TRC]]+Table1[[#This Row], [DRC]]+Table1[[#This Row], [WRC]]+Table1[[#This Row], [ERC]]+Table1[[#This Row], [EQRC]]</f>
        <v>8046803.5999999996</v>
      </c>
      <c r="V159" s="9">
        <f>Table1[[#This Row], [TOTAL COST]]+_xlfn.XLOOKUP(Table1[[#This Row], [TEAM]],Sheet1!$A$12:$A$17,Sheet1!$I$12:$I$17)</f>
        <v>8344283.5999999996</v>
      </c>
      <c r="W159" s="9">
        <f>Table1[[#This Row], [LOOT]]-Table1[[#This Row], [TOTAL COST]]</f>
        <v>10053196.4</v>
      </c>
      <c r="X159" s="9">
        <f>IF(Table1[[#This Row], [PASS/FAIL]]="FAIL",0,Table1[[#This Row], [PROFIT]])</f>
        <v>10053196.4</v>
      </c>
    </row>
    <row r="160" spans="1:24" ht="19.5" customHeight="1" x14ac:dyDescent="0.45">
      <c r="A160" t="s">
        <v>13</v>
      </c>
      <c r="B160" s="14">
        <f>_xlfn.XLOOKUP(Table1[[#This Row], [TEAM]],Sheet1!$A$12:$A$17,Sheet1!$F$12:$F$17)</f>
        <v>3</v>
      </c>
      <c r="C160" s="14">
        <f>_xlfn.XLOOKUP(Table1[[#This Row], [TEAM]],Sheet1!$A$12:$A$17,Sheet1!$G$12:$G$17)</f>
        <v>5930000</v>
      </c>
      <c r="D160" t="s">
        <v>26</v>
      </c>
      <c r="E160" s="4">
        <f>_xlfn.XLOOKUP(Table1[[#This Row], [ROOM]],Sheet1!$A$47:$A$66,Sheet1!$B$47:$B$66)</f>
        <v>136</v>
      </c>
      <c r="F160" t="s">
        <v>58</v>
      </c>
      <c r="G160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" s="13" t="s">
        <v>63</v>
      </c>
      <c r="I160" s="4">
        <f>_xlfn.XLOOKUP(Table1[[#This Row], [WEAPON]],Sheet1!$A$27:$A$29,Sheet1!$B$27:$B$29)*Table1[[#This Row], [NUM OF MEM]]*(1+_xlfn.XLOOKUP(Table1[[#This Row], [WEAPON]],Sheet1!$A$27:$A$29,Sheet1!$C$27:$C$29))</f>
        <v>69000</v>
      </c>
      <c r="J160" t="s">
        <v>60</v>
      </c>
      <c r="K160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1753561.1249999993</v>
      </c>
      <c r="L160" s="13" t="s">
        <v>65</v>
      </c>
      <c r="M160" s="4">
        <f>IF(Table1[[#This Row], [EQUIPMENT]]="YES",Sheet1!$C$44*(1+Sheet1!$D$44),0)</f>
        <v>307500</v>
      </c>
      <c r="N160" s="4">
        <f>_xlfn.XLOOKUP(Table1[[#This Row], [ROOM]],Sheet1!$A$47:$A$66,Sheet1!$F$47:$F$66)</f>
        <v>18150000</v>
      </c>
      <c r="O160" s="9">
        <f>_xlfn.XLOOKUP(_xlfn.CONCAT(Table1[[#This Row], [TEAM]],Table1[[#This Row], [ROOM]]),'ROOM TIME'!$H$2:$H$121,'ROOM TIME'!$J$2:$J$121)</f>
        <v>40.149999999999984</v>
      </c>
      <c r="P160" s="9">
        <f>(INDEX(Sheet1!$X$48:$Z$67,MATCH(Table1[[#This Row], [ROOM]],Sheet1!$P$48:$P$67,0),MATCH(Table1[[#This Row], [WEAPON]],Sheet1!$X$47:$Z$47,0)))/Table1[[#This Row], [NUM OF MEM]]</f>
        <v>5.4000000000000012</v>
      </c>
      <c r="Q160" s="9">
        <f>Table1[[#This Row], [ROOM TIME]]+Table1[[#This Row], [GUARD TIME]]</f>
        <v>45.549999999999983</v>
      </c>
      <c r="R160" s="4">
        <f>Sheet1!$K$3*_xlfn.XLOOKUP(Table1[[#This Row], [DISGUISE]],Sheet1!$A$21:$A$23,Sheet1!$D$21:$D$23)</f>
        <v>69</v>
      </c>
      <c r="S160" s="9">
        <f>Table1[[#This Row], [TOTAL TIME]]-Table1[[#This Row], [TOTAL TIME TAKEN]]</f>
        <v>23.450000000000017</v>
      </c>
      <c r="T160" t="str">
        <f>IF(Table1[[#This Row], [TIME DIFFERENCE]]&gt;=0,"PASS","FAIL")</f>
        <v>PASS</v>
      </c>
      <c r="U160" s="9">
        <f>Table1[[#This Row], [TRC]]+Table1[[#This Row], [DRC]]+Table1[[#This Row], [WRC]]+Table1[[#This Row], [ERC]]+Table1[[#This Row], [EQRC]]</f>
        <v>8098461.1249999991</v>
      </c>
      <c r="V160" s="9">
        <f>Table1[[#This Row], [TOTAL COST]]+_xlfn.XLOOKUP(Table1[[#This Row], [TEAM]],Sheet1!$A$12:$A$17,Sheet1!$I$12:$I$17)</f>
        <v>8394961.125</v>
      </c>
      <c r="W160" s="9">
        <f>Table1[[#This Row], [LOOT]]-Table1[[#This Row], [TOTAL COST]]</f>
        <v>10051538.875</v>
      </c>
      <c r="X160" s="9">
        <f>IF(Table1[[#This Row], [PASS/FAIL]]="FAIL",0,Table1[[#This Row], [PROFIT]])</f>
        <v>10051538.875</v>
      </c>
    </row>
    <row r="161" spans="1:24" ht="19.5" customHeight="1" x14ac:dyDescent="0.45">
      <c r="A161" t="s">
        <v>12</v>
      </c>
      <c r="B161" s="14">
        <f>_xlfn.XLOOKUP(Table1[[#This Row], [TEAM]],Sheet1!$A$12:$A$17,Sheet1!$F$12:$F$17)</f>
        <v>3</v>
      </c>
      <c r="C161" s="14">
        <f>_xlfn.XLOOKUP(Table1[[#This Row], [TEAM]],Sheet1!$A$12:$A$17,Sheet1!$G$12:$G$17)</f>
        <v>5988750</v>
      </c>
      <c r="D161" t="s">
        <v>32</v>
      </c>
      <c r="E161" s="4">
        <f>_xlfn.XLOOKUP(Table1[[#This Row], [ROOM]],Sheet1!$A$47:$A$66,Sheet1!$B$47:$B$66)</f>
        <v>346</v>
      </c>
      <c r="F161" t="s">
        <v>58</v>
      </c>
      <c r="G161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" s="13" t="s">
        <v>59</v>
      </c>
      <c r="I161" s="4">
        <f>_xlfn.XLOOKUP(Table1[[#This Row], [WEAPON]],Sheet1!$A$27:$A$29,Sheet1!$B$27:$B$29)*Table1[[#This Row], [NUM OF MEM]]*(1+_xlfn.XLOOKUP(Table1[[#This Row], [WEAPON]],Sheet1!$A$27:$A$29,Sheet1!$C$27:$C$29))</f>
        <v>136500</v>
      </c>
      <c r="J161" t="s">
        <v>60</v>
      </c>
      <c r="K161" s="9">
        <f>Table1[[#This Row], [NUM OF MEM]]*Table1[[#This Row], [TOTAL TIME TAKEN]]*_xlfn.XLOOKUP(Table1[[#This Row], [EXIT]],Sheet1!$A$70:$A$71,Sheet1!$B$70:$B$71)*(1+_xlfn.XLOOKUP(Table1[[#This Row], [EXIT]],Sheet1!$A$70:$A$71,Sheet1!$C$70:$C$71))</f>
        <v>1677849.3749999995</v>
      </c>
      <c r="L161" s="13" t="s">
        <v>65</v>
      </c>
      <c r="M161" s="4">
        <f>IF(Table1[[#This Row], [EQUIPMENT]]="YES",Sheet1!$C$44*(1+Sheet1!$D$44),0)</f>
        <v>307500</v>
      </c>
      <c r="N161" s="4">
        <f>_xlfn.XLOOKUP(Table1[[#This Row], [ROOM]],Sheet1!$A$47:$A$66,Sheet1!$F$47:$F$66)</f>
        <v>18200000</v>
      </c>
      <c r="O161" s="9">
        <f>_xlfn.XLOOKUP(_xlfn.CONCAT(Table1[[#This Row], [TEAM]],Table1[[#This Row], [ROOM]]),'ROOM TIME'!$H$2:$H$121,'ROOM TIME'!$J$2:$J$121)</f>
        <v>38.599999999999987</v>
      </c>
      <c r="P161" s="9">
        <f>(INDEX(Sheet1!$X$48:$Z$67,MATCH(Table1[[#This Row], [ROOM]],Sheet1!$P$48:$P$67,0),MATCH(Table1[[#This Row], [WEAPON]],Sheet1!$X$47:$Z$47,0)))/Table1[[#This Row], [NUM OF MEM]]</f>
        <v>4.9833333333333334</v>
      </c>
      <c r="Q161" s="9">
        <f>Table1[[#This Row], [ROOM TIME]]+Table1[[#This Row], [GUARD TIME]]</f>
        <v>43.583333333333321</v>
      </c>
      <c r="R161" s="4">
        <f>Sheet1!$K$3*_xlfn.XLOOKUP(Table1[[#This Row], [DISGUISE]],Sheet1!$A$21:$A$23,Sheet1!$D$21:$D$23)</f>
        <v>69</v>
      </c>
      <c r="S161" s="9">
        <f>Table1[[#This Row], [TOTAL TIME]]-Table1[[#This Row], [TOTAL TIME TAKEN]]</f>
        <v>25.416666666666679</v>
      </c>
      <c r="T161" t="str">
        <f>IF(Table1[[#This Row], [TIME DIFFERENCE]]&gt;=0,"PASS","FAIL")</f>
        <v>PASS</v>
      </c>
      <c r="U161" s="9">
        <f>Table1[[#This Row], [TRC]]+Table1[[#This Row], [DRC]]+Table1[[#This Row], [WRC]]+Table1[[#This Row], [ERC]]+Table1[[#This Row], [EQRC]]</f>
        <v>8148999.375</v>
      </c>
      <c r="V161" s="9">
        <f>Table1[[#This Row], [TOTAL COST]]+_xlfn.XLOOKUP(Table1[[#This Row], [TEAM]],Sheet1!$A$12:$A$17,Sheet1!$I$12:$I$17)</f>
        <v>8448436.875</v>
      </c>
      <c r="W161" s="9">
        <f>Table1[[#This Row], [LOOT]]-Table1[[#This Row], [TOTAL COST]]</f>
        <v>10051000.625</v>
      </c>
      <c r="X161" s="9">
        <f>IF(Table1[[#This Row], [PASS/FAIL]]="FAIL",0,Table1[[#This Row], [PROFIT]])</f>
        <v>10051000.625</v>
      </c>
    </row>
    <row r="162" spans="1:24" ht="19.5" customHeight="1" x14ac:dyDescent="0.45">
      <c r="A162" t="s">
        <v>13</v>
      </c>
      <c r="B162" s="14">
        <f>_xlfn.XLOOKUP(Table1[[#This Row], [TEAM]],Sheet1!$A$12:$A$17,Sheet1!$F$12:$F$17)</f>
        <v>3</v>
      </c>
      <c r="C162" s="14">
        <f>_xlfn.XLOOKUP(Table1[[#This Row], [TEAM]],Sheet1!$A$12:$A$17,Sheet1!$G$12:$G$17)</f>
        <v>5930000</v>
      </c>
      <c r="D162" t="s">
        <v>26</v>
      </c>
      <c r="E162" s="4">
        <f>_xlfn.XLOOKUP(Table1[[#This Row], [ROOM]],Sheet1!$A$47:$A$66,Sheet1!$B$47:$B$66)</f>
        <v>136</v>
      </c>
      <c r="F162" t="s">
        <v>62</v>
      </c>
      <c r="G162" s="4">
        <f>_xlfn.XLOOKUP(Table1[[#This Row], [DISGUISE]],Sheet1!$A$21:$A$23,Sheet1!$B$21:$B$23)*Table1[[#This Row], [NUM OF MEM]]*(1+_xlfn.XLOOKUP(Table1[[#This Row], [DISGUISE]],Sheet1!$A$21:$A$23,Sheet1!$C$21:$C$23))</f>
        <v>15600</v>
      </c>
      <c r="H162" s="13" t="s">
        <v>66</v>
      </c>
      <c r="I162" s="4">
        <f>_xlfn.XLOOKUP(Table1[[#This Row], [WEAPON]],Sheet1!$A$27:$A$29,Sheet1!$B$27:$B$29)*Table1[[#This Row], [NUM OF MEM]]*(1+_xlfn.XLOOKUP(Table1[[#This Row], [WEAPON]],Sheet1!$A$27:$A$29,Sheet1!$C$27:$C$29))</f>
        <v>108000</v>
      </c>
      <c r="J162" t="s">
        <v>60</v>
      </c>
      <c r="K162" s="9">
        <f>Table1[[#This Row], [NUM OF MEM]]*Table1[[#This Row], [TOTAL TIME TAKEN]]*_xlfn.XLOOKUP(Table1[[#This Row], [EXIT]],Sheet1!$A$70:$A$71,Sheet1!$B$70:$B$71)*(1+_xlfn.XLOOKUP(Table1[[#This Row], [EXIT]],Sheet1!$A$70:$A$71,Sheet1!$C$70:$C$71))</f>
        <v>1738162.1249999993</v>
      </c>
      <c r="L162" s="13" t="s">
        <v>65</v>
      </c>
      <c r="M162" s="4">
        <f>IF(Table1[[#This Row], [EQUIPMENT]]="YES",Sheet1!$C$44*(1+Sheet1!$D$44),0)</f>
        <v>307500</v>
      </c>
      <c r="N162" s="4">
        <f>_xlfn.XLOOKUP(Table1[[#This Row], [ROOM]],Sheet1!$A$47:$A$66,Sheet1!$F$47:$F$66)</f>
        <v>18150000</v>
      </c>
      <c r="O162" s="9">
        <f>_xlfn.XLOOKUP(_xlfn.CONCAT(Table1[[#This Row], [TEAM]],Table1[[#This Row], [ROOM]]),'ROOM TIME'!$H$2:$H$121,'ROOM TIME'!$J$2:$J$121)</f>
        <v>40.149999999999984</v>
      </c>
      <c r="P162" s="4">
        <f>(INDEX(Sheet1!$X$48:$Z$67,MATCH(Table1[[#This Row], [ROOM]],Sheet1!$P$48:$P$67,0),MATCH(Table1[[#This Row], [WEAPON]],Sheet1!$X$47:$Z$47,0)))/Table1[[#This Row], [NUM OF MEM]]</f>
        <v>5</v>
      </c>
      <c r="Q162" s="9">
        <f>Table1[[#This Row], [ROOM TIME]]+Table1[[#This Row], [GUARD TIME]]</f>
        <v>45.149999999999984</v>
      </c>
      <c r="R162" s="4">
        <f>Sheet1!$K$3*_xlfn.XLOOKUP(Table1[[#This Row], [DISGUISE]],Sheet1!$A$21:$A$23,Sheet1!$D$21:$D$23)</f>
        <v>66</v>
      </c>
      <c r="S162" s="9">
        <f>Table1[[#This Row], [TOTAL TIME]]-Table1[[#This Row], [TOTAL TIME TAKEN]]</f>
        <v>20.850000000000016</v>
      </c>
      <c r="T162" t="str">
        <f>IF(Table1[[#This Row], [TIME DIFFERENCE]]&gt;=0,"PASS","FAIL")</f>
        <v>PASS</v>
      </c>
      <c r="U162" s="9">
        <f>Table1[[#This Row], [TRC]]+Table1[[#This Row], [DRC]]+Table1[[#This Row], [WRC]]+Table1[[#This Row], [ERC]]+Table1[[#This Row], [EQRC]]</f>
        <v>8099262.1249999991</v>
      </c>
      <c r="V162" s="9">
        <f>Table1[[#This Row], [TOTAL COST]]+_xlfn.XLOOKUP(Table1[[#This Row], [TEAM]],Sheet1!$A$12:$A$17,Sheet1!$I$12:$I$17)</f>
        <v>8395762.125</v>
      </c>
      <c r="W162" s="9">
        <f>Table1[[#This Row], [LOOT]]-Table1[[#This Row], [TOTAL COST]]</f>
        <v>10050737.875</v>
      </c>
      <c r="X162" s="9">
        <f>IF(Table1[[#This Row], [PASS/FAIL]]="FAIL",0,Table1[[#This Row], [PROFIT]])</f>
        <v>10050737.875</v>
      </c>
    </row>
    <row r="163" spans="1:24" ht="19.5" customHeight="1" x14ac:dyDescent="0.45">
      <c r="A163" t="s">
        <v>12</v>
      </c>
      <c r="B163" s="14">
        <f>_xlfn.XLOOKUP(Table1[[#This Row], [TEAM]],Sheet1!$A$12:$A$17,Sheet1!$F$12:$F$17)</f>
        <v>3</v>
      </c>
      <c r="C163" s="14">
        <f>_xlfn.XLOOKUP(Table1[[#This Row], [TEAM]],Sheet1!$A$12:$A$17,Sheet1!$G$12:$G$17)</f>
        <v>5988750</v>
      </c>
      <c r="D163" t="s">
        <v>26</v>
      </c>
      <c r="E163" s="4">
        <f>_xlfn.XLOOKUP(Table1[[#This Row], [ROOM]],Sheet1!$A$47:$A$66,Sheet1!$B$47:$B$66)</f>
        <v>136</v>
      </c>
      <c r="F163" t="s">
        <v>62</v>
      </c>
      <c r="G163" s="4">
        <f>_xlfn.XLOOKUP(Table1[[#This Row], [DISGUISE]],Sheet1!$A$21:$A$23,Sheet1!$B$21:$B$23)*Table1[[#This Row], [NUM OF MEM]]*(1+_xlfn.XLOOKUP(Table1[[#This Row], [DISGUISE]],Sheet1!$A$21:$A$23,Sheet1!$C$21:$C$23))</f>
        <v>15600</v>
      </c>
      <c r="H163" s="13" t="s">
        <v>63</v>
      </c>
      <c r="I163" s="4">
        <f>_xlfn.XLOOKUP(Table1[[#This Row], [WEAPON]],Sheet1!$A$27:$A$29,Sheet1!$B$27:$B$29)*Table1[[#This Row], [NUM OF MEM]]*(1+_xlfn.XLOOKUP(Table1[[#This Row], [WEAPON]],Sheet1!$A$27:$A$29,Sheet1!$C$27:$C$29))</f>
        <v>69000</v>
      </c>
      <c r="J163" t="s">
        <v>64</v>
      </c>
      <c r="K163" s="9">
        <f>Table1[[#This Row], [NUM OF MEM]]*Table1[[#This Row], [TOTAL TIME TAKEN]]*_xlfn.XLOOKUP(Table1[[#This Row], [EXIT]],Sheet1!$A$70:$A$71,Sheet1!$B$70:$B$71)*(1+_xlfn.XLOOKUP(Table1[[#This Row], [EXIT]],Sheet1!$A$70:$A$71,Sheet1!$C$70:$C$71))</f>
        <v>1719230.3999999992</v>
      </c>
      <c r="L163" s="13" t="s">
        <v>65</v>
      </c>
      <c r="M163" s="4">
        <f>IF(Table1[[#This Row], [EQUIPMENT]]="YES",Sheet1!$C$44*(1+Sheet1!$D$44),0)</f>
        <v>307500</v>
      </c>
      <c r="N163" s="4">
        <f>_xlfn.XLOOKUP(Table1[[#This Row], [ROOM]],Sheet1!$A$47:$A$66,Sheet1!$F$47:$F$66)</f>
        <v>18150000</v>
      </c>
      <c r="O163" s="9">
        <f>_xlfn.XLOOKUP(_xlfn.CONCAT(Table1[[#This Row], [TEAM]],Table1[[#This Row], [ROOM]]),'ROOM TIME'!$H$2:$H$121,'ROOM TIME'!$J$2:$J$121)</f>
        <v>38.818888888888871</v>
      </c>
      <c r="P163" s="9">
        <f>(INDEX(Sheet1!$X$48:$Z$67,MATCH(Table1[[#This Row], [ROOM]],Sheet1!$P$48:$P$67,0),MATCH(Table1[[#This Row], [WEAPON]],Sheet1!$X$47:$Z$47,0)))/Table1[[#This Row], [NUM OF MEM]]</f>
        <v>5.4000000000000012</v>
      </c>
      <c r="Q163" s="9">
        <f>Table1[[#This Row], [ROOM TIME]]+Table1[[#This Row], [GUARD TIME]]</f>
        <v>44.21888888888887</v>
      </c>
      <c r="R163" s="4">
        <f>Sheet1!$K$3*_xlfn.XLOOKUP(Table1[[#This Row], [DISGUISE]],Sheet1!$A$21:$A$23,Sheet1!$D$21:$D$23)</f>
        <v>66</v>
      </c>
      <c r="S163" s="9">
        <f>Table1[[#This Row], [TOTAL TIME]]-Table1[[#This Row], [TOTAL TIME TAKEN]]</f>
        <v>21.78111111111113</v>
      </c>
      <c r="T163" t="str">
        <f>IF(Table1[[#This Row], [TIME DIFFERENCE]]&gt;=0,"PASS","FAIL")</f>
        <v>PASS</v>
      </c>
      <c r="U163" s="9">
        <f>Table1[[#This Row], [TRC]]+Table1[[#This Row], [DRC]]+Table1[[#This Row], [WRC]]+Table1[[#This Row], [ERC]]+Table1[[#This Row], [EQRC]]</f>
        <v>8100080.3999999994</v>
      </c>
      <c r="V163" s="9">
        <f>Table1[[#This Row], [TOTAL COST]]+_xlfn.XLOOKUP(Table1[[#This Row], [TEAM]],Sheet1!$A$12:$A$17,Sheet1!$I$12:$I$17)</f>
        <v>8399517.8999999985</v>
      </c>
      <c r="W163" s="9">
        <f>Table1[[#This Row], [LOOT]]-Table1[[#This Row], [TOTAL COST]]</f>
        <v>10049919.600000001</v>
      </c>
      <c r="X163" s="9">
        <f>IF(Table1[[#This Row], [PASS/FAIL]]="FAIL",0,Table1[[#This Row], [PROFIT]])</f>
        <v>10049919.600000001</v>
      </c>
    </row>
    <row r="164" spans="1:24" ht="19.5" customHeight="1" x14ac:dyDescent="0.45">
      <c r="A164" t="s">
        <v>13</v>
      </c>
      <c r="B164" s="14">
        <f>_xlfn.XLOOKUP(Table1[[#This Row], [TEAM]],Sheet1!$A$12:$A$17,Sheet1!$F$12:$F$17)</f>
        <v>3</v>
      </c>
      <c r="C164" s="14">
        <f>_xlfn.XLOOKUP(Table1[[#This Row], [TEAM]],Sheet1!$A$12:$A$17,Sheet1!$G$12:$G$17)</f>
        <v>5930000</v>
      </c>
      <c r="D164" t="s">
        <v>32</v>
      </c>
      <c r="E164" s="4">
        <f>_xlfn.XLOOKUP(Table1[[#This Row], [ROOM]],Sheet1!$A$47:$A$66,Sheet1!$B$47:$B$66)</f>
        <v>346</v>
      </c>
      <c r="F164" t="s">
        <v>58</v>
      </c>
      <c r="G164" s="4">
        <f>_xlfn.XLOOKUP(Table1[[#This Row], [DISGUISE]],Sheet1!$A$21:$A$23,Sheet1!$B$21:$B$23)*Table1[[#This Row], [NUM OF MEM]]*(1+_xlfn.XLOOKUP(Table1[[#This Row], [DISGUISE]],Sheet1!$A$21:$A$23,Sheet1!$C$21:$C$23))</f>
        <v>38400</v>
      </c>
      <c r="H164" s="13" t="s">
        <v>66</v>
      </c>
      <c r="I164" s="4">
        <f>_xlfn.XLOOKUP(Table1[[#This Row], [WEAPON]],Sheet1!$A$27:$A$29,Sheet1!$B$27:$B$29)*Table1[[#This Row], [NUM OF MEM]]*(1+_xlfn.XLOOKUP(Table1[[#This Row], [WEAPON]],Sheet1!$A$27:$A$29,Sheet1!$C$27:$C$29))</f>
        <v>108000</v>
      </c>
      <c r="J164" t="s">
        <v>64</v>
      </c>
      <c r="K164" s="9">
        <f>Table1[[#This Row], [NUM OF MEM]]*Table1[[#This Row], [TOTAL TIME TAKEN]]*_xlfn.XLOOKUP(Table1[[#This Row], [EXIT]],Sheet1!$A$70:$A$71,Sheet1!$B$70:$B$71)*(1+_xlfn.XLOOKUP(Table1[[#This Row], [EXIT]],Sheet1!$A$70:$A$71,Sheet1!$C$70:$C$71))</f>
        <v>1768175.9999999998</v>
      </c>
      <c r="L164" s="13" t="s">
        <v>65</v>
      </c>
      <c r="M164" s="4">
        <f>IF(Table1[[#This Row], [EQUIPMENT]]="YES",Sheet1!$C$44*(1+Sheet1!$D$44),0)</f>
        <v>307500</v>
      </c>
      <c r="N164" s="4">
        <f>_xlfn.XLOOKUP(Table1[[#This Row], [ROOM]],Sheet1!$A$47:$A$66,Sheet1!$F$47:$F$66)</f>
        <v>18200000</v>
      </c>
      <c r="O164" s="9">
        <f>_xlfn.XLOOKUP(_xlfn.CONCAT(Table1[[#This Row], [TEAM]],Table1[[#This Row], [ROOM]]),'ROOM TIME'!$H$2:$H$121,'ROOM TIME'!$J$2:$J$121)</f>
        <v>40.061111111111103</v>
      </c>
      <c r="P164" s="9">
        <f>(INDEX(Sheet1!$X$48:$Z$67,MATCH(Table1[[#This Row], [ROOM]],Sheet1!$P$48:$P$67,0),MATCH(Table1[[#This Row], [WEAPON]],Sheet1!$X$47:$Z$47,0)))/Table1[[#This Row], [NUM OF MEM]]</f>
        <v>5.416666666666667</v>
      </c>
      <c r="Q164" s="9">
        <f>Table1[[#This Row], [ROOM TIME]]+Table1[[#This Row], [GUARD TIME]]</f>
        <v>45.477777777777767</v>
      </c>
      <c r="R164" s="4">
        <f>Sheet1!$K$3*_xlfn.XLOOKUP(Table1[[#This Row], [DISGUISE]],Sheet1!$A$21:$A$23,Sheet1!$D$21:$D$23)</f>
        <v>69</v>
      </c>
      <c r="S164" s="9">
        <f>Table1[[#This Row], [TOTAL TIME]]-Table1[[#This Row], [TOTAL TIME TAKEN]]</f>
        <v>23.522222222222233</v>
      </c>
      <c r="T164" t="str">
        <f>IF(Table1[[#This Row], [TIME DIFFERENCE]]&gt;=0,"PASS","FAIL")</f>
        <v>PASS</v>
      </c>
      <c r="U164" s="4">
        <f>Table1[[#This Row], [TRC]]+Table1[[#This Row], [DRC]]+Table1[[#This Row], [WRC]]+Table1[[#This Row], [ERC]]+Table1[[#This Row], [EQRC]]</f>
        <v>8152076</v>
      </c>
      <c r="V164" s="4">
        <f>Table1[[#This Row], [TOTAL COST]]+_xlfn.XLOOKUP(Table1[[#This Row], [TEAM]],Sheet1!$A$12:$A$17,Sheet1!$I$12:$I$17)</f>
        <v>8448576</v>
      </c>
      <c r="W164" s="4">
        <f>Table1[[#This Row], [LOOT]]-Table1[[#This Row], [TOTAL COST]]</f>
        <v>10047924</v>
      </c>
      <c r="X164" s="4">
        <f>IF(Table1[[#This Row], [PASS/FAIL]]="FAIL",0,Table1[[#This Row], [PROFIT]])</f>
        <v>10047924</v>
      </c>
    </row>
    <row r="165" spans="1:24" ht="19.5" customHeight="1" x14ac:dyDescent="0.45">
      <c r="A165" t="s">
        <v>12</v>
      </c>
      <c r="B165" s="14">
        <f>_xlfn.XLOOKUP(Table1[[#This Row], [TEAM]],Sheet1!$A$12:$A$17,Sheet1!$F$12:$F$17)</f>
        <v>3</v>
      </c>
      <c r="C165" s="14">
        <f>_xlfn.XLOOKUP(Table1[[#This Row], [TEAM]],Sheet1!$A$12:$A$17,Sheet1!$G$12:$G$17)</f>
        <v>5988750</v>
      </c>
      <c r="D165" t="s">
        <v>32</v>
      </c>
      <c r="E165" s="4">
        <f>_xlfn.XLOOKUP(Table1[[#This Row], [ROOM]],Sheet1!$A$47:$A$66,Sheet1!$B$47:$B$66)</f>
        <v>346</v>
      </c>
      <c r="F165" t="s">
        <v>58</v>
      </c>
      <c r="G165" s="4">
        <f>_xlfn.XLOOKUP(Table1[[#This Row], [DISGUISE]],Sheet1!$A$21:$A$23,Sheet1!$B$21:$B$23)*Table1[[#This Row], [NUM OF MEM]]*(1+_xlfn.XLOOKUP(Table1[[#This Row], [DISGUISE]],Sheet1!$A$21:$A$23,Sheet1!$C$21:$C$23))</f>
        <v>38400</v>
      </c>
      <c r="H165" s="13" t="s">
        <v>66</v>
      </c>
      <c r="I165" s="4">
        <f>_xlfn.XLOOKUP(Table1[[#This Row], [WEAPON]],Sheet1!$A$27:$A$29,Sheet1!$B$27:$B$29)*Table1[[#This Row], [NUM OF MEM]]*(1+_xlfn.XLOOKUP(Table1[[#This Row], [WEAPON]],Sheet1!$A$27:$A$29,Sheet1!$C$27:$C$29))</f>
        <v>108000</v>
      </c>
      <c r="J165" t="s">
        <v>64</v>
      </c>
      <c r="K165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1711367.9999999993</v>
      </c>
      <c r="L165" s="13" t="s">
        <v>65</v>
      </c>
      <c r="M165" s="4">
        <f>IF(Table1[[#This Row], [EQUIPMENT]]="YES",Sheet1!$C$44*(1+Sheet1!$D$44),0)</f>
        <v>307500</v>
      </c>
      <c r="N165" s="4">
        <f>_xlfn.XLOOKUP(Table1[[#This Row], [ROOM]],Sheet1!$A$47:$A$66,Sheet1!$F$47:$F$66)</f>
        <v>18200000</v>
      </c>
      <c r="O165" s="9">
        <f>_xlfn.XLOOKUP(_xlfn.CONCAT(Table1[[#This Row], [TEAM]],Table1[[#This Row], [ROOM]]),'ROOM TIME'!$H$2:$H$121,'ROOM TIME'!$J$2:$J$121)</f>
        <v>38.599999999999987</v>
      </c>
      <c r="P165" s="9">
        <f>(INDEX(Sheet1!$X$48:$Z$67,MATCH(Table1[[#This Row], [ROOM]],Sheet1!$P$48:$P$67,0),MATCH(Table1[[#This Row], [WEAPON]],Sheet1!$X$47:$Z$47,0)))/Table1[[#This Row], [NUM OF MEM]]</f>
        <v>5.416666666666667</v>
      </c>
      <c r="Q165" s="9">
        <f>Table1[[#This Row], [ROOM TIME]]+Table1[[#This Row], [GUARD TIME]]</f>
        <v>44.016666666666652</v>
      </c>
      <c r="R165" s="4">
        <f>Sheet1!$K$3*_xlfn.XLOOKUP(Table1[[#This Row], [DISGUISE]],Sheet1!$A$21:$A$23,Sheet1!$D$21:$D$23)</f>
        <v>69</v>
      </c>
      <c r="S165" s="9">
        <f>Table1[[#This Row], [TOTAL TIME]]-Table1[[#This Row], [TOTAL TIME TAKEN]]</f>
        <v>24.983333333333348</v>
      </c>
      <c r="T165" t="str">
        <f>IF(Table1[[#This Row], [TIME DIFFERENCE]]&gt;=0,"PASS","FAIL")</f>
        <v>PASS</v>
      </c>
      <c r="U165" s="9">
        <f>Table1[[#This Row], [TRC]]+Table1[[#This Row], [DRC]]+Table1[[#This Row], [WRC]]+Table1[[#This Row], [ERC]]+Table1[[#This Row], [EQRC]]</f>
        <v>8154017.9999999991</v>
      </c>
      <c r="V165" s="9">
        <f>Table1[[#This Row], [TOTAL COST]]+_xlfn.XLOOKUP(Table1[[#This Row], [TEAM]],Sheet1!$A$12:$A$17,Sheet1!$I$12:$I$17)</f>
        <v>8453455.5</v>
      </c>
      <c r="W165" s="4">
        <f>Table1[[#This Row], [LOOT]]-Table1[[#This Row], [TOTAL COST]]</f>
        <v>10045982</v>
      </c>
      <c r="X165" s="4">
        <f>IF(Table1[[#This Row], [PASS/FAIL]]="FAIL",0,Table1[[#This Row], [PROFIT]])</f>
        <v>10045982</v>
      </c>
    </row>
    <row r="166" spans="1:24" ht="19.5" customHeight="1" x14ac:dyDescent="0.45">
      <c r="A166" t="s">
        <v>12</v>
      </c>
      <c r="B166" s="14">
        <f>_xlfn.XLOOKUP(Table1[[#This Row], [TEAM]],Sheet1!$A$12:$A$17,Sheet1!$F$12:$F$17)</f>
        <v>3</v>
      </c>
      <c r="C166" s="14">
        <f>_xlfn.XLOOKUP(Table1[[#This Row], [TEAM]],Sheet1!$A$12:$A$17,Sheet1!$G$12:$G$17)</f>
        <v>5988750</v>
      </c>
      <c r="D166" t="s">
        <v>19</v>
      </c>
      <c r="E166" s="4">
        <f>_xlfn.XLOOKUP(Table1[[#This Row], [ROOM]],Sheet1!$A$47:$A$66,Sheet1!$B$47:$B$66)</f>
        <v>135</v>
      </c>
      <c r="F166" t="s">
        <v>62</v>
      </c>
      <c r="G166" s="4">
        <f>_xlfn.XLOOKUP(Table1[[#This Row], [DISGUISE]],Sheet1!$A$21:$A$23,Sheet1!$B$21:$B$23)*Table1[[#This Row], [NUM OF MEM]]*(1+_xlfn.XLOOKUP(Table1[[#This Row], [DISGUISE]],Sheet1!$A$21:$A$23,Sheet1!$C$21:$C$23))</f>
        <v>15600</v>
      </c>
      <c r="H166" s="13" t="s">
        <v>59</v>
      </c>
      <c r="I166" s="4">
        <f>_xlfn.XLOOKUP(Table1[[#This Row], [WEAPON]],Sheet1!$A$27:$A$29,Sheet1!$B$27:$B$29)*Table1[[#This Row], [NUM OF MEM]]*(1+_xlfn.XLOOKUP(Table1[[#This Row], [WEAPON]],Sheet1!$A$27:$A$29,Sheet1!$C$27:$C$29))</f>
        <v>136500</v>
      </c>
      <c r="J166" t="s">
        <v>64</v>
      </c>
      <c r="K166" s="9">
        <f>Table1[[#This Row], [NUM OF MEM]]*Table1[[#This Row], [TOTAL TIME TAKEN]]*_xlfn.XLOOKUP(Table1[[#This Row], [EXIT]],Sheet1!$A$70:$A$71,Sheet1!$B$70:$B$71)*(1+_xlfn.XLOOKUP(Table1[[#This Row], [EXIT]],Sheet1!$A$70:$A$71,Sheet1!$C$70:$C$71))</f>
        <v>1763855.9999999993</v>
      </c>
      <c r="L166" s="13" t="s">
        <v>61</v>
      </c>
      <c r="M166" s="4">
        <f>IF(Table1[[#This Row], [EQUIPMENT]]="YES",Sheet1!$C$44*(1+Sheet1!$D$44),0)</f>
        <v>0</v>
      </c>
      <c r="N166" s="4">
        <f>_xlfn.XLOOKUP(Table1[[#This Row], [ROOM]],Sheet1!$A$47:$A$66,Sheet1!$F$47:$F$66)</f>
        <v>17950000</v>
      </c>
      <c r="O166" s="9">
        <f>_xlfn.XLOOKUP(_xlfn.CONCAT(Table1[[#This Row], [TEAM]],Table1[[#This Row], [ROOM]]),'ROOM TIME'!$H$2:$H$121,'ROOM TIME'!$J$2:$J$121)</f>
        <v>41.149999999999984</v>
      </c>
      <c r="P166" s="9">
        <f>(INDEX(Sheet1!$X$48:$Z$67,MATCH(Table1[[#This Row], [ROOM]],Sheet1!$P$48:$P$67,0),MATCH(Table1[[#This Row], [WEAPON]],Sheet1!$X$47:$Z$47,0)))/Table1[[#This Row], [NUM OF MEM]]</f>
        <v>4.2166666666666659</v>
      </c>
      <c r="Q166" s="9">
        <f>Table1[[#This Row], [ROOM TIME]]+Table1[[#This Row], [GUARD TIME]]</f>
        <v>45.366666666666653</v>
      </c>
      <c r="R166" s="4">
        <f>Sheet1!$K$3*_xlfn.XLOOKUP(Table1[[#This Row], [DISGUISE]],Sheet1!$A$21:$A$23,Sheet1!$D$21:$D$23)</f>
        <v>66</v>
      </c>
      <c r="S166" s="9">
        <f>Table1[[#This Row], [TOTAL TIME]]-Table1[[#This Row], [TOTAL TIME TAKEN]]</f>
        <v>20.633333333333347</v>
      </c>
      <c r="T166" t="str">
        <f>IF(Table1[[#This Row], [TIME DIFFERENCE]]&gt;=0,"PASS","FAIL")</f>
        <v>PASS</v>
      </c>
      <c r="U166" s="9">
        <f>Table1[[#This Row], [TRC]]+Table1[[#This Row], [DRC]]+Table1[[#This Row], [WRC]]+Table1[[#This Row], [ERC]]+Table1[[#This Row], [EQRC]]</f>
        <v>7904705.9999999991</v>
      </c>
      <c r="V166" s="9">
        <f>Table1[[#This Row], [TOTAL COST]]+_xlfn.XLOOKUP(Table1[[#This Row], [TEAM]],Sheet1!$A$12:$A$17,Sheet1!$I$12:$I$17)</f>
        <v>8204143.4999999991</v>
      </c>
      <c r="W166" s="4">
        <f>Table1[[#This Row], [LOOT]]-Table1[[#This Row], [TOTAL COST]]</f>
        <v>10045294</v>
      </c>
      <c r="X166" s="4">
        <f>IF(Table1[[#This Row], [PASS/FAIL]]="FAIL",0,Table1[[#This Row], [PROFIT]])</f>
        <v>10045294</v>
      </c>
    </row>
    <row r="167" spans="1:24" ht="19.5" customHeight="1" x14ac:dyDescent="0.45">
      <c r="A167" t="s">
        <v>13</v>
      </c>
      <c r="B167" s="14">
        <f>_xlfn.XLOOKUP(Table1[[#This Row], [TEAM]],Sheet1!$A$12:$A$17,Sheet1!$F$12:$F$17)</f>
        <v>3</v>
      </c>
      <c r="C167" s="14">
        <f>_xlfn.XLOOKUP(Table1[[#This Row], [TEAM]],Sheet1!$A$12:$A$17,Sheet1!$G$12:$G$17)</f>
        <v>5930000</v>
      </c>
      <c r="D167" t="s">
        <v>19</v>
      </c>
      <c r="E167" s="4">
        <f>_xlfn.XLOOKUP(Table1[[#This Row], [ROOM]],Sheet1!$A$47:$A$66,Sheet1!$B$47:$B$66)</f>
        <v>135</v>
      </c>
      <c r="F167" t="s">
        <v>62</v>
      </c>
      <c r="G167" s="4">
        <f>_xlfn.XLOOKUP(Table1[[#This Row], [DISGUISE]],Sheet1!$A$21:$A$23,Sheet1!$B$21:$B$23)*Table1[[#This Row], [NUM OF MEM]]*(1+_xlfn.XLOOKUP(Table1[[#This Row], [DISGUISE]],Sheet1!$A$21:$A$23,Sheet1!$C$21:$C$23))</f>
        <v>15600</v>
      </c>
      <c r="H167" s="13" t="s">
        <v>59</v>
      </c>
      <c r="I167" s="4">
        <f>_xlfn.XLOOKUP(Table1[[#This Row], [WEAPON]],Sheet1!$A$27:$A$29,Sheet1!$B$27:$B$29)*Table1[[#This Row], [NUM OF MEM]]*(1+_xlfn.XLOOKUP(Table1[[#This Row], [WEAPON]],Sheet1!$A$27:$A$29,Sheet1!$C$27:$C$29))</f>
        <v>136500</v>
      </c>
      <c r="J167" t="s">
        <v>64</v>
      </c>
      <c r="K167" s="9">
        <f>Table1[[#This Row], [NUM OF MEM]]*Table1[[#This Row], [TOTAL TIME TAKEN]]*_xlfn.XLOOKUP(Table1[[#This Row], [EXIT]],Sheet1!$A$70:$A$71,Sheet1!$B$70:$B$71)*(1+_xlfn.XLOOKUP(Table1[[#This Row], [EXIT]],Sheet1!$A$70:$A$71,Sheet1!$C$70:$C$71))</f>
        <v>1823212.7999999996</v>
      </c>
      <c r="L167" s="13" t="s">
        <v>61</v>
      </c>
      <c r="M167" s="4">
        <f>IF(Table1[[#This Row], [EQUIPMENT]]="YES",Sheet1!$C$44*(1+Sheet1!$D$44),0)</f>
        <v>0</v>
      </c>
      <c r="N167" s="4">
        <f>_xlfn.XLOOKUP(Table1[[#This Row], [ROOM]],Sheet1!$A$47:$A$66,Sheet1!$F$47:$F$66)</f>
        <v>17950000</v>
      </c>
      <c r="O167" s="9">
        <f>_xlfn.XLOOKUP(_xlfn.CONCAT(Table1[[#This Row], [TEAM]],Table1[[#This Row], [ROOM]]),'ROOM TIME'!$H$2:$H$121,'ROOM TIME'!$J$2:$J$121)</f>
        <v>42.676666666666655</v>
      </c>
      <c r="P167" s="9">
        <f>(INDEX(Sheet1!$X$48:$Z$67,MATCH(Table1[[#This Row], [ROOM]],Sheet1!$P$48:$P$67,0),MATCH(Table1[[#This Row], [WEAPON]],Sheet1!$X$47:$Z$47,0)))/Table1[[#This Row], [NUM OF MEM]]</f>
        <v>4.2166666666666659</v>
      </c>
      <c r="Q167" s="9">
        <f>Table1[[#This Row], [ROOM TIME]]+Table1[[#This Row], [GUARD TIME]]</f>
        <v>46.893333333333324</v>
      </c>
      <c r="R167" s="4">
        <f>Sheet1!$K$3*_xlfn.XLOOKUP(Table1[[#This Row], [DISGUISE]],Sheet1!$A$21:$A$23,Sheet1!$D$21:$D$23)</f>
        <v>66</v>
      </c>
      <c r="S167" s="9">
        <f>Table1[[#This Row], [TOTAL TIME]]-Table1[[#This Row], [TOTAL TIME TAKEN]]</f>
        <v>19.106666666666676</v>
      </c>
      <c r="T167" t="str">
        <f>IF(Table1[[#This Row], [TIME DIFFERENCE]]&gt;=0,"PASS","FAIL")</f>
        <v>PASS</v>
      </c>
      <c r="U167" s="9">
        <f>Table1[[#This Row], [TRC]]+Table1[[#This Row], [DRC]]+Table1[[#This Row], [WRC]]+Table1[[#This Row], [ERC]]+Table1[[#This Row], [EQRC]]</f>
        <v>7905312.7999999998</v>
      </c>
      <c r="V167" s="9">
        <f>Table1[[#This Row], [TOTAL COST]]+_xlfn.XLOOKUP(Table1[[#This Row], [TEAM]],Sheet1!$A$12:$A$17,Sheet1!$I$12:$I$17)</f>
        <v>8201812.7999999998</v>
      </c>
      <c r="W167" s="9">
        <f>Table1[[#This Row], [LOOT]]-Table1[[#This Row], [TOTAL COST]]</f>
        <v>10044687.199999999</v>
      </c>
      <c r="X167" s="9">
        <f>IF(Table1[[#This Row], [PASS/FAIL]]="FAIL",0,Table1[[#This Row], [PROFIT]])</f>
        <v>10044687.199999999</v>
      </c>
    </row>
    <row r="168" spans="1:24" ht="19.5" customHeight="1" x14ac:dyDescent="0.45">
      <c r="A168" t="s">
        <v>16</v>
      </c>
      <c r="B168" s="14">
        <f>_xlfn.XLOOKUP(Table1[[#This Row], [TEAM]],Sheet1!$A$12:$A$17,Sheet1!$F$12:$F$17)</f>
        <v>2</v>
      </c>
      <c r="C168" s="14">
        <f>_xlfn.XLOOKUP(Table1[[#This Row], [TEAM]],Sheet1!$A$12:$A$17,Sheet1!$G$12:$G$17)</f>
        <v>6082800</v>
      </c>
      <c r="D168" t="s">
        <v>19</v>
      </c>
      <c r="E168" s="4">
        <f>_xlfn.XLOOKUP(Table1[[#This Row], [ROOM]],Sheet1!$A$47:$A$66,Sheet1!$B$47:$B$66)</f>
        <v>135</v>
      </c>
      <c r="F168" t="s">
        <v>58</v>
      </c>
      <c r="G168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" s="13" t="s">
        <v>63</v>
      </c>
      <c r="I168" s="4">
        <f>_xlfn.XLOOKUP(Table1[[#This Row], [WEAPON]],Sheet1!$A$27:$A$29,Sheet1!$B$27:$B$29)*Table1[[#This Row], [NUM OF MEM]]*(1+_xlfn.XLOOKUP(Table1[[#This Row], [WEAPON]],Sheet1!$A$27:$A$29,Sheet1!$C$27:$C$29))</f>
        <v>46000</v>
      </c>
      <c r="J168" t="s">
        <v>60</v>
      </c>
      <c r="K168" s="9">
        <f>Table1[[#This Row], [NUM OF MEM]]*Table1[[#This Row], [TOTAL TIME TAKEN]]*_xlfn.XLOOKUP(Table1[[#This Row], [EXIT]],Sheet1!$A$70:$A$71,Sheet1!$B$70:$B$71)*(1+_xlfn.XLOOKUP(Table1[[#This Row], [EXIT]],Sheet1!$A$70:$A$71,Sheet1!$C$70:$C$71))</f>
        <v>1751507.9249999993</v>
      </c>
      <c r="L168" s="13" t="s">
        <v>61</v>
      </c>
      <c r="M168" s="4">
        <f>IF(Table1[[#This Row], [EQUIPMENT]]="YES",Sheet1!$C$44*(1+Sheet1!$D$44),0)</f>
        <v>0</v>
      </c>
      <c r="N168" s="4">
        <f>_xlfn.XLOOKUP(Table1[[#This Row], [ROOM]],Sheet1!$A$47:$A$66,Sheet1!$F$47:$F$66)</f>
        <v>17950000</v>
      </c>
      <c r="O168" s="9">
        <f>_xlfn.XLOOKUP(_xlfn.CONCAT(Table1[[#This Row], [TEAM]],Table1[[#This Row], [ROOM]]),'ROOM TIME'!$H$2:$H$121,'ROOM TIME'!$J$2:$J$121)</f>
        <v>60.819999999999979</v>
      </c>
      <c r="P168" s="9">
        <f>(INDEX(Sheet1!$X$48:$Z$67,MATCH(Table1[[#This Row], [ROOM]],Sheet1!$P$48:$P$67,0),MATCH(Table1[[#This Row], [WEAPON]],Sheet1!$X$47:$Z$47,0)))/Table1[[#This Row], [NUM OF MEM]]</f>
        <v>7.4250000000000007</v>
      </c>
      <c r="Q168" s="9">
        <f>Table1[[#This Row], [ROOM TIME]]+Table1[[#This Row], [GUARD TIME]]</f>
        <v>68.244999999999976</v>
      </c>
      <c r="R168" s="4">
        <f>Sheet1!$K$3*_xlfn.XLOOKUP(Table1[[#This Row], [DISGUISE]],Sheet1!$A$21:$A$23,Sheet1!$D$21:$D$23)</f>
        <v>69</v>
      </c>
      <c r="S168" s="9">
        <f>Table1[[#This Row], [TOTAL TIME]]-Table1[[#This Row], [TOTAL TIME TAKEN]]</f>
        <v>0.75500000000002387</v>
      </c>
      <c r="T168" t="str">
        <f>IF(Table1[[#This Row], [TIME DIFFERENCE]]&gt;=0,"PASS","FAIL")</f>
        <v>PASS</v>
      </c>
      <c r="U168" s="9">
        <f>Table1[[#This Row], [TRC]]+Table1[[#This Row], [DRC]]+Table1[[#This Row], [WRC]]+Table1[[#This Row], [ERC]]+Table1[[#This Row], [EQRC]]</f>
        <v>7905907.9249999989</v>
      </c>
      <c r="V168" s="9">
        <f>Table1[[#This Row], [TOTAL COST]]+_xlfn.XLOOKUP(Table1[[#This Row], [TEAM]],Sheet1!$A$12:$A$17,Sheet1!$I$12:$I$17)</f>
        <v>8210047.9249999989</v>
      </c>
      <c r="W168" s="9">
        <f>Table1[[#This Row], [LOOT]]-Table1[[#This Row], [TOTAL COST]]</f>
        <v>10044092.075000001</v>
      </c>
      <c r="X168" s="9">
        <f>IF(Table1[[#This Row], [PASS/FAIL]]="FAIL",0,Table1[[#This Row], [PROFIT]])</f>
        <v>10044092.075000001</v>
      </c>
    </row>
    <row r="169" spans="1:24" ht="19.5" customHeight="1" x14ac:dyDescent="0.45">
      <c r="A169" t="s">
        <v>12</v>
      </c>
      <c r="B169" s="14">
        <f>_xlfn.XLOOKUP(Table1[[#This Row], [TEAM]],Sheet1!$A$12:$A$17,Sheet1!$F$12:$F$17)</f>
        <v>3</v>
      </c>
      <c r="C169" s="14">
        <f>_xlfn.XLOOKUP(Table1[[#This Row], [TEAM]],Sheet1!$A$12:$A$17,Sheet1!$G$12:$G$17)</f>
        <v>5988750</v>
      </c>
      <c r="D169" t="s">
        <v>26</v>
      </c>
      <c r="E169" s="4">
        <f>_xlfn.XLOOKUP(Table1[[#This Row], [ROOM]],Sheet1!$A$47:$A$66,Sheet1!$B$47:$B$66)</f>
        <v>136</v>
      </c>
      <c r="F169" t="s">
        <v>58</v>
      </c>
      <c r="G169" s="4">
        <f>_xlfn.XLOOKUP(Table1[[#This Row], [DISGUISE]],Sheet1!$A$21:$A$23,Sheet1!$B$21:$B$23)*Table1[[#This Row], [NUM OF MEM]]*(1+_xlfn.XLOOKUP(Table1[[#This Row], [DISGUISE]],Sheet1!$A$21:$A$23,Sheet1!$C$21:$C$23))</f>
        <v>38400</v>
      </c>
      <c r="H169" s="13" t="s">
        <v>63</v>
      </c>
      <c r="I169" s="4">
        <f>_xlfn.XLOOKUP(Table1[[#This Row], [WEAPON]],Sheet1!$A$27:$A$29,Sheet1!$B$27:$B$29)*Table1[[#This Row], [NUM OF MEM]]*(1+_xlfn.XLOOKUP(Table1[[#This Row], [WEAPON]],Sheet1!$A$27:$A$29,Sheet1!$C$27:$C$29))</f>
        <v>69000</v>
      </c>
      <c r="J169" t="s">
        <v>60</v>
      </c>
      <c r="K169" s="9">
        <f>Table1[[#This Row], [NUM OF MEM]]*Table1[[#This Row], [TOTAL TIME TAKEN]]*_xlfn.XLOOKUP(Table1[[#This Row], [EXIT]],Sheet1!$A$70:$A$71,Sheet1!$B$70:$B$71)*(1+_xlfn.XLOOKUP(Table1[[#This Row], [EXIT]],Sheet1!$A$70:$A$71,Sheet1!$C$70:$C$71))</f>
        <v>1702316.6749999993</v>
      </c>
      <c r="L169" s="13" t="s">
        <v>65</v>
      </c>
      <c r="M169" s="4">
        <f>IF(Table1[[#This Row], [EQUIPMENT]]="YES",Sheet1!$C$44*(1+Sheet1!$D$44),0)</f>
        <v>307500</v>
      </c>
      <c r="N169" s="4">
        <f>_xlfn.XLOOKUP(Table1[[#This Row], [ROOM]],Sheet1!$A$47:$A$66,Sheet1!$F$47:$F$66)</f>
        <v>18150000</v>
      </c>
      <c r="O169" s="9">
        <f>_xlfn.XLOOKUP(_xlfn.CONCAT(Table1[[#This Row], [TEAM]],Table1[[#This Row], [ROOM]]),'ROOM TIME'!$H$2:$H$121,'ROOM TIME'!$J$2:$J$121)</f>
        <v>38.818888888888871</v>
      </c>
      <c r="P169" s="9">
        <f>(INDEX(Sheet1!$X$48:$Z$67,MATCH(Table1[[#This Row], [ROOM]],Sheet1!$P$48:$P$67,0),MATCH(Table1[[#This Row], [WEAPON]],Sheet1!$X$47:$Z$47,0)))/Table1[[#This Row], [NUM OF MEM]]</f>
        <v>5.4000000000000012</v>
      </c>
      <c r="Q169" s="9">
        <f>Table1[[#This Row], [ROOM TIME]]+Table1[[#This Row], [GUARD TIME]]</f>
        <v>44.21888888888887</v>
      </c>
      <c r="R169" s="4">
        <f>Sheet1!$K$3*_xlfn.XLOOKUP(Table1[[#This Row], [DISGUISE]],Sheet1!$A$21:$A$23,Sheet1!$D$21:$D$23)</f>
        <v>69</v>
      </c>
      <c r="S169" s="9">
        <f>Table1[[#This Row], [TOTAL TIME]]-Table1[[#This Row], [TOTAL TIME TAKEN]]</f>
        <v>24.78111111111113</v>
      </c>
      <c r="T169" t="str">
        <f>IF(Table1[[#This Row], [TIME DIFFERENCE]]&gt;=0,"PASS","FAIL")</f>
        <v>PASS</v>
      </c>
      <c r="U169" s="9">
        <f>Table1[[#This Row], [TRC]]+Table1[[#This Row], [DRC]]+Table1[[#This Row], [WRC]]+Table1[[#This Row], [ERC]]+Table1[[#This Row], [EQRC]]</f>
        <v>8105966.6749999989</v>
      </c>
      <c r="V169" s="9">
        <f>Table1[[#This Row], [TOTAL COST]]+_xlfn.XLOOKUP(Table1[[#This Row], [TEAM]],Sheet1!$A$12:$A$17,Sheet1!$I$12:$I$17)</f>
        <v>8405404.1749999989</v>
      </c>
      <c r="W169" s="9">
        <f>Table1[[#This Row], [LOOT]]-Table1[[#This Row], [TOTAL COST]]</f>
        <v>10044033.325000001</v>
      </c>
      <c r="X169" s="9">
        <f>IF(Table1[[#This Row], [PASS/FAIL]]="FAIL",0,Table1[[#This Row], [PROFIT]])</f>
        <v>10044033.325000001</v>
      </c>
    </row>
    <row r="170" spans="1:24" ht="19.5" customHeight="1" x14ac:dyDescent="0.45">
      <c r="A170" t="s">
        <v>12</v>
      </c>
      <c r="B170" s="14">
        <f>_xlfn.XLOOKUP(Table1[[#This Row], [TEAM]],Sheet1!$A$12:$A$17,Sheet1!$F$12:$F$17)</f>
        <v>3</v>
      </c>
      <c r="C170" s="14">
        <f>_xlfn.XLOOKUP(Table1[[#This Row], [TEAM]],Sheet1!$A$12:$A$17,Sheet1!$G$12:$G$17)</f>
        <v>5988750</v>
      </c>
      <c r="D170" t="s">
        <v>26</v>
      </c>
      <c r="E170" s="4">
        <f>_xlfn.XLOOKUP(Table1[[#This Row], [ROOM]],Sheet1!$A$47:$A$66,Sheet1!$B$47:$B$66)</f>
        <v>136</v>
      </c>
      <c r="F170" t="s">
        <v>62</v>
      </c>
      <c r="G170" s="4">
        <f>_xlfn.XLOOKUP(Table1[[#This Row], [DISGUISE]],Sheet1!$A$21:$A$23,Sheet1!$B$21:$B$23)*Table1[[#This Row], [NUM OF MEM]]*(1+_xlfn.XLOOKUP(Table1[[#This Row], [DISGUISE]],Sheet1!$A$21:$A$23,Sheet1!$C$21:$C$23))</f>
        <v>15600</v>
      </c>
      <c r="H170" s="13" t="s">
        <v>66</v>
      </c>
      <c r="I170" s="4">
        <f>_xlfn.XLOOKUP(Table1[[#This Row], [WEAPON]],Sheet1!$A$27:$A$29,Sheet1!$B$27:$B$29)*Table1[[#This Row], [NUM OF MEM]]*(1+_xlfn.XLOOKUP(Table1[[#This Row], [WEAPON]],Sheet1!$A$27:$A$29,Sheet1!$C$27:$C$29))</f>
        <v>108000</v>
      </c>
      <c r="J170" t="s">
        <v>60</v>
      </c>
      <c r="K170" s="9">
        <f>Table1[[#This Row], [NUM OF MEM]]*Table1[[#This Row], [TOTAL TIME TAKEN]]*_xlfn.XLOOKUP(Table1[[#This Row], [EXIT]],Sheet1!$A$70:$A$71,Sheet1!$B$70:$B$71)*(1+_xlfn.XLOOKUP(Table1[[#This Row], [EXIT]],Sheet1!$A$70:$A$71,Sheet1!$C$70:$C$71))</f>
        <v>1686917.6749999993</v>
      </c>
      <c r="L170" s="13" t="s">
        <v>65</v>
      </c>
      <c r="M170" s="4">
        <f>IF(Table1[[#This Row], [EQUIPMENT]]="YES",Sheet1!$C$44*(1+Sheet1!$D$44),0)</f>
        <v>307500</v>
      </c>
      <c r="N170" s="4">
        <f>_xlfn.XLOOKUP(Table1[[#This Row], [ROOM]],Sheet1!$A$47:$A$66,Sheet1!$F$47:$F$66)</f>
        <v>18150000</v>
      </c>
      <c r="O170" s="9">
        <f>_xlfn.XLOOKUP(_xlfn.CONCAT(Table1[[#This Row], [TEAM]],Table1[[#This Row], [ROOM]]),'ROOM TIME'!$H$2:$H$121,'ROOM TIME'!$J$2:$J$121)</f>
        <v>38.818888888888871</v>
      </c>
      <c r="P170" s="4">
        <f>(INDEX(Sheet1!$X$48:$Z$67,MATCH(Table1[[#This Row], [ROOM]],Sheet1!$P$48:$P$67,0),MATCH(Table1[[#This Row], [WEAPON]],Sheet1!$X$47:$Z$47,0)))/Table1[[#This Row], [NUM OF MEM]]</f>
        <v>5</v>
      </c>
      <c r="Q170" s="9">
        <f>Table1[[#This Row], [ROOM TIME]]+Table1[[#This Row], [GUARD TIME]]</f>
        <v>43.818888888888871</v>
      </c>
      <c r="R170" s="4">
        <f>Sheet1!$K$3*_xlfn.XLOOKUP(Table1[[#This Row], [DISGUISE]],Sheet1!$A$21:$A$23,Sheet1!$D$21:$D$23)</f>
        <v>66</v>
      </c>
      <c r="S170" s="9">
        <f>Table1[[#This Row], [TOTAL TIME]]-Table1[[#This Row], [TOTAL TIME TAKEN]]</f>
        <v>22.181111111111129</v>
      </c>
      <c r="T170" t="str">
        <f>IF(Table1[[#This Row], [TIME DIFFERENCE]]&gt;=0,"PASS","FAIL")</f>
        <v>PASS</v>
      </c>
      <c r="U170" s="9">
        <f>Table1[[#This Row], [TRC]]+Table1[[#This Row], [DRC]]+Table1[[#This Row], [WRC]]+Table1[[#This Row], [ERC]]+Table1[[#This Row], [EQRC]]</f>
        <v>8106767.6749999989</v>
      </c>
      <c r="V170" s="9">
        <f>Table1[[#This Row], [TOTAL COST]]+_xlfn.XLOOKUP(Table1[[#This Row], [TEAM]],Sheet1!$A$12:$A$17,Sheet1!$I$12:$I$17)</f>
        <v>8406205.1749999989</v>
      </c>
      <c r="W170" s="9">
        <f>Table1[[#This Row], [LOOT]]-Table1[[#This Row], [TOTAL COST]]</f>
        <v>10043232.325000001</v>
      </c>
      <c r="X170" s="9">
        <f>IF(Table1[[#This Row], [PASS/FAIL]]="FAIL",0,Table1[[#This Row], [PROFIT]])</f>
        <v>10043232.325000001</v>
      </c>
    </row>
    <row r="171" spans="1:24" ht="19.5" customHeight="1" x14ac:dyDescent="0.45">
      <c r="A171" t="s">
        <v>16</v>
      </c>
      <c r="B171" s="14">
        <f>_xlfn.XLOOKUP(Table1[[#This Row], [TEAM]],Sheet1!$A$12:$A$17,Sheet1!$F$12:$F$17)</f>
        <v>2</v>
      </c>
      <c r="C171" s="14">
        <f>_xlfn.XLOOKUP(Table1[[#This Row], [TEAM]],Sheet1!$A$12:$A$17,Sheet1!$G$12:$G$17)</f>
        <v>6082800</v>
      </c>
      <c r="D171" t="s">
        <v>24</v>
      </c>
      <c r="E171" s="4">
        <f>_xlfn.XLOOKUP(Table1[[#This Row], [ROOM]],Sheet1!$A$47:$A$66,Sheet1!$B$47:$B$66)</f>
        <v>345</v>
      </c>
      <c r="F171" t="s">
        <v>58</v>
      </c>
      <c r="G171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" s="13" t="s">
        <v>66</v>
      </c>
      <c r="I171" s="4">
        <f>_xlfn.XLOOKUP(Table1[[#This Row], [WEAPON]],Sheet1!$A$27:$A$29,Sheet1!$B$27:$B$29)*Table1[[#This Row], [NUM OF MEM]]*(1+_xlfn.XLOOKUP(Table1[[#This Row], [WEAPON]],Sheet1!$A$27:$A$29,Sheet1!$C$27:$C$29))</f>
        <v>72000</v>
      </c>
      <c r="J171" t="s">
        <v>64</v>
      </c>
      <c r="K171" s="9">
        <f>Table1[[#This Row], [NUM OF MEM]]*Table1[[#This Row], [TOTAL TIME TAKEN]]*_xlfn.XLOOKUP(Table1[[#This Row], [EXIT]],Sheet1!$A$70:$A$71,Sheet1!$B$70:$B$71)*(1+_xlfn.XLOOKUP(Table1[[#This Row], [EXIT]],Sheet1!$A$70:$A$71,Sheet1!$C$70:$C$71))</f>
        <v>1776524.3999999994</v>
      </c>
      <c r="L171" s="13" t="s">
        <v>61</v>
      </c>
      <c r="M171" s="4">
        <f>IF(Table1[[#This Row], [EQUIPMENT]]="YES",Sheet1!$C$44*(1+Sheet1!$D$44),0)</f>
        <v>0</v>
      </c>
      <c r="N171" s="4">
        <f>_xlfn.XLOOKUP(Table1[[#This Row], [ROOM]],Sheet1!$A$47:$A$66,Sheet1!$F$47:$F$66)</f>
        <v>18000000</v>
      </c>
      <c r="O171" s="9">
        <f>_xlfn.XLOOKUP(_xlfn.CONCAT(Table1[[#This Row], [TEAM]],Table1[[#This Row], [ROOM]]),'ROOM TIME'!$H$2:$H$121,'ROOM TIME'!$J$2:$J$121)</f>
        <v>61.038749999999979</v>
      </c>
      <c r="P171" s="9">
        <f>(INDEX(Sheet1!$X$48:$Z$67,MATCH(Table1[[#This Row], [ROOM]],Sheet1!$P$48:$P$67,0),MATCH(Table1[[#This Row], [WEAPON]],Sheet1!$X$47:$Z$47,0)))/Table1[[#This Row], [NUM OF MEM]]</f>
        <v>7.5</v>
      </c>
      <c r="Q171" s="9">
        <f>Table1[[#This Row], [ROOM TIME]]+Table1[[#This Row], [GUARD TIME]]</f>
        <v>68.538749999999979</v>
      </c>
      <c r="R171" s="4">
        <f>Sheet1!$K$3*_xlfn.XLOOKUP(Table1[[#This Row], [DISGUISE]],Sheet1!$A$21:$A$23,Sheet1!$D$21:$D$23)</f>
        <v>69</v>
      </c>
      <c r="S171" s="9">
        <f>Table1[[#This Row], [TOTAL TIME]]-Table1[[#This Row], [TOTAL TIME TAKEN]]</f>
        <v>0.46125000000002103</v>
      </c>
      <c r="T171" t="str">
        <f>IF(Table1[[#This Row], [TIME DIFFERENCE]]&gt;=0,"PASS","FAIL")</f>
        <v>PASS</v>
      </c>
      <c r="U171" s="9">
        <f>Table1[[#This Row], [TRC]]+Table1[[#This Row], [DRC]]+Table1[[#This Row], [WRC]]+Table1[[#This Row], [ERC]]+Table1[[#This Row], [EQRC]]</f>
        <v>7956924.3999999994</v>
      </c>
      <c r="V171" s="9">
        <f>Table1[[#This Row], [TOTAL COST]]+_xlfn.XLOOKUP(Table1[[#This Row], [TEAM]],Sheet1!$A$12:$A$17,Sheet1!$I$12:$I$17)</f>
        <v>8261064.3999999994</v>
      </c>
      <c r="W171" s="9">
        <f>Table1[[#This Row], [LOOT]]-Table1[[#This Row], [TOTAL COST]]</f>
        <v>10043075.600000001</v>
      </c>
      <c r="X171" s="9">
        <f>IF(Table1[[#This Row], [PASS/FAIL]]="FAIL",0,Table1[[#This Row], [PROFIT]])</f>
        <v>10043075.600000001</v>
      </c>
    </row>
    <row r="172" spans="1:24" ht="19.5" customHeight="1" x14ac:dyDescent="0.45">
      <c r="A172" t="s">
        <v>16</v>
      </c>
      <c r="B172" s="14">
        <f>_xlfn.XLOOKUP(Table1[[#This Row], [TEAM]],Sheet1!$A$12:$A$17,Sheet1!$F$12:$F$17)</f>
        <v>2</v>
      </c>
      <c r="C172" s="14">
        <f>_xlfn.XLOOKUP(Table1[[#This Row], [TEAM]],Sheet1!$A$12:$A$17,Sheet1!$G$12:$G$17)</f>
        <v>6082800</v>
      </c>
      <c r="D172" t="s">
        <v>32</v>
      </c>
      <c r="E172" s="4">
        <f>_xlfn.XLOOKUP(Table1[[#This Row], [ROOM]],Sheet1!$A$47:$A$66,Sheet1!$B$47:$B$66)</f>
        <v>346</v>
      </c>
      <c r="F172" t="s">
        <v>62</v>
      </c>
      <c r="G17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" s="13" t="s">
        <v>66</v>
      </c>
      <c r="I172" s="4">
        <f>_xlfn.XLOOKUP(Table1[[#This Row], [WEAPON]],Sheet1!$A$27:$A$29,Sheet1!$B$27:$B$29)*Table1[[#This Row], [NUM OF MEM]]*(1+_xlfn.XLOOKUP(Table1[[#This Row], [WEAPON]],Sheet1!$A$27:$A$29,Sheet1!$C$27:$C$29))</f>
        <v>72000</v>
      </c>
      <c r="J172" t="s">
        <v>60</v>
      </c>
      <c r="K172" s="9">
        <f>Table1[[#This Row], [NUM OF MEM]]*Table1[[#This Row], [TOTAL TIME TAKEN]]*_xlfn.XLOOKUP(Table1[[#This Row], [EXIT]],Sheet1!$A$70:$A$71,Sheet1!$B$70:$B$71)*(1+_xlfn.XLOOKUP(Table1[[#This Row], [EXIT]],Sheet1!$A$70:$A$71,Sheet1!$C$70:$C$71))</f>
        <v>1684746.8437499995</v>
      </c>
      <c r="L172" s="13" t="s">
        <v>65</v>
      </c>
      <c r="M172" s="4">
        <f>IF(Table1[[#This Row], [EQUIPMENT]]="YES",Sheet1!$C$44*(1+Sheet1!$D$44),0)</f>
        <v>307500</v>
      </c>
      <c r="N172" s="4">
        <f>_xlfn.XLOOKUP(Table1[[#This Row], [ROOM]],Sheet1!$A$47:$A$66,Sheet1!$F$47:$F$66)</f>
        <v>18200000</v>
      </c>
      <c r="O172" s="9">
        <f>_xlfn.XLOOKUP(_xlfn.CONCAT(Table1[[#This Row], [TEAM]],Table1[[#This Row], [ROOM]]),'ROOM TIME'!$H$2:$H$121,'ROOM TIME'!$J$2:$J$121)</f>
        <v>57.518749999999976</v>
      </c>
      <c r="P172" s="9">
        <f>(INDEX(Sheet1!$X$48:$Z$67,MATCH(Table1[[#This Row], [ROOM]],Sheet1!$P$48:$P$67,0),MATCH(Table1[[#This Row], [WEAPON]],Sheet1!$X$47:$Z$47,0)))/Table1[[#This Row], [NUM OF MEM]]</f>
        <v>8.125</v>
      </c>
      <c r="Q172" s="9">
        <f>Table1[[#This Row], [ROOM TIME]]+Table1[[#This Row], [GUARD TIME]]</f>
        <v>65.643749999999983</v>
      </c>
      <c r="R172" s="4">
        <f>Sheet1!$K$3*_xlfn.XLOOKUP(Table1[[#This Row], [DISGUISE]],Sheet1!$A$21:$A$23,Sheet1!$D$21:$D$23)</f>
        <v>66</v>
      </c>
      <c r="S172" s="9">
        <f>Table1[[#This Row], [TOTAL TIME]]-Table1[[#This Row], [TOTAL TIME TAKEN]]</f>
        <v>0.35625000000001705</v>
      </c>
      <c r="T172" t="str">
        <f>IF(Table1[[#This Row], [TIME DIFFERENCE]]&gt;=0,"PASS","FAIL")</f>
        <v>PASS</v>
      </c>
      <c r="U172" s="9">
        <f>Table1[[#This Row], [TRC]]+Table1[[#This Row], [DRC]]+Table1[[#This Row], [WRC]]+Table1[[#This Row], [ERC]]+Table1[[#This Row], [EQRC]]</f>
        <v>8157446.84375</v>
      </c>
      <c r="V172" s="9">
        <f>Table1[[#This Row], [TOTAL COST]]+_xlfn.XLOOKUP(Table1[[#This Row], [TEAM]],Sheet1!$A$12:$A$17,Sheet1!$I$12:$I$17)</f>
        <v>8461586.84375</v>
      </c>
      <c r="W172" s="9">
        <f>Table1[[#This Row], [LOOT]]-Table1[[#This Row], [TOTAL COST]]</f>
        <v>10042553.15625</v>
      </c>
      <c r="X172" s="9">
        <f>IF(Table1[[#This Row], [PASS/FAIL]]="FAIL",0,Table1[[#This Row], [PROFIT]])</f>
        <v>10042553.15625</v>
      </c>
    </row>
    <row r="173" spans="1:24" ht="19.5" customHeight="1" x14ac:dyDescent="0.45">
      <c r="A173" t="s">
        <v>13</v>
      </c>
      <c r="B173" s="14">
        <f>_xlfn.XLOOKUP(Table1[[#This Row], [TEAM]],Sheet1!$A$12:$A$17,Sheet1!$F$12:$F$17)</f>
        <v>3</v>
      </c>
      <c r="C173" s="14">
        <f>_xlfn.XLOOKUP(Table1[[#This Row], [TEAM]],Sheet1!$A$12:$A$17,Sheet1!$G$12:$G$17)</f>
        <v>5930000</v>
      </c>
      <c r="D173" t="s">
        <v>33</v>
      </c>
      <c r="E173" s="4">
        <f>_xlfn.XLOOKUP(Table1[[#This Row], [ROOM]],Sheet1!$A$47:$A$66,Sheet1!$B$47:$B$66)</f>
        <v>356</v>
      </c>
      <c r="F173" t="s">
        <v>62</v>
      </c>
      <c r="G173" s="4">
        <f>_xlfn.XLOOKUP(Table1[[#This Row], [DISGUISE]],Sheet1!$A$21:$A$23,Sheet1!$B$21:$B$23)*Table1[[#This Row], [NUM OF MEM]]*(1+_xlfn.XLOOKUP(Table1[[#This Row], [DISGUISE]],Sheet1!$A$21:$A$23,Sheet1!$C$21:$C$23))</f>
        <v>15600</v>
      </c>
      <c r="H173" s="13" t="s">
        <v>63</v>
      </c>
      <c r="I173" s="4">
        <f>_xlfn.XLOOKUP(Table1[[#This Row], [WEAPON]],Sheet1!$A$27:$A$29,Sheet1!$B$27:$B$29)*Table1[[#This Row], [NUM OF MEM]]*(1+_xlfn.XLOOKUP(Table1[[#This Row], [WEAPON]],Sheet1!$A$27:$A$29,Sheet1!$C$27:$C$29))</f>
        <v>69000</v>
      </c>
      <c r="J173" t="s">
        <v>60</v>
      </c>
      <c r="K173" s="9">
        <f>Table1[[#This Row], [NUM OF MEM]]*Table1[[#This Row], [TOTAL TIME TAKEN]]*_xlfn.XLOOKUP(Table1[[#This Row], [EXIT]],Sheet1!$A$70:$A$71,Sheet1!$B$70:$B$71)*(1+_xlfn.XLOOKUP(Table1[[#This Row], [EXIT]],Sheet1!$A$70:$A$71,Sheet1!$C$70:$C$71))</f>
        <v>1736515.2874999996</v>
      </c>
      <c r="L173" s="13" t="s">
        <v>65</v>
      </c>
      <c r="M173" s="4">
        <f>IF(Table1[[#This Row], [EQUIPMENT]]="YES",Sheet1!$C$44*(1+Sheet1!$D$44),0)</f>
        <v>307500</v>
      </c>
      <c r="N173" s="4">
        <f>_xlfn.XLOOKUP(Table1[[#This Row], [ROOM]],Sheet1!$A$47:$A$66,Sheet1!$F$47:$F$66)</f>
        <v>18100000</v>
      </c>
      <c r="O173" s="9">
        <f>_xlfn.XLOOKUP(_xlfn.CONCAT(Table1[[#This Row], [TEAM]],Table1[[#This Row], [ROOM]]),'ROOM TIME'!$H$2:$H$121,'ROOM TIME'!$J$2:$J$121)</f>
        <v>39.707222222222214</v>
      </c>
      <c r="P173" s="9">
        <f>(INDEX(Sheet1!$X$48:$Z$67,MATCH(Table1[[#This Row], [ROOM]],Sheet1!$P$48:$P$67,0),MATCH(Table1[[#This Row], [WEAPON]],Sheet1!$X$47:$Z$47,0)))/Table1[[#This Row], [NUM OF MEM]]</f>
        <v>5.4000000000000012</v>
      </c>
      <c r="Q173" s="9">
        <f>Table1[[#This Row], [ROOM TIME]]+Table1[[#This Row], [GUARD TIME]]</f>
        <v>45.107222222222212</v>
      </c>
      <c r="R173" s="4">
        <f>Sheet1!$K$3*_xlfn.XLOOKUP(Table1[[#This Row], [DISGUISE]],Sheet1!$A$21:$A$23,Sheet1!$D$21:$D$23)</f>
        <v>66</v>
      </c>
      <c r="S173" s="9">
        <f>Table1[[#This Row], [TOTAL TIME]]-Table1[[#This Row], [TOTAL TIME TAKEN]]</f>
        <v>20.892777777777788</v>
      </c>
      <c r="T173" t="str">
        <f>IF(Table1[[#This Row], [TIME DIFFERENCE]]&gt;=0,"PASS","FAIL")</f>
        <v>PASS</v>
      </c>
      <c r="U173" s="9">
        <f>Table1[[#This Row], [TRC]]+Table1[[#This Row], [DRC]]+Table1[[#This Row], [WRC]]+Table1[[#This Row], [ERC]]+Table1[[#This Row], [EQRC]]</f>
        <v>8058615.2874999996</v>
      </c>
      <c r="V173" s="9">
        <f>Table1[[#This Row], [TOTAL COST]]+_xlfn.XLOOKUP(Table1[[#This Row], [TEAM]],Sheet1!$A$12:$A$17,Sheet1!$I$12:$I$17)</f>
        <v>8355115.2874999996</v>
      </c>
      <c r="W173" s="9">
        <f>Table1[[#This Row], [LOOT]]-Table1[[#This Row], [TOTAL COST]]</f>
        <v>10041384.7125</v>
      </c>
      <c r="X173" s="9">
        <f>IF(Table1[[#This Row], [PASS/FAIL]]="FAIL",0,Table1[[#This Row], [PROFIT]])</f>
        <v>10041384.7125</v>
      </c>
    </row>
    <row r="174" spans="1:24" ht="19.5" customHeight="1" x14ac:dyDescent="0.45">
      <c r="A174" t="s">
        <v>16</v>
      </c>
      <c r="B174" s="14">
        <f>_xlfn.XLOOKUP(Table1[[#This Row], [TEAM]],Sheet1!$A$12:$A$17,Sheet1!$F$12:$F$17)</f>
        <v>2</v>
      </c>
      <c r="C174" s="14">
        <f>_xlfn.XLOOKUP(Table1[[#This Row], [TEAM]],Sheet1!$A$12:$A$17,Sheet1!$G$12:$G$17)</f>
        <v>6082800</v>
      </c>
      <c r="D174" t="s">
        <v>32</v>
      </c>
      <c r="E174" s="4">
        <f>_xlfn.XLOOKUP(Table1[[#This Row], [ROOM]],Sheet1!$A$47:$A$66,Sheet1!$B$47:$B$66)</f>
        <v>346</v>
      </c>
      <c r="F174" t="s">
        <v>62</v>
      </c>
      <c r="G17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" s="13" t="s">
        <v>59</v>
      </c>
      <c r="I174" s="4">
        <f>_xlfn.XLOOKUP(Table1[[#This Row], [WEAPON]],Sheet1!$A$27:$A$29,Sheet1!$B$27:$B$29)*Table1[[#This Row], [NUM OF MEM]]*(1+_xlfn.XLOOKUP(Table1[[#This Row], [WEAPON]],Sheet1!$A$27:$A$29,Sheet1!$C$27:$C$29))</f>
        <v>91000</v>
      </c>
      <c r="J174" t="s">
        <v>60</v>
      </c>
      <c r="K174" s="9">
        <f>Table1[[#This Row], [NUM OF MEM]]*Table1[[#This Row], [TOTAL TIME TAKEN]]*_xlfn.XLOOKUP(Table1[[#This Row], [EXIT]],Sheet1!$A$70:$A$71,Sheet1!$B$70:$B$71)*(1+_xlfn.XLOOKUP(Table1[[#This Row], [EXIT]],Sheet1!$A$70:$A$71,Sheet1!$C$70:$C$71))</f>
        <v>1668064.5937499993</v>
      </c>
      <c r="L174" s="13" t="s">
        <v>65</v>
      </c>
      <c r="M174" s="4">
        <f>IF(Table1[[#This Row], [EQUIPMENT]]="YES",Sheet1!$C$44*(1+Sheet1!$D$44),0)</f>
        <v>307500</v>
      </c>
      <c r="N174" s="4">
        <f>_xlfn.XLOOKUP(Table1[[#This Row], [ROOM]],Sheet1!$A$47:$A$66,Sheet1!$F$47:$F$66)</f>
        <v>18200000</v>
      </c>
      <c r="O174" s="9">
        <f>_xlfn.XLOOKUP(_xlfn.CONCAT(Table1[[#This Row], [TEAM]],Table1[[#This Row], [ROOM]]),'ROOM TIME'!$H$2:$H$121,'ROOM TIME'!$J$2:$J$121)</f>
        <v>57.518749999999976</v>
      </c>
      <c r="P174" s="9">
        <f>(INDEX(Sheet1!$X$48:$Z$67,MATCH(Table1[[#This Row], [ROOM]],Sheet1!$P$48:$P$67,0),MATCH(Table1[[#This Row], [WEAPON]],Sheet1!$X$47:$Z$47,0)))/Table1[[#This Row], [NUM OF MEM]]</f>
        <v>7.4749999999999996</v>
      </c>
      <c r="Q174" s="9">
        <f>Table1[[#This Row], [ROOM TIME]]+Table1[[#This Row], [GUARD TIME]]</f>
        <v>64.993749999999977</v>
      </c>
      <c r="R174" s="4">
        <f>Sheet1!$K$3*_xlfn.XLOOKUP(Table1[[#This Row], [DISGUISE]],Sheet1!$A$21:$A$23,Sheet1!$D$21:$D$23)</f>
        <v>66</v>
      </c>
      <c r="S174" s="9">
        <f>Table1[[#This Row], [TOTAL TIME]]-Table1[[#This Row], [TOTAL TIME TAKEN]]</f>
        <v>1.0062500000000227</v>
      </c>
      <c r="T174" t="str">
        <f>IF(Table1[[#This Row], [TIME DIFFERENCE]]&gt;=0,"PASS","FAIL")</f>
        <v>PASS</v>
      </c>
      <c r="U174" s="9">
        <f>Table1[[#This Row], [TRC]]+Table1[[#This Row], [DRC]]+Table1[[#This Row], [WRC]]+Table1[[#This Row], [ERC]]+Table1[[#This Row], [EQRC]]</f>
        <v>8159764.5937499991</v>
      </c>
      <c r="V174" s="9">
        <f>Table1[[#This Row], [TOTAL COST]]+_xlfn.XLOOKUP(Table1[[#This Row], [TEAM]],Sheet1!$A$12:$A$17,Sheet1!$I$12:$I$17)</f>
        <v>8463904.59375</v>
      </c>
      <c r="W174" s="9">
        <f>Table1[[#This Row], [LOOT]]-Table1[[#This Row], [TOTAL COST]]</f>
        <v>10040235.40625</v>
      </c>
      <c r="X174" s="9">
        <f>IF(Table1[[#This Row], [PASS/FAIL]]="FAIL",0,Table1[[#This Row], [PROFIT]])</f>
        <v>10040235.40625</v>
      </c>
    </row>
    <row r="175" spans="1:24" ht="19.5" customHeight="1" x14ac:dyDescent="0.45">
      <c r="A175" t="s">
        <v>12</v>
      </c>
      <c r="B175" s="14">
        <f>_xlfn.XLOOKUP(Table1[[#This Row], [TEAM]],Sheet1!$A$12:$A$17,Sheet1!$F$12:$F$17)</f>
        <v>3</v>
      </c>
      <c r="C175" s="14">
        <f>_xlfn.XLOOKUP(Table1[[#This Row], [TEAM]],Sheet1!$A$12:$A$17,Sheet1!$G$12:$G$17)</f>
        <v>5988750</v>
      </c>
      <c r="D175" t="s">
        <v>19</v>
      </c>
      <c r="E175" s="4">
        <f>_xlfn.XLOOKUP(Table1[[#This Row], [ROOM]],Sheet1!$A$47:$A$66,Sheet1!$B$47:$B$66)</f>
        <v>135</v>
      </c>
      <c r="F175" t="s">
        <v>58</v>
      </c>
      <c r="G175" s="4">
        <f>_xlfn.XLOOKUP(Table1[[#This Row], [DISGUISE]],Sheet1!$A$21:$A$23,Sheet1!$B$21:$B$23)*Table1[[#This Row], [NUM OF MEM]]*(1+_xlfn.XLOOKUP(Table1[[#This Row], [DISGUISE]],Sheet1!$A$21:$A$23,Sheet1!$C$21:$C$23))</f>
        <v>38400</v>
      </c>
      <c r="H175" s="13" t="s">
        <v>59</v>
      </c>
      <c r="I175" s="4">
        <f>_xlfn.XLOOKUP(Table1[[#This Row], [WEAPON]],Sheet1!$A$27:$A$29,Sheet1!$B$27:$B$29)*Table1[[#This Row], [NUM OF MEM]]*(1+_xlfn.XLOOKUP(Table1[[#This Row], [WEAPON]],Sheet1!$A$27:$A$29,Sheet1!$C$27:$C$29))</f>
        <v>136500</v>
      </c>
      <c r="J175" t="s">
        <v>60</v>
      </c>
      <c r="K175" s="9">
        <f>Table1[[#This Row], [NUM OF MEM]]*Table1[[#This Row], [TOTAL TIME TAKEN]]*_xlfn.XLOOKUP(Table1[[#This Row], [EXIT]],Sheet1!$A$70:$A$71,Sheet1!$B$70:$B$71)*(1+_xlfn.XLOOKUP(Table1[[#This Row], [EXIT]],Sheet1!$A$70:$A$71,Sheet1!$C$70:$C$71))</f>
        <v>1746503.2499999995</v>
      </c>
      <c r="L175" s="13" t="s">
        <v>61</v>
      </c>
      <c r="M175" s="4">
        <f>IF(Table1[[#This Row], [EQUIPMENT]]="YES",Sheet1!$C$44*(1+Sheet1!$D$44),0)</f>
        <v>0</v>
      </c>
      <c r="N175" s="4">
        <f>_xlfn.XLOOKUP(Table1[[#This Row], [ROOM]],Sheet1!$A$47:$A$66,Sheet1!$F$47:$F$66)</f>
        <v>17950000</v>
      </c>
      <c r="O175" s="9">
        <f>_xlfn.XLOOKUP(_xlfn.CONCAT(Table1[[#This Row], [TEAM]],Table1[[#This Row], [ROOM]]),'ROOM TIME'!$H$2:$H$121,'ROOM TIME'!$J$2:$J$121)</f>
        <v>41.149999999999984</v>
      </c>
      <c r="P175" s="9">
        <f>(INDEX(Sheet1!$X$48:$Z$67,MATCH(Table1[[#This Row], [ROOM]],Sheet1!$P$48:$P$67,0),MATCH(Table1[[#This Row], [WEAPON]],Sheet1!$X$47:$Z$47,0)))/Table1[[#This Row], [NUM OF MEM]]</f>
        <v>4.2166666666666659</v>
      </c>
      <c r="Q175" s="9">
        <f>Table1[[#This Row], [ROOM TIME]]+Table1[[#This Row], [GUARD TIME]]</f>
        <v>45.366666666666653</v>
      </c>
      <c r="R175" s="4">
        <f>Sheet1!$K$3*_xlfn.XLOOKUP(Table1[[#This Row], [DISGUISE]],Sheet1!$A$21:$A$23,Sheet1!$D$21:$D$23)</f>
        <v>69</v>
      </c>
      <c r="S175" s="9">
        <f>Table1[[#This Row], [TOTAL TIME]]-Table1[[#This Row], [TOTAL TIME TAKEN]]</f>
        <v>23.633333333333347</v>
      </c>
      <c r="T175" t="str">
        <f>IF(Table1[[#This Row], [TIME DIFFERENCE]]&gt;=0,"PASS","FAIL")</f>
        <v>PASS</v>
      </c>
      <c r="U175" s="9">
        <f>Table1[[#This Row], [TRC]]+Table1[[#This Row], [DRC]]+Table1[[#This Row], [WRC]]+Table1[[#This Row], [ERC]]+Table1[[#This Row], [EQRC]]</f>
        <v>7910153.25</v>
      </c>
      <c r="V175" s="9">
        <f>Table1[[#This Row], [TOTAL COST]]+_xlfn.XLOOKUP(Table1[[#This Row], [TEAM]],Sheet1!$A$12:$A$17,Sheet1!$I$12:$I$17)</f>
        <v>8209590.75</v>
      </c>
      <c r="W175" s="9">
        <f>Table1[[#This Row], [LOOT]]-Table1[[#This Row], [TOTAL COST]]</f>
        <v>10039846.75</v>
      </c>
      <c r="X175" s="9">
        <f>IF(Table1[[#This Row], [PASS/FAIL]]="FAIL",0,Table1[[#This Row], [PROFIT]])</f>
        <v>10039846.75</v>
      </c>
    </row>
    <row r="176" spans="1:24" ht="19.5" customHeight="1" x14ac:dyDescent="0.45">
      <c r="A176" t="s">
        <v>13</v>
      </c>
      <c r="B176" s="14">
        <f>_xlfn.XLOOKUP(Table1[[#This Row], [TEAM]],Sheet1!$A$12:$A$17,Sheet1!$F$12:$F$17)</f>
        <v>3</v>
      </c>
      <c r="C176" s="14">
        <f>_xlfn.XLOOKUP(Table1[[#This Row], [TEAM]],Sheet1!$A$12:$A$17,Sheet1!$G$12:$G$17)</f>
        <v>5930000</v>
      </c>
      <c r="D176" t="s">
        <v>19</v>
      </c>
      <c r="E176" s="4">
        <f>_xlfn.XLOOKUP(Table1[[#This Row], [ROOM]],Sheet1!$A$47:$A$66,Sheet1!$B$47:$B$66)</f>
        <v>135</v>
      </c>
      <c r="F176" t="s">
        <v>58</v>
      </c>
      <c r="G176" s="4">
        <f>_xlfn.XLOOKUP(Table1[[#This Row], [DISGUISE]],Sheet1!$A$21:$A$23,Sheet1!$B$21:$B$23)*Table1[[#This Row], [NUM OF MEM]]*(1+_xlfn.XLOOKUP(Table1[[#This Row], [DISGUISE]],Sheet1!$A$21:$A$23,Sheet1!$C$21:$C$23))</f>
        <v>38400</v>
      </c>
      <c r="H176" s="13" t="s">
        <v>59</v>
      </c>
      <c r="I176" s="4">
        <f>_xlfn.XLOOKUP(Table1[[#This Row], [WEAPON]],Sheet1!$A$27:$A$29,Sheet1!$B$27:$B$29)*Table1[[#This Row], [NUM OF MEM]]*(1+_xlfn.XLOOKUP(Table1[[#This Row], [WEAPON]],Sheet1!$A$27:$A$29,Sheet1!$C$27:$C$29))</f>
        <v>136500</v>
      </c>
      <c r="J176" t="s">
        <v>60</v>
      </c>
      <c r="K176" s="9">
        <f>Table1[[#This Row], [NUM OF MEM]]*Table1[[#This Row], [TOTAL TIME TAKEN]]*_xlfn.XLOOKUP(Table1[[#This Row], [EXIT]],Sheet1!$A$70:$A$71,Sheet1!$B$70:$B$71)*(1+_xlfn.XLOOKUP(Table1[[#This Row], [EXIT]],Sheet1!$A$70:$A$71,Sheet1!$C$70:$C$71))</f>
        <v>1805276.0999999996</v>
      </c>
      <c r="L176" s="13" t="s">
        <v>61</v>
      </c>
      <c r="M176" s="4">
        <f>IF(Table1[[#This Row], [EQUIPMENT]]="YES",Sheet1!$C$44*(1+Sheet1!$D$44),0)</f>
        <v>0</v>
      </c>
      <c r="N176" s="4">
        <f>_xlfn.XLOOKUP(Table1[[#This Row], [ROOM]],Sheet1!$A$47:$A$66,Sheet1!$F$47:$F$66)</f>
        <v>17950000</v>
      </c>
      <c r="O176" s="9">
        <f>_xlfn.XLOOKUP(_xlfn.CONCAT(Table1[[#This Row], [TEAM]],Table1[[#This Row], [ROOM]]),'ROOM TIME'!$H$2:$H$121,'ROOM TIME'!$J$2:$J$121)</f>
        <v>42.676666666666655</v>
      </c>
      <c r="P176" s="9">
        <f>(INDEX(Sheet1!$X$48:$Z$67,MATCH(Table1[[#This Row], [ROOM]],Sheet1!$P$48:$P$67,0),MATCH(Table1[[#This Row], [WEAPON]],Sheet1!$X$47:$Z$47,0)))/Table1[[#This Row], [NUM OF MEM]]</f>
        <v>4.2166666666666659</v>
      </c>
      <c r="Q176" s="9">
        <f>Table1[[#This Row], [ROOM TIME]]+Table1[[#This Row], [GUARD TIME]]</f>
        <v>46.893333333333324</v>
      </c>
      <c r="R176" s="4">
        <f>Sheet1!$K$3*_xlfn.XLOOKUP(Table1[[#This Row], [DISGUISE]],Sheet1!$A$21:$A$23,Sheet1!$D$21:$D$23)</f>
        <v>69</v>
      </c>
      <c r="S176" s="9">
        <f>Table1[[#This Row], [TOTAL TIME]]-Table1[[#This Row], [TOTAL TIME TAKEN]]</f>
        <v>22.106666666666676</v>
      </c>
      <c r="T176" t="str">
        <f>IF(Table1[[#This Row], [TIME DIFFERENCE]]&gt;=0,"PASS","FAIL")</f>
        <v>PASS</v>
      </c>
      <c r="U176" s="9">
        <f>Table1[[#This Row], [TRC]]+Table1[[#This Row], [DRC]]+Table1[[#This Row], [WRC]]+Table1[[#This Row], [ERC]]+Table1[[#This Row], [EQRC]]</f>
        <v>7910176.0999999996</v>
      </c>
      <c r="V176" s="9">
        <f>Table1[[#This Row], [TOTAL COST]]+_xlfn.XLOOKUP(Table1[[#This Row], [TEAM]],Sheet1!$A$12:$A$17,Sheet1!$I$12:$I$17)</f>
        <v>8206676.0999999996</v>
      </c>
      <c r="W176" s="9">
        <f>Table1[[#This Row], [LOOT]]-Table1[[#This Row], [TOTAL COST]]</f>
        <v>10039823.9</v>
      </c>
      <c r="X176" s="9">
        <f>IF(Table1[[#This Row], [PASS/FAIL]]="FAIL",0,Table1[[#This Row], [PROFIT]])</f>
        <v>10039823.9</v>
      </c>
    </row>
    <row r="177" spans="1:24" ht="19.5" customHeight="1" x14ac:dyDescent="0.45">
      <c r="A177" t="s">
        <v>16</v>
      </c>
      <c r="B177" s="14">
        <f>_xlfn.XLOOKUP(Table1[[#This Row], [TEAM]],Sheet1!$A$12:$A$17,Sheet1!$F$12:$F$17)</f>
        <v>2</v>
      </c>
      <c r="C177" s="14">
        <f>_xlfn.XLOOKUP(Table1[[#This Row], [TEAM]],Sheet1!$A$12:$A$17,Sheet1!$G$12:$G$17)</f>
        <v>6082800</v>
      </c>
      <c r="D177" t="s">
        <v>24</v>
      </c>
      <c r="E177" s="4">
        <f>_xlfn.XLOOKUP(Table1[[#This Row], [ROOM]],Sheet1!$A$47:$A$66,Sheet1!$B$47:$B$66)</f>
        <v>345</v>
      </c>
      <c r="F177" t="s">
        <v>58</v>
      </c>
      <c r="G177" s="4">
        <f>_xlfn.XLOOKUP(Table1[[#This Row], [DISGUISE]],Sheet1!$A$21:$A$23,Sheet1!$B$21:$B$23)*Table1[[#This Row], [NUM OF MEM]]*(1+_xlfn.XLOOKUP(Table1[[#This Row], [DISGUISE]],Sheet1!$A$21:$A$23,Sheet1!$C$21:$C$23))</f>
        <v>25600</v>
      </c>
      <c r="H177" s="13" t="s">
        <v>59</v>
      </c>
      <c r="I177" s="4">
        <f>_xlfn.XLOOKUP(Table1[[#This Row], [WEAPON]],Sheet1!$A$27:$A$29,Sheet1!$B$27:$B$29)*Table1[[#This Row], [NUM OF MEM]]*(1+_xlfn.XLOOKUP(Table1[[#This Row], [WEAPON]],Sheet1!$A$27:$A$29,Sheet1!$C$27:$C$29))</f>
        <v>91000</v>
      </c>
      <c r="J177" t="s">
        <v>64</v>
      </c>
      <c r="K177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1760972.3999999997</v>
      </c>
      <c r="L177" s="13" t="s">
        <v>61</v>
      </c>
      <c r="M177" s="4">
        <f>IF(Table1[[#This Row], [EQUIPMENT]]="YES",Sheet1!$C$44*(1+Sheet1!$D$44),0)</f>
        <v>0</v>
      </c>
      <c r="N177" s="4">
        <f>_xlfn.XLOOKUP(Table1[[#This Row], [ROOM]],Sheet1!$A$47:$A$66,Sheet1!$F$47:$F$66)</f>
        <v>18000000</v>
      </c>
      <c r="O177" s="9">
        <f>_xlfn.XLOOKUP(_xlfn.CONCAT(Table1[[#This Row], [TEAM]],Table1[[#This Row], [ROOM]]),'ROOM TIME'!$H$2:$H$121,'ROOM TIME'!$J$2:$J$121)</f>
        <v>61.038749999999979</v>
      </c>
      <c r="P177" s="9">
        <f>(INDEX(Sheet1!$X$48:$Z$67,MATCH(Table1[[#This Row], [ROOM]],Sheet1!$P$48:$P$67,0),MATCH(Table1[[#This Row], [WEAPON]],Sheet1!$X$47:$Z$47,0)))/Table1[[#This Row], [NUM OF MEM]]</f>
        <v>6.8999999999999995</v>
      </c>
      <c r="Q177" s="9">
        <f>Table1[[#This Row], [ROOM TIME]]+Table1[[#This Row], [GUARD TIME]]</f>
        <v>67.938749999999985</v>
      </c>
      <c r="R177" s="4">
        <f>Sheet1!$K$3*_xlfn.XLOOKUP(Table1[[#This Row], [DISGUISE]],Sheet1!$A$21:$A$23,Sheet1!$D$21:$D$23)</f>
        <v>69</v>
      </c>
      <c r="S177" s="9">
        <f>Table1[[#This Row], [TOTAL TIME]]-Table1[[#This Row], [TOTAL TIME TAKEN]]</f>
        <v>1.0612500000000153</v>
      </c>
      <c r="T177" t="str">
        <f>IF(Table1[[#This Row], [TIME DIFFERENCE]]&gt;=0,"PASS","FAIL")</f>
        <v>PASS</v>
      </c>
      <c r="U177" s="9">
        <f>Table1[[#This Row], [TRC]]+Table1[[#This Row], [DRC]]+Table1[[#This Row], [WRC]]+Table1[[#This Row], [ERC]]+Table1[[#This Row], [EQRC]]</f>
        <v>7960372.3999999994</v>
      </c>
      <c r="V177" s="9">
        <f>Table1[[#This Row], [TOTAL COST]]+_xlfn.XLOOKUP(Table1[[#This Row], [TEAM]],Sheet1!$A$12:$A$17,Sheet1!$I$12:$I$17)</f>
        <v>8264512.3999999994</v>
      </c>
      <c r="W177" s="9">
        <f>Table1[[#This Row], [LOOT]]-Table1[[#This Row], [TOTAL COST]]</f>
        <v>10039627.600000001</v>
      </c>
      <c r="X177" s="9">
        <f>IF(Table1[[#This Row], [PASS/FAIL]]="FAIL",0,Table1[[#This Row], [PROFIT]])</f>
        <v>10039627.600000001</v>
      </c>
    </row>
    <row r="178" spans="1:24" ht="19.5" customHeight="1" x14ac:dyDescent="0.45">
      <c r="A178" t="s">
        <v>13</v>
      </c>
      <c r="B178" s="14">
        <f>_xlfn.XLOOKUP(Table1[[#This Row], [TEAM]],Sheet1!$A$12:$A$17,Sheet1!$F$12:$F$17)</f>
        <v>3</v>
      </c>
      <c r="C178" s="14">
        <f>_xlfn.XLOOKUP(Table1[[#This Row], [TEAM]],Sheet1!$A$12:$A$17,Sheet1!$G$12:$G$17)</f>
        <v>5930000</v>
      </c>
      <c r="D178" t="s">
        <v>26</v>
      </c>
      <c r="E178" s="4">
        <f>_xlfn.XLOOKUP(Table1[[#This Row], [ROOM]],Sheet1!$A$47:$A$66,Sheet1!$B$47:$B$66)</f>
        <v>136</v>
      </c>
      <c r="F178" t="s">
        <v>62</v>
      </c>
      <c r="G178" s="4">
        <f>_xlfn.XLOOKUP(Table1[[#This Row], [DISGUISE]],Sheet1!$A$21:$A$23,Sheet1!$B$21:$B$23)*Table1[[#This Row], [NUM OF MEM]]*(1+_xlfn.XLOOKUP(Table1[[#This Row], [DISGUISE]],Sheet1!$A$21:$A$23,Sheet1!$C$21:$C$23))</f>
        <v>15600</v>
      </c>
      <c r="H178" s="13" t="s">
        <v>59</v>
      </c>
      <c r="I178" s="4">
        <f>_xlfn.XLOOKUP(Table1[[#This Row], [WEAPON]],Sheet1!$A$27:$A$29,Sheet1!$B$27:$B$29)*Table1[[#This Row], [NUM OF MEM]]*(1+_xlfn.XLOOKUP(Table1[[#This Row], [WEAPON]],Sheet1!$A$27:$A$29,Sheet1!$C$27:$C$29))</f>
        <v>136500</v>
      </c>
      <c r="J178" t="s">
        <v>60</v>
      </c>
      <c r="K178" s="9">
        <f>Table1[[#This Row], [NUM OF MEM]]*Table1[[#This Row], [TOTAL TIME TAKEN]]*_xlfn.XLOOKUP(Table1[[#This Row], [EXIT]],Sheet1!$A$70:$A$71,Sheet1!$B$70:$B$71)*(1+_xlfn.XLOOKUP(Table1[[#This Row], [EXIT]],Sheet1!$A$70:$A$71,Sheet1!$C$70:$C$71))</f>
        <v>1722763.1249999993</v>
      </c>
      <c r="L178" s="13" t="s">
        <v>65</v>
      </c>
      <c r="M178" s="4">
        <f>IF(Table1[[#This Row], [EQUIPMENT]]="YES",Sheet1!$C$44*(1+Sheet1!$D$44),0)</f>
        <v>307500</v>
      </c>
      <c r="N178" s="4">
        <f>_xlfn.XLOOKUP(Table1[[#This Row], [ROOM]],Sheet1!$A$47:$A$66,Sheet1!$F$47:$F$66)</f>
        <v>18150000</v>
      </c>
      <c r="O178" s="9">
        <f>_xlfn.XLOOKUP(_xlfn.CONCAT(Table1[[#This Row], [TEAM]],Table1[[#This Row], [ROOM]]),'ROOM TIME'!$H$2:$H$121,'ROOM TIME'!$J$2:$J$121)</f>
        <v>40.149999999999984</v>
      </c>
      <c r="P178" s="9">
        <f>(INDEX(Sheet1!$X$48:$Z$67,MATCH(Table1[[#This Row], [ROOM]],Sheet1!$P$48:$P$67,0),MATCH(Table1[[#This Row], [WEAPON]],Sheet1!$X$47:$Z$47,0)))/Table1[[#This Row], [NUM OF MEM]]</f>
        <v>4.5999999999999996</v>
      </c>
      <c r="Q178" s="9">
        <f>Table1[[#This Row], [ROOM TIME]]+Table1[[#This Row], [GUARD TIME]]</f>
        <v>44.749999999999986</v>
      </c>
      <c r="R178" s="4">
        <f>Sheet1!$K$3*_xlfn.XLOOKUP(Table1[[#This Row], [DISGUISE]],Sheet1!$A$21:$A$23,Sheet1!$D$21:$D$23)</f>
        <v>66</v>
      </c>
      <c r="S178" s="9">
        <f>Table1[[#This Row], [TOTAL TIME]]-Table1[[#This Row], [TOTAL TIME TAKEN]]</f>
        <v>21.250000000000014</v>
      </c>
      <c r="T178" t="str">
        <f>IF(Table1[[#This Row], [TIME DIFFERENCE]]&gt;=0,"PASS","FAIL")</f>
        <v>PASS</v>
      </c>
      <c r="U178" s="9">
        <f>Table1[[#This Row], [TRC]]+Table1[[#This Row], [DRC]]+Table1[[#This Row], [WRC]]+Table1[[#This Row], [ERC]]+Table1[[#This Row], [EQRC]]</f>
        <v>8112363.1249999991</v>
      </c>
      <c r="V178" s="9">
        <f>Table1[[#This Row], [TOTAL COST]]+_xlfn.XLOOKUP(Table1[[#This Row], [TEAM]],Sheet1!$A$12:$A$17,Sheet1!$I$12:$I$17)</f>
        <v>8408863.125</v>
      </c>
      <c r="W178" s="9">
        <f>Table1[[#This Row], [LOOT]]-Table1[[#This Row], [TOTAL COST]]</f>
        <v>10037636.875</v>
      </c>
      <c r="X178" s="9">
        <f>IF(Table1[[#This Row], [PASS/FAIL]]="FAIL",0,Table1[[#This Row], [PROFIT]])</f>
        <v>10037636.875</v>
      </c>
    </row>
    <row r="179" spans="1:24" ht="19.5" customHeight="1" x14ac:dyDescent="0.45">
      <c r="A179" t="s">
        <v>12</v>
      </c>
      <c r="B179" s="14">
        <f>_xlfn.XLOOKUP(Table1[[#This Row], [TEAM]],Sheet1!$A$12:$A$17,Sheet1!$F$12:$F$17)</f>
        <v>3</v>
      </c>
      <c r="C179" s="14">
        <f>_xlfn.XLOOKUP(Table1[[#This Row], [TEAM]],Sheet1!$A$12:$A$17,Sheet1!$G$12:$G$17)</f>
        <v>5988750</v>
      </c>
      <c r="D179" t="s">
        <v>19</v>
      </c>
      <c r="E179" s="4">
        <f>_xlfn.XLOOKUP(Table1[[#This Row], [ROOM]],Sheet1!$A$47:$A$66,Sheet1!$B$47:$B$66)</f>
        <v>135</v>
      </c>
      <c r="F179" t="s">
        <v>58</v>
      </c>
      <c r="G179" s="4">
        <f>_xlfn.XLOOKUP(Table1[[#This Row], [DISGUISE]],Sheet1!$A$21:$A$23,Sheet1!$B$21:$B$23)*Table1[[#This Row], [NUM OF MEM]]*(1+_xlfn.XLOOKUP(Table1[[#This Row], [DISGUISE]],Sheet1!$A$21:$A$23,Sheet1!$C$21:$C$23))</f>
        <v>38400</v>
      </c>
      <c r="H179" s="13" t="s">
        <v>66</v>
      </c>
      <c r="I179" s="4">
        <f>_xlfn.XLOOKUP(Table1[[#This Row], [WEAPON]],Sheet1!$A$27:$A$29,Sheet1!$B$27:$B$29)*Table1[[#This Row], [NUM OF MEM]]*(1+_xlfn.XLOOKUP(Table1[[#This Row], [WEAPON]],Sheet1!$A$27:$A$29,Sheet1!$C$27:$C$29))</f>
        <v>108000</v>
      </c>
      <c r="J179" t="s">
        <v>64</v>
      </c>
      <c r="K179" s="9">
        <f>Table1[[#This Row], [NUM OF MEM]]*Table1[[#This Row], [TOTAL TIME TAKEN]]*_xlfn.XLOOKUP(Table1[[#This Row], [EXIT]],Sheet1!$A$70:$A$71,Sheet1!$B$70:$B$71)*(1+_xlfn.XLOOKUP(Table1[[#This Row], [EXIT]],Sheet1!$A$70:$A$71,Sheet1!$C$70:$C$71))</f>
        <v>1778111.9999999993</v>
      </c>
      <c r="L179" s="13" t="s">
        <v>61</v>
      </c>
      <c r="M179" s="4">
        <f>IF(Table1[[#This Row], [EQUIPMENT]]="YES",Sheet1!$C$44*(1+Sheet1!$D$44),0)</f>
        <v>0</v>
      </c>
      <c r="N179" s="4">
        <f>_xlfn.XLOOKUP(Table1[[#This Row], [ROOM]],Sheet1!$A$47:$A$66,Sheet1!$F$47:$F$66)</f>
        <v>17950000</v>
      </c>
      <c r="O179" s="9">
        <f>_xlfn.XLOOKUP(_xlfn.CONCAT(Table1[[#This Row], [TEAM]],Table1[[#This Row], [ROOM]]),'ROOM TIME'!$H$2:$H$121,'ROOM TIME'!$J$2:$J$121)</f>
        <v>41.149999999999984</v>
      </c>
      <c r="P179" s="9">
        <f>(INDEX(Sheet1!$X$48:$Z$67,MATCH(Table1[[#This Row], [ROOM]],Sheet1!$P$48:$P$67,0),MATCH(Table1[[#This Row], [WEAPON]],Sheet1!$X$47:$Z$47,0)))/Table1[[#This Row], [NUM OF MEM]]</f>
        <v>4.583333333333333</v>
      </c>
      <c r="Q179" s="9">
        <f>Table1[[#This Row], [ROOM TIME]]+Table1[[#This Row], [GUARD TIME]]</f>
        <v>45.73333333333332</v>
      </c>
      <c r="R179" s="4">
        <f>Sheet1!$K$3*_xlfn.XLOOKUP(Table1[[#This Row], [DISGUISE]],Sheet1!$A$21:$A$23,Sheet1!$D$21:$D$23)</f>
        <v>69</v>
      </c>
      <c r="S179" s="9">
        <f>Table1[[#This Row], [TOTAL TIME]]-Table1[[#This Row], [TOTAL TIME TAKEN]]</f>
        <v>23.26666666666668</v>
      </c>
      <c r="T179" t="str">
        <f>IF(Table1[[#This Row], [TIME DIFFERENCE]]&gt;=0,"PASS","FAIL")</f>
        <v>PASS</v>
      </c>
      <c r="U179" s="9">
        <f>Table1[[#This Row], [TRC]]+Table1[[#This Row], [DRC]]+Table1[[#This Row], [WRC]]+Table1[[#This Row], [ERC]]+Table1[[#This Row], [EQRC]]</f>
        <v>7913261.9999999991</v>
      </c>
      <c r="V179" s="9">
        <f>Table1[[#This Row], [TOTAL COST]]+_xlfn.XLOOKUP(Table1[[#This Row], [TEAM]],Sheet1!$A$12:$A$17,Sheet1!$I$12:$I$17)</f>
        <v>8212699.4999999991</v>
      </c>
      <c r="W179" s="4">
        <f>Table1[[#This Row], [LOOT]]-Table1[[#This Row], [TOTAL COST]]</f>
        <v>10036738</v>
      </c>
      <c r="X179" s="4">
        <f>IF(Table1[[#This Row], [PASS/FAIL]]="FAIL",0,Table1[[#This Row], [PROFIT]])</f>
        <v>10036738</v>
      </c>
    </row>
    <row r="180" spans="1:24" ht="19.5" customHeight="1" x14ac:dyDescent="0.45">
      <c r="A180" t="s">
        <v>16</v>
      </c>
      <c r="B180" s="14">
        <f>_xlfn.XLOOKUP(Table1[[#This Row], [TEAM]],Sheet1!$A$12:$A$17,Sheet1!$F$12:$F$17)</f>
        <v>2</v>
      </c>
      <c r="C180" s="14">
        <f>_xlfn.XLOOKUP(Table1[[#This Row], [TEAM]],Sheet1!$A$12:$A$17,Sheet1!$G$12:$G$17)</f>
        <v>6082800</v>
      </c>
      <c r="D180" t="s">
        <v>32</v>
      </c>
      <c r="E180" s="4">
        <f>_xlfn.XLOOKUP(Table1[[#This Row], [ROOM]],Sheet1!$A$47:$A$66,Sheet1!$B$47:$B$66)</f>
        <v>346</v>
      </c>
      <c r="F180" t="s">
        <v>58</v>
      </c>
      <c r="G180" s="4">
        <f>_xlfn.XLOOKUP(Table1[[#This Row], [DISGUISE]],Sheet1!$A$21:$A$23,Sheet1!$B$21:$B$23)*Table1[[#This Row], [NUM OF MEM]]*(1+_xlfn.XLOOKUP(Table1[[#This Row], [DISGUISE]],Sheet1!$A$21:$A$23,Sheet1!$C$21:$C$23))</f>
        <v>25600</v>
      </c>
      <c r="H180" s="13" t="s">
        <v>63</v>
      </c>
      <c r="I180" s="4">
        <f>_xlfn.XLOOKUP(Table1[[#This Row], [WEAPON]],Sheet1!$A$27:$A$29,Sheet1!$B$27:$B$29)*Table1[[#This Row], [NUM OF MEM]]*(1+_xlfn.XLOOKUP(Table1[[#This Row], [WEAPON]],Sheet1!$A$27:$A$29,Sheet1!$C$27:$C$29))</f>
        <v>46000</v>
      </c>
      <c r="J180" t="s">
        <v>60</v>
      </c>
      <c r="K180" s="9">
        <f>Table1[[#This Row], [NUM OF MEM]]*Table1[[#This Row], [TOTAL TIME TAKEN]]*_xlfn.XLOOKUP(Table1[[#This Row], [EXIT]],Sheet1!$A$70:$A$71,Sheet1!$B$70:$B$71)*(1+_xlfn.XLOOKUP(Table1[[#This Row], [EXIT]],Sheet1!$A$70:$A$71,Sheet1!$C$70:$C$71))</f>
        <v>1701429.0937499993</v>
      </c>
      <c r="L180" s="13" t="s">
        <v>65</v>
      </c>
      <c r="M180" s="4">
        <f>IF(Table1[[#This Row], [EQUIPMENT]]="YES",Sheet1!$C$44*(1+Sheet1!$D$44),0)</f>
        <v>307500</v>
      </c>
      <c r="N180" s="4">
        <f>_xlfn.XLOOKUP(Table1[[#This Row], [ROOM]],Sheet1!$A$47:$A$66,Sheet1!$F$47:$F$66)</f>
        <v>18200000</v>
      </c>
      <c r="O180" s="9">
        <f>_xlfn.XLOOKUP(_xlfn.CONCAT(Table1[[#This Row], [TEAM]],Table1[[#This Row], [ROOM]]),'ROOM TIME'!$H$2:$H$121,'ROOM TIME'!$J$2:$J$121)</f>
        <v>57.518749999999976</v>
      </c>
      <c r="P180" s="9">
        <f>(INDEX(Sheet1!$X$48:$Z$67,MATCH(Table1[[#This Row], [ROOM]],Sheet1!$P$48:$P$67,0),MATCH(Table1[[#This Row], [WEAPON]],Sheet1!$X$47:$Z$47,0)))/Table1[[#This Row], [NUM OF MEM]]</f>
        <v>8.7750000000000004</v>
      </c>
      <c r="Q180" s="9">
        <f>Table1[[#This Row], [ROOM TIME]]+Table1[[#This Row], [GUARD TIME]]</f>
        <v>66.293749999999974</v>
      </c>
      <c r="R180" s="4">
        <f>Sheet1!$K$3*_xlfn.XLOOKUP(Table1[[#This Row], [DISGUISE]],Sheet1!$A$21:$A$23,Sheet1!$D$21:$D$23)</f>
        <v>69</v>
      </c>
      <c r="S180" s="9">
        <f>Table1[[#This Row], [TOTAL TIME]]-Table1[[#This Row], [TOTAL TIME TAKEN]]</f>
        <v>2.7062500000000256</v>
      </c>
      <c r="T180" t="str">
        <f>IF(Table1[[#This Row], [TIME DIFFERENCE]]&gt;=0,"PASS","FAIL")</f>
        <v>PASS</v>
      </c>
      <c r="U180" s="9">
        <f>Table1[[#This Row], [TRC]]+Table1[[#This Row], [DRC]]+Table1[[#This Row], [WRC]]+Table1[[#This Row], [ERC]]+Table1[[#This Row], [EQRC]]</f>
        <v>8163329.0937499991</v>
      </c>
      <c r="V180" s="9">
        <f>Table1[[#This Row], [TOTAL COST]]+_xlfn.XLOOKUP(Table1[[#This Row], [TEAM]],Sheet1!$A$12:$A$17,Sheet1!$I$12:$I$17)</f>
        <v>8467469.09375</v>
      </c>
      <c r="W180" s="9">
        <f>Table1[[#This Row], [LOOT]]-Table1[[#This Row], [TOTAL COST]]</f>
        <v>10036670.90625</v>
      </c>
      <c r="X180" s="9">
        <f>IF(Table1[[#This Row], [PASS/FAIL]]="FAIL",0,Table1[[#This Row], [PROFIT]])</f>
        <v>10036670.90625</v>
      </c>
    </row>
    <row r="181" spans="1:24" ht="19.5" customHeight="1" x14ac:dyDescent="0.45">
      <c r="A181" t="s">
        <v>13</v>
      </c>
      <c r="B181" s="14">
        <f>_xlfn.XLOOKUP(Table1[[#This Row], [TEAM]],Sheet1!$A$12:$A$17,Sheet1!$F$12:$F$17)</f>
        <v>3</v>
      </c>
      <c r="C181" s="14">
        <f>_xlfn.XLOOKUP(Table1[[#This Row], [TEAM]],Sheet1!$A$12:$A$17,Sheet1!$G$12:$G$17)</f>
        <v>5930000</v>
      </c>
      <c r="D181" t="s">
        <v>32</v>
      </c>
      <c r="E181" s="4">
        <f>_xlfn.XLOOKUP(Table1[[#This Row], [ROOM]],Sheet1!$A$47:$A$66,Sheet1!$B$47:$B$66)</f>
        <v>346</v>
      </c>
      <c r="F181" t="s">
        <v>58</v>
      </c>
      <c r="G181" s="4">
        <f>_xlfn.XLOOKUP(Table1[[#This Row], [DISGUISE]],Sheet1!$A$21:$A$23,Sheet1!$B$21:$B$23)*Table1[[#This Row], [NUM OF MEM]]*(1+_xlfn.XLOOKUP(Table1[[#This Row], [DISGUISE]],Sheet1!$A$21:$A$23,Sheet1!$C$21:$C$23))</f>
        <v>38400</v>
      </c>
      <c r="H181" s="13" t="s">
        <v>59</v>
      </c>
      <c r="I181" s="4">
        <f>_xlfn.XLOOKUP(Table1[[#This Row], [WEAPON]],Sheet1!$A$27:$A$29,Sheet1!$B$27:$B$29)*Table1[[#This Row], [NUM OF MEM]]*(1+_xlfn.XLOOKUP(Table1[[#This Row], [WEAPON]],Sheet1!$A$27:$A$29,Sheet1!$C$27:$C$29))</f>
        <v>136500</v>
      </c>
      <c r="J181" t="s">
        <v>64</v>
      </c>
      <c r="K181" s="4">
        <f>Table1[[#This Row], [NUM OF MEM]]*Table1[[#This Row], [TOTAL TIME TAKEN]]*_xlfn.XLOOKUP(Table1[[#This Row], [EXIT]],Sheet1!$A$70:$A$71,Sheet1!$B$70:$B$71)*(1+_xlfn.XLOOKUP(Table1[[#This Row], [EXIT]],Sheet1!$A$70:$A$71,Sheet1!$C$70:$C$71))</f>
        <v>1751328</v>
      </c>
      <c r="L181" s="13" t="s">
        <v>65</v>
      </c>
      <c r="M181" s="4">
        <f>IF(Table1[[#This Row], [EQUIPMENT]]="YES",Sheet1!$C$44*(1+Sheet1!$D$44),0)</f>
        <v>307500</v>
      </c>
      <c r="N181" s="4">
        <f>_xlfn.XLOOKUP(Table1[[#This Row], [ROOM]],Sheet1!$A$47:$A$66,Sheet1!$F$47:$F$66)</f>
        <v>18200000</v>
      </c>
      <c r="O181" s="9">
        <f>_xlfn.XLOOKUP(_xlfn.CONCAT(Table1[[#This Row], [TEAM]],Table1[[#This Row], [ROOM]]),'ROOM TIME'!$H$2:$H$121,'ROOM TIME'!$J$2:$J$121)</f>
        <v>40.061111111111103</v>
      </c>
      <c r="P181" s="9">
        <f>(INDEX(Sheet1!$X$48:$Z$67,MATCH(Table1[[#This Row], [ROOM]],Sheet1!$P$48:$P$67,0),MATCH(Table1[[#This Row], [WEAPON]],Sheet1!$X$47:$Z$47,0)))/Table1[[#This Row], [NUM OF MEM]]</f>
        <v>4.9833333333333334</v>
      </c>
      <c r="Q181" s="9">
        <f>Table1[[#This Row], [ROOM TIME]]+Table1[[#This Row], [GUARD TIME]]</f>
        <v>45.044444444444437</v>
      </c>
      <c r="R181" s="4">
        <f>Sheet1!$K$3*_xlfn.XLOOKUP(Table1[[#This Row], [DISGUISE]],Sheet1!$A$21:$A$23,Sheet1!$D$21:$D$23)</f>
        <v>69</v>
      </c>
      <c r="S181" s="9">
        <f>Table1[[#This Row], [TOTAL TIME]]-Table1[[#This Row], [TOTAL TIME TAKEN]]</f>
        <v>23.955555555555563</v>
      </c>
      <c r="T181" t="str">
        <f>IF(Table1[[#This Row], [TIME DIFFERENCE]]&gt;=0,"PASS","FAIL")</f>
        <v>PASS</v>
      </c>
      <c r="U181" s="4">
        <f>Table1[[#This Row], [TRC]]+Table1[[#This Row], [DRC]]+Table1[[#This Row], [WRC]]+Table1[[#This Row], [ERC]]+Table1[[#This Row], [EQRC]]</f>
        <v>8163728</v>
      </c>
      <c r="V181" s="4">
        <f>Table1[[#This Row], [TOTAL COST]]+_xlfn.XLOOKUP(Table1[[#This Row], [TEAM]],Sheet1!$A$12:$A$17,Sheet1!$I$12:$I$17)</f>
        <v>8460228</v>
      </c>
      <c r="W181" s="4">
        <f>Table1[[#This Row], [LOOT]]-Table1[[#This Row], [TOTAL COST]]</f>
        <v>10036272</v>
      </c>
      <c r="X181" s="4">
        <f>IF(Table1[[#This Row], [PASS/FAIL]]="FAIL",0,Table1[[#This Row], [PROFIT]])</f>
        <v>10036272</v>
      </c>
    </row>
    <row r="182" spans="1:24" ht="19.5" customHeight="1" x14ac:dyDescent="0.45">
      <c r="A182" t="s">
        <v>13</v>
      </c>
      <c r="B182" s="14">
        <f>_xlfn.XLOOKUP(Table1[[#This Row], [TEAM]],Sheet1!$A$12:$A$17,Sheet1!$F$12:$F$17)</f>
        <v>3</v>
      </c>
      <c r="C182" s="14">
        <f>_xlfn.XLOOKUP(Table1[[#This Row], [TEAM]],Sheet1!$A$12:$A$17,Sheet1!$G$12:$G$17)</f>
        <v>5930000</v>
      </c>
      <c r="D182" t="s">
        <v>19</v>
      </c>
      <c r="E182" s="4">
        <f>_xlfn.XLOOKUP(Table1[[#This Row], [ROOM]],Sheet1!$A$47:$A$66,Sheet1!$B$47:$B$66)</f>
        <v>135</v>
      </c>
      <c r="F182" t="s">
        <v>58</v>
      </c>
      <c r="G182" s="4">
        <f>_xlfn.XLOOKUP(Table1[[#This Row], [DISGUISE]],Sheet1!$A$21:$A$23,Sheet1!$B$21:$B$23)*Table1[[#This Row], [NUM OF MEM]]*(1+_xlfn.XLOOKUP(Table1[[#This Row], [DISGUISE]],Sheet1!$A$21:$A$23,Sheet1!$C$21:$C$23))</f>
        <v>38400</v>
      </c>
      <c r="H182" s="13" t="s">
        <v>66</v>
      </c>
      <c r="I182" s="4">
        <f>_xlfn.XLOOKUP(Table1[[#This Row], [WEAPON]],Sheet1!$A$27:$A$29,Sheet1!$B$27:$B$29)*Table1[[#This Row], [NUM OF MEM]]*(1+_xlfn.XLOOKUP(Table1[[#This Row], [WEAPON]],Sheet1!$A$27:$A$29,Sheet1!$C$27:$C$29))</f>
        <v>108000</v>
      </c>
      <c r="J182" t="s">
        <v>64</v>
      </c>
      <c r="K182" s="9">
        <f>Table1[[#This Row], [NUM OF MEM]]*Table1[[#This Row], [TOTAL TIME TAKEN]]*_xlfn.XLOOKUP(Table1[[#This Row], [EXIT]],Sheet1!$A$70:$A$71,Sheet1!$B$70:$B$71)*(1+_xlfn.XLOOKUP(Table1[[#This Row], [EXIT]],Sheet1!$A$70:$A$71,Sheet1!$C$70:$C$71))</f>
        <v>1837468.7999999996</v>
      </c>
      <c r="L182" s="13" t="s">
        <v>61</v>
      </c>
      <c r="M182" s="4">
        <f>IF(Table1[[#This Row], [EQUIPMENT]]="YES",Sheet1!$C$44*(1+Sheet1!$D$44),0)</f>
        <v>0</v>
      </c>
      <c r="N182" s="4">
        <f>_xlfn.XLOOKUP(Table1[[#This Row], [ROOM]],Sheet1!$A$47:$A$66,Sheet1!$F$47:$F$66)</f>
        <v>17950000</v>
      </c>
      <c r="O182" s="9">
        <f>_xlfn.XLOOKUP(_xlfn.CONCAT(Table1[[#This Row], [TEAM]],Table1[[#This Row], [ROOM]]),'ROOM TIME'!$H$2:$H$121,'ROOM TIME'!$J$2:$J$121)</f>
        <v>42.676666666666655</v>
      </c>
      <c r="P182" s="9">
        <f>(INDEX(Sheet1!$X$48:$Z$67,MATCH(Table1[[#This Row], [ROOM]],Sheet1!$P$48:$P$67,0),MATCH(Table1[[#This Row], [WEAPON]],Sheet1!$X$47:$Z$47,0)))/Table1[[#This Row], [NUM OF MEM]]</f>
        <v>4.583333333333333</v>
      </c>
      <c r="Q182" s="9">
        <f>Table1[[#This Row], [ROOM TIME]]+Table1[[#This Row], [GUARD TIME]]</f>
        <v>47.259999999999991</v>
      </c>
      <c r="R182" s="4">
        <f>Sheet1!$K$3*_xlfn.XLOOKUP(Table1[[#This Row], [DISGUISE]],Sheet1!$A$21:$A$23,Sheet1!$D$21:$D$23)</f>
        <v>69</v>
      </c>
      <c r="S182" s="9">
        <f>Table1[[#This Row], [TOTAL TIME]]-Table1[[#This Row], [TOTAL TIME TAKEN]]</f>
        <v>21.740000000000009</v>
      </c>
      <c r="T182" t="str">
        <f>IF(Table1[[#This Row], [TIME DIFFERENCE]]&gt;=0,"PASS","FAIL")</f>
        <v>PASS</v>
      </c>
      <c r="U182" s="9">
        <f>Table1[[#This Row], [TRC]]+Table1[[#This Row], [DRC]]+Table1[[#This Row], [WRC]]+Table1[[#This Row], [ERC]]+Table1[[#This Row], [EQRC]]</f>
        <v>7913868.7999999998</v>
      </c>
      <c r="V182" s="9">
        <f>Table1[[#This Row], [TOTAL COST]]+_xlfn.XLOOKUP(Table1[[#This Row], [TEAM]],Sheet1!$A$12:$A$17,Sheet1!$I$12:$I$17)</f>
        <v>8210368.7999999998</v>
      </c>
      <c r="W182" s="9">
        <f>Table1[[#This Row], [LOOT]]-Table1[[#This Row], [TOTAL COST]]</f>
        <v>10036131.199999999</v>
      </c>
      <c r="X182" s="9">
        <f>IF(Table1[[#This Row], [PASS/FAIL]]="FAIL",0,Table1[[#This Row], [PROFIT]])</f>
        <v>10036131.199999999</v>
      </c>
    </row>
    <row r="183" spans="1:24" ht="19.5" customHeight="1" x14ac:dyDescent="0.45">
      <c r="A183" t="s">
        <v>12</v>
      </c>
      <c r="B183" s="14">
        <f>_xlfn.XLOOKUP(Table1[[#This Row], [TEAM]],Sheet1!$A$12:$A$17,Sheet1!$F$12:$F$17)</f>
        <v>3</v>
      </c>
      <c r="C183" s="14">
        <f>_xlfn.XLOOKUP(Table1[[#This Row], [TEAM]],Sheet1!$A$12:$A$17,Sheet1!$G$12:$G$17)</f>
        <v>5988750</v>
      </c>
      <c r="D183" t="s">
        <v>33</v>
      </c>
      <c r="E183" s="4">
        <f>_xlfn.XLOOKUP(Table1[[#This Row], [ROOM]],Sheet1!$A$47:$A$66,Sheet1!$B$47:$B$66)</f>
        <v>356</v>
      </c>
      <c r="F183" t="s">
        <v>62</v>
      </c>
      <c r="G183" s="4">
        <f>_xlfn.XLOOKUP(Table1[[#This Row], [DISGUISE]],Sheet1!$A$21:$A$23,Sheet1!$B$21:$B$23)*Table1[[#This Row], [NUM OF MEM]]*(1+_xlfn.XLOOKUP(Table1[[#This Row], [DISGUISE]],Sheet1!$A$21:$A$23,Sheet1!$C$21:$C$23))</f>
        <v>15600</v>
      </c>
      <c r="H183" s="13" t="s">
        <v>63</v>
      </c>
      <c r="I183" s="4">
        <f>_xlfn.XLOOKUP(Table1[[#This Row], [WEAPON]],Sheet1!$A$27:$A$29,Sheet1!$B$27:$B$29)*Table1[[#This Row], [NUM OF MEM]]*(1+_xlfn.XLOOKUP(Table1[[#This Row], [WEAPON]],Sheet1!$A$27:$A$29,Sheet1!$C$27:$C$29))</f>
        <v>69000</v>
      </c>
      <c r="J183" t="s">
        <v>60</v>
      </c>
      <c r="K183" s="9">
        <f>Table1[[#This Row], [NUM OF MEM]]*Table1[[#This Row], [TOTAL TIME TAKEN]]*_xlfn.XLOOKUP(Table1[[#This Row], [EXIT]],Sheet1!$A$70:$A$71,Sheet1!$B$70:$B$71)*(1+_xlfn.XLOOKUP(Table1[[#This Row], [EXIT]],Sheet1!$A$70:$A$71,Sheet1!$C$70:$C$71))</f>
        <v>1683538.4499999993</v>
      </c>
      <c r="L183" s="13" t="s">
        <v>65</v>
      </c>
      <c r="M183" s="4">
        <f>IF(Table1[[#This Row], [EQUIPMENT]]="YES",Sheet1!$C$44*(1+Sheet1!$D$44),0)</f>
        <v>307500</v>
      </c>
      <c r="N183" s="4">
        <f>_xlfn.XLOOKUP(Table1[[#This Row], [ROOM]],Sheet1!$A$47:$A$66,Sheet1!$F$47:$F$66)</f>
        <v>18100000</v>
      </c>
      <c r="O183" s="9">
        <f>_xlfn.XLOOKUP(_xlfn.CONCAT(Table1[[#This Row], [TEAM]],Table1[[#This Row], [ROOM]]),'ROOM TIME'!$H$2:$H$121,'ROOM TIME'!$J$2:$J$121)</f>
        <v>38.331111111111092</v>
      </c>
      <c r="P183" s="9">
        <f>(INDEX(Sheet1!$X$48:$Z$67,MATCH(Table1[[#This Row], [ROOM]],Sheet1!$P$48:$P$67,0),MATCH(Table1[[#This Row], [WEAPON]],Sheet1!$X$47:$Z$47,0)))/Table1[[#This Row], [NUM OF MEM]]</f>
        <v>5.4000000000000012</v>
      </c>
      <c r="Q183" s="9">
        <f>Table1[[#This Row], [ROOM TIME]]+Table1[[#This Row], [GUARD TIME]]</f>
        <v>43.73111111111109</v>
      </c>
      <c r="R183" s="4">
        <f>Sheet1!$K$3*_xlfn.XLOOKUP(Table1[[#This Row], [DISGUISE]],Sheet1!$A$21:$A$23,Sheet1!$D$21:$D$23)</f>
        <v>66</v>
      </c>
      <c r="S183" s="9">
        <f>Table1[[#This Row], [TOTAL TIME]]-Table1[[#This Row], [TOTAL TIME TAKEN]]</f>
        <v>22.26888888888891</v>
      </c>
      <c r="T183" t="str">
        <f>IF(Table1[[#This Row], [TIME DIFFERENCE]]&gt;=0,"PASS","FAIL")</f>
        <v>PASS</v>
      </c>
      <c r="U183" s="9">
        <f>Table1[[#This Row], [TRC]]+Table1[[#This Row], [DRC]]+Table1[[#This Row], [WRC]]+Table1[[#This Row], [ERC]]+Table1[[#This Row], [EQRC]]</f>
        <v>8064388.4499999993</v>
      </c>
      <c r="V183" s="9">
        <f>Table1[[#This Row], [TOTAL COST]]+_xlfn.XLOOKUP(Table1[[#This Row], [TEAM]],Sheet1!$A$12:$A$17,Sheet1!$I$12:$I$17)</f>
        <v>8363825.9499999993</v>
      </c>
      <c r="W183" s="9">
        <f>Table1[[#This Row], [LOOT]]-Table1[[#This Row], [TOTAL COST]]</f>
        <v>10035611.550000001</v>
      </c>
      <c r="X183" s="9">
        <f>IF(Table1[[#This Row], [PASS/FAIL]]="FAIL",0,Table1[[#This Row], [PROFIT]])</f>
        <v>10035611.550000001</v>
      </c>
    </row>
    <row r="184" spans="1:24" ht="19.5" customHeight="1" x14ac:dyDescent="0.45">
      <c r="A184" t="s">
        <v>12</v>
      </c>
      <c r="B184" s="14">
        <f>_xlfn.XLOOKUP(Table1[[#This Row], [TEAM]],Sheet1!$A$12:$A$17,Sheet1!$F$12:$F$17)</f>
        <v>3</v>
      </c>
      <c r="C184" s="14">
        <f>_xlfn.XLOOKUP(Table1[[#This Row], [TEAM]],Sheet1!$A$12:$A$17,Sheet1!$G$12:$G$17)</f>
        <v>5988750</v>
      </c>
      <c r="D184" t="s">
        <v>32</v>
      </c>
      <c r="E184" s="4">
        <f>_xlfn.XLOOKUP(Table1[[#This Row], [ROOM]],Sheet1!$A$47:$A$66,Sheet1!$B$47:$B$66)</f>
        <v>346</v>
      </c>
      <c r="F184" t="s">
        <v>58</v>
      </c>
      <c r="G184" s="4">
        <f>_xlfn.XLOOKUP(Table1[[#This Row], [DISGUISE]],Sheet1!$A$21:$A$23,Sheet1!$B$21:$B$23)*Table1[[#This Row], [NUM OF MEM]]*(1+_xlfn.XLOOKUP(Table1[[#This Row], [DISGUISE]],Sheet1!$A$21:$A$23,Sheet1!$C$21:$C$23))</f>
        <v>38400</v>
      </c>
      <c r="H184" s="13" t="s">
        <v>59</v>
      </c>
      <c r="I184" s="4">
        <f>_xlfn.XLOOKUP(Table1[[#This Row], [WEAPON]],Sheet1!$A$27:$A$29,Sheet1!$B$27:$B$29)*Table1[[#This Row], [NUM OF MEM]]*(1+_xlfn.XLOOKUP(Table1[[#This Row], [WEAPON]],Sheet1!$A$27:$A$29,Sheet1!$C$27:$C$29))</f>
        <v>136500</v>
      </c>
      <c r="J184" t="s">
        <v>64</v>
      </c>
      <c r="K184" s="9">
        <f>Table1[[#This Row], [NUM OF MEM]]*Table1[[#This Row], [TOTAL TIME TAKEN]]*_xlfn.XLOOKUP(Table1[[#This Row], [EXIT]],Sheet1!$A$70:$A$71,Sheet1!$B$70:$B$71)*(1+_xlfn.XLOOKUP(Table1[[#This Row], [EXIT]],Sheet1!$A$70:$A$71,Sheet1!$C$70:$C$71))</f>
        <v>1694519.9999999998</v>
      </c>
      <c r="L184" s="13" t="s">
        <v>65</v>
      </c>
      <c r="M184" s="4">
        <f>IF(Table1[[#This Row], [EQUIPMENT]]="YES",Sheet1!$C$44*(1+Sheet1!$D$44),0)</f>
        <v>307500</v>
      </c>
      <c r="N184" s="4">
        <f>_xlfn.XLOOKUP(Table1[[#This Row], [ROOM]],Sheet1!$A$47:$A$66,Sheet1!$F$47:$F$66)</f>
        <v>18200000</v>
      </c>
      <c r="O184" s="9">
        <f>_xlfn.XLOOKUP(_xlfn.CONCAT(Table1[[#This Row], [TEAM]],Table1[[#This Row], [ROOM]]),'ROOM TIME'!$H$2:$H$121,'ROOM TIME'!$J$2:$J$121)</f>
        <v>38.599999999999987</v>
      </c>
      <c r="P184" s="9">
        <f>(INDEX(Sheet1!$X$48:$Z$67,MATCH(Table1[[#This Row], [ROOM]],Sheet1!$P$48:$P$67,0),MATCH(Table1[[#This Row], [WEAPON]],Sheet1!$X$47:$Z$47,0)))/Table1[[#This Row], [NUM OF MEM]]</f>
        <v>4.9833333333333334</v>
      </c>
      <c r="Q184" s="9">
        <f>Table1[[#This Row], [ROOM TIME]]+Table1[[#This Row], [GUARD TIME]]</f>
        <v>43.583333333333321</v>
      </c>
      <c r="R184" s="4">
        <f>Sheet1!$K$3*_xlfn.XLOOKUP(Table1[[#This Row], [DISGUISE]],Sheet1!$A$21:$A$23,Sheet1!$D$21:$D$23)</f>
        <v>69</v>
      </c>
      <c r="S184" s="9">
        <f>Table1[[#This Row], [TOTAL TIME]]-Table1[[#This Row], [TOTAL TIME TAKEN]]</f>
        <v>25.416666666666679</v>
      </c>
      <c r="T184" t="str">
        <f>IF(Table1[[#This Row], [TIME DIFFERENCE]]&gt;=0,"PASS","FAIL")</f>
        <v>PASS</v>
      </c>
      <c r="U184" s="4">
        <f>Table1[[#This Row], [TRC]]+Table1[[#This Row], [DRC]]+Table1[[#This Row], [WRC]]+Table1[[#This Row], [ERC]]+Table1[[#This Row], [EQRC]]</f>
        <v>8165670</v>
      </c>
      <c r="V184" s="9">
        <f>Table1[[#This Row], [TOTAL COST]]+_xlfn.XLOOKUP(Table1[[#This Row], [TEAM]],Sheet1!$A$12:$A$17,Sheet1!$I$12:$I$17)</f>
        <v>8465107.5</v>
      </c>
      <c r="W184" s="4">
        <f>Table1[[#This Row], [LOOT]]-Table1[[#This Row], [TOTAL COST]]</f>
        <v>10034330</v>
      </c>
      <c r="X184" s="4">
        <f>IF(Table1[[#This Row], [PASS/FAIL]]="FAIL",0,Table1[[#This Row], [PROFIT]])</f>
        <v>10034330</v>
      </c>
    </row>
    <row r="185" spans="1:24" ht="19.5" customHeight="1" x14ac:dyDescent="0.45">
      <c r="A185" t="s">
        <v>13</v>
      </c>
      <c r="B185" s="14">
        <f>_xlfn.XLOOKUP(Table1[[#This Row], [TEAM]],Sheet1!$A$12:$A$17,Sheet1!$F$12:$F$17)</f>
        <v>3</v>
      </c>
      <c r="C185" s="14">
        <f>_xlfn.XLOOKUP(Table1[[#This Row], [TEAM]],Sheet1!$A$12:$A$17,Sheet1!$G$12:$G$17)</f>
        <v>5930000</v>
      </c>
      <c r="D185" t="s">
        <v>26</v>
      </c>
      <c r="E185" s="4">
        <f>_xlfn.XLOOKUP(Table1[[#This Row], [ROOM]],Sheet1!$A$47:$A$66,Sheet1!$B$47:$B$66)</f>
        <v>136</v>
      </c>
      <c r="F185" t="s">
        <v>58</v>
      </c>
      <c r="G185" s="4">
        <f>_xlfn.XLOOKUP(Table1[[#This Row], [DISGUISE]],Sheet1!$A$21:$A$23,Sheet1!$B$21:$B$23)*Table1[[#This Row], [NUM OF MEM]]*(1+_xlfn.XLOOKUP(Table1[[#This Row], [DISGUISE]],Sheet1!$A$21:$A$23,Sheet1!$C$21:$C$23))</f>
        <v>38400</v>
      </c>
      <c r="H185" s="13" t="s">
        <v>63</v>
      </c>
      <c r="I185" s="4">
        <f>_xlfn.XLOOKUP(Table1[[#This Row], [WEAPON]],Sheet1!$A$27:$A$29,Sheet1!$B$27:$B$29)*Table1[[#This Row], [NUM OF MEM]]*(1+_xlfn.XLOOKUP(Table1[[#This Row], [WEAPON]],Sheet1!$A$27:$A$29,Sheet1!$C$27:$C$29))</f>
        <v>69000</v>
      </c>
      <c r="J185" t="s">
        <v>64</v>
      </c>
      <c r="K185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1770983.9999999993</v>
      </c>
      <c r="L185" s="13" t="s">
        <v>65</v>
      </c>
      <c r="M185" s="4">
        <f>IF(Table1[[#This Row], [EQUIPMENT]]="YES",Sheet1!$C$44*(1+Sheet1!$D$44),0)</f>
        <v>307500</v>
      </c>
      <c r="N185" s="4">
        <f>_xlfn.XLOOKUP(Table1[[#This Row], [ROOM]],Sheet1!$A$47:$A$66,Sheet1!$F$47:$F$66)</f>
        <v>18150000</v>
      </c>
      <c r="O185" s="9">
        <f>_xlfn.XLOOKUP(_xlfn.CONCAT(Table1[[#This Row], [TEAM]],Table1[[#This Row], [ROOM]]),'ROOM TIME'!$H$2:$H$121,'ROOM TIME'!$J$2:$J$121)</f>
        <v>40.149999999999984</v>
      </c>
      <c r="P185" s="9">
        <f>(INDEX(Sheet1!$X$48:$Z$67,MATCH(Table1[[#This Row], [ROOM]],Sheet1!$P$48:$P$67,0),MATCH(Table1[[#This Row], [WEAPON]],Sheet1!$X$47:$Z$47,0)))/Table1[[#This Row], [NUM OF MEM]]</f>
        <v>5.4000000000000012</v>
      </c>
      <c r="Q185" s="9">
        <f>Table1[[#This Row], [ROOM TIME]]+Table1[[#This Row], [GUARD TIME]]</f>
        <v>45.549999999999983</v>
      </c>
      <c r="R185" s="4">
        <f>Sheet1!$K$3*_xlfn.XLOOKUP(Table1[[#This Row], [DISGUISE]],Sheet1!$A$21:$A$23,Sheet1!$D$21:$D$23)</f>
        <v>69</v>
      </c>
      <c r="S185" s="9">
        <f>Table1[[#This Row], [TOTAL TIME]]-Table1[[#This Row], [TOTAL TIME TAKEN]]</f>
        <v>23.450000000000017</v>
      </c>
      <c r="T185" t="str">
        <f>IF(Table1[[#This Row], [TIME DIFFERENCE]]&gt;=0,"PASS","FAIL")</f>
        <v>PASS</v>
      </c>
      <c r="U185" s="9">
        <f>Table1[[#This Row], [TRC]]+Table1[[#This Row], [DRC]]+Table1[[#This Row], [WRC]]+Table1[[#This Row], [ERC]]+Table1[[#This Row], [EQRC]]</f>
        <v>8115883.9999999991</v>
      </c>
      <c r="V185" s="4">
        <f>Table1[[#This Row], [TOTAL COST]]+_xlfn.XLOOKUP(Table1[[#This Row], [TEAM]],Sheet1!$A$12:$A$17,Sheet1!$I$12:$I$17)</f>
        <v>8412384</v>
      </c>
      <c r="W185" s="4">
        <f>Table1[[#This Row], [LOOT]]-Table1[[#This Row], [TOTAL COST]]</f>
        <v>10034116</v>
      </c>
      <c r="X185" s="4">
        <f>IF(Table1[[#This Row], [PASS/FAIL]]="FAIL",0,Table1[[#This Row], [PROFIT]])</f>
        <v>10034116</v>
      </c>
    </row>
    <row r="186" spans="1:24" ht="19.5" customHeight="1" x14ac:dyDescent="0.45">
      <c r="A186" t="s">
        <v>13</v>
      </c>
      <c r="B186" s="14">
        <f>_xlfn.XLOOKUP(Table1[[#This Row], [TEAM]],Sheet1!$A$12:$A$17,Sheet1!$F$12:$F$17)</f>
        <v>3</v>
      </c>
      <c r="C186" s="14">
        <f>_xlfn.XLOOKUP(Table1[[#This Row], [TEAM]],Sheet1!$A$12:$A$17,Sheet1!$G$12:$G$17)</f>
        <v>5930000</v>
      </c>
      <c r="D186" t="s">
        <v>26</v>
      </c>
      <c r="E186" s="4">
        <f>_xlfn.XLOOKUP(Table1[[#This Row], [ROOM]],Sheet1!$A$47:$A$66,Sheet1!$B$47:$B$66)</f>
        <v>136</v>
      </c>
      <c r="F186" t="s">
        <v>62</v>
      </c>
      <c r="G186" s="4">
        <f>_xlfn.XLOOKUP(Table1[[#This Row], [DISGUISE]],Sheet1!$A$21:$A$23,Sheet1!$B$21:$B$23)*Table1[[#This Row], [NUM OF MEM]]*(1+_xlfn.XLOOKUP(Table1[[#This Row], [DISGUISE]],Sheet1!$A$21:$A$23,Sheet1!$C$21:$C$23))</f>
        <v>15600</v>
      </c>
      <c r="H186" s="13" t="s">
        <v>66</v>
      </c>
      <c r="I186" s="4">
        <f>_xlfn.XLOOKUP(Table1[[#This Row], [WEAPON]],Sheet1!$A$27:$A$29,Sheet1!$B$27:$B$29)*Table1[[#This Row], [NUM OF MEM]]*(1+_xlfn.XLOOKUP(Table1[[#This Row], [WEAPON]],Sheet1!$A$27:$A$29,Sheet1!$C$27:$C$29))</f>
        <v>108000</v>
      </c>
      <c r="J186" t="s">
        <v>64</v>
      </c>
      <c r="K186" s="9">
        <f>Table1[[#This Row], [NUM OF MEM]]*Table1[[#This Row], [TOTAL TIME TAKEN]]*_xlfn.XLOOKUP(Table1[[#This Row], [EXIT]],Sheet1!$A$70:$A$71,Sheet1!$B$70:$B$71)*(1+_xlfn.XLOOKUP(Table1[[#This Row], [EXIT]],Sheet1!$A$70:$A$71,Sheet1!$C$70:$C$71))</f>
        <v>1755431.9999999993</v>
      </c>
      <c r="L186" s="13" t="s">
        <v>65</v>
      </c>
      <c r="M186" s="4">
        <f>IF(Table1[[#This Row], [EQUIPMENT]]="YES",Sheet1!$C$44*(1+Sheet1!$D$44),0)</f>
        <v>307500</v>
      </c>
      <c r="N186" s="4">
        <f>_xlfn.XLOOKUP(Table1[[#This Row], [ROOM]],Sheet1!$A$47:$A$66,Sheet1!$F$47:$F$66)</f>
        <v>18150000</v>
      </c>
      <c r="O186" s="9">
        <f>_xlfn.XLOOKUP(_xlfn.CONCAT(Table1[[#This Row], [TEAM]],Table1[[#This Row], [ROOM]]),'ROOM TIME'!$H$2:$H$121,'ROOM TIME'!$J$2:$J$121)</f>
        <v>40.149999999999984</v>
      </c>
      <c r="P186" s="4">
        <f>(INDEX(Sheet1!$X$48:$Z$67,MATCH(Table1[[#This Row], [ROOM]],Sheet1!$P$48:$P$67,0),MATCH(Table1[[#This Row], [WEAPON]],Sheet1!$X$47:$Z$47,0)))/Table1[[#This Row], [NUM OF MEM]]</f>
        <v>5</v>
      </c>
      <c r="Q186" s="9">
        <f>Table1[[#This Row], [ROOM TIME]]+Table1[[#This Row], [GUARD TIME]]</f>
        <v>45.149999999999984</v>
      </c>
      <c r="R186" s="4">
        <f>Sheet1!$K$3*_xlfn.XLOOKUP(Table1[[#This Row], [DISGUISE]],Sheet1!$A$21:$A$23,Sheet1!$D$21:$D$23)</f>
        <v>66</v>
      </c>
      <c r="S186" s="9">
        <f>Table1[[#This Row], [TOTAL TIME]]-Table1[[#This Row], [TOTAL TIME TAKEN]]</f>
        <v>20.850000000000016</v>
      </c>
      <c r="T186" t="str">
        <f>IF(Table1[[#This Row], [TIME DIFFERENCE]]&gt;=0,"PASS","FAIL")</f>
        <v>PASS</v>
      </c>
      <c r="U186" s="9">
        <f>Table1[[#This Row], [TRC]]+Table1[[#This Row], [DRC]]+Table1[[#This Row], [WRC]]+Table1[[#This Row], [ERC]]+Table1[[#This Row], [EQRC]]</f>
        <v>8116531.9999999991</v>
      </c>
      <c r="V186" s="4">
        <f>Table1[[#This Row], [TOTAL COST]]+_xlfn.XLOOKUP(Table1[[#This Row], [TEAM]],Sheet1!$A$12:$A$17,Sheet1!$I$12:$I$17)</f>
        <v>8413032</v>
      </c>
      <c r="W186" s="4">
        <f>Table1[[#This Row], [LOOT]]-Table1[[#This Row], [TOTAL COST]]</f>
        <v>10033468</v>
      </c>
      <c r="X186" s="4">
        <f>IF(Table1[[#This Row], [PASS/FAIL]]="FAIL",0,Table1[[#This Row], [PROFIT]])</f>
        <v>10033468</v>
      </c>
    </row>
    <row r="187" spans="1:24" ht="19.5" customHeight="1" x14ac:dyDescent="0.45">
      <c r="A187" t="s">
        <v>16</v>
      </c>
      <c r="B187" s="14">
        <f>_xlfn.XLOOKUP(Table1[[#This Row], [TEAM]],Sheet1!$A$12:$A$17,Sheet1!$F$12:$F$17)</f>
        <v>2</v>
      </c>
      <c r="C187" s="14">
        <f>_xlfn.XLOOKUP(Table1[[#This Row], [TEAM]],Sheet1!$A$12:$A$17,Sheet1!$G$12:$G$17)</f>
        <v>6082800</v>
      </c>
      <c r="D187" t="s">
        <v>19</v>
      </c>
      <c r="E187" s="4">
        <f>_xlfn.XLOOKUP(Table1[[#This Row], [ROOM]],Sheet1!$A$47:$A$66,Sheet1!$B$47:$B$66)</f>
        <v>135</v>
      </c>
      <c r="F187" t="s">
        <v>58</v>
      </c>
      <c r="G187" s="4">
        <f>_xlfn.XLOOKUP(Table1[[#This Row], [DISGUISE]],Sheet1!$A$21:$A$23,Sheet1!$B$21:$B$23)*Table1[[#This Row], [NUM OF MEM]]*(1+_xlfn.XLOOKUP(Table1[[#This Row], [DISGUISE]],Sheet1!$A$21:$A$23,Sheet1!$C$21:$C$23))</f>
        <v>25600</v>
      </c>
      <c r="H187" s="13" t="s">
        <v>66</v>
      </c>
      <c r="I187" s="4">
        <f>_xlfn.XLOOKUP(Table1[[#This Row], [WEAPON]],Sheet1!$A$27:$A$29,Sheet1!$B$27:$B$29)*Table1[[#This Row], [NUM OF MEM]]*(1+_xlfn.XLOOKUP(Table1[[#This Row], [WEAPON]],Sheet1!$A$27:$A$29,Sheet1!$C$27:$C$29))</f>
        <v>72000</v>
      </c>
      <c r="J187" t="s">
        <v>60</v>
      </c>
      <c r="K187" s="9">
        <f>Table1[[#This Row], [NUM OF MEM]]*Table1[[#This Row], [TOTAL TIME TAKEN]]*_xlfn.XLOOKUP(Table1[[#This Row], [EXIT]],Sheet1!$A$70:$A$71,Sheet1!$B$70:$B$71)*(1+_xlfn.XLOOKUP(Table1[[#This Row], [EXIT]],Sheet1!$A$70:$A$71,Sheet1!$C$70:$C$71))</f>
        <v>1737392.1749999993</v>
      </c>
      <c r="L187" s="13" t="s">
        <v>61</v>
      </c>
      <c r="M187" s="4">
        <f>IF(Table1[[#This Row], [EQUIPMENT]]="YES",Sheet1!$C$44*(1+Sheet1!$D$44),0)</f>
        <v>0</v>
      </c>
      <c r="N187" s="4">
        <f>_xlfn.XLOOKUP(Table1[[#This Row], [ROOM]],Sheet1!$A$47:$A$66,Sheet1!$F$47:$F$66)</f>
        <v>17950000</v>
      </c>
      <c r="O187" s="9">
        <f>_xlfn.XLOOKUP(_xlfn.CONCAT(Table1[[#This Row], [TEAM]],Table1[[#This Row], [ROOM]]),'ROOM TIME'!$H$2:$H$121,'ROOM TIME'!$J$2:$J$121)</f>
        <v>60.819999999999979</v>
      </c>
      <c r="P187" s="9">
        <f>(INDEX(Sheet1!$X$48:$Z$67,MATCH(Table1[[#This Row], [ROOM]],Sheet1!$P$48:$P$67,0),MATCH(Table1[[#This Row], [WEAPON]],Sheet1!$X$47:$Z$47,0)))/Table1[[#This Row], [NUM OF MEM]]</f>
        <v>6.875</v>
      </c>
      <c r="Q187" s="9">
        <f>Table1[[#This Row], [ROOM TIME]]+Table1[[#This Row], [GUARD TIME]]</f>
        <v>67.694999999999979</v>
      </c>
      <c r="R187" s="4">
        <f>Sheet1!$K$3*_xlfn.XLOOKUP(Table1[[#This Row], [DISGUISE]],Sheet1!$A$21:$A$23,Sheet1!$D$21:$D$23)</f>
        <v>69</v>
      </c>
      <c r="S187" s="9">
        <f>Table1[[#This Row], [TOTAL TIME]]-Table1[[#This Row], [TOTAL TIME TAKEN]]</f>
        <v>1.305000000000021</v>
      </c>
      <c r="T187" t="str">
        <f>IF(Table1[[#This Row], [TIME DIFFERENCE]]&gt;=0,"PASS","FAIL")</f>
        <v>PASS</v>
      </c>
      <c r="U187" s="9">
        <f>Table1[[#This Row], [TRC]]+Table1[[#This Row], [DRC]]+Table1[[#This Row], [WRC]]+Table1[[#This Row], [ERC]]+Table1[[#This Row], [EQRC]]</f>
        <v>7917792.1749999989</v>
      </c>
      <c r="V187" s="9">
        <f>Table1[[#This Row], [TOTAL COST]]+_xlfn.XLOOKUP(Table1[[#This Row], [TEAM]],Sheet1!$A$12:$A$17,Sheet1!$I$12:$I$17)</f>
        <v>8221932.1749999989</v>
      </c>
      <c r="W187" s="9">
        <f>Table1[[#This Row], [LOOT]]-Table1[[#This Row], [TOTAL COST]]</f>
        <v>10032207.825000001</v>
      </c>
      <c r="X187" s="9">
        <f>IF(Table1[[#This Row], [PASS/FAIL]]="FAIL",0,Table1[[#This Row], [PROFIT]])</f>
        <v>10032207.825000001</v>
      </c>
    </row>
    <row r="188" spans="1:24" ht="19.5" customHeight="1" x14ac:dyDescent="0.45">
      <c r="A188" t="s">
        <v>12</v>
      </c>
      <c r="B188" s="14">
        <f>_xlfn.XLOOKUP(Table1[[#This Row], [TEAM]],Sheet1!$A$12:$A$17,Sheet1!$F$12:$F$17)</f>
        <v>3</v>
      </c>
      <c r="C188" s="14">
        <f>_xlfn.XLOOKUP(Table1[[#This Row], [TEAM]],Sheet1!$A$12:$A$17,Sheet1!$G$12:$G$17)</f>
        <v>5988750</v>
      </c>
      <c r="D188" t="s">
        <v>26</v>
      </c>
      <c r="E188" s="4">
        <f>_xlfn.XLOOKUP(Table1[[#This Row], [ROOM]],Sheet1!$A$47:$A$66,Sheet1!$B$47:$B$66)</f>
        <v>136</v>
      </c>
      <c r="F188" t="s">
        <v>62</v>
      </c>
      <c r="G188" s="4">
        <f>_xlfn.XLOOKUP(Table1[[#This Row], [DISGUISE]],Sheet1!$A$21:$A$23,Sheet1!$B$21:$B$23)*Table1[[#This Row], [NUM OF MEM]]*(1+_xlfn.XLOOKUP(Table1[[#This Row], [DISGUISE]],Sheet1!$A$21:$A$23,Sheet1!$C$21:$C$23))</f>
        <v>15600</v>
      </c>
      <c r="H188" s="13" t="s">
        <v>59</v>
      </c>
      <c r="I188" s="4">
        <f>_xlfn.XLOOKUP(Table1[[#This Row], [WEAPON]],Sheet1!$A$27:$A$29,Sheet1!$B$27:$B$29)*Table1[[#This Row], [NUM OF MEM]]*(1+_xlfn.XLOOKUP(Table1[[#This Row], [WEAPON]],Sheet1!$A$27:$A$29,Sheet1!$C$27:$C$29))</f>
        <v>136500</v>
      </c>
      <c r="J188" t="s">
        <v>60</v>
      </c>
      <c r="K188" s="9">
        <f>Table1[[#This Row], [NUM OF MEM]]*Table1[[#This Row], [TOTAL TIME TAKEN]]*_xlfn.XLOOKUP(Table1[[#This Row], [EXIT]],Sheet1!$A$70:$A$71,Sheet1!$B$70:$B$71)*(1+_xlfn.XLOOKUP(Table1[[#This Row], [EXIT]],Sheet1!$A$70:$A$71,Sheet1!$C$70:$C$71))</f>
        <v>1671518.6749999993</v>
      </c>
      <c r="L188" s="13" t="s">
        <v>65</v>
      </c>
      <c r="M188" s="4">
        <f>IF(Table1[[#This Row], [EQUIPMENT]]="YES",Sheet1!$C$44*(1+Sheet1!$D$44),0)</f>
        <v>307500</v>
      </c>
      <c r="N188" s="4">
        <f>_xlfn.XLOOKUP(Table1[[#This Row], [ROOM]],Sheet1!$A$47:$A$66,Sheet1!$F$47:$F$66)</f>
        <v>18150000</v>
      </c>
      <c r="O188" s="9">
        <f>_xlfn.XLOOKUP(_xlfn.CONCAT(Table1[[#This Row], [TEAM]],Table1[[#This Row], [ROOM]]),'ROOM TIME'!$H$2:$H$121,'ROOM TIME'!$J$2:$J$121)</f>
        <v>38.818888888888871</v>
      </c>
      <c r="P188" s="9">
        <f>(INDEX(Sheet1!$X$48:$Z$67,MATCH(Table1[[#This Row], [ROOM]],Sheet1!$P$48:$P$67,0),MATCH(Table1[[#This Row], [WEAPON]],Sheet1!$X$47:$Z$47,0)))/Table1[[#This Row], [NUM OF MEM]]</f>
        <v>4.5999999999999996</v>
      </c>
      <c r="Q188" s="9">
        <f>Table1[[#This Row], [ROOM TIME]]+Table1[[#This Row], [GUARD TIME]]</f>
        <v>43.418888888888873</v>
      </c>
      <c r="R188" s="4">
        <f>Sheet1!$K$3*_xlfn.XLOOKUP(Table1[[#This Row], [DISGUISE]],Sheet1!$A$21:$A$23,Sheet1!$D$21:$D$23)</f>
        <v>66</v>
      </c>
      <c r="S188" s="9">
        <f>Table1[[#This Row], [TOTAL TIME]]-Table1[[#This Row], [TOTAL TIME TAKEN]]</f>
        <v>22.581111111111127</v>
      </c>
      <c r="T188" t="str">
        <f>IF(Table1[[#This Row], [TIME DIFFERENCE]]&gt;=0,"PASS","FAIL")</f>
        <v>PASS</v>
      </c>
      <c r="U188" s="9">
        <f>Table1[[#This Row], [TRC]]+Table1[[#This Row], [DRC]]+Table1[[#This Row], [WRC]]+Table1[[#This Row], [ERC]]+Table1[[#This Row], [EQRC]]</f>
        <v>8119868.6749999989</v>
      </c>
      <c r="V188" s="9">
        <f>Table1[[#This Row], [TOTAL COST]]+_xlfn.XLOOKUP(Table1[[#This Row], [TEAM]],Sheet1!$A$12:$A$17,Sheet1!$I$12:$I$17)</f>
        <v>8419306.1749999989</v>
      </c>
      <c r="W188" s="9">
        <f>Table1[[#This Row], [LOOT]]-Table1[[#This Row], [TOTAL COST]]</f>
        <v>10030131.325000001</v>
      </c>
      <c r="X188" s="9">
        <f>IF(Table1[[#This Row], [PASS/FAIL]]="FAIL",0,Table1[[#This Row], [PROFIT]])</f>
        <v>10030131.325000001</v>
      </c>
    </row>
    <row r="189" spans="1:24" ht="19.5" customHeight="1" x14ac:dyDescent="0.45">
      <c r="A189" t="s">
        <v>13</v>
      </c>
      <c r="B189" s="14">
        <f>_xlfn.XLOOKUP(Table1[[#This Row], [TEAM]],Sheet1!$A$12:$A$17,Sheet1!$F$12:$F$17)</f>
        <v>3</v>
      </c>
      <c r="C189" s="14">
        <f>_xlfn.XLOOKUP(Table1[[#This Row], [TEAM]],Sheet1!$A$12:$A$17,Sheet1!$G$12:$G$17)</f>
        <v>5930000</v>
      </c>
      <c r="D189" t="s">
        <v>26</v>
      </c>
      <c r="E189" s="4">
        <f>_xlfn.XLOOKUP(Table1[[#This Row], [ROOM]],Sheet1!$A$47:$A$66,Sheet1!$B$47:$B$66)</f>
        <v>136</v>
      </c>
      <c r="F189" t="s">
        <v>58</v>
      </c>
      <c r="G189" s="4">
        <f>_xlfn.XLOOKUP(Table1[[#This Row], [DISGUISE]],Sheet1!$A$21:$A$23,Sheet1!$B$21:$B$23)*Table1[[#This Row], [NUM OF MEM]]*(1+_xlfn.XLOOKUP(Table1[[#This Row], [DISGUISE]],Sheet1!$A$21:$A$23,Sheet1!$C$21:$C$23))</f>
        <v>38400</v>
      </c>
      <c r="H189" s="13" t="s">
        <v>66</v>
      </c>
      <c r="I189" s="4">
        <f>_xlfn.XLOOKUP(Table1[[#This Row], [WEAPON]],Sheet1!$A$27:$A$29,Sheet1!$B$27:$B$29)*Table1[[#This Row], [NUM OF MEM]]*(1+_xlfn.XLOOKUP(Table1[[#This Row], [WEAPON]],Sheet1!$A$27:$A$29,Sheet1!$C$27:$C$29))</f>
        <v>108000</v>
      </c>
      <c r="J189" t="s">
        <v>60</v>
      </c>
      <c r="K189" s="9">
        <f>Table1[[#This Row], [NUM OF MEM]]*Table1[[#This Row], [TOTAL TIME TAKEN]]*_xlfn.XLOOKUP(Table1[[#This Row], [EXIT]],Sheet1!$A$70:$A$71,Sheet1!$B$70:$B$71)*(1+_xlfn.XLOOKUP(Table1[[#This Row], [EXIT]],Sheet1!$A$70:$A$71,Sheet1!$C$70:$C$71))</f>
        <v>1738162.1249999993</v>
      </c>
      <c r="L189" s="13" t="s">
        <v>65</v>
      </c>
      <c r="M189" s="4">
        <f>IF(Table1[[#This Row], [EQUIPMENT]]="YES",Sheet1!$C$44*(1+Sheet1!$D$44),0)</f>
        <v>307500</v>
      </c>
      <c r="N189" s="4">
        <f>_xlfn.XLOOKUP(Table1[[#This Row], [ROOM]],Sheet1!$A$47:$A$66,Sheet1!$F$47:$F$66)</f>
        <v>18150000</v>
      </c>
      <c r="O189" s="9">
        <f>_xlfn.XLOOKUP(_xlfn.CONCAT(Table1[[#This Row], [TEAM]],Table1[[#This Row], [ROOM]]),'ROOM TIME'!$H$2:$H$121,'ROOM TIME'!$J$2:$J$121)</f>
        <v>40.149999999999984</v>
      </c>
      <c r="P189" s="4">
        <f>(INDEX(Sheet1!$X$48:$Z$67,MATCH(Table1[[#This Row], [ROOM]],Sheet1!$P$48:$P$67,0),MATCH(Table1[[#This Row], [WEAPON]],Sheet1!$X$47:$Z$47,0)))/Table1[[#This Row], [NUM OF MEM]]</f>
        <v>5</v>
      </c>
      <c r="Q189" s="9">
        <f>Table1[[#This Row], [ROOM TIME]]+Table1[[#This Row], [GUARD TIME]]</f>
        <v>45.149999999999984</v>
      </c>
      <c r="R189" s="4">
        <f>Sheet1!$K$3*_xlfn.XLOOKUP(Table1[[#This Row], [DISGUISE]],Sheet1!$A$21:$A$23,Sheet1!$D$21:$D$23)</f>
        <v>69</v>
      </c>
      <c r="S189" s="9">
        <f>Table1[[#This Row], [TOTAL TIME]]-Table1[[#This Row], [TOTAL TIME TAKEN]]</f>
        <v>23.850000000000016</v>
      </c>
      <c r="T189" t="str">
        <f>IF(Table1[[#This Row], [TIME DIFFERENCE]]&gt;=0,"PASS","FAIL")</f>
        <v>PASS</v>
      </c>
      <c r="U189" s="9">
        <f>Table1[[#This Row], [TRC]]+Table1[[#This Row], [DRC]]+Table1[[#This Row], [WRC]]+Table1[[#This Row], [ERC]]+Table1[[#This Row], [EQRC]]</f>
        <v>8122062.1249999991</v>
      </c>
      <c r="V189" s="9">
        <f>Table1[[#This Row], [TOTAL COST]]+_xlfn.XLOOKUP(Table1[[#This Row], [TEAM]],Sheet1!$A$12:$A$17,Sheet1!$I$12:$I$17)</f>
        <v>8418562.125</v>
      </c>
      <c r="W189" s="9">
        <f>Table1[[#This Row], [LOOT]]-Table1[[#This Row], [TOTAL COST]]</f>
        <v>10027937.875</v>
      </c>
      <c r="X189" s="9">
        <f>IF(Table1[[#This Row], [PASS/FAIL]]="FAIL",0,Table1[[#This Row], [PROFIT]])</f>
        <v>10027937.875</v>
      </c>
    </row>
    <row r="190" spans="1:24" ht="19.5" customHeight="1" x14ac:dyDescent="0.45">
      <c r="A190" t="s">
        <v>16</v>
      </c>
      <c r="B190" s="14">
        <f>_xlfn.XLOOKUP(Table1[[#This Row], [TEAM]],Sheet1!$A$12:$A$17,Sheet1!$F$12:$F$17)</f>
        <v>2</v>
      </c>
      <c r="C190" s="14">
        <f>_xlfn.XLOOKUP(Table1[[#This Row], [TEAM]],Sheet1!$A$12:$A$17,Sheet1!$G$12:$G$17)</f>
        <v>6082800</v>
      </c>
      <c r="D190" t="s">
        <v>32</v>
      </c>
      <c r="E190" s="4">
        <f>_xlfn.XLOOKUP(Table1[[#This Row], [ROOM]],Sheet1!$A$47:$A$66,Sheet1!$B$47:$B$66)</f>
        <v>346</v>
      </c>
      <c r="F190" t="s">
        <v>58</v>
      </c>
      <c r="G190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" s="13" t="s">
        <v>66</v>
      </c>
      <c r="I190" s="4">
        <f>_xlfn.XLOOKUP(Table1[[#This Row], [WEAPON]],Sheet1!$A$27:$A$29,Sheet1!$B$27:$B$29)*Table1[[#This Row], [NUM OF MEM]]*(1+_xlfn.XLOOKUP(Table1[[#This Row], [WEAPON]],Sheet1!$A$27:$A$29,Sheet1!$C$27:$C$29))</f>
        <v>72000</v>
      </c>
      <c r="J190" t="s">
        <v>60</v>
      </c>
      <c r="K190" s="9">
        <f>Table1[[#This Row], [NUM OF MEM]]*Table1[[#This Row], [TOTAL TIME TAKEN]]*_xlfn.XLOOKUP(Table1[[#This Row], [EXIT]],Sheet1!$A$70:$A$71,Sheet1!$B$70:$B$71)*(1+_xlfn.XLOOKUP(Table1[[#This Row], [EXIT]],Sheet1!$A$70:$A$71,Sheet1!$C$70:$C$71))</f>
        <v>1684746.8437499995</v>
      </c>
      <c r="L190" s="13" t="s">
        <v>65</v>
      </c>
      <c r="M190" s="4">
        <f>IF(Table1[[#This Row], [EQUIPMENT]]="YES",Sheet1!$C$44*(1+Sheet1!$D$44),0)</f>
        <v>307500</v>
      </c>
      <c r="N190" s="4">
        <f>_xlfn.XLOOKUP(Table1[[#This Row], [ROOM]],Sheet1!$A$47:$A$66,Sheet1!$F$47:$F$66)</f>
        <v>18200000</v>
      </c>
      <c r="O190" s="9">
        <f>_xlfn.XLOOKUP(_xlfn.CONCAT(Table1[[#This Row], [TEAM]],Table1[[#This Row], [ROOM]]),'ROOM TIME'!$H$2:$H$121,'ROOM TIME'!$J$2:$J$121)</f>
        <v>57.518749999999976</v>
      </c>
      <c r="P190" s="9">
        <f>(INDEX(Sheet1!$X$48:$Z$67,MATCH(Table1[[#This Row], [ROOM]],Sheet1!$P$48:$P$67,0),MATCH(Table1[[#This Row], [WEAPON]],Sheet1!$X$47:$Z$47,0)))/Table1[[#This Row], [NUM OF MEM]]</f>
        <v>8.125</v>
      </c>
      <c r="Q190" s="9">
        <f>Table1[[#This Row], [ROOM TIME]]+Table1[[#This Row], [GUARD TIME]]</f>
        <v>65.643749999999983</v>
      </c>
      <c r="R190" s="4">
        <f>Sheet1!$K$3*_xlfn.XLOOKUP(Table1[[#This Row], [DISGUISE]],Sheet1!$A$21:$A$23,Sheet1!$D$21:$D$23)</f>
        <v>69</v>
      </c>
      <c r="S190" s="9">
        <f>Table1[[#This Row], [TOTAL TIME]]-Table1[[#This Row], [TOTAL TIME TAKEN]]</f>
        <v>3.3562500000000171</v>
      </c>
      <c r="T190" t="str">
        <f>IF(Table1[[#This Row], [TIME DIFFERENCE]]&gt;=0,"PASS","FAIL")</f>
        <v>PASS</v>
      </c>
      <c r="U190" s="9">
        <f>Table1[[#This Row], [TRC]]+Table1[[#This Row], [DRC]]+Table1[[#This Row], [WRC]]+Table1[[#This Row], [ERC]]+Table1[[#This Row], [EQRC]]</f>
        <v>8172646.84375</v>
      </c>
      <c r="V190" s="9">
        <f>Table1[[#This Row], [TOTAL COST]]+_xlfn.XLOOKUP(Table1[[#This Row], [TEAM]],Sheet1!$A$12:$A$17,Sheet1!$I$12:$I$17)</f>
        <v>8476786.84375</v>
      </c>
      <c r="W190" s="9">
        <f>Table1[[#This Row], [LOOT]]-Table1[[#This Row], [TOTAL COST]]</f>
        <v>10027353.15625</v>
      </c>
      <c r="X190" s="9">
        <f>IF(Table1[[#This Row], [PASS/FAIL]]="FAIL",0,Table1[[#This Row], [PROFIT]])</f>
        <v>10027353.15625</v>
      </c>
    </row>
    <row r="191" spans="1:24" ht="19.5" customHeight="1" x14ac:dyDescent="0.45">
      <c r="A191" t="s">
        <v>16</v>
      </c>
      <c r="B191" s="14">
        <f>_xlfn.XLOOKUP(Table1[[#This Row], [TEAM]],Sheet1!$A$12:$A$17,Sheet1!$F$12:$F$17)</f>
        <v>2</v>
      </c>
      <c r="C191" s="14">
        <f>_xlfn.XLOOKUP(Table1[[#This Row], [TEAM]],Sheet1!$A$12:$A$17,Sheet1!$G$12:$G$17)</f>
        <v>6082800</v>
      </c>
      <c r="D191" t="s">
        <v>19</v>
      </c>
      <c r="E191" s="4">
        <f>_xlfn.XLOOKUP(Table1[[#This Row], [ROOM]],Sheet1!$A$47:$A$66,Sheet1!$B$47:$B$66)</f>
        <v>135</v>
      </c>
      <c r="F191" t="s">
        <v>58</v>
      </c>
      <c r="G191" s="4">
        <f>_xlfn.XLOOKUP(Table1[[#This Row], [DISGUISE]],Sheet1!$A$21:$A$23,Sheet1!$B$21:$B$23)*Table1[[#This Row], [NUM OF MEM]]*(1+_xlfn.XLOOKUP(Table1[[#This Row], [DISGUISE]],Sheet1!$A$21:$A$23,Sheet1!$C$21:$C$23))</f>
        <v>25600</v>
      </c>
      <c r="H191" s="13" t="s">
        <v>59</v>
      </c>
      <c r="I191" s="4">
        <f>_xlfn.XLOOKUP(Table1[[#This Row], [WEAPON]],Sheet1!$A$27:$A$29,Sheet1!$B$27:$B$29)*Table1[[#This Row], [NUM OF MEM]]*(1+_xlfn.XLOOKUP(Table1[[#This Row], [WEAPON]],Sheet1!$A$27:$A$29,Sheet1!$C$27:$C$29))</f>
        <v>91000</v>
      </c>
      <c r="J191" t="s">
        <v>60</v>
      </c>
      <c r="K191" s="9">
        <f>Table1[[#This Row], [NUM OF MEM]]*Table1[[#This Row], [TOTAL TIME TAKEN]]*_xlfn.XLOOKUP(Table1[[#This Row], [EXIT]],Sheet1!$A$70:$A$71,Sheet1!$B$70:$B$71)*(1+_xlfn.XLOOKUP(Table1[[#This Row], [EXIT]],Sheet1!$A$70:$A$71,Sheet1!$C$70:$C$71))</f>
        <v>1723276.4249999996</v>
      </c>
      <c r="L191" s="13" t="s">
        <v>61</v>
      </c>
      <c r="M191" s="4">
        <f>IF(Table1[[#This Row], [EQUIPMENT]]="YES",Sheet1!$C$44*(1+Sheet1!$D$44),0)</f>
        <v>0</v>
      </c>
      <c r="N191" s="4">
        <f>_xlfn.XLOOKUP(Table1[[#This Row], [ROOM]],Sheet1!$A$47:$A$66,Sheet1!$F$47:$F$66)</f>
        <v>17950000</v>
      </c>
      <c r="O191" s="9">
        <f>_xlfn.XLOOKUP(_xlfn.CONCAT(Table1[[#This Row], [TEAM]],Table1[[#This Row], [ROOM]]),'ROOM TIME'!$H$2:$H$121,'ROOM TIME'!$J$2:$J$121)</f>
        <v>60.819999999999979</v>
      </c>
      <c r="P191" s="9">
        <f>(INDEX(Sheet1!$X$48:$Z$67,MATCH(Table1[[#This Row], [ROOM]],Sheet1!$P$48:$P$67,0),MATCH(Table1[[#This Row], [WEAPON]],Sheet1!$X$47:$Z$47,0)))/Table1[[#This Row], [NUM OF MEM]]</f>
        <v>6.3249999999999993</v>
      </c>
      <c r="Q191" s="9">
        <f>Table1[[#This Row], [ROOM TIME]]+Table1[[#This Row], [GUARD TIME]]</f>
        <v>67.144999999999982</v>
      </c>
      <c r="R191" s="4">
        <f>Sheet1!$K$3*_xlfn.XLOOKUP(Table1[[#This Row], [DISGUISE]],Sheet1!$A$21:$A$23,Sheet1!$D$21:$D$23)</f>
        <v>69</v>
      </c>
      <c r="S191" s="9">
        <f>Table1[[#This Row], [TOTAL TIME]]-Table1[[#This Row], [TOTAL TIME TAKEN]]</f>
        <v>1.8550000000000182</v>
      </c>
      <c r="T191" t="str">
        <f>IF(Table1[[#This Row], [TIME DIFFERENCE]]&gt;=0,"PASS","FAIL")</f>
        <v>PASS</v>
      </c>
      <c r="U191" s="9">
        <f>Table1[[#This Row], [TRC]]+Table1[[#This Row], [DRC]]+Table1[[#This Row], [WRC]]+Table1[[#This Row], [ERC]]+Table1[[#This Row], [EQRC]]</f>
        <v>7922676.4249999998</v>
      </c>
      <c r="V191" s="9">
        <f>Table1[[#This Row], [TOTAL COST]]+_xlfn.XLOOKUP(Table1[[#This Row], [TEAM]],Sheet1!$A$12:$A$17,Sheet1!$I$12:$I$17)</f>
        <v>8226816.4249999998</v>
      </c>
      <c r="W191" s="9">
        <f>Table1[[#This Row], [LOOT]]-Table1[[#This Row], [TOTAL COST]]</f>
        <v>10027323.574999999</v>
      </c>
      <c r="X191" s="9">
        <f>IF(Table1[[#This Row], [PASS/FAIL]]="FAIL",0,Table1[[#This Row], [PROFIT]])</f>
        <v>10027323.574999999</v>
      </c>
    </row>
    <row r="192" spans="1:24" ht="19.5" customHeight="1" x14ac:dyDescent="0.45">
      <c r="A192" t="s">
        <v>12</v>
      </c>
      <c r="B192" s="14">
        <f>_xlfn.XLOOKUP(Table1[[#This Row], [TEAM]],Sheet1!$A$12:$A$17,Sheet1!$F$12:$F$17)</f>
        <v>3</v>
      </c>
      <c r="C192" s="14">
        <f>_xlfn.XLOOKUP(Table1[[#This Row], [TEAM]],Sheet1!$A$12:$A$17,Sheet1!$G$12:$G$17)</f>
        <v>5988750</v>
      </c>
      <c r="D192" t="s">
        <v>26</v>
      </c>
      <c r="E192" s="4">
        <f>_xlfn.XLOOKUP(Table1[[#This Row], [ROOM]],Sheet1!$A$47:$A$66,Sheet1!$B$47:$B$66)</f>
        <v>136</v>
      </c>
      <c r="F192" t="s">
        <v>58</v>
      </c>
      <c r="G192" s="4">
        <f>_xlfn.XLOOKUP(Table1[[#This Row], [DISGUISE]],Sheet1!$A$21:$A$23,Sheet1!$B$21:$B$23)*Table1[[#This Row], [NUM OF MEM]]*(1+_xlfn.XLOOKUP(Table1[[#This Row], [DISGUISE]],Sheet1!$A$21:$A$23,Sheet1!$C$21:$C$23))</f>
        <v>38400</v>
      </c>
      <c r="H192" s="13" t="s">
        <v>63</v>
      </c>
      <c r="I192" s="4">
        <f>_xlfn.XLOOKUP(Table1[[#This Row], [WEAPON]],Sheet1!$A$27:$A$29,Sheet1!$B$27:$B$29)*Table1[[#This Row], [NUM OF MEM]]*(1+_xlfn.XLOOKUP(Table1[[#This Row], [WEAPON]],Sheet1!$A$27:$A$29,Sheet1!$C$27:$C$29))</f>
        <v>69000</v>
      </c>
      <c r="J192" t="s">
        <v>64</v>
      </c>
      <c r="K192" s="9">
        <f>Table1[[#This Row], [NUM OF MEM]]*Table1[[#This Row], [TOTAL TIME TAKEN]]*_xlfn.XLOOKUP(Table1[[#This Row], [EXIT]],Sheet1!$A$70:$A$71,Sheet1!$B$70:$B$71)*(1+_xlfn.XLOOKUP(Table1[[#This Row], [EXIT]],Sheet1!$A$70:$A$71,Sheet1!$C$70:$C$71))</f>
        <v>1719230.3999999992</v>
      </c>
      <c r="L192" s="13" t="s">
        <v>65</v>
      </c>
      <c r="M192" s="4">
        <f>IF(Table1[[#This Row], [EQUIPMENT]]="YES",Sheet1!$C$44*(1+Sheet1!$D$44),0)</f>
        <v>307500</v>
      </c>
      <c r="N192" s="4">
        <f>_xlfn.XLOOKUP(Table1[[#This Row], [ROOM]],Sheet1!$A$47:$A$66,Sheet1!$F$47:$F$66)</f>
        <v>18150000</v>
      </c>
      <c r="O192" s="9">
        <f>_xlfn.XLOOKUP(_xlfn.CONCAT(Table1[[#This Row], [TEAM]],Table1[[#This Row], [ROOM]]),'ROOM TIME'!$H$2:$H$121,'ROOM TIME'!$J$2:$J$121)</f>
        <v>38.818888888888871</v>
      </c>
      <c r="P192" s="9">
        <f>(INDEX(Sheet1!$X$48:$Z$67,MATCH(Table1[[#This Row], [ROOM]],Sheet1!$P$48:$P$67,0),MATCH(Table1[[#This Row], [WEAPON]],Sheet1!$X$47:$Z$47,0)))/Table1[[#This Row], [NUM OF MEM]]</f>
        <v>5.4000000000000012</v>
      </c>
      <c r="Q192" s="9">
        <f>Table1[[#This Row], [ROOM TIME]]+Table1[[#This Row], [GUARD TIME]]</f>
        <v>44.21888888888887</v>
      </c>
      <c r="R192" s="4">
        <f>Sheet1!$K$3*_xlfn.XLOOKUP(Table1[[#This Row], [DISGUISE]],Sheet1!$A$21:$A$23,Sheet1!$D$21:$D$23)</f>
        <v>69</v>
      </c>
      <c r="S192" s="9">
        <f>Table1[[#This Row], [TOTAL TIME]]-Table1[[#This Row], [TOTAL TIME TAKEN]]</f>
        <v>24.78111111111113</v>
      </c>
      <c r="T192" t="str">
        <f>IF(Table1[[#This Row], [TIME DIFFERENCE]]&gt;=0,"PASS","FAIL")</f>
        <v>PASS</v>
      </c>
      <c r="U192" s="9">
        <f>Table1[[#This Row], [TRC]]+Table1[[#This Row], [DRC]]+Table1[[#This Row], [WRC]]+Table1[[#This Row], [ERC]]+Table1[[#This Row], [EQRC]]</f>
        <v>8122880.3999999994</v>
      </c>
      <c r="V192" s="9">
        <f>Table1[[#This Row], [TOTAL COST]]+_xlfn.XLOOKUP(Table1[[#This Row], [TEAM]],Sheet1!$A$12:$A$17,Sheet1!$I$12:$I$17)</f>
        <v>8422317.8999999985</v>
      </c>
      <c r="W192" s="9">
        <f>Table1[[#This Row], [LOOT]]-Table1[[#This Row], [TOTAL COST]]</f>
        <v>10027119.600000001</v>
      </c>
      <c r="X192" s="9">
        <f>IF(Table1[[#This Row], [PASS/FAIL]]="FAIL",0,Table1[[#This Row], [PROFIT]])</f>
        <v>10027119.600000001</v>
      </c>
    </row>
    <row r="193" spans="1:24" ht="19.5" customHeight="1" x14ac:dyDescent="0.45">
      <c r="A193" t="s">
        <v>16</v>
      </c>
      <c r="B193" s="14">
        <f>_xlfn.XLOOKUP(Table1[[#This Row], [TEAM]],Sheet1!$A$12:$A$17,Sheet1!$F$12:$F$17)</f>
        <v>2</v>
      </c>
      <c r="C193" s="14">
        <f>_xlfn.XLOOKUP(Table1[[#This Row], [TEAM]],Sheet1!$A$12:$A$17,Sheet1!$G$12:$G$17)</f>
        <v>6082800</v>
      </c>
      <c r="D193" t="s">
        <v>19</v>
      </c>
      <c r="E193" s="4">
        <f>_xlfn.XLOOKUP(Table1[[#This Row], [ROOM]],Sheet1!$A$47:$A$66,Sheet1!$B$47:$B$66)</f>
        <v>135</v>
      </c>
      <c r="F193" t="s">
        <v>58</v>
      </c>
      <c r="G193" s="4">
        <f>_xlfn.XLOOKUP(Table1[[#This Row], [DISGUISE]],Sheet1!$A$21:$A$23,Sheet1!$B$21:$B$23)*Table1[[#This Row], [NUM OF MEM]]*(1+_xlfn.XLOOKUP(Table1[[#This Row], [DISGUISE]],Sheet1!$A$21:$A$23,Sheet1!$C$21:$C$23))</f>
        <v>25600</v>
      </c>
      <c r="H193" s="13" t="s">
        <v>63</v>
      </c>
      <c r="I193" s="4">
        <f>_xlfn.XLOOKUP(Table1[[#This Row], [WEAPON]],Sheet1!$A$27:$A$29,Sheet1!$B$27:$B$29)*Table1[[#This Row], [NUM OF MEM]]*(1+_xlfn.XLOOKUP(Table1[[#This Row], [WEAPON]],Sheet1!$A$27:$A$29,Sheet1!$C$27:$C$29))</f>
        <v>46000</v>
      </c>
      <c r="J193" t="s">
        <v>64</v>
      </c>
      <c r="K193" s="9">
        <f>Table1[[#This Row], [NUM OF MEM]]*Table1[[#This Row], [TOTAL TIME TAKEN]]*_xlfn.XLOOKUP(Table1[[#This Row], [EXIT]],Sheet1!$A$70:$A$71,Sheet1!$B$70:$B$71)*(1+_xlfn.XLOOKUP(Table1[[#This Row], [EXIT]],Sheet1!$A$70:$A$71,Sheet1!$C$70:$C$71))</f>
        <v>1768910.3999999994</v>
      </c>
      <c r="L193" s="13" t="s">
        <v>61</v>
      </c>
      <c r="M193" s="4">
        <f>IF(Table1[[#This Row], [EQUIPMENT]]="YES",Sheet1!$C$44*(1+Sheet1!$D$44),0)</f>
        <v>0</v>
      </c>
      <c r="N193" s="4">
        <f>_xlfn.XLOOKUP(Table1[[#This Row], [ROOM]],Sheet1!$A$47:$A$66,Sheet1!$F$47:$F$66)</f>
        <v>17950000</v>
      </c>
      <c r="O193" s="9">
        <f>_xlfn.XLOOKUP(_xlfn.CONCAT(Table1[[#This Row], [TEAM]],Table1[[#This Row], [ROOM]]),'ROOM TIME'!$H$2:$H$121,'ROOM TIME'!$J$2:$J$121)</f>
        <v>60.819999999999979</v>
      </c>
      <c r="P193" s="9">
        <f>(INDEX(Sheet1!$X$48:$Z$67,MATCH(Table1[[#This Row], [ROOM]],Sheet1!$P$48:$P$67,0),MATCH(Table1[[#This Row], [WEAPON]],Sheet1!$X$47:$Z$47,0)))/Table1[[#This Row], [NUM OF MEM]]</f>
        <v>7.4250000000000007</v>
      </c>
      <c r="Q193" s="9">
        <f>Table1[[#This Row], [ROOM TIME]]+Table1[[#This Row], [GUARD TIME]]</f>
        <v>68.244999999999976</v>
      </c>
      <c r="R193" s="4">
        <f>Sheet1!$K$3*_xlfn.XLOOKUP(Table1[[#This Row], [DISGUISE]],Sheet1!$A$21:$A$23,Sheet1!$D$21:$D$23)</f>
        <v>69</v>
      </c>
      <c r="S193" s="9">
        <f>Table1[[#This Row], [TOTAL TIME]]-Table1[[#This Row], [TOTAL TIME TAKEN]]</f>
        <v>0.75500000000002387</v>
      </c>
      <c r="T193" t="str">
        <f>IF(Table1[[#This Row], [TIME DIFFERENCE]]&gt;=0,"PASS","FAIL")</f>
        <v>PASS</v>
      </c>
      <c r="U193" s="9">
        <f>Table1[[#This Row], [TRC]]+Table1[[#This Row], [DRC]]+Table1[[#This Row], [WRC]]+Table1[[#This Row], [ERC]]+Table1[[#This Row], [EQRC]]</f>
        <v>7923310.3999999994</v>
      </c>
      <c r="V193" s="9">
        <f>Table1[[#This Row], [TOTAL COST]]+_xlfn.XLOOKUP(Table1[[#This Row], [TEAM]],Sheet1!$A$12:$A$17,Sheet1!$I$12:$I$17)</f>
        <v>8227450.3999999994</v>
      </c>
      <c r="W193" s="9">
        <f>Table1[[#This Row], [LOOT]]-Table1[[#This Row], [TOTAL COST]]</f>
        <v>10026689.600000001</v>
      </c>
      <c r="X193" s="9">
        <f>IF(Table1[[#This Row], [PASS/FAIL]]="FAIL",0,Table1[[#This Row], [PROFIT]])</f>
        <v>10026689.600000001</v>
      </c>
    </row>
    <row r="194" spans="1:24" ht="19.5" customHeight="1" x14ac:dyDescent="0.45">
      <c r="A194" t="s">
        <v>12</v>
      </c>
      <c r="B194" s="14">
        <f>_xlfn.XLOOKUP(Table1[[#This Row], [TEAM]],Sheet1!$A$12:$A$17,Sheet1!$F$12:$F$17)</f>
        <v>3</v>
      </c>
      <c r="C194" s="14">
        <f>_xlfn.XLOOKUP(Table1[[#This Row], [TEAM]],Sheet1!$A$12:$A$17,Sheet1!$G$12:$G$17)</f>
        <v>5988750</v>
      </c>
      <c r="D194" t="s">
        <v>26</v>
      </c>
      <c r="E194" s="4">
        <f>_xlfn.XLOOKUP(Table1[[#This Row], [ROOM]],Sheet1!$A$47:$A$66,Sheet1!$B$47:$B$66)</f>
        <v>136</v>
      </c>
      <c r="F194" t="s">
        <v>62</v>
      </c>
      <c r="G194" s="4">
        <f>_xlfn.XLOOKUP(Table1[[#This Row], [DISGUISE]],Sheet1!$A$21:$A$23,Sheet1!$B$21:$B$23)*Table1[[#This Row], [NUM OF MEM]]*(1+_xlfn.XLOOKUP(Table1[[#This Row], [DISGUISE]],Sheet1!$A$21:$A$23,Sheet1!$C$21:$C$23))</f>
        <v>15600</v>
      </c>
      <c r="H194" s="13" t="s">
        <v>66</v>
      </c>
      <c r="I194" s="4">
        <f>_xlfn.XLOOKUP(Table1[[#This Row], [WEAPON]],Sheet1!$A$27:$A$29,Sheet1!$B$27:$B$29)*Table1[[#This Row], [NUM OF MEM]]*(1+_xlfn.XLOOKUP(Table1[[#This Row], [WEAPON]],Sheet1!$A$27:$A$29,Sheet1!$C$27:$C$29))</f>
        <v>108000</v>
      </c>
      <c r="J194" t="s">
        <v>64</v>
      </c>
      <c r="K194" s="9">
        <f>Table1[[#This Row], [NUM OF MEM]]*Table1[[#This Row], [TOTAL TIME TAKEN]]*_xlfn.XLOOKUP(Table1[[#This Row], [EXIT]],Sheet1!$A$70:$A$71,Sheet1!$B$70:$B$71)*(1+_xlfn.XLOOKUP(Table1[[#This Row], [EXIT]],Sheet1!$A$70:$A$71,Sheet1!$C$70:$C$71))</f>
        <v>1703678.3999999994</v>
      </c>
      <c r="L194" s="13" t="s">
        <v>65</v>
      </c>
      <c r="M194" s="4">
        <f>IF(Table1[[#This Row], [EQUIPMENT]]="YES",Sheet1!$C$44*(1+Sheet1!$D$44),0)</f>
        <v>307500</v>
      </c>
      <c r="N194" s="4">
        <f>_xlfn.XLOOKUP(Table1[[#This Row], [ROOM]],Sheet1!$A$47:$A$66,Sheet1!$F$47:$F$66)</f>
        <v>18150000</v>
      </c>
      <c r="O194" s="9">
        <f>_xlfn.XLOOKUP(_xlfn.CONCAT(Table1[[#This Row], [TEAM]],Table1[[#This Row], [ROOM]]),'ROOM TIME'!$H$2:$H$121,'ROOM TIME'!$J$2:$J$121)</f>
        <v>38.818888888888871</v>
      </c>
      <c r="P194" s="4">
        <f>(INDEX(Sheet1!$X$48:$Z$67,MATCH(Table1[[#This Row], [ROOM]],Sheet1!$P$48:$P$67,0),MATCH(Table1[[#This Row], [WEAPON]],Sheet1!$X$47:$Z$47,0)))/Table1[[#This Row], [NUM OF MEM]]</f>
        <v>5</v>
      </c>
      <c r="Q194" s="9">
        <f>Table1[[#This Row], [ROOM TIME]]+Table1[[#This Row], [GUARD TIME]]</f>
        <v>43.818888888888871</v>
      </c>
      <c r="R194" s="4">
        <f>Sheet1!$K$3*_xlfn.XLOOKUP(Table1[[#This Row], [DISGUISE]],Sheet1!$A$21:$A$23,Sheet1!$D$21:$D$23)</f>
        <v>66</v>
      </c>
      <c r="S194" s="9">
        <f>Table1[[#This Row], [TOTAL TIME]]-Table1[[#This Row], [TOTAL TIME TAKEN]]</f>
        <v>22.181111111111129</v>
      </c>
      <c r="T194" t="str">
        <f>IF(Table1[[#This Row], [TIME DIFFERENCE]]&gt;=0,"PASS","FAIL")</f>
        <v>PASS</v>
      </c>
      <c r="U194" s="9">
        <f>Table1[[#This Row], [TRC]]+Table1[[#This Row], [DRC]]+Table1[[#This Row], [WRC]]+Table1[[#This Row], [ERC]]+Table1[[#This Row], [EQRC]]</f>
        <v>8123528.3999999994</v>
      </c>
      <c r="V194" s="9">
        <f>Table1[[#This Row], [TOTAL COST]]+_xlfn.XLOOKUP(Table1[[#This Row], [TEAM]],Sheet1!$A$12:$A$17,Sheet1!$I$12:$I$17)</f>
        <v>8422965.8999999985</v>
      </c>
      <c r="W194" s="9">
        <f>Table1[[#This Row], [LOOT]]-Table1[[#This Row], [TOTAL COST]]</f>
        <v>10026471.600000001</v>
      </c>
      <c r="X194" s="9">
        <f>IF(Table1[[#This Row], [PASS/FAIL]]="FAIL",0,Table1[[#This Row], [PROFIT]])</f>
        <v>10026471.600000001</v>
      </c>
    </row>
    <row r="195" spans="1:24" ht="19.5" customHeight="1" x14ac:dyDescent="0.45">
      <c r="A195" t="s">
        <v>16</v>
      </c>
      <c r="B195" s="14">
        <f>_xlfn.XLOOKUP(Table1[[#This Row], [TEAM]],Sheet1!$A$12:$A$17,Sheet1!$F$12:$F$17)</f>
        <v>2</v>
      </c>
      <c r="C195" s="14">
        <f>_xlfn.XLOOKUP(Table1[[#This Row], [TEAM]],Sheet1!$A$12:$A$17,Sheet1!$G$12:$G$17)</f>
        <v>6082800</v>
      </c>
      <c r="D195" t="s">
        <v>32</v>
      </c>
      <c r="E195" s="4">
        <f>_xlfn.XLOOKUP(Table1[[#This Row], [ROOM]],Sheet1!$A$47:$A$66,Sheet1!$B$47:$B$66)</f>
        <v>346</v>
      </c>
      <c r="F195" t="s">
        <v>62</v>
      </c>
      <c r="G19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" s="13" t="s">
        <v>66</v>
      </c>
      <c r="I195" s="4">
        <f>_xlfn.XLOOKUP(Table1[[#This Row], [WEAPON]],Sheet1!$A$27:$A$29,Sheet1!$B$27:$B$29)*Table1[[#This Row], [NUM OF MEM]]*(1+_xlfn.XLOOKUP(Table1[[#This Row], [WEAPON]],Sheet1!$A$27:$A$29,Sheet1!$C$27:$C$29))</f>
        <v>72000</v>
      </c>
      <c r="J195" t="s">
        <v>64</v>
      </c>
      <c r="K195" s="9">
        <f>Table1[[#This Row], [NUM OF MEM]]*Table1[[#This Row], [TOTAL TIME TAKEN]]*_xlfn.XLOOKUP(Table1[[#This Row], [EXIT]],Sheet1!$A$70:$A$71,Sheet1!$B$70:$B$71)*(1+_xlfn.XLOOKUP(Table1[[#This Row], [EXIT]],Sheet1!$A$70:$A$71,Sheet1!$C$70:$C$71))</f>
        <v>1701485.9999999993</v>
      </c>
      <c r="L195" s="13" t="s">
        <v>65</v>
      </c>
      <c r="M195" s="4">
        <f>IF(Table1[[#This Row], [EQUIPMENT]]="YES",Sheet1!$C$44*(1+Sheet1!$D$44),0)</f>
        <v>307500</v>
      </c>
      <c r="N195" s="4">
        <f>_xlfn.XLOOKUP(Table1[[#This Row], [ROOM]],Sheet1!$A$47:$A$66,Sheet1!$F$47:$F$66)</f>
        <v>18200000</v>
      </c>
      <c r="O195" s="9">
        <f>_xlfn.XLOOKUP(_xlfn.CONCAT(Table1[[#This Row], [TEAM]],Table1[[#This Row], [ROOM]]),'ROOM TIME'!$H$2:$H$121,'ROOM TIME'!$J$2:$J$121)</f>
        <v>57.518749999999976</v>
      </c>
      <c r="P195" s="9">
        <f>(INDEX(Sheet1!$X$48:$Z$67,MATCH(Table1[[#This Row], [ROOM]],Sheet1!$P$48:$P$67,0),MATCH(Table1[[#This Row], [WEAPON]],Sheet1!$X$47:$Z$47,0)))/Table1[[#This Row], [NUM OF MEM]]</f>
        <v>8.125</v>
      </c>
      <c r="Q195" s="9">
        <f>Table1[[#This Row], [ROOM TIME]]+Table1[[#This Row], [GUARD TIME]]</f>
        <v>65.643749999999983</v>
      </c>
      <c r="R195" s="4">
        <f>Sheet1!$K$3*_xlfn.XLOOKUP(Table1[[#This Row], [DISGUISE]],Sheet1!$A$21:$A$23,Sheet1!$D$21:$D$23)</f>
        <v>66</v>
      </c>
      <c r="S195" s="9">
        <f>Table1[[#This Row], [TOTAL TIME]]-Table1[[#This Row], [TOTAL TIME TAKEN]]</f>
        <v>0.35625000000001705</v>
      </c>
      <c r="T195" t="str">
        <f>IF(Table1[[#This Row], [TIME DIFFERENCE]]&gt;=0,"PASS","FAIL")</f>
        <v>PASS</v>
      </c>
      <c r="U195" s="9">
        <f>Table1[[#This Row], [TRC]]+Table1[[#This Row], [DRC]]+Table1[[#This Row], [WRC]]+Table1[[#This Row], [ERC]]+Table1[[#This Row], [EQRC]]</f>
        <v>8174185.9999999991</v>
      </c>
      <c r="V195" s="4">
        <f>Table1[[#This Row], [TOTAL COST]]+_xlfn.XLOOKUP(Table1[[#This Row], [TEAM]],Sheet1!$A$12:$A$17,Sheet1!$I$12:$I$17)</f>
        <v>8478326</v>
      </c>
      <c r="W195" s="4">
        <f>Table1[[#This Row], [LOOT]]-Table1[[#This Row], [TOTAL COST]]</f>
        <v>10025814</v>
      </c>
      <c r="X195" s="4">
        <f>IF(Table1[[#This Row], [PASS/FAIL]]="FAIL",0,Table1[[#This Row], [PROFIT]])</f>
        <v>10025814</v>
      </c>
    </row>
    <row r="196" spans="1:24" ht="19.5" customHeight="1" x14ac:dyDescent="0.45">
      <c r="A196" t="s">
        <v>16</v>
      </c>
      <c r="B196" s="14">
        <f>_xlfn.XLOOKUP(Table1[[#This Row], [TEAM]],Sheet1!$A$12:$A$17,Sheet1!$F$12:$F$17)</f>
        <v>2</v>
      </c>
      <c r="C196" s="14">
        <f>_xlfn.XLOOKUP(Table1[[#This Row], [TEAM]],Sheet1!$A$12:$A$17,Sheet1!$G$12:$G$17)</f>
        <v>6082800</v>
      </c>
      <c r="D196" t="s">
        <v>32</v>
      </c>
      <c r="E196" s="4">
        <f>_xlfn.XLOOKUP(Table1[[#This Row], [ROOM]],Sheet1!$A$47:$A$66,Sheet1!$B$47:$B$66)</f>
        <v>346</v>
      </c>
      <c r="F196" t="s">
        <v>58</v>
      </c>
      <c r="G196" s="4">
        <f>_xlfn.XLOOKUP(Table1[[#This Row], [DISGUISE]],Sheet1!$A$21:$A$23,Sheet1!$B$21:$B$23)*Table1[[#This Row], [NUM OF MEM]]*(1+_xlfn.XLOOKUP(Table1[[#This Row], [DISGUISE]],Sheet1!$A$21:$A$23,Sheet1!$C$21:$C$23))</f>
        <v>25600</v>
      </c>
      <c r="H196" s="13" t="s">
        <v>59</v>
      </c>
      <c r="I196" s="4">
        <f>_xlfn.XLOOKUP(Table1[[#This Row], [WEAPON]],Sheet1!$A$27:$A$29,Sheet1!$B$27:$B$29)*Table1[[#This Row], [NUM OF MEM]]*(1+_xlfn.XLOOKUP(Table1[[#This Row], [WEAPON]],Sheet1!$A$27:$A$29,Sheet1!$C$27:$C$29))</f>
        <v>91000</v>
      </c>
      <c r="J196" t="s">
        <v>60</v>
      </c>
      <c r="K196" s="9">
        <f>Table1[[#This Row], [NUM OF MEM]]*Table1[[#This Row], [TOTAL TIME TAKEN]]*_xlfn.XLOOKUP(Table1[[#This Row], [EXIT]],Sheet1!$A$70:$A$71,Sheet1!$B$70:$B$71)*(1+_xlfn.XLOOKUP(Table1[[#This Row], [EXIT]],Sheet1!$A$70:$A$71,Sheet1!$C$70:$C$71))</f>
        <v>1668064.5937499993</v>
      </c>
      <c r="L196" s="13" t="s">
        <v>65</v>
      </c>
      <c r="M196" s="4">
        <f>IF(Table1[[#This Row], [EQUIPMENT]]="YES",Sheet1!$C$44*(1+Sheet1!$D$44),0)</f>
        <v>307500</v>
      </c>
      <c r="N196" s="4">
        <f>_xlfn.XLOOKUP(Table1[[#This Row], [ROOM]],Sheet1!$A$47:$A$66,Sheet1!$F$47:$F$66)</f>
        <v>18200000</v>
      </c>
      <c r="O196" s="9">
        <f>_xlfn.XLOOKUP(_xlfn.CONCAT(Table1[[#This Row], [TEAM]],Table1[[#This Row], [ROOM]]),'ROOM TIME'!$H$2:$H$121,'ROOM TIME'!$J$2:$J$121)</f>
        <v>57.518749999999976</v>
      </c>
      <c r="P196" s="9">
        <f>(INDEX(Sheet1!$X$48:$Z$67,MATCH(Table1[[#This Row], [ROOM]],Sheet1!$P$48:$P$67,0),MATCH(Table1[[#This Row], [WEAPON]],Sheet1!$X$47:$Z$47,0)))/Table1[[#This Row], [NUM OF MEM]]</f>
        <v>7.4749999999999996</v>
      </c>
      <c r="Q196" s="9">
        <f>Table1[[#This Row], [ROOM TIME]]+Table1[[#This Row], [GUARD TIME]]</f>
        <v>64.993749999999977</v>
      </c>
      <c r="R196" s="4">
        <f>Sheet1!$K$3*_xlfn.XLOOKUP(Table1[[#This Row], [DISGUISE]],Sheet1!$A$21:$A$23,Sheet1!$D$21:$D$23)</f>
        <v>69</v>
      </c>
      <c r="S196" s="9">
        <f>Table1[[#This Row], [TOTAL TIME]]-Table1[[#This Row], [TOTAL TIME TAKEN]]</f>
        <v>4.0062500000000227</v>
      </c>
      <c r="T196" t="str">
        <f>IF(Table1[[#This Row], [TIME DIFFERENCE]]&gt;=0,"PASS","FAIL")</f>
        <v>PASS</v>
      </c>
      <c r="U196" s="9">
        <f>Table1[[#This Row], [TRC]]+Table1[[#This Row], [DRC]]+Table1[[#This Row], [WRC]]+Table1[[#This Row], [ERC]]+Table1[[#This Row], [EQRC]]</f>
        <v>8174964.5937499991</v>
      </c>
      <c r="V196" s="9">
        <f>Table1[[#This Row], [TOTAL COST]]+_xlfn.XLOOKUP(Table1[[#This Row], [TEAM]],Sheet1!$A$12:$A$17,Sheet1!$I$12:$I$17)</f>
        <v>8479104.59375</v>
      </c>
      <c r="W196" s="9">
        <f>Table1[[#This Row], [LOOT]]-Table1[[#This Row], [TOTAL COST]]</f>
        <v>10025035.40625</v>
      </c>
      <c r="X196" s="9">
        <f>IF(Table1[[#This Row], [PASS/FAIL]]="FAIL",0,Table1[[#This Row], [PROFIT]])</f>
        <v>10025035.40625</v>
      </c>
    </row>
    <row r="197" spans="1:24" ht="19.5" customHeight="1" x14ac:dyDescent="0.45">
      <c r="A197" t="s">
        <v>16</v>
      </c>
      <c r="B197" s="14">
        <f>_xlfn.XLOOKUP(Table1[[#This Row], [TEAM]],Sheet1!$A$12:$A$17,Sheet1!$F$12:$F$17)</f>
        <v>2</v>
      </c>
      <c r="C197" s="14">
        <f>_xlfn.XLOOKUP(Table1[[#This Row], [TEAM]],Sheet1!$A$12:$A$17,Sheet1!$G$12:$G$17)</f>
        <v>6082800</v>
      </c>
      <c r="D197" t="s">
        <v>26</v>
      </c>
      <c r="E197" s="4">
        <f>_xlfn.XLOOKUP(Table1[[#This Row], [ROOM]],Sheet1!$A$47:$A$66,Sheet1!$B$47:$B$66)</f>
        <v>136</v>
      </c>
      <c r="F197" t="s">
        <v>62</v>
      </c>
      <c r="G19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" s="13" t="s">
        <v>63</v>
      </c>
      <c r="I197" s="4">
        <f>_xlfn.XLOOKUP(Table1[[#This Row], [WEAPON]],Sheet1!$A$27:$A$29,Sheet1!$B$27:$B$29)*Table1[[#This Row], [NUM OF MEM]]*(1+_xlfn.XLOOKUP(Table1[[#This Row], [WEAPON]],Sheet1!$A$27:$A$29,Sheet1!$C$27:$C$29))</f>
        <v>46000</v>
      </c>
      <c r="J197" t="s">
        <v>60</v>
      </c>
      <c r="K197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1678490.9999999993</v>
      </c>
      <c r="L197" s="13" t="s">
        <v>65</v>
      </c>
      <c r="M197" s="4">
        <f>IF(Table1[[#This Row], [EQUIPMENT]]="YES",Sheet1!$C$44*(1+Sheet1!$D$44),0)</f>
        <v>307500</v>
      </c>
      <c r="N197" s="4">
        <f>_xlfn.XLOOKUP(Table1[[#This Row], [ROOM]],Sheet1!$A$47:$A$66,Sheet1!$F$47:$F$66)</f>
        <v>18150000</v>
      </c>
      <c r="O197" s="9">
        <f>_xlfn.XLOOKUP(_xlfn.CONCAT(Table1[[#This Row], [TEAM]],Table1[[#This Row], [ROOM]]),'ROOM TIME'!$H$2:$H$121,'ROOM TIME'!$J$2:$J$121)</f>
        <v>57.299999999999976</v>
      </c>
      <c r="P197" s="9">
        <f>(INDEX(Sheet1!$X$48:$Z$67,MATCH(Table1[[#This Row], [ROOM]],Sheet1!$P$48:$P$67,0),MATCH(Table1[[#This Row], [WEAPON]],Sheet1!$X$47:$Z$47,0)))/Table1[[#This Row], [NUM OF MEM]]</f>
        <v>8.1000000000000014</v>
      </c>
      <c r="Q197" s="9">
        <f>Table1[[#This Row], [ROOM TIME]]+Table1[[#This Row], [GUARD TIME]]</f>
        <v>65.399999999999977</v>
      </c>
      <c r="R197" s="4">
        <f>Sheet1!$K$3*_xlfn.XLOOKUP(Table1[[#This Row], [DISGUISE]],Sheet1!$A$21:$A$23,Sheet1!$D$21:$D$23)</f>
        <v>66</v>
      </c>
      <c r="S197" s="9">
        <f>Table1[[#This Row], [TOTAL TIME]]-Table1[[#This Row], [TOTAL TIME TAKEN]]</f>
        <v>0.60000000000002274</v>
      </c>
      <c r="T197" t="str">
        <f>IF(Table1[[#This Row], [TIME DIFFERENCE]]&gt;=0,"PASS","FAIL")</f>
        <v>PASS</v>
      </c>
      <c r="U197" s="9">
        <f>Table1[[#This Row], [TRC]]+Table1[[#This Row], [DRC]]+Table1[[#This Row], [WRC]]+Table1[[#This Row], [ERC]]+Table1[[#This Row], [EQRC]]</f>
        <v>8125190.9999999991</v>
      </c>
      <c r="V197" s="4">
        <f>Table1[[#This Row], [TOTAL COST]]+_xlfn.XLOOKUP(Table1[[#This Row], [TEAM]],Sheet1!$A$12:$A$17,Sheet1!$I$12:$I$17)</f>
        <v>8429331</v>
      </c>
      <c r="W197" s="4">
        <f>Table1[[#This Row], [LOOT]]-Table1[[#This Row], [TOTAL COST]]</f>
        <v>10024809</v>
      </c>
      <c r="X197" s="4">
        <f>IF(Table1[[#This Row], [PASS/FAIL]]="FAIL",0,Table1[[#This Row], [PROFIT]])</f>
        <v>10024809</v>
      </c>
    </row>
    <row r="198" spans="1:24" ht="19.5" customHeight="1" x14ac:dyDescent="0.45">
      <c r="A198" t="s">
        <v>13</v>
      </c>
      <c r="B198" s="14">
        <f>_xlfn.XLOOKUP(Table1[[#This Row], [TEAM]],Sheet1!$A$12:$A$17,Sheet1!$F$12:$F$17)</f>
        <v>3</v>
      </c>
      <c r="C198" s="14">
        <f>_xlfn.XLOOKUP(Table1[[#This Row], [TEAM]],Sheet1!$A$12:$A$17,Sheet1!$G$12:$G$17)</f>
        <v>5930000</v>
      </c>
      <c r="D198" t="s">
        <v>33</v>
      </c>
      <c r="E198" s="4">
        <f>_xlfn.XLOOKUP(Table1[[#This Row], [ROOM]],Sheet1!$A$47:$A$66,Sheet1!$B$47:$B$66)</f>
        <v>356</v>
      </c>
      <c r="F198" t="s">
        <v>62</v>
      </c>
      <c r="G198" s="4">
        <f>_xlfn.XLOOKUP(Table1[[#This Row], [DISGUISE]],Sheet1!$A$21:$A$23,Sheet1!$B$21:$B$23)*Table1[[#This Row], [NUM OF MEM]]*(1+_xlfn.XLOOKUP(Table1[[#This Row], [DISGUISE]],Sheet1!$A$21:$A$23,Sheet1!$C$21:$C$23))</f>
        <v>15600</v>
      </c>
      <c r="H198" s="13" t="s">
        <v>63</v>
      </c>
      <c r="I198" s="4">
        <f>_xlfn.XLOOKUP(Table1[[#This Row], [WEAPON]],Sheet1!$A$27:$A$29,Sheet1!$B$27:$B$29)*Table1[[#This Row], [NUM OF MEM]]*(1+_xlfn.XLOOKUP(Table1[[#This Row], [WEAPON]],Sheet1!$A$27:$A$29,Sheet1!$C$27:$C$29))</f>
        <v>69000</v>
      </c>
      <c r="J198" t="s">
        <v>64</v>
      </c>
      <c r="K198" s="9">
        <f>Table1[[#This Row], [NUM OF MEM]]*Table1[[#This Row], [TOTAL TIME TAKEN]]*_xlfn.XLOOKUP(Table1[[#This Row], [EXIT]],Sheet1!$A$70:$A$71,Sheet1!$B$70:$B$71)*(1+_xlfn.XLOOKUP(Table1[[#This Row], [EXIT]],Sheet1!$A$70:$A$71,Sheet1!$C$70:$C$71))</f>
        <v>1753768.7999999993</v>
      </c>
      <c r="L198" s="13" t="s">
        <v>65</v>
      </c>
      <c r="M198" s="4">
        <f>IF(Table1[[#This Row], [EQUIPMENT]]="YES",Sheet1!$C$44*(1+Sheet1!$D$44),0)</f>
        <v>307500</v>
      </c>
      <c r="N198" s="4">
        <f>_xlfn.XLOOKUP(Table1[[#This Row], [ROOM]],Sheet1!$A$47:$A$66,Sheet1!$F$47:$F$66)</f>
        <v>18100000</v>
      </c>
      <c r="O198" s="9">
        <f>_xlfn.XLOOKUP(_xlfn.CONCAT(Table1[[#This Row], [TEAM]],Table1[[#This Row], [ROOM]]),'ROOM TIME'!$H$2:$H$121,'ROOM TIME'!$J$2:$J$121)</f>
        <v>39.707222222222214</v>
      </c>
      <c r="P198" s="9">
        <f>(INDEX(Sheet1!$X$48:$Z$67,MATCH(Table1[[#This Row], [ROOM]],Sheet1!$P$48:$P$67,0),MATCH(Table1[[#This Row], [WEAPON]],Sheet1!$X$47:$Z$47,0)))/Table1[[#This Row], [NUM OF MEM]]</f>
        <v>5.4000000000000012</v>
      </c>
      <c r="Q198" s="9">
        <f>Table1[[#This Row], [ROOM TIME]]+Table1[[#This Row], [GUARD TIME]]</f>
        <v>45.107222222222212</v>
      </c>
      <c r="R198" s="4">
        <f>Sheet1!$K$3*_xlfn.XLOOKUP(Table1[[#This Row], [DISGUISE]],Sheet1!$A$21:$A$23,Sheet1!$D$21:$D$23)</f>
        <v>66</v>
      </c>
      <c r="S198" s="9">
        <f>Table1[[#This Row], [TOTAL TIME]]-Table1[[#This Row], [TOTAL TIME TAKEN]]</f>
        <v>20.892777777777788</v>
      </c>
      <c r="T198" t="str">
        <f>IF(Table1[[#This Row], [TIME DIFFERENCE]]&gt;=0,"PASS","FAIL")</f>
        <v>PASS</v>
      </c>
      <c r="U198" s="9">
        <f>Table1[[#This Row], [TRC]]+Table1[[#This Row], [DRC]]+Table1[[#This Row], [WRC]]+Table1[[#This Row], [ERC]]+Table1[[#This Row], [EQRC]]</f>
        <v>8075868.7999999989</v>
      </c>
      <c r="V198" s="9">
        <f>Table1[[#This Row], [TOTAL COST]]+_xlfn.XLOOKUP(Table1[[#This Row], [TEAM]],Sheet1!$A$12:$A$17,Sheet1!$I$12:$I$17)</f>
        <v>8372368.7999999989</v>
      </c>
      <c r="W198" s="9">
        <f>Table1[[#This Row], [LOOT]]-Table1[[#This Row], [TOTAL COST]]</f>
        <v>10024131.200000001</v>
      </c>
      <c r="X198" s="9">
        <f>IF(Table1[[#This Row], [PASS/FAIL]]="FAIL",0,Table1[[#This Row], [PROFIT]])</f>
        <v>10024131.200000001</v>
      </c>
    </row>
    <row r="199" spans="1:24" ht="19.5" customHeight="1" x14ac:dyDescent="0.45">
      <c r="A199" t="s">
        <v>16</v>
      </c>
      <c r="B199" s="14">
        <f>_xlfn.XLOOKUP(Table1[[#This Row], [TEAM]],Sheet1!$A$12:$A$17,Sheet1!$F$12:$F$17)</f>
        <v>2</v>
      </c>
      <c r="C199" s="14">
        <f>_xlfn.XLOOKUP(Table1[[#This Row], [TEAM]],Sheet1!$A$12:$A$17,Sheet1!$G$12:$G$17)</f>
        <v>6082800</v>
      </c>
      <c r="D199" t="s">
        <v>32</v>
      </c>
      <c r="E199" s="4">
        <f>_xlfn.XLOOKUP(Table1[[#This Row], [ROOM]],Sheet1!$A$47:$A$66,Sheet1!$B$47:$B$66)</f>
        <v>346</v>
      </c>
      <c r="F199" t="s">
        <v>62</v>
      </c>
      <c r="G19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" s="13" t="s">
        <v>59</v>
      </c>
      <c r="I199" s="4">
        <f>_xlfn.XLOOKUP(Table1[[#This Row], [WEAPON]],Sheet1!$A$27:$A$29,Sheet1!$B$27:$B$29)*Table1[[#This Row], [NUM OF MEM]]*(1+_xlfn.XLOOKUP(Table1[[#This Row], [WEAPON]],Sheet1!$A$27:$A$29,Sheet1!$C$27:$C$29))</f>
        <v>91000</v>
      </c>
      <c r="J199" t="s">
        <v>64</v>
      </c>
      <c r="K199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1684637.9999999993</v>
      </c>
      <c r="L199" s="13" t="s">
        <v>65</v>
      </c>
      <c r="M199" s="4">
        <f>IF(Table1[[#This Row], [EQUIPMENT]]="YES",Sheet1!$C$44*(1+Sheet1!$D$44),0)</f>
        <v>307500</v>
      </c>
      <c r="N199" s="4">
        <f>_xlfn.XLOOKUP(Table1[[#This Row], [ROOM]],Sheet1!$A$47:$A$66,Sheet1!$F$47:$F$66)</f>
        <v>18200000</v>
      </c>
      <c r="O199" s="9">
        <f>_xlfn.XLOOKUP(_xlfn.CONCAT(Table1[[#This Row], [TEAM]],Table1[[#This Row], [ROOM]]),'ROOM TIME'!$H$2:$H$121,'ROOM TIME'!$J$2:$J$121)</f>
        <v>57.518749999999976</v>
      </c>
      <c r="P199" s="9">
        <f>(INDEX(Sheet1!$X$48:$Z$67,MATCH(Table1[[#This Row], [ROOM]],Sheet1!$P$48:$P$67,0),MATCH(Table1[[#This Row], [WEAPON]],Sheet1!$X$47:$Z$47,0)))/Table1[[#This Row], [NUM OF MEM]]</f>
        <v>7.4749999999999996</v>
      </c>
      <c r="Q199" s="9">
        <f>Table1[[#This Row], [ROOM TIME]]+Table1[[#This Row], [GUARD TIME]]</f>
        <v>64.993749999999977</v>
      </c>
      <c r="R199" s="4">
        <f>Sheet1!$K$3*_xlfn.XLOOKUP(Table1[[#This Row], [DISGUISE]],Sheet1!$A$21:$A$23,Sheet1!$D$21:$D$23)</f>
        <v>66</v>
      </c>
      <c r="S199" s="9">
        <f>Table1[[#This Row], [TOTAL TIME]]-Table1[[#This Row], [TOTAL TIME TAKEN]]</f>
        <v>1.0062500000000227</v>
      </c>
      <c r="T199" t="str">
        <f>IF(Table1[[#This Row], [TIME DIFFERENCE]]&gt;=0,"PASS","FAIL")</f>
        <v>PASS</v>
      </c>
      <c r="U199" s="9">
        <f>Table1[[#This Row], [TRC]]+Table1[[#This Row], [DRC]]+Table1[[#This Row], [WRC]]+Table1[[#This Row], [ERC]]+Table1[[#This Row], [EQRC]]</f>
        <v>8176337.9999999991</v>
      </c>
      <c r="V199" s="4">
        <f>Table1[[#This Row], [TOTAL COST]]+_xlfn.XLOOKUP(Table1[[#This Row], [TEAM]],Sheet1!$A$12:$A$17,Sheet1!$I$12:$I$17)</f>
        <v>8480478</v>
      </c>
      <c r="W199" s="4">
        <f>Table1[[#This Row], [LOOT]]-Table1[[#This Row], [TOTAL COST]]</f>
        <v>10023662</v>
      </c>
      <c r="X199" s="4">
        <f>IF(Table1[[#This Row], [PASS/FAIL]]="FAIL",0,Table1[[#This Row], [PROFIT]])</f>
        <v>10023662</v>
      </c>
    </row>
    <row r="200" spans="1:24" ht="19.5" customHeight="1" x14ac:dyDescent="0.45">
      <c r="A200" t="s">
        <v>12</v>
      </c>
      <c r="B200" s="14">
        <f>_xlfn.XLOOKUP(Table1[[#This Row], [TEAM]],Sheet1!$A$12:$A$17,Sheet1!$F$12:$F$17)</f>
        <v>3</v>
      </c>
      <c r="C200" s="14">
        <f>_xlfn.XLOOKUP(Table1[[#This Row], [TEAM]],Sheet1!$A$12:$A$17,Sheet1!$G$12:$G$17)</f>
        <v>5988750</v>
      </c>
      <c r="D200" t="s">
        <v>19</v>
      </c>
      <c r="E200" s="4">
        <f>_xlfn.XLOOKUP(Table1[[#This Row], [ROOM]],Sheet1!$A$47:$A$66,Sheet1!$B$47:$B$66)</f>
        <v>135</v>
      </c>
      <c r="F200" t="s">
        <v>58</v>
      </c>
      <c r="G200" s="4">
        <f>_xlfn.XLOOKUP(Table1[[#This Row], [DISGUISE]],Sheet1!$A$21:$A$23,Sheet1!$B$21:$B$23)*Table1[[#This Row], [NUM OF MEM]]*(1+_xlfn.XLOOKUP(Table1[[#This Row], [DISGUISE]],Sheet1!$A$21:$A$23,Sheet1!$C$21:$C$23))</f>
        <v>38400</v>
      </c>
      <c r="H200" s="13" t="s">
        <v>59</v>
      </c>
      <c r="I200" s="4">
        <f>_xlfn.XLOOKUP(Table1[[#This Row], [WEAPON]],Sheet1!$A$27:$A$29,Sheet1!$B$27:$B$29)*Table1[[#This Row], [NUM OF MEM]]*(1+_xlfn.XLOOKUP(Table1[[#This Row], [WEAPON]],Sheet1!$A$27:$A$29,Sheet1!$C$27:$C$29))</f>
        <v>136500</v>
      </c>
      <c r="J200" t="s">
        <v>64</v>
      </c>
      <c r="K200" s="9">
        <f>Table1[[#This Row], [NUM OF MEM]]*Table1[[#This Row], [TOTAL TIME TAKEN]]*_xlfn.XLOOKUP(Table1[[#This Row], [EXIT]],Sheet1!$A$70:$A$71,Sheet1!$B$70:$B$71)*(1+_xlfn.XLOOKUP(Table1[[#This Row], [EXIT]],Sheet1!$A$70:$A$71,Sheet1!$C$70:$C$71))</f>
        <v>1763855.9999999993</v>
      </c>
      <c r="L200" s="13" t="s">
        <v>61</v>
      </c>
      <c r="M200" s="4">
        <f>IF(Table1[[#This Row], [EQUIPMENT]]="YES",Sheet1!$C$44*(1+Sheet1!$D$44),0)</f>
        <v>0</v>
      </c>
      <c r="N200" s="4">
        <f>_xlfn.XLOOKUP(Table1[[#This Row], [ROOM]],Sheet1!$A$47:$A$66,Sheet1!$F$47:$F$66)</f>
        <v>17950000</v>
      </c>
      <c r="O200" s="9">
        <f>_xlfn.XLOOKUP(_xlfn.CONCAT(Table1[[#This Row], [TEAM]],Table1[[#This Row], [ROOM]]),'ROOM TIME'!$H$2:$H$121,'ROOM TIME'!$J$2:$J$121)</f>
        <v>41.149999999999984</v>
      </c>
      <c r="P200" s="9">
        <f>(INDEX(Sheet1!$X$48:$Z$67,MATCH(Table1[[#This Row], [ROOM]],Sheet1!$P$48:$P$67,0),MATCH(Table1[[#This Row], [WEAPON]],Sheet1!$X$47:$Z$47,0)))/Table1[[#This Row], [NUM OF MEM]]</f>
        <v>4.2166666666666659</v>
      </c>
      <c r="Q200" s="9">
        <f>Table1[[#This Row], [ROOM TIME]]+Table1[[#This Row], [GUARD TIME]]</f>
        <v>45.366666666666653</v>
      </c>
      <c r="R200" s="4">
        <f>Sheet1!$K$3*_xlfn.XLOOKUP(Table1[[#This Row], [DISGUISE]],Sheet1!$A$21:$A$23,Sheet1!$D$21:$D$23)</f>
        <v>69</v>
      </c>
      <c r="S200" s="9">
        <f>Table1[[#This Row], [TOTAL TIME]]-Table1[[#This Row], [TOTAL TIME TAKEN]]</f>
        <v>23.633333333333347</v>
      </c>
      <c r="T200" t="str">
        <f>IF(Table1[[#This Row], [TIME DIFFERENCE]]&gt;=0,"PASS","FAIL")</f>
        <v>PASS</v>
      </c>
      <c r="U200" s="9">
        <f>Table1[[#This Row], [TRC]]+Table1[[#This Row], [DRC]]+Table1[[#This Row], [WRC]]+Table1[[#This Row], [ERC]]+Table1[[#This Row], [EQRC]]</f>
        <v>7927505.9999999991</v>
      </c>
      <c r="V200" s="9">
        <f>Table1[[#This Row], [TOTAL COST]]+_xlfn.XLOOKUP(Table1[[#This Row], [TEAM]],Sheet1!$A$12:$A$17,Sheet1!$I$12:$I$17)</f>
        <v>8226943.4999999991</v>
      </c>
      <c r="W200" s="4">
        <f>Table1[[#This Row], [LOOT]]-Table1[[#This Row], [TOTAL COST]]</f>
        <v>10022494</v>
      </c>
      <c r="X200" s="4">
        <f>IF(Table1[[#This Row], [PASS/FAIL]]="FAIL",0,Table1[[#This Row], [PROFIT]])</f>
        <v>10022494</v>
      </c>
    </row>
    <row r="201" spans="1:24" ht="19.5" customHeight="1" x14ac:dyDescent="0.45">
      <c r="A201" t="s">
        <v>13</v>
      </c>
      <c r="B201" s="14">
        <f>_xlfn.XLOOKUP(Table1[[#This Row], [TEAM]],Sheet1!$A$12:$A$17,Sheet1!$F$12:$F$17)</f>
        <v>3</v>
      </c>
      <c r="C201" s="14">
        <f>_xlfn.XLOOKUP(Table1[[#This Row], [TEAM]],Sheet1!$A$12:$A$17,Sheet1!$G$12:$G$17)</f>
        <v>5930000</v>
      </c>
      <c r="D201" t="s">
        <v>19</v>
      </c>
      <c r="E201" s="4">
        <f>_xlfn.XLOOKUP(Table1[[#This Row], [ROOM]],Sheet1!$A$47:$A$66,Sheet1!$B$47:$B$66)</f>
        <v>135</v>
      </c>
      <c r="F201" t="s">
        <v>58</v>
      </c>
      <c r="G201" s="4">
        <f>_xlfn.XLOOKUP(Table1[[#This Row], [DISGUISE]],Sheet1!$A$21:$A$23,Sheet1!$B$21:$B$23)*Table1[[#This Row], [NUM OF MEM]]*(1+_xlfn.XLOOKUP(Table1[[#This Row], [DISGUISE]],Sheet1!$A$21:$A$23,Sheet1!$C$21:$C$23))</f>
        <v>38400</v>
      </c>
      <c r="H201" s="13" t="s">
        <v>59</v>
      </c>
      <c r="I201" s="4">
        <f>_xlfn.XLOOKUP(Table1[[#This Row], [WEAPON]],Sheet1!$A$27:$A$29,Sheet1!$B$27:$B$29)*Table1[[#This Row], [NUM OF MEM]]*(1+_xlfn.XLOOKUP(Table1[[#This Row], [WEAPON]],Sheet1!$A$27:$A$29,Sheet1!$C$27:$C$29))</f>
        <v>136500</v>
      </c>
      <c r="J201" t="s">
        <v>64</v>
      </c>
      <c r="K201" s="9">
        <f>Table1[[#This Row], [NUM OF MEM]]*Table1[[#This Row], [TOTAL TIME TAKEN]]*_xlfn.XLOOKUP(Table1[[#This Row], [EXIT]],Sheet1!$A$70:$A$71,Sheet1!$B$70:$B$71)*(1+_xlfn.XLOOKUP(Table1[[#This Row], [EXIT]],Sheet1!$A$70:$A$71,Sheet1!$C$70:$C$71))</f>
        <v>1823212.7999999996</v>
      </c>
      <c r="L201" s="13" t="s">
        <v>61</v>
      </c>
      <c r="M201" s="4">
        <f>IF(Table1[[#This Row], [EQUIPMENT]]="YES",Sheet1!$C$44*(1+Sheet1!$D$44),0)</f>
        <v>0</v>
      </c>
      <c r="N201" s="4">
        <f>_xlfn.XLOOKUP(Table1[[#This Row], [ROOM]],Sheet1!$A$47:$A$66,Sheet1!$F$47:$F$66)</f>
        <v>17950000</v>
      </c>
      <c r="O201" s="9">
        <f>_xlfn.XLOOKUP(_xlfn.CONCAT(Table1[[#This Row], [TEAM]],Table1[[#This Row], [ROOM]]),'ROOM TIME'!$H$2:$H$121,'ROOM TIME'!$J$2:$J$121)</f>
        <v>42.676666666666655</v>
      </c>
      <c r="P201" s="9">
        <f>(INDEX(Sheet1!$X$48:$Z$67,MATCH(Table1[[#This Row], [ROOM]],Sheet1!$P$48:$P$67,0),MATCH(Table1[[#This Row], [WEAPON]],Sheet1!$X$47:$Z$47,0)))/Table1[[#This Row], [NUM OF MEM]]</f>
        <v>4.2166666666666659</v>
      </c>
      <c r="Q201" s="9">
        <f>Table1[[#This Row], [ROOM TIME]]+Table1[[#This Row], [GUARD TIME]]</f>
        <v>46.893333333333324</v>
      </c>
      <c r="R201" s="4">
        <f>Sheet1!$K$3*_xlfn.XLOOKUP(Table1[[#This Row], [DISGUISE]],Sheet1!$A$21:$A$23,Sheet1!$D$21:$D$23)</f>
        <v>69</v>
      </c>
      <c r="S201" s="9">
        <f>Table1[[#This Row], [TOTAL TIME]]-Table1[[#This Row], [TOTAL TIME TAKEN]]</f>
        <v>22.106666666666676</v>
      </c>
      <c r="T201" t="str">
        <f>IF(Table1[[#This Row], [TIME DIFFERENCE]]&gt;=0,"PASS","FAIL")</f>
        <v>PASS</v>
      </c>
      <c r="U201" s="9">
        <f>Table1[[#This Row], [TRC]]+Table1[[#This Row], [DRC]]+Table1[[#This Row], [WRC]]+Table1[[#This Row], [ERC]]+Table1[[#This Row], [EQRC]]</f>
        <v>7928112.7999999998</v>
      </c>
      <c r="V201" s="9">
        <f>Table1[[#This Row], [TOTAL COST]]+_xlfn.XLOOKUP(Table1[[#This Row], [TEAM]],Sheet1!$A$12:$A$17,Sheet1!$I$12:$I$17)</f>
        <v>8224612.7999999998</v>
      </c>
      <c r="W201" s="9">
        <f>Table1[[#This Row], [LOOT]]-Table1[[#This Row], [TOTAL COST]]</f>
        <v>10021887.199999999</v>
      </c>
      <c r="X201" s="9">
        <f>IF(Table1[[#This Row], [PASS/FAIL]]="FAIL",0,Table1[[#This Row], [PROFIT]])</f>
        <v>10021887.199999999</v>
      </c>
    </row>
    <row r="202" spans="1:24" ht="19.5" customHeight="1" x14ac:dyDescent="0.45">
      <c r="A202" t="s">
        <v>13</v>
      </c>
      <c r="B202" s="14">
        <f>_xlfn.XLOOKUP(Table1[[#This Row], [TEAM]],Sheet1!$A$12:$A$17,Sheet1!$F$12:$F$17)</f>
        <v>3</v>
      </c>
      <c r="C202" s="14">
        <f>_xlfn.XLOOKUP(Table1[[#This Row], [TEAM]],Sheet1!$A$12:$A$17,Sheet1!$G$12:$G$17)</f>
        <v>5930000</v>
      </c>
      <c r="D202" t="s">
        <v>26</v>
      </c>
      <c r="E202" s="4">
        <f>_xlfn.XLOOKUP(Table1[[#This Row], [ROOM]],Sheet1!$A$47:$A$66,Sheet1!$B$47:$B$66)</f>
        <v>136</v>
      </c>
      <c r="F202" t="s">
        <v>62</v>
      </c>
      <c r="G202" s="4">
        <f>_xlfn.XLOOKUP(Table1[[#This Row], [DISGUISE]],Sheet1!$A$21:$A$23,Sheet1!$B$21:$B$23)*Table1[[#This Row], [NUM OF MEM]]*(1+_xlfn.XLOOKUP(Table1[[#This Row], [DISGUISE]],Sheet1!$A$21:$A$23,Sheet1!$C$21:$C$23))</f>
        <v>15600</v>
      </c>
      <c r="H202" s="13" t="s">
        <v>59</v>
      </c>
      <c r="I202" s="4">
        <f>_xlfn.XLOOKUP(Table1[[#This Row], [WEAPON]],Sheet1!$A$27:$A$29,Sheet1!$B$27:$B$29)*Table1[[#This Row], [NUM OF MEM]]*(1+_xlfn.XLOOKUP(Table1[[#This Row], [WEAPON]],Sheet1!$A$27:$A$29,Sheet1!$C$27:$C$29))</f>
        <v>136500</v>
      </c>
      <c r="J202" t="s">
        <v>64</v>
      </c>
      <c r="K202" s="9">
        <f>Table1[[#This Row], [NUM OF MEM]]*Table1[[#This Row], [TOTAL TIME TAKEN]]*_xlfn.XLOOKUP(Table1[[#This Row], [EXIT]],Sheet1!$A$70:$A$71,Sheet1!$B$70:$B$71)*(1+_xlfn.XLOOKUP(Table1[[#This Row], [EXIT]],Sheet1!$A$70:$A$71,Sheet1!$C$70:$C$71))</f>
        <v>1739879.9999999991</v>
      </c>
      <c r="L202" s="13" t="s">
        <v>65</v>
      </c>
      <c r="M202" s="4">
        <f>IF(Table1[[#This Row], [EQUIPMENT]]="YES",Sheet1!$C$44*(1+Sheet1!$D$44),0)</f>
        <v>307500</v>
      </c>
      <c r="N202" s="4">
        <f>_xlfn.XLOOKUP(Table1[[#This Row], [ROOM]],Sheet1!$A$47:$A$66,Sheet1!$F$47:$F$66)</f>
        <v>18150000</v>
      </c>
      <c r="O202" s="9">
        <f>_xlfn.XLOOKUP(_xlfn.CONCAT(Table1[[#This Row], [TEAM]],Table1[[#This Row], [ROOM]]),'ROOM TIME'!$H$2:$H$121,'ROOM TIME'!$J$2:$J$121)</f>
        <v>40.149999999999984</v>
      </c>
      <c r="P202" s="9">
        <f>(INDEX(Sheet1!$X$48:$Z$67,MATCH(Table1[[#This Row], [ROOM]],Sheet1!$P$48:$P$67,0),MATCH(Table1[[#This Row], [WEAPON]],Sheet1!$X$47:$Z$47,0)))/Table1[[#This Row], [NUM OF MEM]]</f>
        <v>4.5999999999999996</v>
      </c>
      <c r="Q202" s="9">
        <f>Table1[[#This Row], [ROOM TIME]]+Table1[[#This Row], [GUARD TIME]]</f>
        <v>44.749999999999986</v>
      </c>
      <c r="R202" s="4">
        <f>Sheet1!$K$3*_xlfn.XLOOKUP(Table1[[#This Row], [DISGUISE]],Sheet1!$A$21:$A$23,Sheet1!$D$21:$D$23)</f>
        <v>66</v>
      </c>
      <c r="S202" s="9">
        <f>Table1[[#This Row], [TOTAL TIME]]-Table1[[#This Row], [TOTAL TIME TAKEN]]</f>
        <v>21.250000000000014</v>
      </c>
      <c r="T202" t="str">
        <f>IF(Table1[[#This Row], [TIME DIFFERENCE]]&gt;=0,"PASS","FAIL")</f>
        <v>PASS</v>
      </c>
      <c r="U202" s="9">
        <f>Table1[[#This Row], [TRC]]+Table1[[#This Row], [DRC]]+Table1[[#This Row], [WRC]]+Table1[[#This Row], [ERC]]+Table1[[#This Row], [EQRC]]</f>
        <v>8129479.9999999991</v>
      </c>
      <c r="V202" s="4">
        <f>Table1[[#This Row], [TOTAL COST]]+_xlfn.XLOOKUP(Table1[[#This Row], [TEAM]],Sheet1!$A$12:$A$17,Sheet1!$I$12:$I$17)</f>
        <v>8425980</v>
      </c>
      <c r="W202" s="4">
        <f>Table1[[#This Row], [LOOT]]-Table1[[#This Row], [TOTAL COST]]</f>
        <v>10020520</v>
      </c>
      <c r="X202" s="4">
        <f>IF(Table1[[#This Row], [PASS/FAIL]]="FAIL",0,Table1[[#This Row], [PROFIT]])</f>
        <v>10020520</v>
      </c>
    </row>
    <row r="203" spans="1:24" ht="19.5" customHeight="1" x14ac:dyDescent="0.45">
      <c r="A203" t="s">
        <v>12</v>
      </c>
      <c r="B203" s="14">
        <f>_xlfn.XLOOKUP(Table1[[#This Row], [TEAM]],Sheet1!$A$12:$A$17,Sheet1!$F$12:$F$17)</f>
        <v>3</v>
      </c>
      <c r="C203" s="14">
        <f>_xlfn.XLOOKUP(Table1[[#This Row], [TEAM]],Sheet1!$A$12:$A$17,Sheet1!$G$12:$G$17)</f>
        <v>5988750</v>
      </c>
      <c r="D203" t="s">
        <v>26</v>
      </c>
      <c r="E203" s="4">
        <f>_xlfn.XLOOKUP(Table1[[#This Row], [ROOM]],Sheet1!$A$47:$A$66,Sheet1!$B$47:$B$66)</f>
        <v>136</v>
      </c>
      <c r="F203" t="s">
        <v>58</v>
      </c>
      <c r="G203" s="4">
        <f>_xlfn.XLOOKUP(Table1[[#This Row], [DISGUISE]],Sheet1!$A$21:$A$23,Sheet1!$B$21:$B$23)*Table1[[#This Row], [NUM OF MEM]]*(1+_xlfn.XLOOKUP(Table1[[#This Row], [DISGUISE]],Sheet1!$A$21:$A$23,Sheet1!$C$21:$C$23))</f>
        <v>38400</v>
      </c>
      <c r="H203" s="13" t="s">
        <v>66</v>
      </c>
      <c r="I203" s="4">
        <f>_xlfn.XLOOKUP(Table1[[#This Row], [WEAPON]],Sheet1!$A$27:$A$29,Sheet1!$B$27:$B$29)*Table1[[#This Row], [NUM OF MEM]]*(1+_xlfn.XLOOKUP(Table1[[#This Row], [WEAPON]],Sheet1!$A$27:$A$29,Sheet1!$C$27:$C$29))</f>
        <v>108000</v>
      </c>
      <c r="J203" t="s">
        <v>60</v>
      </c>
      <c r="K203" s="9">
        <f>Table1[[#This Row], [NUM OF MEM]]*Table1[[#This Row], [TOTAL TIME TAKEN]]*_xlfn.XLOOKUP(Table1[[#This Row], [EXIT]],Sheet1!$A$70:$A$71,Sheet1!$B$70:$B$71)*(1+_xlfn.XLOOKUP(Table1[[#This Row], [EXIT]],Sheet1!$A$70:$A$71,Sheet1!$C$70:$C$71))</f>
        <v>1686917.6749999993</v>
      </c>
      <c r="L203" s="13" t="s">
        <v>65</v>
      </c>
      <c r="M203" s="4">
        <f>IF(Table1[[#This Row], [EQUIPMENT]]="YES",Sheet1!$C$44*(1+Sheet1!$D$44),0)</f>
        <v>307500</v>
      </c>
      <c r="N203" s="4">
        <f>_xlfn.XLOOKUP(Table1[[#This Row], [ROOM]],Sheet1!$A$47:$A$66,Sheet1!$F$47:$F$66)</f>
        <v>18150000</v>
      </c>
      <c r="O203" s="9">
        <f>_xlfn.XLOOKUP(_xlfn.CONCAT(Table1[[#This Row], [TEAM]],Table1[[#This Row], [ROOM]]),'ROOM TIME'!$H$2:$H$121,'ROOM TIME'!$J$2:$J$121)</f>
        <v>38.818888888888871</v>
      </c>
      <c r="P203" s="4">
        <f>(INDEX(Sheet1!$X$48:$Z$67,MATCH(Table1[[#This Row], [ROOM]],Sheet1!$P$48:$P$67,0),MATCH(Table1[[#This Row], [WEAPON]],Sheet1!$X$47:$Z$47,0)))/Table1[[#This Row], [NUM OF MEM]]</f>
        <v>5</v>
      </c>
      <c r="Q203" s="9">
        <f>Table1[[#This Row], [ROOM TIME]]+Table1[[#This Row], [GUARD TIME]]</f>
        <v>43.818888888888871</v>
      </c>
      <c r="R203" s="4">
        <f>Sheet1!$K$3*_xlfn.XLOOKUP(Table1[[#This Row], [DISGUISE]],Sheet1!$A$21:$A$23,Sheet1!$D$21:$D$23)</f>
        <v>69</v>
      </c>
      <c r="S203" s="9">
        <f>Table1[[#This Row], [TOTAL TIME]]-Table1[[#This Row], [TOTAL TIME TAKEN]]</f>
        <v>25.181111111111129</v>
      </c>
      <c r="T203" t="str">
        <f>IF(Table1[[#This Row], [TIME DIFFERENCE]]&gt;=0,"PASS","FAIL")</f>
        <v>PASS</v>
      </c>
      <c r="U203" s="9">
        <f>Table1[[#This Row], [TRC]]+Table1[[#This Row], [DRC]]+Table1[[#This Row], [WRC]]+Table1[[#This Row], [ERC]]+Table1[[#This Row], [EQRC]]</f>
        <v>8129567.6749999989</v>
      </c>
      <c r="V203" s="9">
        <f>Table1[[#This Row], [TOTAL COST]]+_xlfn.XLOOKUP(Table1[[#This Row], [TEAM]],Sheet1!$A$12:$A$17,Sheet1!$I$12:$I$17)</f>
        <v>8429005.1749999989</v>
      </c>
      <c r="W203" s="9">
        <f>Table1[[#This Row], [LOOT]]-Table1[[#This Row], [TOTAL COST]]</f>
        <v>10020432.325000001</v>
      </c>
      <c r="X203" s="9">
        <f>IF(Table1[[#This Row], [PASS/FAIL]]="FAIL",0,Table1[[#This Row], [PROFIT]])</f>
        <v>10020432.325000001</v>
      </c>
    </row>
    <row r="204" spans="1:24" ht="19.5" customHeight="1" x14ac:dyDescent="0.45">
      <c r="A204" t="s">
        <v>16</v>
      </c>
      <c r="B204" s="14">
        <f>_xlfn.XLOOKUP(Table1[[#This Row], [TEAM]],Sheet1!$A$12:$A$17,Sheet1!$F$12:$F$17)</f>
        <v>2</v>
      </c>
      <c r="C204" s="14">
        <f>_xlfn.XLOOKUP(Table1[[#This Row], [TEAM]],Sheet1!$A$12:$A$17,Sheet1!$G$12:$G$17)</f>
        <v>6082800</v>
      </c>
      <c r="D204" t="s">
        <v>32</v>
      </c>
      <c r="E204" s="4">
        <f>_xlfn.XLOOKUP(Table1[[#This Row], [ROOM]],Sheet1!$A$47:$A$66,Sheet1!$B$47:$B$66)</f>
        <v>346</v>
      </c>
      <c r="F204" t="s">
        <v>58</v>
      </c>
      <c r="G204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" s="13" t="s">
        <v>63</v>
      </c>
      <c r="I204" s="4">
        <f>_xlfn.XLOOKUP(Table1[[#This Row], [WEAPON]],Sheet1!$A$27:$A$29,Sheet1!$B$27:$B$29)*Table1[[#This Row], [NUM OF MEM]]*(1+_xlfn.XLOOKUP(Table1[[#This Row], [WEAPON]],Sheet1!$A$27:$A$29,Sheet1!$C$27:$C$29))</f>
        <v>46000</v>
      </c>
      <c r="J204" t="s">
        <v>64</v>
      </c>
      <c r="K204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1718333.9999999993</v>
      </c>
      <c r="L204" s="13" t="s">
        <v>65</v>
      </c>
      <c r="M204" s="4">
        <f>IF(Table1[[#This Row], [EQUIPMENT]]="YES",Sheet1!$C$44*(1+Sheet1!$D$44),0)</f>
        <v>307500</v>
      </c>
      <c r="N204" s="4">
        <f>_xlfn.XLOOKUP(Table1[[#This Row], [ROOM]],Sheet1!$A$47:$A$66,Sheet1!$F$47:$F$66)</f>
        <v>18200000</v>
      </c>
      <c r="O204" s="9">
        <f>_xlfn.XLOOKUP(_xlfn.CONCAT(Table1[[#This Row], [TEAM]],Table1[[#This Row], [ROOM]]),'ROOM TIME'!$H$2:$H$121,'ROOM TIME'!$J$2:$J$121)</f>
        <v>57.518749999999976</v>
      </c>
      <c r="P204" s="9">
        <f>(INDEX(Sheet1!$X$48:$Z$67,MATCH(Table1[[#This Row], [ROOM]],Sheet1!$P$48:$P$67,0),MATCH(Table1[[#This Row], [WEAPON]],Sheet1!$X$47:$Z$47,0)))/Table1[[#This Row], [NUM OF MEM]]</f>
        <v>8.7750000000000004</v>
      </c>
      <c r="Q204" s="9">
        <f>Table1[[#This Row], [ROOM TIME]]+Table1[[#This Row], [GUARD TIME]]</f>
        <v>66.293749999999974</v>
      </c>
      <c r="R204" s="4">
        <f>Sheet1!$K$3*_xlfn.XLOOKUP(Table1[[#This Row], [DISGUISE]],Sheet1!$A$21:$A$23,Sheet1!$D$21:$D$23)</f>
        <v>69</v>
      </c>
      <c r="S204" s="9">
        <f>Table1[[#This Row], [TOTAL TIME]]-Table1[[#This Row], [TOTAL TIME TAKEN]]</f>
        <v>2.7062500000000256</v>
      </c>
      <c r="T204" t="str">
        <f>IF(Table1[[#This Row], [TIME DIFFERENCE]]&gt;=0,"PASS","FAIL")</f>
        <v>PASS</v>
      </c>
      <c r="U204" s="9">
        <f>Table1[[#This Row], [TRC]]+Table1[[#This Row], [DRC]]+Table1[[#This Row], [WRC]]+Table1[[#This Row], [ERC]]+Table1[[#This Row], [EQRC]]</f>
        <v>8180233.9999999991</v>
      </c>
      <c r="V204" s="4">
        <f>Table1[[#This Row], [TOTAL COST]]+_xlfn.XLOOKUP(Table1[[#This Row], [TEAM]],Sheet1!$A$12:$A$17,Sheet1!$I$12:$I$17)</f>
        <v>8484374</v>
      </c>
      <c r="W204" s="4">
        <f>Table1[[#This Row], [LOOT]]-Table1[[#This Row], [TOTAL COST]]</f>
        <v>10019766</v>
      </c>
      <c r="X204" s="4">
        <f>IF(Table1[[#This Row], [PASS/FAIL]]="FAIL",0,Table1[[#This Row], [PROFIT]])</f>
        <v>10019766</v>
      </c>
    </row>
    <row r="205" spans="1:24" ht="19.5" customHeight="1" x14ac:dyDescent="0.45">
      <c r="A205" t="s">
        <v>12</v>
      </c>
      <c r="B205" s="14">
        <f>_xlfn.XLOOKUP(Table1[[#This Row], [TEAM]],Sheet1!$A$12:$A$17,Sheet1!$F$12:$F$17)</f>
        <v>3</v>
      </c>
      <c r="C205" s="14">
        <f>_xlfn.XLOOKUP(Table1[[#This Row], [TEAM]],Sheet1!$A$12:$A$17,Sheet1!$G$12:$G$17)</f>
        <v>5988750</v>
      </c>
      <c r="D205" t="s">
        <v>33</v>
      </c>
      <c r="E205" s="4">
        <f>_xlfn.XLOOKUP(Table1[[#This Row], [ROOM]],Sheet1!$A$47:$A$66,Sheet1!$B$47:$B$66)</f>
        <v>356</v>
      </c>
      <c r="F205" t="s">
        <v>62</v>
      </c>
      <c r="G205" s="4">
        <f>_xlfn.XLOOKUP(Table1[[#This Row], [DISGUISE]],Sheet1!$A$21:$A$23,Sheet1!$B$21:$B$23)*Table1[[#This Row], [NUM OF MEM]]*(1+_xlfn.XLOOKUP(Table1[[#This Row], [DISGUISE]],Sheet1!$A$21:$A$23,Sheet1!$C$21:$C$23))</f>
        <v>15600</v>
      </c>
      <c r="H205" s="13" t="s">
        <v>63</v>
      </c>
      <c r="I205" s="4">
        <f>_xlfn.XLOOKUP(Table1[[#This Row], [WEAPON]],Sheet1!$A$27:$A$29,Sheet1!$B$27:$B$29)*Table1[[#This Row], [NUM OF MEM]]*(1+_xlfn.XLOOKUP(Table1[[#This Row], [WEAPON]],Sheet1!$A$27:$A$29,Sheet1!$C$27:$C$29))</f>
        <v>69000</v>
      </c>
      <c r="J205" t="s">
        <v>64</v>
      </c>
      <c r="K205" s="9">
        <f>Table1[[#This Row], [NUM OF MEM]]*Table1[[#This Row], [TOTAL TIME TAKEN]]*_xlfn.XLOOKUP(Table1[[#This Row], [EXIT]],Sheet1!$A$70:$A$71,Sheet1!$B$70:$B$71)*(1+_xlfn.XLOOKUP(Table1[[#This Row], [EXIT]],Sheet1!$A$70:$A$71,Sheet1!$C$70:$C$71))</f>
        <v>1700265.5999999992</v>
      </c>
      <c r="L205" s="13" t="s">
        <v>65</v>
      </c>
      <c r="M205" s="4">
        <f>IF(Table1[[#This Row], [EQUIPMENT]]="YES",Sheet1!$C$44*(1+Sheet1!$D$44),0)</f>
        <v>307500</v>
      </c>
      <c r="N205" s="4">
        <f>_xlfn.XLOOKUP(Table1[[#This Row], [ROOM]],Sheet1!$A$47:$A$66,Sheet1!$F$47:$F$66)</f>
        <v>18100000</v>
      </c>
      <c r="O205" s="9">
        <f>_xlfn.XLOOKUP(_xlfn.CONCAT(Table1[[#This Row], [TEAM]],Table1[[#This Row], [ROOM]]),'ROOM TIME'!$H$2:$H$121,'ROOM TIME'!$J$2:$J$121)</f>
        <v>38.331111111111092</v>
      </c>
      <c r="P205" s="9">
        <f>(INDEX(Sheet1!$X$48:$Z$67,MATCH(Table1[[#This Row], [ROOM]],Sheet1!$P$48:$P$67,0),MATCH(Table1[[#This Row], [WEAPON]],Sheet1!$X$47:$Z$47,0)))/Table1[[#This Row], [NUM OF MEM]]</f>
        <v>5.4000000000000012</v>
      </c>
      <c r="Q205" s="9">
        <f>Table1[[#This Row], [ROOM TIME]]+Table1[[#This Row], [GUARD TIME]]</f>
        <v>43.73111111111109</v>
      </c>
      <c r="R205" s="4">
        <f>Sheet1!$K$3*_xlfn.XLOOKUP(Table1[[#This Row], [DISGUISE]],Sheet1!$A$21:$A$23,Sheet1!$D$21:$D$23)</f>
        <v>66</v>
      </c>
      <c r="S205" s="9">
        <f>Table1[[#This Row], [TOTAL TIME]]-Table1[[#This Row], [TOTAL TIME TAKEN]]</f>
        <v>22.26888888888891</v>
      </c>
      <c r="T205" t="str">
        <f>IF(Table1[[#This Row], [TIME DIFFERENCE]]&gt;=0,"PASS","FAIL")</f>
        <v>PASS</v>
      </c>
      <c r="U205" s="9">
        <f>Table1[[#This Row], [TRC]]+Table1[[#This Row], [DRC]]+Table1[[#This Row], [WRC]]+Table1[[#This Row], [ERC]]+Table1[[#This Row], [EQRC]]</f>
        <v>8081115.5999999996</v>
      </c>
      <c r="V205" s="9">
        <f>Table1[[#This Row], [TOTAL COST]]+_xlfn.XLOOKUP(Table1[[#This Row], [TEAM]],Sheet1!$A$12:$A$17,Sheet1!$I$12:$I$17)</f>
        <v>8380553.0999999996</v>
      </c>
      <c r="W205" s="9">
        <f>Table1[[#This Row], [LOOT]]-Table1[[#This Row], [TOTAL COST]]</f>
        <v>10018884.4</v>
      </c>
      <c r="X205" s="9">
        <f>IF(Table1[[#This Row], [PASS/FAIL]]="FAIL",0,Table1[[#This Row], [PROFIT]])</f>
        <v>10018884.4</v>
      </c>
    </row>
    <row r="206" spans="1:24" ht="19.5" customHeight="1" x14ac:dyDescent="0.45">
      <c r="A206" t="s">
        <v>13</v>
      </c>
      <c r="B206" s="14">
        <f>_xlfn.XLOOKUP(Table1[[#This Row], [TEAM]],Sheet1!$A$12:$A$17,Sheet1!$F$12:$F$17)</f>
        <v>3</v>
      </c>
      <c r="C206" s="14">
        <f>_xlfn.XLOOKUP(Table1[[#This Row], [TEAM]],Sheet1!$A$12:$A$17,Sheet1!$G$12:$G$17)</f>
        <v>5930000</v>
      </c>
      <c r="D206" t="s">
        <v>33</v>
      </c>
      <c r="E206" s="4">
        <f>_xlfn.XLOOKUP(Table1[[#This Row], [ROOM]],Sheet1!$A$47:$A$66,Sheet1!$B$47:$B$66)</f>
        <v>356</v>
      </c>
      <c r="F206" t="s">
        <v>58</v>
      </c>
      <c r="G206" s="4">
        <f>_xlfn.XLOOKUP(Table1[[#This Row], [DISGUISE]],Sheet1!$A$21:$A$23,Sheet1!$B$21:$B$23)*Table1[[#This Row], [NUM OF MEM]]*(1+_xlfn.XLOOKUP(Table1[[#This Row], [DISGUISE]],Sheet1!$A$21:$A$23,Sheet1!$C$21:$C$23))</f>
        <v>38400</v>
      </c>
      <c r="H206" s="13" t="s">
        <v>63</v>
      </c>
      <c r="I206" s="4">
        <f>_xlfn.XLOOKUP(Table1[[#This Row], [WEAPON]],Sheet1!$A$27:$A$29,Sheet1!$B$27:$B$29)*Table1[[#This Row], [NUM OF MEM]]*(1+_xlfn.XLOOKUP(Table1[[#This Row], [WEAPON]],Sheet1!$A$27:$A$29,Sheet1!$C$27:$C$29))</f>
        <v>69000</v>
      </c>
      <c r="J206" t="s">
        <v>60</v>
      </c>
      <c r="K206" s="9">
        <f>Table1[[#This Row], [NUM OF MEM]]*Table1[[#This Row], [TOTAL TIME TAKEN]]*_xlfn.XLOOKUP(Table1[[#This Row], [EXIT]],Sheet1!$A$70:$A$71,Sheet1!$B$70:$B$71)*(1+_xlfn.XLOOKUP(Table1[[#This Row], [EXIT]],Sheet1!$A$70:$A$71,Sheet1!$C$70:$C$71))</f>
        <v>1736515.2874999996</v>
      </c>
      <c r="L206" s="13" t="s">
        <v>65</v>
      </c>
      <c r="M206" s="4">
        <f>IF(Table1[[#This Row], [EQUIPMENT]]="YES",Sheet1!$C$44*(1+Sheet1!$D$44),0)</f>
        <v>307500</v>
      </c>
      <c r="N206" s="4">
        <f>_xlfn.XLOOKUP(Table1[[#This Row], [ROOM]],Sheet1!$A$47:$A$66,Sheet1!$F$47:$F$66)</f>
        <v>18100000</v>
      </c>
      <c r="O206" s="9">
        <f>_xlfn.XLOOKUP(_xlfn.CONCAT(Table1[[#This Row], [TEAM]],Table1[[#This Row], [ROOM]]),'ROOM TIME'!$H$2:$H$121,'ROOM TIME'!$J$2:$J$121)</f>
        <v>39.707222222222214</v>
      </c>
      <c r="P206" s="9">
        <f>(INDEX(Sheet1!$X$48:$Z$67,MATCH(Table1[[#This Row], [ROOM]],Sheet1!$P$48:$P$67,0),MATCH(Table1[[#This Row], [WEAPON]],Sheet1!$X$47:$Z$47,0)))/Table1[[#This Row], [NUM OF MEM]]</f>
        <v>5.4000000000000012</v>
      </c>
      <c r="Q206" s="9">
        <f>Table1[[#This Row], [ROOM TIME]]+Table1[[#This Row], [GUARD TIME]]</f>
        <v>45.107222222222212</v>
      </c>
      <c r="R206" s="4">
        <f>Sheet1!$K$3*_xlfn.XLOOKUP(Table1[[#This Row], [DISGUISE]],Sheet1!$A$21:$A$23,Sheet1!$D$21:$D$23)</f>
        <v>69</v>
      </c>
      <c r="S206" s="9">
        <f>Table1[[#This Row], [TOTAL TIME]]-Table1[[#This Row], [TOTAL TIME TAKEN]]</f>
        <v>23.892777777777788</v>
      </c>
      <c r="T206" t="str">
        <f>IF(Table1[[#This Row], [TIME DIFFERENCE]]&gt;=0,"PASS","FAIL")</f>
        <v>PASS</v>
      </c>
      <c r="U206" s="9">
        <f>Table1[[#This Row], [TRC]]+Table1[[#This Row], [DRC]]+Table1[[#This Row], [WRC]]+Table1[[#This Row], [ERC]]+Table1[[#This Row], [EQRC]]</f>
        <v>8081415.2874999996</v>
      </c>
      <c r="V206" s="9">
        <f>Table1[[#This Row], [TOTAL COST]]+_xlfn.XLOOKUP(Table1[[#This Row], [TEAM]],Sheet1!$A$12:$A$17,Sheet1!$I$12:$I$17)</f>
        <v>8377915.2874999996</v>
      </c>
      <c r="W206" s="9">
        <f>Table1[[#This Row], [LOOT]]-Table1[[#This Row], [TOTAL COST]]</f>
        <v>10018584.7125</v>
      </c>
      <c r="X206" s="9">
        <f>IF(Table1[[#This Row], [PASS/FAIL]]="FAIL",0,Table1[[#This Row], [PROFIT]])</f>
        <v>10018584.7125</v>
      </c>
    </row>
    <row r="207" spans="1:24" ht="19.5" customHeight="1" x14ac:dyDescent="0.45">
      <c r="A207" t="s">
        <v>13</v>
      </c>
      <c r="B207" s="14">
        <f>_xlfn.XLOOKUP(Table1[[#This Row], [TEAM]],Sheet1!$A$12:$A$17,Sheet1!$F$12:$F$17)</f>
        <v>3</v>
      </c>
      <c r="C207" s="14">
        <f>_xlfn.XLOOKUP(Table1[[#This Row], [TEAM]],Sheet1!$A$12:$A$17,Sheet1!$G$12:$G$17)</f>
        <v>5930000</v>
      </c>
      <c r="D207" t="s">
        <v>33</v>
      </c>
      <c r="E207" s="4">
        <f>_xlfn.XLOOKUP(Table1[[#This Row], [ROOM]],Sheet1!$A$47:$A$66,Sheet1!$B$47:$B$66)</f>
        <v>356</v>
      </c>
      <c r="F207" t="s">
        <v>62</v>
      </c>
      <c r="G207" s="4">
        <f>_xlfn.XLOOKUP(Table1[[#This Row], [DISGUISE]],Sheet1!$A$21:$A$23,Sheet1!$B$21:$B$23)*Table1[[#This Row], [NUM OF MEM]]*(1+_xlfn.XLOOKUP(Table1[[#This Row], [DISGUISE]],Sheet1!$A$21:$A$23,Sheet1!$C$21:$C$23))</f>
        <v>15600</v>
      </c>
      <c r="H207" s="13" t="s">
        <v>66</v>
      </c>
      <c r="I207" s="4">
        <f>_xlfn.XLOOKUP(Table1[[#This Row], [WEAPON]],Sheet1!$A$27:$A$29,Sheet1!$B$27:$B$29)*Table1[[#This Row], [NUM OF MEM]]*(1+_xlfn.XLOOKUP(Table1[[#This Row], [WEAPON]],Sheet1!$A$27:$A$29,Sheet1!$C$27:$C$29))</f>
        <v>108000</v>
      </c>
      <c r="J207" t="s">
        <v>60</v>
      </c>
      <c r="K207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1721116.2874999996</v>
      </c>
      <c r="L207" s="13" t="s">
        <v>65</v>
      </c>
      <c r="M207" s="4">
        <f>IF(Table1[[#This Row], [EQUIPMENT]]="YES",Sheet1!$C$44*(1+Sheet1!$D$44),0)</f>
        <v>307500</v>
      </c>
      <c r="N207" s="4">
        <f>_xlfn.XLOOKUP(Table1[[#This Row], [ROOM]],Sheet1!$A$47:$A$66,Sheet1!$F$47:$F$66)</f>
        <v>18100000</v>
      </c>
      <c r="O207" s="9">
        <f>_xlfn.XLOOKUP(_xlfn.CONCAT(Table1[[#This Row], [TEAM]],Table1[[#This Row], [ROOM]]),'ROOM TIME'!$H$2:$H$121,'ROOM TIME'!$J$2:$J$121)</f>
        <v>39.707222222222214</v>
      </c>
      <c r="P207" s="4">
        <f>(INDEX(Sheet1!$X$48:$Z$67,MATCH(Table1[[#This Row], [ROOM]],Sheet1!$P$48:$P$67,0),MATCH(Table1[[#This Row], [WEAPON]],Sheet1!$X$47:$Z$47,0)))/Table1[[#This Row], [NUM OF MEM]]</f>
        <v>5</v>
      </c>
      <c r="Q207" s="9">
        <f>Table1[[#This Row], [ROOM TIME]]+Table1[[#This Row], [GUARD TIME]]</f>
        <v>44.707222222222214</v>
      </c>
      <c r="R207" s="4">
        <f>Sheet1!$K$3*_xlfn.XLOOKUP(Table1[[#This Row], [DISGUISE]],Sheet1!$A$21:$A$23,Sheet1!$D$21:$D$23)</f>
        <v>66</v>
      </c>
      <c r="S207" s="9">
        <f>Table1[[#This Row], [TOTAL TIME]]-Table1[[#This Row], [TOTAL TIME TAKEN]]</f>
        <v>21.292777777777786</v>
      </c>
      <c r="T207" t="str">
        <f>IF(Table1[[#This Row], [TIME DIFFERENCE]]&gt;=0,"PASS","FAIL")</f>
        <v>PASS</v>
      </c>
      <c r="U207" s="9">
        <f>Table1[[#This Row], [TRC]]+Table1[[#This Row], [DRC]]+Table1[[#This Row], [WRC]]+Table1[[#This Row], [ERC]]+Table1[[#This Row], [EQRC]]</f>
        <v>8082216.2874999996</v>
      </c>
      <c r="V207" s="9">
        <f>Table1[[#This Row], [TOTAL COST]]+_xlfn.XLOOKUP(Table1[[#This Row], [TEAM]],Sheet1!$A$12:$A$17,Sheet1!$I$12:$I$17)</f>
        <v>8378716.2874999996</v>
      </c>
      <c r="W207" s="9">
        <f>Table1[[#This Row], [LOOT]]-Table1[[#This Row], [TOTAL COST]]</f>
        <v>10017783.7125</v>
      </c>
      <c r="X207" s="9">
        <f>IF(Table1[[#This Row], [PASS/FAIL]]="FAIL",0,Table1[[#This Row], [PROFIT]])</f>
        <v>10017783.7125</v>
      </c>
    </row>
    <row r="208" spans="1:24" ht="19.5" customHeight="1" x14ac:dyDescent="0.45">
      <c r="A208" t="s">
        <v>9</v>
      </c>
      <c r="B208" s="14">
        <f>_xlfn.XLOOKUP(Table1[[#This Row], [TEAM]],Sheet1!$A$12:$A$17,Sheet1!$F$12:$F$17)</f>
        <v>3</v>
      </c>
      <c r="C208" s="14">
        <f>_xlfn.XLOOKUP(Table1[[#This Row], [TEAM]],Sheet1!$A$12:$A$17,Sheet1!$G$12:$G$17)</f>
        <v>6238750</v>
      </c>
      <c r="D208" t="s">
        <v>18</v>
      </c>
      <c r="E208" s="4">
        <f>_xlfn.XLOOKUP(Table1[[#This Row], [ROOM]],Sheet1!$A$47:$A$66,Sheet1!$B$47:$B$66)</f>
        <v>134</v>
      </c>
      <c r="F208" t="s">
        <v>62</v>
      </c>
      <c r="G208" s="4">
        <f>_xlfn.XLOOKUP(Table1[[#This Row], [DISGUISE]],Sheet1!$A$21:$A$23,Sheet1!$B$21:$B$23)*Table1[[#This Row], [NUM OF MEM]]*(1+_xlfn.XLOOKUP(Table1[[#This Row], [DISGUISE]],Sheet1!$A$21:$A$23,Sheet1!$C$21:$C$23))</f>
        <v>15600</v>
      </c>
      <c r="H208" s="13" t="s">
        <v>63</v>
      </c>
      <c r="I208" s="4">
        <f>_xlfn.XLOOKUP(Table1[[#This Row], [WEAPON]],Sheet1!$A$27:$A$29,Sheet1!$B$27:$B$29)*Table1[[#This Row], [NUM OF MEM]]*(1+_xlfn.XLOOKUP(Table1[[#This Row], [WEAPON]],Sheet1!$A$27:$A$29,Sheet1!$C$27:$C$29))</f>
        <v>69000</v>
      </c>
      <c r="J208" t="s">
        <v>60</v>
      </c>
      <c r="K208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1709438.7124999997</v>
      </c>
      <c r="L208" s="13" t="s">
        <v>61</v>
      </c>
      <c r="M208" s="4">
        <f>IF(Table1[[#This Row], [EQUIPMENT]]="YES",Sheet1!$C$44*(1+Sheet1!$D$44),0)</f>
        <v>0</v>
      </c>
      <c r="N208" s="4">
        <f>_xlfn.XLOOKUP(Table1[[#This Row], [ROOM]],Sheet1!$A$47:$A$66,Sheet1!$F$47:$F$66)</f>
        <v>18050000</v>
      </c>
      <c r="O208" s="9">
        <f>_xlfn.XLOOKUP(_xlfn.CONCAT(Table1[[#This Row], [TEAM]],Table1[[#This Row], [ROOM]]),'ROOM TIME'!$H$2:$H$121,'ROOM TIME'!$J$2:$J$121)</f>
        <v>39.003888888888881</v>
      </c>
      <c r="P208" s="9">
        <f>(INDEX(Sheet1!$X$48:$Z$67,MATCH(Table1[[#This Row], [ROOM]],Sheet1!$P$48:$P$67,0),MATCH(Table1[[#This Row], [WEAPON]],Sheet1!$X$47:$Z$47,0)))/Table1[[#This Row], [NUM OF MEM]]</f>
        <v>5.4000000000000012</v>
      </c>
      <c r="Q208" s="9">
        <f>Table1[[#This Row], [ROOM TIME]]+Table1[[#This Row], [GUARD TIME]]</f>
        <v>44.403888888888879</v>
      </c>
      <c r="R208" s="4">
        <f>Sheet1!$K$3*_xlfn.XLOOKUP(Table1[[#This Row], [DISGUISE]],Sheet1!$A$21:$A$23,Sheet1!$D$21:$D$23)</f>
        <v>66</v>
      </c>
      <c r="S208" s="9">
        <f>Table1[[#This Row], [TOTAL TIME]]-Table1[[#This Row], [TOTAL TIME TAKEN]]</f>
        <v>21.596111111111121</v>
      </c>
      <c r="T208" t="str">
        <f>IF(Table1[[#This Row], [TIME DIFFERENCE]]&gt;=0,"PASS","FAIL")</f>
        <v>PASS</v>
      </c>
      <c r="U208" s="9">
        <f>Table1[[#This Row], [TRC]]+Table1[[#This Row], [DRC]]+Table1[[#This Row], [WRC]]+Table1[[#This Row], [ERC]]+Table1[[#This Row], [EQRC]]</f>
        <v>8032788.7124999994</v>
      </c>
      <c r="V208" s="9">
        <f>Table1[[#This Row], [TOTAL COST]]+_xlfn.XLOOKUP(Table1[[#This Row], [TEAM]],Sheet1!$A$12:$A$17,Sheet1!$I$12:$I$17)</f>
        <v>8344726.2124999994</v>
      </c>
      <c r="W208" s="9">
        <f>Table1[[#This Row], [LOOT]]-Table1[[#This Row], [TOTAL COST]]</f>
        <v>10017211.287500001</v>
      </c>
      <c r="X208" s="9">
        <f>IF(Table1[[#This Row], [PASS/FAIL]]="FAIL",0,Table1[[#This Row], [PROFIT]])</f>
        <v>10017211.287500001</v>
      </c>
    </row>
    <row r="209" spans="1:24" ht="19.5" customHeight="1" x14ac:dyDescent="0.45">
      <c r="A209" t="s">
        <v>16</v>
      </c>
      <c r="B209" s="14">
        <f>_xlfn.XLOOKUP(Table1[[#This Row], [TEAM]],Sheet1!$A$12:$A$17,Sheet1!$F$12:$F$17)</f>
        <v>2</v>
      </c>
      <c r="C209" s="14">
        <f>_xlfn.XLOOKUP(Table1[[#This Row], [TEAM]],Sheet1!$A$12:$A$17,Sheet1!$G$12:$G$17)</f>
        <v>6082800</v>
      </c>
      <c r="D209" t="s">
        <v>19</v>
      </c>
      <c r="E209" s="4">
        <f>_xlfn.XLOOKUP(Table1[[#This Row], [ROOM]],Sheet1!$A$47:$A$66,Sheet1!$B$47:$B$66)</f>
        <v>135</v>
      </c>
      <c r="F209" t="s">
        <v>58</v>
      </c>
      <c r="G20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9" s="13" t="s">
        <v>66</v>
      </c>
      <c r="I209" s="4">
        <f>_xlfn.XLOOKUP(Table1[[#This Row], [WEAPON]],Sheet1!$A$27:$A$29,Sheet1!$B$27:$B$29)*Table1[[#This Row], [NUM OF MEM]]*(1+_xlfn.XLOOKUP(Table1[[#This Row], [WEAPON]],Sheet1!$A$27:$A$29,Sheet1!$C$27:$C$29))</f>
        <v>72000</v>
      </c>
      <c r="J209" t="s">
        <v>64</v>
      </c>
      <c r="K209" s="9">
        <f>Table1[[#This Row], [NUM OF MEM]]*Table1[[#This Row], [TOTAL TIME TAKEN]]*_xlfn.XLOOKUP(Table1[[#This Row], [EXIT]],Sheet1!$A$70:$A$71,Sheet1!$B$70:$B$71)*(1+_xlfn.XLOOKUP(Table1[[#This Row], [EXIT]],Sheet1!$A$70:$A$71,Sheet1!$C$70:$C$71))</f>
        <v>1754654.3999999994</v>
      </c>
      <c r="L209" s="13" t="s">
        <v>61</v>
      </c>
      <c r="M209" s="4">
        <f>IF(Table1[[#This Row], [EQUIPMENT]]="YES",Sheet1!$C$44*(1+Sheet1!$D$44),0)</f>
        <v>0</v>
      </c>
      <c r="N209" s="4">
        <f>_xlfn.XLOOKUP(Table1[[#This Row], [ROOM]],Sheet1!$A$47:$A$66,Sheet1!$F$47:$F$66)</f>
        <v>17950000</v>
      </c>
      <c r="O209" s="9">
        <f>_xlfn.XLOOKUP(_xlfn.CONCAT(Table1[[#This Row], [TEAM]],Table1[[#This Row], [ROOM]]),'ROOM TIME'!$H$2:$H$121,'ROOM TIME'!$J$2:$J$121)</f>
        <v>60.819999999999979</v>
      </c>
      <c r="P209" s="9">
        <f>(INDEX(Sheet1!$X$48:$Z$67,MATCH(Table1[[#This Row], [ROOM]],Sheet1!$P$48:$P$67,0),MATCH(Table1[[#This Row], [WEAPON]],Sheet1!$X$47:$Z$47,0)))/Table1[[#This Row], [NUM OF MEM]]</f>
        <v>6.875</v>
      </c>
      <c r="Q209" s="9">
        <f>Table1[[#This Row], [ROOM TIME]]+Table1[[#This Row], [GUARD TIME]]</f>
        <v>67.694999999999979</v>
      </c>
      <c r="R209" s="4">
        <f>Sheet1!$K$3*_xlfn.XLOOKUP(Table1[[#This Row], [DISGUISE]],Sheet1!$A$21:$A$23,Sheet1!$D$21:$D$23)</f>
        <v>69</v>
      </c>
      <c r="S209" s="9">
        <f>Table1[[#This Row], [TOTAL TIME]]-Table1[[#This Row], [TOTAL TIME TAKEN]]</f>
        <v>1.305000000000021</v>
      </c>
      <c r="T209" t="str">
        <f>IF(Table1[[#This Row], [TIME DIFFERENCE]]&gt;=0,"PASS","FAIL")</f>
        <v>PASS</v>
      </c>
      <c r="U209" s="9">
        <f>Table1[[#This Row], [TRC]]+Table1[[#This Row], [DRC]]+Table1[[#This Row], [WRC]]+Table1[[#This Row], [ERC]]+Table1[[#This Row], [EQRC]]</f>
        <v>7935054.3999999994</v>
      </c>
      <c r="V209" s="9">
        <f>Table1[[#This Row], [TOTAL COST]]+_xlfn.XLOOKUP(Table1[[#This Row], [TEAM]],Sheet1!$A$12:$A$17,Sheet1!$I$12:$I$17)</f>
        <v>8239194.3999999994</v>
      </c>
      <c r="W209" s="9">
        <f>Table1[[#This Row], [LOOT]]-Table1[[#This Row], [TOTAL COST]]</f>
        <v>10014945.600000001</v>
      </c>
      <c r="X209" s="9">
        <f>IF(Table1[[#This Row], [PASS/FAIL]]="FAIL",0,Table1[[#This Row], [PROFIT]])</f>
        <v>10014945.600000001</v>
      </c>
    </row>
    <row r="210" spans="1:24" ht="19.5" customHeight="1" x14ac:dyDescent="0.45">
      <c r="A210" t="s">
        <v>13</v>
      </c>
      <c r="B210" s="14">
        <f>_xlfn.XLOOKUP(Table1[[#This Row], [TEAM]],Sheet1!$A$12:$A$17,Sheet1!$F$12:$F$17)</f>
        <v>3</v>
      </c>
      <c r="C210" s="14">
        <f>_xlfn.XLOOKUP(Table1[[#This Row], [TEAM]],Sheet1!$A$12:$A$17,Sheet1!$G$12:$G$17)</f>
        <v>5930000</v>
      </c>
      <c r="D210" t="s">
        <v>26</v>
      </c>
      <c r="E210" s="4">
        <f>_xlfn.XLOOKUP(Table1[[#This Row], [ROOM]],Sheet1!$A$47:$A$66,Sheet1!$B$47:$B$66)</f>
        <v>136</v>
      </c>
      <c r="F210" t="s">
        <v>58</v>
      </c>
      <c r="G210" s="4">
        <f>_xlfn.XLOOKUP(Table1[[#This Row], [DISGUISE]],Sheet1!$A$21:$A$23,Sheet1!$B$21:$B$23)*Table1[[#This Row], [NUM OF MEM]]*(1+_xlfn.XLOOKUP(Table1[[#This Row], [DISGUISE]],Sheet1!$A$21:$A$23,Sheet1!$C$21:$C$23))</f>
        <v>38400</v>
      </c>
      <c r="H210" s="13" t="s">
        <v>59</v>
      </c>
      <c r="I210" s="4">
        <f>_xlfn.XLOOKUP(Table1[[#This Row], [WEAPON]],Sheet1!$A$27:$A$29,Sheet1!$B$27:$B$29)*Table1[[#This Row], [NUM OF MEM]]*(1+_xlfn.XLOOKUP(Table1[[#This Row], [WEAPON]],Sheet1!$A$27:$A$29,Sheet1!$C$27:$C$29))</f>
        <v>136500</v>
      </c>
      <c r="J210" t="s">
        <v>60</v>
      </c>
      <c r="K210" s="9">
        <f>Table1[[#This Row], [NUM OF MEM]]*Table1[[#This Row], [TOTAL TIME TAKEN]]*_xlfn.XLOOKUP(Table1[[#This Row], [EXIT]],Sheet1!$A$70:$A$71,Sheet1!$B$70:$B$71)*(1+_xlfn.XLOOKUP(Table1[[#This Row], [EXIT]],Sheet1!$A$70:$A$71,Sheet1!$C$70:$C$71))</f>
        <v>1722763.1249999993</v>
      </c>
      <c r="L210" s="13" t="s">
        <v>65</v>
      </c>
      <c r="M210" s="4">
        <f>IF(Table1[[#This Row], [EQUIPMENT]]="YES",Sheet1!$C$44*(1+Sheet1!$D$44),0)</f>
        <v>307500</v>
      </c>
      <c r="N210" s="4">
        <f>_xlfn.XLOOKUP(Table1[[#This Row], [ROOM]],Sheet1!$A$47:$A$66,Sheet1!$F$47:$F$66)</f>
        <v>18150000</v>
      </c>
      <c r="O210" s="9">
        <f>_xlfn.XLOOKUP(_xlfn.CONCAT(Table1[[#This Row], [TEAM]],Table1[[#This Row], [ROOM]]),'ROOM TIME'!$H$2:$H$121,'ROOM TIME'!$J$2:$J$121)</f>
        <v>40.149999999999984</v>
      </c>
      <c r="P210" s="9">
        <f>(INDEX(Sheet1!$X$48:$Z$67,MATCH(Table1[[#This Row], [ROOM]],Sheet1!$P$48:$P$67,0),MATCH(Table1[[#This Row], [WEAPON]],Sheet1!$X$47:$Z$47,0)))/Table1[[#This Row], [NUM OF MEM]]</f>
        <v>4.5999999999999996</v>
      </c>
      <c r="Q210" s="9">
        <f>Table1[[#This Row], [ROOM TIME]]+Table1[[#This Row], [GUARD TIME]]</f>
        <v>44.749999999999986</v>
      </c>
      <c r="R210" s="4">
        <f>Sheet1!$K$3*_xlfn.XLOOKUP(Table1[[#This Row], [DISGUISE]],Sheet1!$A$21:$A$23,Sheet1!$D$21:$D$23)</f>
        <v>69</v>
      </c>
      <c r="S210" s="9">
        <f>Table1[[#This Row], [TOTAL TIME]]-Table1[[#This Row], [TOTAL TIME TAKEN]]</f>
        <v>24.250000000000014</v>
      </c>
      <c r="T210" t="str">
        <f>IF(Table1[[#This Row], [TIME DIFFERENCE]]&gt;=0,"PASS","FAIL")</f>
        <v>PASS</v>
      </c>
      <c r="U210" s="9">
        <f>Table1[[#This Row], [TRC]]+Table1[[#This Row], [DRC]]+Table1[[#This Row], [WRC]]+Table1[[#This Row], [ERC]]+Table1[[#This Row], [EQRC]]</f>
        <v>8135163.1249999991</v>
      </c>
      <c r="V210" s="9">
        <f>Table1[[#This Row], [TOTAL COST]]+_xlfn.XLOOKUP(Table1[[#This Row], [TEAM]],Sheet1!$A$12:$A$17,Sheet1!$I$12:$I$17)</f>
        <v>8431663.125</v>
      </c>
      <c r="W210" s="9">
        <f>Table1[[#This Row], [LOOT]]-Table1[[#This Row], [TOTAL COST]]</f>
        <v>10014836.875</v>
      </c>
      <c r="X210" s="9">
        <f>IF(Table1[[#This Row], [PASS/FAIL]]="FAIL",0,Table1[[#This Row], [PROFIT]])</f>
        <v>10014836.875</v>
      </c>
    </row>
    <row r="211" spans="1:24" ht="19.5" customHeight="1" x14ac:dyDescent="0.45">
      <c r="A211" t="s">
        <v>16</v>
      </c>
      <c r="B211" s="14">
        <f>_xlfn.XLOOKUP(Table1[[#This Row], [TEAM]],Sheet1!$A$12:$A$17,Sheet1!$F$12:$F$17)</f>
        <v>2</v>
      </c>
      <c r="C211" s="14">
        <f>_xlfn.XLOOKUP(Table1[[#This Row], [TEAM]],Sheet1!$A$12:$A$17,Sheet1!$G$12:$G$17)</f>
        <v>6082800</v>
      </c>
      <c r="D211" t="s">
        <v>26</v>
      </c>
      <c r="E211" s="4">
        <f>_xlfn.XLOOKUP(Table1[[#This Row], [ROOM]],Sheet1!$A$47:$A$66,Sheet1!$B$47:$B$66)</f>
        <v>136</v>
      </c>
      <c r="F211" t="s">
        <v>62</v>
      </c>
      <c r="G21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" s="13" t="s">
        <v>66</v>
      </c>
      <c r="I211" s="4">
        <f>_xlfn.XLOOKUP(Table1[[#This Row], [WEAPON]],Sheet1!$A$27:$A$29,Sheet1!$B$27:$B$29)*Table1[[#This Row], [NUM OF MEM]]*(1+_xlfn.XLOOKUP(Table1[[#This Row], [WEAPON]],Sheet1!$A$27:$A$29,Sheet1!$C$27:$C$29))</f>
        <v>72000</v>
      </c>
      <c r="J211" t="s">
        <v>60</v>
      </c>
      <c r="K211" s="9">
        <f>Table1[[#This Row], [NUM OF MEM]]*Table1[[#This Row], [TOTAL TIME TAKEN]]*_xlfn.XLOOKUP(Table1[[#This Row], [EXIT]],Sheet1!$A$70:$A$71,Sheet1!$B$70:$B$71)*(1+_xlfn.XLOOKUP(Table1[[#This Row], [EXIT]],Sheet1!$A$70:$A$71,Sheet1!$C$70:$C$71))</f>
        <v>1663091.9999999995</v>
      </c>
      <c r="L211" s="13" t="s">
        <v>65</v>
      </c>
      <c r="M211" s="4">
        <f>IF(Table1[[#This Row], [EQUIPMENT]]="YES",Sheet1!$C$44*(1+Sheet1!$D$44),0)</f>
        <v>307500</v>
      </c>
      <c r="N211" s="4">
        <f>_xlfn.XLOOKUP(Table1[[#This Row], [ROOM]],Sheet1!$A$47:$A$66,Sheet1!$F$47:$F$66)</f>
        <v>18150000</v>
      </c>
      <c r="O211" s="9">
        <f>_xlfn.XLOOKUP(_xlfn.CONCAT(Table1[[#This Row], [TEAM]],Table1[[#This Row], [ROOM]]),'ROOM TIME'!$H$2:$H$121,'ROOM TIME'!$J$2:$J$121)</f>
        <v>57.299999999999976</v>
      </c>
      <c r="P211" s="9">
        <f>(INDEX(Sheet1!$X$48:$Z$67,MATCH(Table1[[#This Row], [ROOM]],Sheet1!$P$48:$P$67,0),MATCH(Table1[[#This Row], [WEAPON]],Sheet1!$X$47:$Z$47,0)))/Table1[[#This Row], [NUM OF MEM]]</f>
        <v>7.5</v>
      </c>
      <c r="Q211" s="9">
        <f>Table1[[#This Row], [ROOM TIME]]+Table1[[#This Row], [GUARD TIME]]</f>
        <v>64.799999999999983</v>
      </c>
      <c r="R211" s="4">
        <f>Sheet1!$K$3*_xlfn.XLOOKUP(Table1[[#This Row], [DISGUISE]],Sheet1!$A$21:$A$23,Sheet1!$D$21:$D$23)</f>
        <v>66</v>
      </c>
      <c r="S211" s="9">
        <f>Table1[[#This Row], [TOTAL TIME]]-Table1[[#This Row], [TOTAL TIME TAKEN]]</f>
        <v>1.2000000000000171</v>
      </c>
      <c r="T211" t="str">
        <f>IF(Table1[[#This Row], [TIME DIFFERENCE]]&gt;=0,"PASS","FAIL")</f>
        <v>PASS</v>
      </c>
      <c r="U211" s="4">
        <f>Table1[[#This Row], [TRC]]+Table1[[#This Row], [DRC]]+Table1[[#This Row], [WRC]]+Table1[[#This Row], [ERC]]+Table1[[#This Row], [EQRC]]</f>
        <v>8135792</v>
      </c>
      <c r="V211" s="4">
        <f>Table1[[#This Row], [TOTAL COST]]+_xlfn.XLOOKUP(Table1[[#This Row], [TEAM]],Sheet1!$A$12:$A$17,Sheet1!$I$12:$I$17)</f>
        <v>8439932</v>
      </c>
      <c r="W211" s="4">
        <f>Table1[[#This Row], [LOOT]]-Table1[[#This Row], [TOTAL COST]]</f>
        <v>10014208</v>
      </c>
      <c r="X211" s="4">
        <f>IF(Table1[[#This Row], [PASS/FAIL]]="FAIL",0,Table1[[#This Row], [PROFIT]])</f>
        <v>10014208</v>
      </c>
    </row>
    <row r="212" spans="1:24" ht="19.5" customHeight="1" x14ac:dyDescent="0.45">
      <c r="A212" t="s">
        <v>12</v>
      </c>
      <c r="B212" s="14">
        <f>_xlfn.XLOOKUP(Table1[[#This Row], [TEAM]],Sheet1!$A$12:$A$17,Sheet1!$F$12:$F$17)</f>
        <v>3</v>
      </c>
      <c r="C212" s="14">
        <f>_xlfn.XLOOKUP(Table1[[#This Row], [TEAM]],Sheet1!$A$12:$A$17,Sheet1!$G$12:$G$17)</f>
        <v>5988750</v>
      </c>
      <c r="D212" t="s">
        <v>26</v>
      </c>
      <c r="E212" s="4">
        <f>_xlfn.XLOOKUP(Table1[[#This Row], [ROOM]],Sheet1!$A$47:$A$66,Sheet1!$B$47:$B$66)</f>
        <v>136</v>
      </c>
      <c r="F212" t="s">
        <v>62</v>
      </c>
      <c r="G212" s="4">
        <f>_xlfn.XLOOKUP(Table1[[#This Row], [DISGUISE]],Sheet1!$A$21:$A$23,Sheet1!$B$21:$B$23)*Table1[[#This Row], [NUM OF MEM]]*(1+_xlfn.XLOOKUP(Table1[[#This Row], [DISGUISE]],Sheet1!$A$21:$A$23,Sheet1!$C$21:$C$23))</f>
        <v>15600</v>
      </c>
      <c r="H212" s="13" t="s">
        <v>59</v>
      </c>
      <c r="I212" s="4">
        <f>_xlfn.XLOOKUP(Table1[[#This Row], [WEAPON]],Sheet1!$A$27:$A$29,Sheet1!$B$27:$B$29)*Table1[[#This Row], [NUM OF MEM]]*(1+_xlfn.XLOOKUP(Table1[[#This Row], [WEAPON]],Sheet1!$A$27:$A$29,Sheet1!$C$27:$C$29))</f>
        <v>136500</v>
      </c>
      <c r="J212" t="s">
        <v>64</v>
      </c>
      <c r="K212" s="9">
        <f>Table1[[#This Row], [NUM OF MEM]]*Table1[[#This Row], [TOTAL TIME TAKEN]]*_xlfn.XLOOKUP(Table1[[#This Row], [EXIT]],Sheet1!$A$70:$A$71,Sheet1!$B$70:$B$71)*(1+_xlfn.XLOOKUP(Table1[[#This Row], [EXIT]],Sheet1!$A$70:$A$71,Sheet1!$C$70:$C$71))</f>
        <v>1688126.3999999992</v>
      </c>
      <c r="L212" s="13" t="s">
        <v>65</v>
      </c>
      <c r="M212" s="4">
        <f>IF(Table1[[#This Row], [EQUIPMENT]]="YES",Sheet1!$C$44*(1+Sheet1!$D$44),0)</f>
        <v>307500</v>
      </c>
      <c r="N212" s="4">
        <f>_xlfn.XLOOKUP(Table1[[#This Row], [ROOM]],Sheet1!$A$47:$A$66,Sheet1!$F$47:$F$66)</f>
        <v>18150000</v>
      </c>
      <c r="O212" s="9">
        <f>_xlfn.XLOOKUP(_xlfn.CONCAT(Table1[[#This Row], [TEAM]],Table1[[#This Row], [ROOM]]),'ROOM TIME'!$H$2:$H$121,'ROOM TIME'!$J$2:$J$121)</f>
        <v>38.818888888888871</v>
      </c>
      <c r="P212" s="9">
        <f>(INDEX(Sheet1!$X$48:$Z$67,MATCH(Table1[[#This Row], [ROOM]],Sheet1!$P$48:$P$67,0),MATCH(Table1[[#This Row], [WEAPON]],Sheet1!$X$47:$Z$47,0)))/Table1[[#This Row], [NUM OF MEM]]</f>
        <v>4.5999999999999996</v>
      </c>
      <c r="Q212" s="9">
        <f>Table1[[#This Row], [ROOM TIME]]+Table1[[#This Row], [GUARD TIME]]</f>
        <v>43.418888888888873</v>
      </c>
      <c r="R212" s="4">
        <f>Sheet1!$K$3*_xlfn.XLOOKUP(Table1[[#This Row], [DISGUISE]],Sheet1!$A$21:$A$23,Sheet1!$D$21:$D$23)</f>
        <v>66</v>
      </c>
      <c r="S212" s="9">
        <f>Table1[[#This Row], [TOTAL TIME]]-Table1[[#This Row], [TOTAL TIME TAKEN]]</f>
        <v>22.581111111111127</v>
      </c>
      <c r="T212" t="str">
        <f>IF(Table1[[#This Row], [TIME DIFFERENCE]]&gt;=0,"PASS","FAIL")</f>
        <v>PASS</v>
      </c>
      <c r="U212" s="9">
        <f>Table1[[#This Row], [TRC]]+Table1[[#This Row], [DRC]]+Table1[[#This Row], [WRC]]+Table1[[#This Row], [ERC]]+Table1[[#This Row], [EQRC]]</f>
        <v>8136476.3999999994</v>
      </c>
      <c r="V212" s="9">
        <f>Table1[[#This Row], [TOTAL COST]]+_xlfn.XLOOKUP(Table1[[#This Row], [TEAM]],Sheet1!$A$12:$A$17,Sheet1!$I$12:$I$17)</f>
        <v>8435913.8999999985</v>
      </c>
      <c r="W212" s="9">
        <f>Table1[[#This Row], [LOOT]]-Table1[[#This Row], [TOTAL COST]]</f>
        <v>10013523.600000001</v>
      </c>
      <c r="X212" s="9">
        <f>IF(Table1[[#This Row], [PASS/FAIL]]="FAIL",0,Table1[[#This Row], [PROFIT]])</f>
        <v>10013523.600000001</v>
      </c>
    </row>
    <row r="213" spans="1:24" ht="19.5" customHeight="1" x14ac:dyDescent="0.45">
      <c r="A213" t="s">
        <v>12</v>
      </c>
      <c r="B213" s="14">
        <f>_xlfn.XLOOKUP(Table1[[#This Row], [TEAM]],Sheet1!$A$12:$A$17,Sheet1!$F$12:$F$17)</f>
        <v>3</v>
      </c>
      <c r="C213" s="14">
        <f>_xlfn.XLOOKUP(Table1[[#This Row], [TEAM]],Sheet1!$A$12:$A$17,Sheet1!$G$12:$G$17)</f>
        <v>5988750</v>
      </c>
      <c r="D213" t="s">
        <v>33</v>
      </c>
      <c r="E213" s="4">
        <f>_xlfn.XLOOKUP(Table1[[#This Row], [ROOM]],Sheet1!$A$47:$A$66,Sheet1!$B$47:$B$66)</f>
        <v>356</v>
      </c>
      <c r="F213" t="s">
        <v>58</v>
      </c>
      <c r="G213" s="4">
        <f>_xlfn.XLOOKUP(Table1[[#This Row], [DISGUISE]],Sheet1!$A$21:$A$23,Sheet1!$B$21:$B$23)*Table1[[#This Row], [NUM OF MEM]]*(1+_xlfn.XLOOKUP(Table1[[#This Row], [DISGUISE]],Sheet1!$A$21:$A$23,Sheet1!$C$21:$C$23))</f>
        <v>38400</v>
      </c>
      <c r="H213" s="13" t="s">
        <v>63</v>
      </c>
      <c r="I213" s="4">
        <f>_xlfn.XLOOKUP(Table1[[#This Row], [WEAPON]],Sheet1!$A$27:$A$29,Sheet1!$B$27:$B$29)*Table1[[#This Row], [NUM OF MEM]]*(1+_xlfn.XLOOKUP(Table1[[#This Row], [WEAPON]],Sheet1!$A$27:$A$29,Sheet1!$C$27:$C$29))</f>
        <v>69000</v>
      </c>
      <c r="J213" t="s">
        <v>60</v>
      </c>
      <c r="K213" s="9">
        <f>Table1[[#This Row], [NUM OF MEM]]*Table1[[#This Row], [TOTAL TIME TAKEN]]*_xlfn.XLOOKUP(Table1[[#This Row], [EXIT]],Sheet1!$A$70:$A$71,Sheet1!$B$70:$B$71)*(1+_xlfn.XLOOKUP(Table1[[#This Row], [EXIT]],Sheet1!$A$70:$A$71,Sheet1!$C$70:$C$71))</f>
        <v>1683538.4499999993</v>
      </c>
      <c r="L213" s="13" t="s">
        <v>65</v>
      </c>
      <c r="M213" s="4">
        <f>IF(Table1[[#This Row], [EQUIPMENT]]="YES",Sheet1!$C$44*(1+Sheet1!$D$44),0)</f>
        <v>307500</v>
      </c>
      <c r="N213" s="4">
        <f>_xlfn.XLOOKUP(Table1[[#This Row], [ROOM]],Sheet1!$A$47:$A$66,Sheet1!$F$47:$F$66)</f>
        <v>18100000</v>
      </c>
      <c r="O213" s="9">
        <f>_xlfn.XLOOKUP(_xlfn.CONCAT(Table1[[#This Row], [TEAM]],Table1[[#This Row], [ROOM]]),'ROOM TIME'!$H$2:$H$121,'ROOM TIME'!$J$2:$J$121)</f>
        <v>38.331111111111092</v>
      </c>
      <c r="P213" s="9">
        <f>(INDEX(Sheet1!$X$48:$Z$67,MATCH(Table1[[#This Row], [ROOM]],Sheet1!$P$48:$P$67,0),MATCH(Table1[[#This Row], [WEAPON]],Sheet1!$X$47:$Z$47,0)))/Table1[[#This Row], [NUM OF MEM]]</f>
        <v>5.4000000000000012</v>
      </c>
      <c r="Q213" s="9">
        <f>Table1[[#This Row], [ROOM TIME]]+Table1[[#This Row], [GUARD TIME]]</f>
        <v>43.73111111111109</v>
      </c>
      <c r="R213" s="4">
        <f>Sheet1!$K$3*_xlfn.XLOOKUP(Table1[[#This Row], [DISGUISE]],Sheet1!$A$21:$A$23,Sheet1!$D$21:$D$23)</f>
        <v>69</v>
      </c>
      <c r="S213" s="9">
        <f>Table1[[#This Row], [TOTAL TIME]]-Table1[[#This Row], [TOTAL TIME TAKEN]]</f>
        <v>25.26888888888891</v>
      </c>
      <c r="T213" t="str">
        <f>IF(Table1[[#This Row], [TIME DIFFERENCE]]&gt;=0,"PASS","FAIL")</f>
        <v>PASS</v>
      </c>
      <c r="U213" s="9">
        <f>Table1[[#This Row], [TRC]]+Table1[[#This Row], [DRC]]+Table1[[#This Row], [WRC]]+Table1[[#This Row], [ERC]]+Table1[[#This Row], [EQRC]]</f>
        <v>8087188.4499999993</v>
      </c>
      <c r="V213" s="9">
        <f>Table1[[#This Row], [TOTAL COST]]+_xlfn.XLOOKUP(Table1[[#This Row], [TEAM]],Sheet1!$A$12:$A$17,Sheet1!$I$12:$I$17)</f>
        <v>8386625.9499999993</v>
      </c>
      <c r="W213" s="9">
        <f>Table1[[#This Row], [LOOT]]-Table1[[#This Row], [TOTAL COST]]</f>
        <v>10012811.550000001</v>
      </c>
      <c r="X213" s="9">
        <f>IF(Table1[[#This Row], [PASS/FAIL]]="FAIL",0,Table1[[#This Row], [PROFIT]])</f>
        <v>10012811.550000001</v>
      </c>
    </row>
    <row r="214" spans="1:24" ht="19.5" customHeight="1" x14ac:dyDescent="0.45">
      <c r="A214" t="s">
        <v>12</v>
      </c>
      <c r="B214" s="14">
        <f>_xlfn.XLOOKUP(Table1[[#This Row], [TEAM]],Sheet1!$A$12:$A$17,Sheet1!$F$12:$F$17)</f>
        <v>3</v>
      </c>
      <c r="C214" s="14">
        <f>_xlfn.XLOOKUP(Table1[[#This Row], [TEAM]],Sheet1!$A$12:$A$17,Sheet1!$G$12:$G$17)</f>
        <v>5988750</v>
      </c>
      <c r="D214" t="s">
        <v>33</v>
      </c>
      <c r="E214" s="4">
        <f>_xlfn.XLOOKUP(Table1[[#This Row], [ROOM]],Sheet1!$A$47:$A$66,Sheet1!$B$47:$B$66)</f>
        <v>356</v>
      </c>
      <c r="F214" t="s">
        <v>62</v>
      </c>
      <c r="G214" s="4">
        <f>_xlfn.XLOOKUP(Table1[[#This Row], [DISGUISE]],Sheet1!$A$21:$A$23,Sheet1!$B$21:$B$23)*Table1[[#This Row], [NUM OF MEM]]*(1+_xlfn.XLOOKUP(Table1[[#This Row], [DISGUISE]],Sheet1!$A$21:$A$23,Sheet1!$C$21:$C$23))</f>
        <v>15600</v>
      </c>
      <c r="H214" s="13" t="s">
        <v>66</v>
      </c>
      <c r="I214" s="4">
        <f>_xlfn.XLOOKUP(Table1[[#This Row], [WEAPON]],Sheet1!$A$27:$A$29,Sheet1!$B$27:$B$29)*Table1[[#This Row], [NUM OF MEM]]*(1+_xlfn.XLOOKUP(Table1[[#This Row], [WEAPON]],Sheet1!$A$27:$A$29,Sheet1!$C$27:$C$29))</f>
        <v>108000</v>
      </c>
      <c r="J214" t="s">
        <v>60</v>
      </c>
      <c r="K214" s="9">
        <f>Table1[[#This Row], [NUM OF MEM]]*Table1[[#This Row], [TOTAL TIME TAKEN]]*_xlfn.XLOOKUP(Table1[[#This Row], [EXIT]],Sheet1!$A$70:$A$71,Sheet1!$B$70:$B$71)*(1+_xlfn.XLOOKUP(Table1[[#This Row], [EXIT]],Sheet1!$A$70:$A$71,Sheet1!$C$70:$C$71))</f>
        <v>1668139.4499999993</v>
      </c>
      <c r="L214" s="13" t="s">
        <v>65</v>
      </c>
      <c r="M214" s="4">
        <f>IF(Table1[[#This Row], [EQUIPMENT]]="YES",Sheet1!$C$44*(1+Sheet1!$D$44),0)</f>
        <v>307500</v>
      </c>
      <c r="N214" s="4">
        <f>_xlfn.XLOOKUP(Table1[[#This Row], [ROOM]],Sheet1!$A$47:$A$66,Sheet1!$F$47:$F$66)</f>
        <v>18100000</v>
      </c>
      <c r="O214" s="9">
        <f>_xlfn.XLOOKUP(_xlfn.CONCAT(Table1[[#This Row], [TEAM]],Table1[[#This Row], [ROOM]]),'ROOM TIME'!$H$2:$H$121,'ROOM TIME'!$J$2:$J$121)</f>
        <v>38.331111111111092</v>
      </c>
      <c r="P214" s="4">
        <f>(INDEX(Sheet1!$X$48:$Z$67,MATCH(Table1[[#This Row], [ROOM]],Sheet1!$P$48:$P$67,0),MATCH(Table1[[#This Row], [WEAPON]],Sheet1!$X$47:$Z$47,0)))/Table1[[#This Row], [NUM OF MEM]]</f>
        <v>5</v>
      </c>
      <c r="Q214" s="9">
        <f>Table1[[#This Row], [ROOM TIME]]+Table1[[#This Row], [GUARD TIME]]</f>
        <v>43.331111111111092</v>
      </c>
      <c r="R214" s="4">
        <f>Sheet1!$K$3*_xlfn.XLOOKUP(Table1[[#This Row], [DISGUISE]],Sheet1!$A$21:$A$23,Sheet1!$D$21:$D$23)</f>
        <v>66</v>
      </c>
      <c r="S214" s="9">
        <f>Table1[[#This Row], [TOTAL TIME]]-Table1[[#This Row], [TOTAL TIME TAKEN]]</f>
        <v>22.668888888888908</v>
      </c>
      <c r="T214" t="str">
        <f>IF(Table1[[#This Row], [TIME DIFFERENCE]]&gt;=0,"PASS","FAIL")</f>
        <v>PASS</v>
      </c>
      <c r="U214" s="9">
        <f>Table1[[#This Row], [TRC]]+Table1[[#This Row], [DRC]]+Table1[[#This Row], [WRC]]+Table1[[#This Row], [ERC]]+Table1[[#This Row], [EQRC]]</f>
        <v>8087989.4499999993</v>
      </c>
      <c r="V214" s="9">
        <f>Table1[[#This Row], [TOTAL COST]]+_xlfn.XLOOKUP(Table1[[#This Row], [TEAM]],Sheet1!$A$12:$A$17,Sheet1!$I$12:$I$17)</f>
        <v>8387426.9499999993</v>
      </c>
      <c r="W214" s="9">
        <f>Table1[[#This Row], [LOOT]]-Table1[[#This Row], [TOTAL COST]]</f>
        <v>10012010.550000001</v>
      </c>
      <c r="X214" s="9">
        <f>IF(Table1[[#This Row], [PASS/FAIL]]="FAIL",0,Table1[[#This Row], [PROFIT]])</f>
        <v>10012010.550000001</v>
      </c>
    </row>
    <row r="215" spans="1:24" ht="19.5" customHeight="1" x14ac:dyDescent="0.45">
      <c r="A215" t="s">
        <v>13</v>
      </c>
      <c r="B215" s="14">
        <f>_xlfn.XLOOKUP(Table1[[#This Row], [TEAM]],Sheet1!$A$12:$A$17,Sheet1!$F$12:$F$17)</f>
        <v>3</v>
      </c>
      <c r="C215" s="14">
        <f>_xlfn.XLOOKUP(Table1[[#This Row], [TEAM]],Sheet1!$A$12:$A$17,Sheet1!$G$12:$G$17)</f>
        <v>5930000</v>
      </c>
      <c r="D215" t="s">
        <v>26</v>
      </c>
      <c r="E215" s="4">
        <f>_xlfn.XLOOKUP(Table1[[#This Row], [ROOM]],Sheet1!$A$47:$A$66,Sheet1!$B$47:$B$66)</f>
        <v>136</v>
      </c>
      <c r="F215" t="s">
        <v>58</v>
      </c>
      <c r="G215" s="4">
        <f>_xlfn.XLOOKUP(Table1[[#This Row], [DISGUISE]],Sheet1!$A$21:$A$23,Sheet1!$B$21:$B$23)*Table1[[#This Row], [NUM OF MEM]]*(1+_xlfn.XLOOKUP(Table1[[#This Row], [DISGUISE]],Sheet1!$A$21:$A$23,Sheet1!$C$21:$C$23))</f>
        <v>38400</v>
      </c>
      <c r="H215" s="13" t="s">
        <v>66</v>
      </c>
      <c r="I215" s="4">
        <f>_xlfn.XLOOKUP(Table1[[#This Row], [WEAPON]],Sheet1!$A$27:$A$29,Sheet1!$B$27:$B$29)*Table1[[#This Row], [NUM OF MEM]]*(1+_xlfn.XLOOKUP(Table1[[#This Row], [WEAPON]],Sheet1!$A$27:$A$29,Sheet1!$C$27:$C$29))</f>
        <v>108000</v>
      </c>
      <c r="J215" t="s">
        <v>64</v>
      </c>
      <c r="K215" s="9">
        <f>Table1[[#This Row], [NUM OF MEM]]*Table1[[#This Row], [TOTAL TIME TAKEN]]*_xlfn.XLOOKUP(Table1[[#This Row], [EXIT]],Sheet1!$A$70:$A$71,Sheet1!$B$70:$B$71)*(1+_xlfn.XLOOKUP(Table1[[#This Row], [EXIT]],Sheet1!$A$70:$A$71,Sheet1!$C$70:$C$71))</f>
        <v>1755431.9999999993</v>
      </c>
      <c r="L215" s="13" t="s">
        <v>65</v>
      </c>
      <c r="M215" s="4">
        <f>IF(Table1[[#This Row], [EQUIPMENT]]="YES",Sheet1!$C$44*(1+Sheet1!$D$44),0)</f>
        <v>307500</v>
      </c>
      <c r="N215" s="4">
        <f>_xlfn.XLOOKUP(Table1[[#This Row], [ROOM]],Sheet1!$A$47:$A$66,Sheet1!$F$47:$F$66)</f>
        <v>18150000</v>
      </c>
      <c r="O215" s="9">
        <f>_xlfn.XLOOKUP(_xlfn.CONCAT(Table1[[#This Row], [TEAM]],Table1[[#This Row], [ROOM]]),'ROOM TIME'!$H$2:$H$121,'ROOM TIME'!$J$2:$J$121)</f>
        <v>40.149999999999984</v>
      </c>
      <c r="P215" s="4">
        <f>(INDEX(Sheet1!$X$48:$Z$67,MATCH(Table1[[#This Row], [ROOM]],Sheet1!$P$48:$P$67,0),MATCH(Table1[[#This Row], [WEAPON]],Sheet1!$X$47:$Z$47,0)))/Table1[[#This Row], [NUM OF MEM]]</f>
        <v>5</v>
      </c>
      <c r="Q215" s="9">
        <f>Table1[[#This Row], [ROOM TIME]]+Table1[[#This Row], [GUARD TIME]]</f>
        <v>45.149999999999984</v>
      </c>
      <c r="R215" s="4">
        <f>Sheet1!$K$3*_xlfn.XLOOKUP(Table1[[#This Row], [DISGUISE]],Sheet1!$A$21:$A$23,Sheet1!$D$21:$D$23)</f>
        <v>69</v>
      </c>
      <c r="S215" s="9">
        <f>Table1[[#This Row], [TOTAL TIME]]-Table1[[#This Row], [TOTAL TIME TAKEN]]</f>
        <v>23.850000000000016</v>
      </c>
      <c r="T215" t="str">
        <f>IF(Table1[[#This Row], [TIME DIFFERENCE]]&gt;=0,"PASS","FAIL")</f>
        <v>PASS</v>
      </c>
      <c r="U215" s="9">
        <f>Table1[[#This Row], [TRC]]+Table1[[#This Row], [DRC]]+Table1[[#This Row], [WRC]]+Table1[[#This Row], [ERC]]+Table1[[#This Row], [EQRC]]</f>
        <v>8139331.9999999991</v>
      </c>
      <c r="V215" s="4">
        <f>Table1[[#This Row], [TOTAL COST]]+_xlfn.XLOOKUP(Table1[[#This Row], [TEAM]],Sheet1!$A$12:$A$17,Sheet1!$I$12:$I$17)</f>
        <v>8435832</v>
      </c>
      <c r="W215" s="4">
        <f>Table1[[#This Row], [LOOT]]-Table1[[#This Row], [TOTAL COST]]</f>
        <v>10010668</v>
      </c>
      <c r="X215" s="4">
        <f>IF(Table1[[#This Row], [PASS/FAIL]]="FAIL",0,Table1[[#This Row], [PROFIT]])</f>
        <v>10010668</v>
      </c>
    </row>
    <row r="216" spans="1:24" ht="19.5" customHeight="1" x14ac:dyDescent="0.45">
      <c r="A216" t="s">
        <v>16</v>
      </c>
      <c r="B216" s="14">
        <f>_xlfn.XLOOKUP(Table1[[#This Row], [TEAM]],Sheet1!$A$12:$A$17,Sheet1!$F$12:$F$17)</f>
        <v>2</v>
      </c>
      <c r="C216" s="14">
        <f>_xlfn.XLOOKUP(Table1[[#This Row], [TEAM]],Sheet1!$A$12:$A$17,Sheet1!$G$12:$G$17)</f>
        <v>6082800</v>
      </c>
      <c r="D216" t="s">
        <v>32</v>
      </c>
      <c r="E216" s="4">
        <f>_xlfn.XLOOKUP(Table1[[#This Row], [ROOM]],Sheet1!$A$47:$A$66,Sheet1!$B$47:$B$66)</f>
        <v>346</v>
      </c>
      <c r="F216" t="s">
        <v>58</v>
      </c>
      <c r="G216" s="4">
        <f>_xlfn.XLOOKUP(Table1[[#This Row], [DISGUISE]],Sheet1!$A$21:$A$23,Sheet1!$B$21:$B$23)*Table1[[#This Row], [NUM OF MEM]]*(1+_xlfn.XLOOKUP(Table1[[#This Row], [DISGUISE]],Sheet1!$A$21:$A$23,Sheet1!$C$21:$C$23))</f>
        <v>25600</v>
      </c>
      <c r="H216" s="13" t="s">
        <v>66</v>
      </c>
      <c r="I216" s="4">
        <f>_xlfn.XLOOKUP(Table1[[#This Row], [WEAPON]],Sheet1!$A$27:$A$29,Sheet1!$B$27:$B$29)*Table1[[#This Row], [NUM OF MEM]]*(1+_xlfn.XLOOKUP(Table1[[#This Row], [WEAPON]],Sheet1!$A$27:$A$29,Sheet1!$C$27:$C$29))</f>
        <v>72000</v>
      </c>
      <c r="J216" t="s">
        <v>64</v>
      </c>
      <c r="K216" s="9">
        <f>Table1[[#This Row], [NUM OF MEM]]*Table1[[#This Row], [TOTAL TIME TAKEN]]*_xlfn.XLOOKUP(Table1[[#This Row], [EXIT]],Sheet1!$A$70:$A$71,Sheet1!$B$70:$B$71)*(1+_xlfn.XLOOKUP(Table1[[#This Row], [EXIT]],Sheet1!$A$70:$A$71,Sheet1!$C$70:$C$71))</f>
        <v>1701485.9999999993</v>
      </c>
      <c r="L216" s="13" t="s">
        <v>65</v>
      </c>
      <c r="M216" s="4">
        <f>IF(Table1[[#This Row], [EQUIPMENT]]="YES",Sheet1!$C$44*(1+Sheet1!$D$44),0)</f>
        <v>307500</v>
      </c>
      <c r="N216" s="4">
        <f>_xlfn.XLOOKUP(Table1[[#This Row], [ROOM]],Sheet1!$A$47:$A$66,Sheet1!$F$47:$F$66)</f>
        <v>18200000</v>
      </c>
      <c r="O216" s="9">
        <f>_xlfn.XLOOKUP(_xlfn.CONCAT(Table1[[#This Row], [TEAM]],Table1[[#This Row], [ROOM]]),'ROOM TIME'!$H$2:$H$121,'ROOM TIME'!$J$2:$J$121)</f>
        <v>57.518749999999976</v>
      </c>
      <c r="P216" s="9">
        <f>(INDEX(Sheet1!$X$48:$Z$67,MATCH(Table1[[#This Row], [ROOM]],Sheet1!$P$48:$P$67,0),MATCH(Table1[[#This Row], [WEAPON]],Sheet1!$X$47:$Z$47,0)))/Table1[[#This Row], [NUM OF MEM]]</f>
        <v>8.125</v>
      </c>
      <c r="Q216" s="9">
        <f>Table1[[#This Row], [ROOM TIME]]+Table1[[#This Row], [GUARD TIME]]</f>
        <v>65.643749999999983</v>
      </c>
      <c r="R216" s="4">
        <f>Sheet1!$K$3*_xlfn.XLOOKUP(Table1[[#This Row], [DISGUISE]],Sheet1!$A$21:$A$23,Sheet1!$D$21:$D$23)</f>
        <v>69</v>
      </c>
      <c r="S216" s="9">
        <f>Table1[[#This Row], [TOTAL TIME]]-Table1[[#This Row], [TOTAL TIME TAKEN]]</f>
        <v>3.3562500000000171</v>
      </c>
      <c r="T216" t="str">
        <f>IF(Table1[[#This Row], [TIME DIFFERENCE]]&gt;=0,"PASS","FAIL")</f>
        <v>PASS</v>
      </c>
      <c r="U216" s="9">
        <f>Table1[[#This Row], [TRC]]+Table1[[#This Row], [DRC]]+Table1[[#This Row], [WRC]]+Table1[[#This Row], [ERC]]+Table1[[#This Row], [EQRC]]</f>
        <v>8189385.9999999991</v>
      </c>
      <c r="V216" s="4">
        <f>Table1[[#This Row], [TOTAL COST]]+_xlfn.XLOOKUP(Table1[[#This Row], [TEAM]],Sheet1!$A$12:$A$17,Sheet1!$I$12:$I$17)</f>
        <v>8493526</v>
      </c>
      <c r="W216" s="4">
        <f>Table1[[#This Row], [LOOT]]-Table1[[#This Row], [TOTAL COST]]</f>
        <v>10010614</v>
      </c>
      <c r="X216" s="4">
        <f>IF(Table1[[#This Row], [PASS/FAIL]]="FAIL",0,Table1[[#This Row], [PROFIT]])</f>
        <v>10010614</v>
      </c>
    </row>
    <row r="217" spans="1:24" ht="19.5" customHeight="1" x14ac:dyDescent="0.45">
      <c r="A217" t="s">
        <v>16</v>
      </c>
      <c r="B217" s="14">
        <f>_xlfn.XLOOKUP(Table1[[#This Row], [TEAM]],Sheet1!$A$12:$A$17,Sheet1!$F$12:$F$17)</f>
        <v>2</v>
      </c>
      <c r="C217" s="14">
        <f>_xlfn.XLOOKUP(Table1[[#This Row], [TEAM]],Sheet1!$A$12:$A$17,Sheet1!$G$12:$G$17)</f>
        <v>6082800</v>
      </c>
      <c r="D217" t="s">
        <v>26</v>
      </c>
      <c r="E217" s="4">
        <f>_xlfn.XLOOKUP(Table1[[#This Row], [ROOM]],Sheet1!$A$47:$A$66,Sheet1!$B$47:$B$66)</f>
        <v>136</v>
      </c>
      <c r="F217" t="s">
        <v>62</v>
      </c>
      <c r="G21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7" s="13" t="s">
        <v>59</v>
      </c>
      <c r="I217" s="4">
        <f>_xlfn.XLOOKUP(Table1[[#This Row], [WEAPON]],Sheet1!$A$27:$A$29,Sheet1!$B$27:$B$29)*Table1[[#This Row], [NUM OF MEM]]*(1+_xlfn.XLOOKUP(Table1[[#This Row], [WEAPON]],Sheet1!$A$27:$A$29,Sheet1!$C$27:$C$29))</f>
        <v>91000</v>
      </c>
      <c r="J217" t="s">
        <v>60</v>
      </c>
      <c r="K217" s="9">
        <f>Table1[[#This Row], [NUM OF MEM]]*Table1[[#This Row], [TOTAL TIME TAKEN]]*_xlfn.XLOOKUP(Table1[[#This Row], [EXIT]],Sheet1!$A$70:$A$71,Sheet1!$B$70:$B$71)*(1+_xlfn.XLOOKUP(Table1[[#This Row], [EXIT]],Sheet1!$A$70:$A$71,Sheet1!$C$70:$C$71))</f>
        <v>1647692.9999999993</v>
      </c>
      <c r="L217" s="13" t="s">
        <v>65</v>
      </c>
      <c r="M217" s="4">
        <f>IF(Table1[[#This Row], [EQUIPMENT]]="YES",Sheet1!$C$44*(1+Sheet1!$D$44),0)</f>
        <v>307500</v>
      </c>
      <c r="N217" s="4">
        <f>_xlfn.XLOOKUP(Table1[[#This Row], [ROOM]],Sheet1!$A$47:$A$66,Sheet1!$F$47:$F$66)</f>
        <v>18150000</v>
      </c>
      <c r="O217" s="9">
        <f>_xlfn.XLOOKUP(_xlfn.CONCAT(Table1[[#This Row], [TEAM]],Table1[[#This Row], [ROOM]]),'ROOM TIME'!$H$2:$H$121,'ROOM TIME'!$J$2:$J$121)</f>
        <v>57.299999999999976</v>
      </c>
      <c r="P217" s="9">
        <f>(INDEX(Sheet1!$X$48:$Z$67,MATCH(Table1[[#This Row], [ROOM]],Sheet1!$P$48:$P$67,0),MATCH(Table1[[#This Row], [WEAPON]],Sheet1!$X$47:$Z$47,0)))/Table1[[#This Row], [NUM OF MEM]]</f>
        <v>6.8999999999999995</v>
      </c>
      <c r="Q217" s="9">
        <f>Table1[[#This Row], [ROOM TIME]]+Table1[[#This Row], [GUARD TIME]]</f>
        <v>64.199999999999974</v>
      </c>
      <c r="R217" s="4">
        <f>Sheet1!$K$3*_xlfn.XLOOKUP(Table1[[#This Row], [DISGUISE]],Sheet1!$A$21:$A$23,Sheet1!$D$21:$D$23)</f>
        <v>66</v>
      </c>
      <c r="S217" s="9">
        <f>Table1[[#This Row], [TOTAL TIME]]-Table1[[#This Row], [TOTAL TIME TAKEN]]</f>
        <v>1.8000000000000256</v>
      </c>
      <c r="T217" t="str">
        <f>IF(Table1[[#This Row], [TIME DIFFERENCE]]&gt;=0,"PASS","FAIL")</f>
        <v>PASS</v>
      </c>
      <c r="U217" s="9">
        <f>Table1[[#This Row], [TRC]]+Table1[[#This Row], [DRC]]+Table1[[#This Row], [WRC]]+Table1[[#This Row], [ERC]]+Table1[[#This Row], [EQRC]]</f>
        <v>8139392.9999999991</v>
      </c>
      <c r="V217" s="4">
        <f>Table1[[#This Row], [TOTAL COST]]+_xlfn.XLOOKUP(Table1[[#This Row], [TEAM]],Sheet1!$A$12:$A$17,Sheet1!$I$12:$I$17)</f>
        <v>8443533</v>
      </c>
      <c r="W217" s="4">
        <f>Table1[[#This Row], [LOOT]]-Table1[[#This Row], [TOTAL COST]]</f>
        <v>10010607</v>
      </c>
      <c r="X217" s="4">
        <f>IF(Table1[[#This Row], [PASS/FAIL]]="FAIL",0,Table1[[#This Row], [PROFIT]])</f>
        <v>10010607</v>
      </c>
    </row>
    <row r="218" spans="1:24" ht="19.5" customHeight="1" x14ac:dyDescent="0.45">
      <c r="A218" t="s">
        <v>16</v>
      </c>
      <c r="B218" s="14">
        <f>_xlfn.XLOOKUP(Table1[[#This Row], [TEAM]],Sheet1!$A$12:$A$17,Sheet1!$F$12:$F$17)</f>
        <v>2</v>
      </c>
      <c r="C218" s="14">
        <f>_xlfn.XLOOKUP(Table1[[#This Row], [TEAM]],Sheet1!$A$12:$A$17,Sheet1!$G$12:$G$17)</f>
        <v>6082800</v>
      </c>
      <c r="D218" t="s">
        <v>19</v>
      </c>
      <c r="E218" s="4">
        <f>_xlfn.XLOOKUP(Table1[[#This Row], [ROOM]],Sheet1!$A$47:$A$66,Sheet1!$B$47:$B$66)</f>
        <v>135</v>
      </c>
      <c r="F218" t="s">
        <v>58</v>
      </c>
      <c r="G218" s="4">
        <f>_xlfn.XLOOKUP(Table1[[#This Row], [DISGUISE]],Sheet1!$A$21:$A$23,Sheet1!$B$21:$B$23)*Table1[[#This Row], [NUM OF MEM]]*(1+_xlfn.XLOOKUP(Table1[[#This Row], [DISGUISE]],Sheet1!$A$21:$A$23,Sheet1!$C$21:$C$23))</f>
        <v>25600</v>
      </c>
      <c r="H218" s="13" t="s">
        <v>59</v>
      </c>
      <c r="I218" s="4">
        <f>_xlfn.XLOOKUP(Table1[[#This Row], [WEAPON]],Sheet1!$A$27:$A$29,Sheet1!$B$27:$B$29)*Table1[[#This Row], [NUM OF MEM]]*(1+_xlfn.XLOOKUP(Table1[[#This Row], [WEAPON]],Sheet1!$A$27:$A$29,Sheet1!$C$27:$C$29))</f>
        <v>91000</v>
      </c>
      <c r="J218" t="s">
        <v>64</v>
      </c>
      <c r="K218" s="9">
        <f>Table1[[#This Row], [NUM OF MEM]]*Table1[[#This Row], [TOTAL TIME TAKEN]]*_xlfn.XLOOKUP(Table1[[#This Row], [EXIT]],Sheet1!$A$70:$A$71,Sheet1!$B$70:$B$71)*(1+_xlfn.XLOOKUP(Table1[[#This Row], [EXIT]],Sheet1!$A$70:$A$71,Sheet1!$C$70:$C$71))</f>
        <v>1740398.3999999994</v>
      </c>
      <c r="L218" s="13" t="s">
        <v>61</v>
      </c>
      <c r="M218" s="4">
        <f>IF(Table1[[#This Row], [EQUIPMENT]]="YES",Sheet1!$C$44*(1+Sheet1!$D$44),0)</f>
        <v>0</v>
      </c>
      <c r="N218" s="4">
        <f>_xlfn.XLOOKUP(Table1[[#This Row], [ROOM]],Sheet1!$A$47:$A$66,Sheet1!$F$47:$F$66)</f>
        <v>17950000</v>
      </c>
      <c r="O218" s="9">
        <f>_xlfn.XLOOKUP(_xlfn.CONCAT(Table1[[#This Row], [TEAM]],Table1[[#This Row], [ROOM]]),'ROOM TIME'!$H$2:$H$121,'ROOM TIME'!$J$2:$J$121)</f>
        <v>60.819999999999979</v>
      </c>
      <c r="P218" s="9">
        <f>(INDEX(Sheet1!$X$48:$Z$67,MATCH(Table1[[#This Row], [ROOM]],Sheet1!$P$48:$P$67,0),MATCH(Table1[[#This Row], [WEAPON]],Sheet1!$X$47:$Z$47,0)))/Table1[[#This Row], [NUM OF MEM]]</f>
        <v>6.3249999999999993</v>
      </c>
      <c r="Q218" s="9">
        <f>Table1[[#This Row], [ROOM TIME]]+Table1[[#This Row], [GUARD TIME]]</f>
        <v>67.144999999999982</v>
      </c>
      <c r="R218" s="4">
        <f>Sheet1!$K$3*_xlfn.XLOOKUP(Table1[[#This Row], [DISGUISE]],Sheet1!$A$21:$A$23,Sheet1!$D$21:$D$23)</f>
        <v>69</v>
      </c>
      <c r="S218" s="9">
        <f>Table1[[#This Row], [TOTAL TIME]]-Table1[[#This Row], [TOTAL TIME TAKEN]]</f>
        <v>1.8550000000000182</v>
      </c>
      <c r="T218" t="str">
        <f>IF(Table1[[#This Row], [TIME DIFFERENCE]]&gt;=0,"PASS","FAIL")</f>
        <v>PASS</v>
      </c>
      <c r="U218" s="9">
        <f>Table1[[#This Row], [TRC]]+Table1[[#This Row], [DRC]]+Table1[[#This Row], [WRC]]+Table1[[#This Row], [ERC]]+Table1[[#This Row], [EQRC]]</f>
        <v>7939798.3999999994</v>
      </c>
      <c r="V218" s="9">
        <f>Table1[[#This Row], [TOTAL COST]]+_xlfn.XLOOKUP(Table1[[#This Row], [TEAM]],Sheet1!$A$12:$A$17,Sheet1!$I$12:$I$17)</f>
        <v>8243938.3999999994</v>
      </c>
      <c r="W218" s="9">
        <f>Table1[[#This Row], [LOOT]]-Table1[[#This Row], [TOTAL COST]]</f>
        <v>10010201.600000001</v>
      </c>
      <c r="X218" s="9">
        <f>IF(Table1[[#This Row], [PASS/FAIL]]="FAIL",0,Table1[[#This Row], [PROFIT]])</f>
        <v>10010201.600000001</v>
      </c>
    </row>
    <row r="219" spans="1:24" ht="19.5" customHeight="1" x14ac:dyDescent="0.45">
      <c r="A219" t="s">
        <v>16</v>
      </c>
      <c r="B219" s="14">
        <f>_xlfn.XLOOKUP(Table1[[#This Row], [TEAM]],Sheet1!$A$12:$A$17,Sheet1!$F$12:$F$17)</f>
        <v>2</v>
      </c>
      <c r="C219" s="14">
        <f>_xlfn.XLOOKUP(Table1[[#This Row], [TEAM]],Sheet1!$A$12:$A$17,Sheet1!$G$12:$G$17)</f>
        <v>6082800</v>
      </c>
      <c r="D219" t="s">
        <v>26</v>
      </c>
      <c r="E219" s="4">
        <f>_xlfn.XLOOKUP(Table1[[#This Row], [ROOM]],Sheet1!$A$47:$A$66,Sheet1!$B$47:$B$66)</f>
        <v>136</v>
      </c>
      <c r="F219" t="s">
        <v>58</v>
      </c>
      <c r="G219" s="4">
        <f>_xlfn.XLOOKUP(Table1[[#This Row], [DISGUISE]],Sheet1!$A$21:$A$23,Sheet1!$B$21:$B$23)*Table1[[#This Row], [NUM OF MEM]]*(1+_xlfn.XLOOKUP(Table1[[#This Row], [DISGUISE]],Sheet1!$A$21:$A$23,Sheet1!$C$21:$C$23))</f>
        <v>25600</v>
      </c>
      <c r="H219" s="13" t="s">
        <v>63</v>
      </c>
      <c r="I219" s="4">
        <f>_xlfn.XLOOKUP(Table1[[#This Row], [WEAPON]],Sheet1!$A$27:$A$29,Sheet1!$B$27:$B$29)*Table1[[#This Row], [NUM OF MEM]]*(1+_xlfn.XLOOKUP(Table1[[#This Row], [WEAPON]],Sheet1!$A$27:$A$29,Sheet1!$C$27:$C$29))</f>
        <v>46000</v>
      </c>
      <c r="J219" t="s">
        <v>60</v>
      </c>
      <c r="K219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1678490.9999999993</v>
      </c>
      <c r="L219" s="13" t="s">
        <v>65</v>
      </c>
      <c r="M219" s="4">
        <f>IF(Table1[[#This Row], [EQUIPMENT]]="YES",Sheet1!$C$44*(1+Sheet1!$D$44),0)</f>
        <v>307500</v>
      </c>
      <c r="N219" s="4">
        <f>_xlfn.XLOOKUP(Table1[[#This Row], [ROOM]],Sheet1!$A$47:$A$66,Sheet1!$F$47:$F$66)</f>
        <v>18150000</v>
      </c>
      <c r="O219" s="9">
        <f>_xlfn.XLOOKUP(_xlfn.CONCAT(Table1[[#This Row], [TEAM]],Table1[[#This Row], [ROOM]]),'ROOM TIME'!$H$2:$H$121,'ROOM TIME'!$J$2:$J$121)</f>
        <v>57.299999999999976</v>
      </c>
      <c r="P219" s="9">
        <f>(INDEX(Sheet1!$X$48:$Z$67,MATCH(Table1[[#This Row], [ROOM]],Sheet1!$P$48:$P$67,0),MATCH(Table1[[#This Row], [WEAPON]],Sheet1!$X$47:$Z$47,0)))/Table1[[#This Row], [NUM OF MEM]]</f>
        <v>8.1000000000000014</v>
      </c>
      <c r="Q219" s="9">
        <f>Table1[[#This Row], [ROOM TIME]]+Table1[[#This Row], [GUARD TIME]]</f>
        <v>65.399999999999977</v>
      </c>
      <c r="R219" s="4">
        <f>Sheet1!$K$3*_xlfn.XLOOKUP(Table1[[#This Row], [DISGUISE]],Sheet1!$A$21:$A$23,Sheet1!$D$21:$D$23)</f>
        <v>69</v>
      </c>
      <c r="S219" s="9">
        <f>Table1[[#This Row], [TOTAL TIME]]-Table1[[#This Row], [TOTAL TIME TAKEN]]</f>
        <v>3.6000000000000227</v>
      </c>
      <c r="T219" t="str">
        <f>IF(Table1[[#This Row], [TIME DIFFERENCE]]&gt;=0,"PASS","FAIL")</f>
        <v>PASS</v>
      </c>
      <c r="U219" s="9">
        <f>Table1[[#This Row], [TRC]]+Table1[[#This Row], [DRC]]+Table1[[#This Row], [WRC]]+Table1[[#This Row], [ERC]]+Table1[[#This Row], [EQRC]]</f>
        <v>8140390.9999999991</v>
      </c>
      <c r="V219" s="4">
        <f>Table1[[#This Row], [TOTAL COST]]+_xlfn.XLOOKUP(Table1[[#This Row], [TEAM]],Sheet1!$A$12:$A$17,Sheet1!$I$12:$I$17)</f>
        <v>8444531</v>
      </c>
      <c r="W219" s="4">
        <f>Table1[[#This Row], [LOOT]]-Table1[[#This Row], [TOTAL COST]]</f>
        <v>10009609</v>
      </c>
      <c r="X219" s="4">
        <f>IF(Table1[[#This Row], [PASS/FAIL]]="FAIL",0,Table1[[#This Row], [PROFIT]])</f>
        <v>10009609</v>
      </c>
    </row>
    <row r="220" spans="1:24" ht="19.5" customHeight="1" x14ac:dyDescent="0.45">
      <c r="A220" t="s">
        <v>16</v>
      </c>
      <c r="B220" s="14">
        <f>_xlfn.XLOOKUP(Table1[[#This Row], [TEAM]],Sheet1!$A$12:$A$17,Sheet1!$F$12:$F$17)</f>
        <v>2</v>
      </c>
      <c r="C220" s="14">
        <f>_xlfn.XLOOKUP(Table1[[#This Row], [TEAM]],Sheet1!$A$12:$A$17,Sheet1!$G$12:$G$17)</f>
        <v>6082800</v>
      </c>
      <c r="D220" t="s">
        <v>32</v>
      </c>
      <c r="E220" s="4">
        <f>_xlfn.XLOOKUP(Table1[[#This Row], [ROOM]],Sheet1!$A$47:$A$66,Sheet1!$B$47:$B$66)</f>
        <v>346</v>
      </c>
      <c r="F220" t="s">
        <v>58</v>
      </c>
      <c r="G220" s="4">
        <f>_xlfn.XLOOKUP(Table1[[#This Row], [DISGUISE]],Sheet1!$A$21:$A$23,Sheet1!$B$21:$B$23)*Table1[[#This Row], [NUM OF MEM]]*(1+_xlfn.XLOOKUP(Table1[[#This Row], [DISGUISE]],Sheet1!$A$21:$A$23,Sheet1!$C$21:$C$23))</f>
        <v>25600</v>
      </c>
      <c r="H220" s="13" t="s">
        <v>59</v>
      </c>
      <c r="I220" s="4">
        <f>_xlfn.XLOOKUP(Table1[[#This Row], [WEAPON]],Sheet1!$A$27:$A$29,Sheet1!$B$27:$B$29)*Table1[[#This Row], [NUM OF MEM]]*(1+_xlfn.XLOOKUP(Table1[[#This Row], [WEAPON]],Sheet1!$A$27:$A$29,Sheet1!$C$27:$C$29))</f>
        <v>91000</v>
      </c>
      <c r="J220" t="s">
        <v>64</v>
      </c>
      <c r="K220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1684637.9999999993</v>
      </c>
      <c r="L220" s="13" t="s">
        <v>65</v>
      </c>
      <c r="M220" s="4">
        <f>IF(Table1[[#This Row], [EQUIPMENT]]="YES",Sheet1!$C$44*(1+Sheet1!$D$44),0)</f>
        <v>307500</v>
      </c>
      <c r="N220" s="4">
        <f>_xlfn.XLOOKUP(Table1[[#This Row], [ROOM]],Sheet1!$A$47:$A$66,Sheet1!$F$47:$F$66)</f>
        <v>18200000</v>
      </c>
      <c r="O220" s="9">
        <f>_xlfn.XLOOKUP(_xlfn.CONCAT(Table1[[#This Row], [TEAM]],Table1[[#This Row], [ROOM]]),'ROOM TIME'!$H$2:$H$121,'ROOM TIME'!$J$2:$J$121)</f>
        <v>57.518749999999976</v>
      </c>
      <c r="P220" s="9">
        <f>(INDEX(Sheet1!$X$48:$Z$67,MATCH(Table1[[#This Row], [ROOM]],Sheet1!$P$48:$P$67,0),MATCH(Table1[[#This Row], [WEAPON]],Sheet1!$X$47:$Z$47,0)))/Table1[[#This Row], [NUM OF MEM]]</f>
        <v>7.4749999999999996</v>
      </c>
      <c r="Q220" s="9">
        <f>Table1[[#This Row], [ROOM TIME]]+Table1[[#This Row], [GUARD TIME]]</f>
        <v>64.993749999999977</v>
      </c>
      <c r="R220" s="4">
        <f>Sheet1!$K$3*_xlfn.XLOOKUP(Table1[[#This Row], [DISGUISE]],Sheet1!$A$21:$A$23,Sheet1!$D$21:$D$23)</f>
        <v>69</v>
      </c>
      <c r="S220" s="9">
        <f>Table1[[#This Row], [TOTAL TIME]]-Table1[[#This Row], [TOTAL TIME TAKEN]]</f>
        <v>4.0062500000000227</v>
      </c>
      <c r="T220" t="str">
        <f>IF(Table1[[#This Row], [TIME DIFFERENCE]]&gt;=0,"PASS","FAIL")</f>
        <v>PASS</v>
      </c>
      <c r="U220" s="9">
        <f>Table1[[#This Row], [TRC]]+Table1[[#This Row], [DRC]]+Table1[[#This Row], [WRC]]+Table1[[#This Row], [ERC]]+Table1[[#This Row], [EQRC]]</f>
        <v>8191537.9999999991</v>
      </c>
      <c r="V220" s="4">
        <f>Table1[[#This Row], [TOTAL COST]]+_xlfn.XLOOKUP(Table1[[#This Row], [TEAM]],Sheet1!$A$12:$A$17,Sheet1!$I$12:$I$17)</f>
        <v>8495678</v>
      </c>
      <c r="W220" s="4">
        <f>Table1[[#This Row], [LOOT]]-Table1[[#This Row], [TOTAL COST]]</f>
        <v>10008462</v>
      </c>
      <c r="X220" s="4">
        <f>IF(Table1[[#This Row], [PASS/FAIL]]="FAIL",0,Table1[[#This Row], [PROFIT]])</f>
        <v>10008462</v>
      </c>
    </row>
    <row r="221" spans="1:24" ht="19.5" customHeight="1" x14ac:dyDescent="0.45">
      <c r="A221" t="s">
        <v>16</v>
      </c>
      <c r="B221" s="14">
        <f>_xlfn.XLOOKUP(Table1[[#This Row], [TEAM]],Sheet1!$A$12:$A$17,Sheet1!$F$12:$F$17)</f>
        <v>2</v>
      </c>
      <c r="C221" s="14">
        <f>_xlfn.XLOOKUP(Table1[[#This Row], [TEAM]],Sheet1!$A$12:$A$17,Sheet1!$G$12:$G$17)</f>
        <v>6082800</v>
      </c>
      <c r="D221" t="s">
        <v>26</v>
      </c>
      <c r="E221" s="4">
        <f>_xlfn.XLOOKUP(Table1[[#This Row], [ROOM]],Sheet1!$A$47:$A$66,Sheet1!$B$47:$B$66)</f>
        <v>136</v>
      </c>
      <c r="F221" t="s">
        <v>62</v>
      </c>
      <c r="G221" s="4">
        <f>_xlfn.XLOOKUP(Table1[[#This Row], [DISGUISE]],Sheet1!$A$21:$A$23,Sheet1!$B$21:$B$23)*Table1[[#This Row], [NUM OF MEM]]*(1+_xlfn.XLOOKUP(Table1[[#This Row], [DISGUISE]],Sheet1!$A$21:$A$23,Sheet1!$C$21:$C$23))</f>
        <v>10400</v>
      </c>
      <c r="H221" s="13" t="s">
        <v>63</v>
      </c>
      <c r="I221" s="4">
        <f>_xlfn.XLOOKUP(Table1[[#This Row], [WEAPON]],Sheet1!$A$27:$A$29,Sheet1!$B$27:$B$29)*Table1[[#This Row], [NUM OF MEM]]*(1+_xlfn.XLOOKUP(Table1[[#This Row], [WEAPON]],Sheet1!$A$27:$A$29,Sheet1!$C$27:$C$29))</f>
        <v>46000</v>
      </c>
      <c r="J221" t="s">
        <v>64</v>
      </c>
      <c r="K221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1695167.9999999993</v>
      </c>
      <c r="L221" s="13" t="s">
        <v>65</v>
      </c>
      <c r="M221" s="4">
        <f>IF(Table1[[#This Row], [EQUIPMENT]]="YES",Sheet1!$C$44*(1+Sheet1!$D$44),0)</f>
        <v>307500</v>
      </c>
      <c r="N221" s="4">
        <f>_xlfn.XLOOKUP(Table1[[#This Row], [ROOM]],Sheet1!$A$47:$A$66,Sheet1!$F$47:$F$66)</f>
        <v>18150000</v>
      </c>
      <c r="O221" s="9">
        <f>_xlfn.XLOOKUP(_xlfn.CONCAT(Table1[[#This Row], [TEAM]],Table1[[#This Row], [ROOM]]),'ROOM TIME'!$H$2:$H$121,'ROOM TIME'!$J$2:$J$121)</f>
        <v>57.299999999999976</v>
      </c>
      <c r="P221" s="9">
        <f>(INDEX(Sheet1!$X$48:$Z$67,MATCH(Table1[[#This Row], [ROOM]],Sheet1!$P$48:$P$67,0),MATCH(Table1[[#This Row], [WEAPON]],Sheet1!$X$47:$Z$47,0)))/Table1[[#This Row], [NUM OF MEM]]</f>
        <v>8.1000000000000014</v>
      </c>
      <c r="Q221" s="9">
        <f>Table1[[#This Row], [ROOM TIME]]+Table1[[#This Row], [GUARD TIME]]</f>
        <v>65.399999999999977</v>
      </c>
      <c r="R221" s="4">
        <f>Sheet1!$K$3*_xlfn.XLOOKUP(Table1[[#This Row], [DISGUISE]],Sheet1!$A$21:$A$23,Sheet1!$D$21:$D$23)</f>
        <v>66</v>
      </c>
      <c r="S221" s="9">
        <f>Table1[[#This Row], [TOTAL TIME]]-Table1[[#This Row], [TOTAL TIME TAKEN]]</f>
        <v>0.60000000000002274</v>
      </c>
      <c r="T221" t="str">
        <f>IF(Table1[[#This Row], [TIME DIFFERENCE]]&gt;=0,"PASS","FAIL")</f>
        <v>PASS</v>
      </c>
      <c r="U221" s="9">
        <f>Table1[[#This Row], [TRC]]+Table1[[#This Row], [DRC]]+Table1[[#This Row], [WRC]]+Table1[[#This Row], [ERC]]+Table1[[#This Row], [EQRC]]</f>
        <v>8141867.9999999991</v>
      </c>
      <c r="V221" s="4">
        <f>Table1[[#This Row], [TOTAL COST]]+_xlfn.XLOOKUP(Table1[[#This Row], [TEAM]],Sheet1!$A$12:$A$17,Sheet1!$I$12:$I$17)</f>
        <v>8446008</v>
      </c>
      <c r="W221" s="4">
        <f>Table1[[#This Row], [LOOT]]-Table1[[#This Row], [TOTAL COST]]</f>
        <v>10008132</v>
      </c>
      <c r="X221" s="4">
        <f>IF(Table1[[#This Row], [PASS/FAIL]]="FAIL",0,Table1[[#This Row], [PROFIT]])</f>
        <v>10008132</v>
      </c>
    </row>
    <row r="222" spans="1:24" ht="19.5" customHeight="1" x14ac:dyDescent="0.45">
      <c r="A222" t="s">
        <v>12</v>
      </c>
      <c r="B222" s="14">
        <f>_xlfn.XLOOKUP(Table1[[#This Row], [TEAM]],Sheet1!$A$12:$A$17,Sheet1!$F$12:$F$17)</f>
        <v>3</v>
      </c>
      <c r="C222" s="14">
        <f>_xlfn.XLOOKUP(Table1[[#This Row], [TEAM]],Sheet1!$A$12:$A$17,Sheet1!$G$12:$G$17)</f>
        <v>5988750</v>
      </c>
      <c r="D222" t="s">
        <v>26</v>
      </c>
      <c r="E222" s="4">
        <f>_xlfn.XLOOKUP(Table1[[#This Row], [ROOM]],Sheet1!$A$47:$A$66,Sheet1!$B$47:$B$66)</f>
        <v>136</v>
      </c>
      <c r="F222" t="s">
        <v>58</v>
      </c>
      <c r="G222" s="4">
        <f>_xlfn.XLOOKUP(Table1[[#This Row], [DISGUISE]],Sheet1!$A$21:$A$23,Sheet1!$B$21:$B$23)*Table1[[#This Row], [NUM OF MEM]]*(1+_xlfn.XLOOKUP(Table1[[#This Row], [DISGUISE]],Sheet1!$A$21:$A$23,Sheet1!$C$21:$C$23))</f>
        <v>38400</v>
      </c>
      <c r="H222" s="13" t="s">
        <v>59</v>
      </c>
      <c r="I222" s="4">
        <f>_xlfn.XLOOKUP(Table1[[#This Row], [WEAPON]],Sheet1!$A$27:$A$29,Sheet1!$B$27:$B$29)*Table1[[#This Row], [NUM OF MEM]]*(1+_xlfn.XLOOKUP(Table1[[#This Row], [WEAPON]],Sheet1!$A$27:$A$29,Sheet1!$C$27:$C$29))</f>
        <v>136500</v>
      </c>
      <c r="J222" t="s">
        <v>60</v>
      </c>
      <c r="K222" s="9">
        <f>Table1[[#This Row], [NUM OF MEM]]*Table1[[#This Row], [TOTAL TIME TAKEN]]*_xlfn.XLOOKUP(Table1[[#This Row], [EXIT]],Sheet1!$A$70:$A$71,Sheet1!$B$70:$B$71)*(1+_xlfn.XLOOKUP(Table1[[#This Row], [EXIT]],Sheet1!$A$70:$A$71,Sheet1!$C$70:$C$71))</f>
        <v>1671518.6749999993</v>
      </c>
      <c r="L222" s="13" t="s">
        <v>65</v>
      </c>
      <c r="M222" s="4">
        <f>IF(Table1[[#This Row], [EQUIPMENT]]="YES",Sheet1!$C$44*(1+Sheet1!$D$44),0)</f>
        <v>307500</v>
      </c>
      <c r="N222" s="4">
        <f>_xlfn.XLOOKUP(Table1[[#This Row], [ROOM]],Sheet1!$A$47:$A$66,Sheet1!$F$47:$F$66)</f>
        <v>18150000</v>
      </c>
      <c r="O222" s="9">
        <f>_xlfn.XLOOKUP(_xlfn.CONCAT(Table1[[#This Row], [TEAM]],Table1[[#This Row], [ROOM]]),'ROOM TIME'!$H$2:$H$121,'ROOM TIME'!$J$2:$J$121)</f>
        <v>38.818888888888871</v>
      </c>
      <c r="P222" s="9">
        <f>(INDEX(Sheet1!$X$48:$Z$67,MATCH(Table1[[#This Row], [ROOM]],Sheet1!$P$48:$P$67,0),MATCH(Table1[[#This Row], [WEAPON]],Sheet1!$X$47:$Z$47,0)))/Table1[[#This Row], [NUM OF MEM]]</f>
        <v>4.5999999999999996</v>
      </c>
      <c r="Q222" s="9">
        <f>Table1[[#This Row], [ROOM TIME]]+Table1[[#This Row], [GUARD TIME]]</f>
        <v>43.418888888888873</v>
      </c>
      <c r="R222" s="4">
        <f>Sheet1!$K$3*_xlfn.XLOOKUP(Table1[[#This Row], [DISGUISE]],Sheet1!$A$21:$A$23,Sheet1!$D$21:$D$23)</f>
        <v>69</v>
      </c>
      <c r="S222" s="9">
        <f>Table1[[#This Row], [TOTAL TIME]]-Table1[[#This Row], [TOTAL TIME TAKEN]]</f>
        <v>25.581111111111127</v>
      </c>
      <c r="T222" t="str">
        <f>IF(Table1[[#This Row], [TIME DIFFERENCE]]&gt;=0,"PASS","FAIL")</f>
        <v>PASS</v>
      </c>
      <c r="U222" s="9">
        <f>Table1[[#This Row], [TRC]]+Table1[[#This Row], [DRC]]+Table1[[#This Row], [WRC]]+Table1[[#This Row], [ERC]]+Table1[[#This Row], [EQRC]]</f>
        <v>8142668.6749999989</v>
      </c>
      <c r="V222" s="9">
        <f>Table1[[#This Row], [TOTAL COST]]+_xlfn.XLOOKUP(Table1[[#This Row], [TEAM]],Sheet1!$A$12:$A$17,Sheet1!$I$12:$I$17)</f>
        <v>8442106.1749999989</v>
      </c>
      <c r="W222" s="9">
        <f>Table1[[#This Row], [LOOT]]-Table1[[#This Row], [TOTAL COST]]</f>
        <v>10007331.325000001</v>
      </c>
      <c r="X222" s="9">
        <f>IF(Table1[[#This Row], [PASS/FAIL]]="FAIL",0,Table1[[#This Row], [PROFIT]])</f>
        <v>10007331.325000001</v>
      </c>
    </row>
    <row r="223" spans="1:24" ht="19.5" customHeight="1" x14ac:dyDescent="0.45">
      <c r="A223" t="s">
        <v>13</v>
      </c>
      <c r="B223" s="14">
        <f>_xlfn.XLOOKUP(Table1[[#This Row], [TEAM]],Sheet1!$A$12:$A$17,Sheet1!$F$12:$F$17)</f>
        <v>3</v>
      </c>
      <c r="C223" s="14">
        <f>_xlfn.XLOOKUP(Table1[[#This Row], [TEAM]],Sheet1!$A$12:$A$17,Sheet1!$G$12:$G$17)</f>
        <v>5930000</v>
      </c>
      <c r="D223" t="s">
        <v>33</v>
      </c>
      <c r="E223" s="4">
        <f>_xlfn.XLOOKUP(Table1[[#This Row], [ROOM]],Sheet1!$A$47:$A$66,Sheet1!$B$47:$B$66)</f>
        <v>356</v>
      </c>
      <c r="F223" t="s">
        <v>62</v>
      </c>
      <c r="G223" s="4">
        <f>_xlfn.XLOOKUP(Table1[[#This Row], [DISGUISE]],Sheet1!$A$21:$A$23,Sheet1!$B$21:$B$23)*Table1[[#This Row], [NUM OF MEM]]*(1+_xlfn.XLOOKUP(Table1[[#This Row], [DISGUISE]],Sheet1!$A$21:$A$23,Sheet1!$C$21:$C$23))</f>
        <v>15600</v>
      </c>
      <c r="H223" s="13" t="s">
        <v>59</v>
      </c>
      <c r="I223" s="4">
        <f>_xlfn.XLOOKUP(Table1[[#This Row], [WEAPON]],Sheet1!$A$27:$A$29,Sheet1!$B$27:$B$29)*Table1[[#This Row], [NUM OF MEM]]*(1+_xlfn.XLOOKUP(Table1[[#This Row], [WEAPON]],Sheet1!$A$27:$A$29,Sheet1!$C$27:$C$29))</f>
        <v>136500</v>
      </c>
      <c r="J223" t="s">
        <v>60</v>
      </c>
      <c r="K223" s="9">
        <f>Table1[[#This Row], [NUM OF MEM]]*Table1[[#This Row], [TOTAL TIME TAKEN]]*_xlfn.XLOOKUP(Table1[[#This Row], [EXIT]],Sheet1!$A$70:$A$71,Sheet1!$B$70:$B$71)*(1+_xlfn.XLOOKUP(Table1[[#This Row], [EXIT]],Sheet1!$A$70:$A$71,Sheet1!$C$70:$C$71))</f>
        <v>1705717.2874999996</v>
      </c>
      <c r="L223" s="13" t="s">
        <v>65</v>
      </c>
      <c r="M223" s="4">
        <f>IF(Table1[[#This Row], [EQUIPMENT]]="YES",Sheet1!$C$44*(1+Sheet1!$D$44),0)</f>
        <v>307500</v>
      </c>
      <c r="N223" s="4">
        <f>_xlfn.XLOOKUP(Table1[[#This Row], [ROOM]],Sheet1!$A$47:$A$66,Sheet1!$F$47:$F$66)</f>
        <v>18100000</v>
      </c>
      <c r="O223" s="9">
        <f>_xlfn.XLOOKUP(_xlfn.CONCAT(Table1[[#This Row], [TEAM]],Table1[[#This Row], [ROOM]]),'ROOM TIME'!$H$2:$H$121,'ROOM TIME'!$J$2:$J$121)</f>
        <v>39.707222222222214</v>
      </c>
      <c r="P223" s="9">
        <f>(INDEX(Sheet1!$X$48:$Z$67,MATCH(Table1[[#This Row], [ROOM]],Sheet1!$P$48:$P$67,0),MATCH(Table1[[#This Row], [WEAPON]],Sheet1!$X$47:$Z$47,0)))/Table1[[#This Row], [NUM OF MEM]]</f>
        <v>4.5999999999999996</v>
      </c>
      <c r="Q223" s="9">
        <f>Table1[[#This Row], [ROOM TIME]]+Table1[[#This Row], [GUARD TIME]]</f>
        <v>44.307222222222215</v>
      </c>
      <c r="R223" s="4">
        <f>Sheet1!$K$3*_xlfn.XLOOKUP(Table1[[#This Row], [DISGUISE]],Sheet1!$A$21:$A$23,Sheet1!$D$21:$D$23)</f>
        <v>66</v>
      </c>
      <c r="S223" s="9">
        <f>Table1[[#This Row], [TOTAL TIME]]-Table1[[#This Row], [TOTAL TIME TAKEN]]</f>
        <v>21.692777777777785</v>
      </c>
      <c r="T223" t="str">
        <f>IF(Table1[[#This Row], [TIME DIFFERENCE]]&gt;=0,"PASS","FAIL")</f>
        <v>PASS</v>
      </c>
      <c r="U223" s="9">
        <f>Table1[[#This Row], [TRC]]+Table1[[#This Row], [DRC]]+Table1[[#This Row], [WRC]]+Table1[[#This Row], [ERC]]+Table1[[#This Row], [EQRC]]</f>
        <v>8095317.2874999996</v>
      </c>
      <c r="V223" s="9">
        <f>Table1[[#This Row], [TOTAL COST]]+_xlfn.XLOOKUP(Table1[[#This Row], [TEAM]],Sheet1!$A$12:$A$17,Sheet1!$I$12:$I$17)</f>
        <v>8391817.2874999996</v>
      </c>
      <c r="W223" s="9">
        <f>Table1[[#This Row], [LOOT]]-Table1[[#This Row], [TOTAL COST]]</f>
        <v>10004682.7125</v>
      </c>
      <c r="X223" s="9">
        <f>IF(Table1[[#This Row], [PASS/FAIL]]="FAIL",0,Table1[[#This Row], [PROFIT]])</f>
        <v>10004682.7125</v>
      </c>
    </row>
    <row r="224" spans="1:24" ht="19.5" customHeight="1" x14ac:dyDescent="0.45">
      <c r="A224" t="s">
        <v>12</v>
      </c>
      <c r="B224" s="14">
        <f>_xlfn.XLOOKUP(Table1[[#This Row], [TEAM]],Sheet1!$A$12:$A$17,Sheet1!$F$12:$F$17)</f>
        <v>3</v>
      </c>
      <c r="C224" s="14">
        <f>_xlfn.XLOOKUP(Table1[[#This Row], [TEAM]],Sheet1!$A$12:$A$17,Sheet1!$G$12:$G$17)</f>
        <v>5988750</v>
      </c>
      <c r="D224" t="s">
        <v>26</v>
      </c>
      <c r="E224" s="4">
        <f>_xlfn.XLOOKUP(Table1[[#This Row], [ROOM]],Sheet1!$A$47:$A$66,Sheet1!$B$47:$B$66)</f>
        <v>136</v>
      </c>
      <c r="F224" t="s">
        <v>58</v>
      </c>
      <c r="G224" s="4">
        <f>_xlfn.XLOOKUP(Table1[[#This Row], [DISGUISE]],Sheet1!$A$21:$A$23,Sheet1!$B$21:$B$23)*Table1[[#This Row], [NUM OF MEM]]*(1+_xlfn.XLOOKUP(Table1[[#This Row], [DISGUISE]],Sheet1!$A$21:$A$23,Sheet1!$C$21:$C$23))</f>
        <v>38400</v>
      </c>
      <c r="H224" s="13" t="s">
        <v>66</v>
      </c>
      <c r="I224" s="4">
        <f>_xlfn.XLOOKUP(Table1[[#This Row], [WEAPON]],Sheet1!$A$27:$A$29,Sheet1!$B$27:$B$29)*Table1[[#This Row], [NUM OF MEM]]*(1+_xlfn.XLOOKUP(Table1[[#This Row], [WEAPON]],Sheet1!$A$27:$A$29,Sheet1!$C$27:$C$29))</f>
        <v>108000</v>
      </c>
      <c r="J224" t="s">
        <v>64</v>
      </c>
      <c r="K224" s="9">
        <f>Table1[[#This Row], [NUM OF MEM]]*Table1[[#This Row], [TOTAL TIME TAKEN]]*_xlfn.XLOOKUP(Table1[[#This Row], [EXIT]],Sheet1!$A$70:$A$71,Sheet1!$B$70:$B$71)*(1+_xlfn.XLOOKUP(Table1[[#This Row], [EXIT]],Sheet1!$A$70:$A$71,Sheet1!$C$70:$C$71))</f>
        <v>1703678.3999999994</v>
      </c>
      <c r="L224" s="13" t="s">
        <v>65</v>
      </c>
      <c r="M224" s="4">
        <f>IF(Table1[[#This Row], [EQUIPMENT]]="YES",Sheet1!$C$44*(1+Sheet1!$D$44),0)</f>
        <v>307500</v>
      </c>
      <c r="N224" s="4">
        <f>_xlfn.XLOOKUP(Table1[[#This Row], [ROOM]],Sheet1!$A$47:$A$66,Sheet1!$F$47:$F$66)</f>
        <v>18150000</v>
      </c>
      <c r="O224" s="9">
        <f>_xlfn.XLOOKUP(_xlfn.CONCAT(Table1[[#This Row], [TEAM]],Table1[[#This Row], [ROOM]]),'ROOM TIME'!$H$2:$H$121,'ROOM TIME'!$J$2:$J$121)</f>
        <v>38.818888888888871</v>
      </c>
      <c r="P224" s="4">
        <f>(INDEX(Sheet1!$X$48:$Z$67,MATCH(Table1[[#This Row], [ROOM]],Sheet1!$P$48:$P$67,0),MATCH(Table1[[#This Row], [WEAPON]],Sheet1!$X$47:$Z$47,0)))/Table1[[#This Row], [NUM OF MEM]]</f>
        <v>5</v>
      </c>
      <c r="Q224" s="9">
        <f>Table1[[#This Row], [ROOM TIME]]+Table1[[#This Row], [GUARD TIME]]</f>
        <v>43.818888888888871</v>
      </c>
      <c r="R224" s="4">
        <f>Sheet1!$K$3*_xlfn.XLOOKUP(Table1[[#This Row], [DISGUISE]],Sheet1!$A$21:$A$23,Sheet1!$D$21:$D$23)</f>
        <v>69</v>
      </c>
      <c r="S224" s="9">
        <f>Table1[[#This Row], [TOTAL TIME]]-Table1[[#This Row], [TOTAL TIME TAKEN]]</f>
        <v>25.181111111111129</v>
      </c>
      <c r="T224" t="str">
        <f>IF(Table1[[#This Row], [TIME DIFFERENCE]]&gt;=0,"PASS","FAIL")</f>
        <v>PASS</v>
      </c>
      <c r="U224" s="9">
        <f>Table1[[#This Row], [TRC]]+Table1[[#This Row], [DRC]]+Table1[[#This Row], [WRC]]+Table1[[#This Row], [ERC]]+Table1[[#This Row], [EQRC]]</f>
        <v>8146328.3999999994</v>
      </c>
      <c r="V224" s="9">
        <f>Table1[[#This Row], [TOTAL COST]]+_xlfn.XLOOKUP(Table1[[#This Row], [TEAM]],Sheet1!$A$12:$A$17,Sheet1!$I$12:$I$17)</f>
        <v>8445765.8999999985</v>
      </c>
      <c r="W224" s="9">
        <f>Table1[[#This Row], [LOOT]]-Table1[[#This Row], [TOTAL COST]]</f>
        <v>10003671.600000001</v>
      </c>
      <c r="X224" s="9">
        <f>IF(Table1[[#This Row], [PASS/FAIL]]="FAIL",0,Table1[[#This Row], [PROFIT]])</f>
        <v>10003671.600000001</v>
      </c>
    </row>
    <row r="225" spans="1:24" ht="19.5" customHeight="1" x14ac:dyDescent="0.45">
      <c r="A225" t="s">
        <v>13</v>
      </c>
      <c r="B225" s="14">
        <f>_xlfn.XLOOKUP(Table1[[#This Row], [TEAM]],Sheet1!$A$12:$A$17,Sheet1!$F$12:$F$17)</f>
        <v>3</v>
      </c>
      <c r="C225" s="14">
        <f>_xlfn.XLOOKUP(Table1[[#This Row], [TEAM]],Sheet1!$A$12:$A$17,Sheet1!$G$12:$G$17)</f>
        <v>5930000</v>
      </c>
      <c r="D225" t="s">
        <v>33</v>
      </c>
      <c r="E225" s="4">
        <f>_xlfn.XLOOKUP(Table1[[#This Row], [ROOM]],Sheet1!$A$47:$A$66,Sheet1!$B$47:$B$66)</f>
        <v>356</v>
      </c>
      <c r="F225" t="s">
        <v>58</v>
      </c>
      <c r="G225" s="4">
        <f>_xlfn.XLOOKUP(Table1[[#This Row], [DISGUISE]],Sheet1!$A$21:$A$23,Sheet1!$B$21:$B$23)*Table1[[#This Row], [NUM OF MEM]]*(1+_xlfn.XLOOKUP(Table1[[#This Row], [DISGUISE]],Sheet1!$A$21:$A$23,Sheet1!$C$21:$C$23))</f>
        <v>38400</v>
      </c>
      <c r="H225" s="13" t="s">
        <v>63</v>
      </c>
      <c r="I225" s="4">
        <f>_xlfn.XLOOKUP(Table1[[#This Row], [WEAPON]],Sheet1!$A$27:$A$29,Sheet1!$B$27:$B$29)*Table1[[#This Row], [NUM OF MEM]]*(1+_xlfn.XLOOKUP(Table1[[#This Row], [WEAPON]],Sheet1!$A$27:$A$29,Sheet1!$C$27:$C$29))</f>
        <v>69000</v>
      </c>
      <c r="J225" t="s">
        <v>64</v>
      </c>
      <c r="K225" s="9">
        <f>Table1[[#This Row], [NUM OF MEM]]*Table1[[#This Row], [TOTAL TIME TAKEN]]*_xlfn.XLOOKUP(Table1[[#This Row], [EXIT]],Sheet1!$A$70:$A$71,Sheet1!$B$70:$B$71)*(1+_xlfn.XLOOKUP(Table1[[#This Row], [EXIT]],Sheet1!$A$70:$A$71,Sheet1!$C$70:$C$71))</f>
        <v>1753768.7999999993</v>
      </c>
      <c r="L225" s="13" t="s">
        <v>65</v>
      </c>
      <c r="M225" s="4">
        <f>IF(Table1[[#This Row], [EQUIPMENT]]="YES",Sheet1!$C$44*(1+Sheet1!$D$44),0)</f>
        <v>307500</v>
      </c>
      <c r="N225" s="4">
        <f>_xlfn.XLOOKUP(Table1[[#This Row], [ROOM]],Sheet1!$A$47:$A$66,Sheet1!$F$47:$F$66)</f>
        <v>18100000</v>
      </c>
      <c r="O225" s="9">
        <f>_xlfn.XLOOKUP(_xlfn.CONCAT(Table1[[#This Row], [TEAM]],Table1[[#This Row], [ROOM]]),'ROOM TIME'!$H$2:$H$121,'ROOM TIME'!$J$2:$J$121)</f>
        <v>39.707222222222214</v>
      </c>
      <c r="P225" s="9">
        <f>(INDEX(Sheet1!$X$48:$Z$67,MATCH(Table1[[#This Row], [ROOM]],Sheet1!$P$48:$P$67,0),MATCH(Table1[[#This Row], [WEAPON]],Sheet1!$X$47:$Z$47,0)))/Table1[[#This Row], [NUM OF MEM]]</f>
        <v>5.4000000000000012</v>
      </c>
      <c r="Q225" s="9">
        <f>Table1[[#This Row], [ROOM TIME]]+Table1[[#This Row], [GUARD TIME]]</f>
        <v>45.107222222222212</v>
      </c>
      <c r="R225" s="4">
        <f>Sheet1!$K$3*_xlfn.XLOOKUP(Table1[[#This Row], [DISGUISE]],Sheet1!$A$21:$A$23,Sheet1!$D$21:$D$23)</f>
        <v>69</v>
      </c>
      <c r="S225" s="9">
        <f>Table1[[#This Row], [TOTAL TIME]]-Table1[[#This Row], [TOTAL TIME TAKEN]]</f>
        <v>23.892777777777788</v>
      </c>
      <c r="T225" t="str">
        <f>IF(Table1[[#This Row], [TIME DIFFERENCE]]&gt;=0,"PASS","FAIL")</f>
        <v>PASS</v>
      </c>
      <c r="U225" s="9">
        <f>Table1[[#This Row], [TRC]]+Table1[[#This Row], [DRC]]+Table1[[#This Row], [WRC]]+Table1[[#This Row], [ERC]]+Table1[[#This Row], [EQRC]]</f>
        <v>8098668.7999999989</v>
      </c>
      <c r="V225" s="9">
        <f>Table1[[#This Row], [TOTAL COST]]+_xlfn.XLOOKUP(Table1[[#This Row], [TEAM]],Sheet1!$A$12:$A$17,Sheet1!$I$12:$I$17)</f>
        <v>8395168.7999999989</v>
      </c>
      <c r="W225" s="9">
        <f>Table1[[#This Row], [LOOT]]-Table1[[#This Row], [TOTAL COST]]</f>
        <v>10001331.200000001</v>
      </c>
      <c r="X225" s="9">
        <f>IF(Table1[[#This Row], [PASS/FAIL]]="FAIL",0,Table1[[#This Row], [PROFIT]])</f>
        <v>10001331.200000001</v>
      </c>
    </row>
    <row r="226" spans="1:24" ht="19.5" customHeight="1" x14ac:dyDescent="0.45">
      <c r="A226" t="s">
        <v>13</v>
      </c>
      <c r="B226" s="14">
        <f>_xlfn.XLOOKUP(Table1[[#This Row], [TEAM]],Sheet1!$A$12:$A$17,Sheet1!$F$12:$F$17)</f>
        <v>3</v>
      </c>
      <c r="C226" s="14">
        <f>_xlfn.XLOOKUP(Table1[[#This Row], [TEAM]],Sheet1!$A$12:$A$17,Sheet1!$G$12:$G$17)</f>
        <v>5930000</v>
      </c>
      <c r="D226" t="s">
        <v>33</v>
      </c>
      <c r="E226" s="4">
        <f>_xlfn.XLOOKUP(Table1[[#This Row], [ROOM]],Sheet1!$A$47:$A$66,Sheet1!$B$47:$B$66)</f>
        <v>356</v>
      </c>
      <c r="F226" t="s">
        <v>62</v>
      </c>
      <c r="G226" s="4">
        <f>_xlfn.XLOOKUP(Table1[[#This Row], [DISGUISE]],Sheet1!$A$21:$A$23,Sheet1!$B$21:$B$23)*Table1[[#This Row], [NUM OF MEM]]*(1+_xlfn.XLOOKUP(Table1[[#This Row], [DISGUISE]],Sheet1!$A$21:$A$23,Sheet1!$C$21:$C$23))</f>
        <v>15600</v>
      </c>
      <c r="H226" s="13" t="s">
        <v>66</v>
      </c>
      <c r="I226" s="4">
        <f>_xlfn.XLOOKUP(Table1[[#This Row], [WEAPON]],Sheet1!$A$27:$A$29,Sheet1!$B$27:$B$29)*Table1[[#This Row], [NUM OF MEM]]*(1+_xlfn.XLOOKUP(Table1[[#This Row], [WEAPON]],Sheet1!$A$27:$A$29,Sheet1!$C$27:$C$29))</f>
        <v>108000</v>
      </c>
      <c r="J226" t="s">
        <v>64</v>
      </c>
      <c r="K226" s="9">
        <f>Table1[[#This Row], [NUM OF MEM]]*Table1[[#This Row], [TOTAL TIME TAKEN]]*_xlfn.XLOOKUP(Table1[[#This Row], [EXIT]],Sheet1!$A$70:$A$71,Sheet1!$B$70:$B$71)*(1+_xlfn.XLOOKUP(Table1[[#This Row], [EXIT]],Sheet1!$A$70:$A$71,Sheet1!$C$70:$C$71))</f>
        <v>1738216.7999999996</v>
      </c>
      <c r="L226" s="13" t="s">
        <v>65</v>
      </c>
      <c r="M226" s="4">
        <f>IF(Table1[[#This Row], [EQUIPMENT]]="YES",Sheet1!$C$44*(1+Sheet1!$D$44),0)</f>
        <v>307500</v>
      </c>
      <c r="N226" s="4">
        <f>_xlfn.XLOOKUP(Table1[[#This Row], [ROOM]],Sheet1!$A$47:$A$66,Sheet1!$F$47:$F$66)</f>
        <v>18100000</v>
      </c>
      <c r="O226" s="9">
        <f>_xlfn.XLOOKUP(_xlfn.CONCAT(Table1[[#This Row], [TEAM]],Table1[[#This Row], [ROOM]]),'ROOM TIME'!$H$2:$H$121,'ROOM TIME'!$J$2:$J$121)</f>
        <v>39.707222222222214</v>
      </c>
      <c r="P226" s="4">
        <f>(INDEX(Sheet1!$X$48:$Z$67,MATCH(Table1[[#This Row], [ROOM]],Sheet1!$P$48:$P$67,0),MATCH(Table1[[#This Row], [WEAPON]],Sheet1!$X$47:$Z$47,0)))/Table1[[#This Row], [NUM OF MEM]]</f>
        <v>5</v>
      </c>
      <c r="Q226" s="9">
        <f>Table1[[#This Row], [ROOM TIME]]+Table1[[#This Row], [GUARD TIME]]</f>
        <v>44.707222222222214</v>
      </c>
      <c r="R226" s="4">
        <f>Sheet1!$K$3*_xlfn.XLOOKUP(Table1[[#This Row], [DISGUISE]],Sheet1!$A$21:$A$23,Sheet1!$D$21:$D$23)</f>
        <v>66</v>
      </c>
      <c r="S226" s="9">
        <f>Table1[[#This Row], [TOTAL TIME]]-Table1[[#This Row], [TOTAL TIME TAKEN]]</f>
        <v>21.292777777777786</v>
      </c>
      <c r="T226" t="str">
        <f>IF(Table1[[#This Row], [TIME DIFFERENCE]]&gt;=0,"PASS","FAIL")</f>
        <v>PASS</v>
      </c>
      <c r="U226" s="9">
        <f>Table1[[#This Row], [TRC]]+Table1[[#This Row], [DRC]]+Table1[[#This Row], [WRC]]+Table1[[#This Row], [ERC]]+Table1[[#This Row], [EQRC]]</f>
        <v>8099316.7999999998</v>
      </c>
      <c r="V226" s="9">
        <f>Table1[[#This Row], [TOTAL COST]]+_xlfn.XLOOKUP(Table1[[#This Row], [TEAM]],Sheet1!$A$12:$A$17,Sheet1!$I$12:$I$17)</f>
        <v>8395816.8000000007</v>
      </c>
      <c r="W226" s="9">
        <f>Table1[[#This Row], [LOOT]]-Table1[[#This Row], [TOTAL COST]]</f>
        <v>10000683.199999999</v>
      </c>
      <c r="X226" s="9">
        <f>IF(Table1[[#This Row], [PASS/FAIL]]="FAIL",0,Table1[[#This Row], [PROFIT]])</f>
        <v>10000683.199999999</v>
      </c>
    </row>
    <row r="227" spans="1:24" ht="19.5" customHeight="1" x14ac:dyDescent="0.45">
      <c r="A227" t="s">
        <v>9</v>
      </c>
      <c r="B227" s="14">
        <f>_xlfn.XLOOKUP(Table1[[#This Row], [TEAM]],Sheet1!$A$12:$A$17,Sheet1!$F$12:$F$17)</f>
        <v>3</v>
      </c>
      <c r="C227" s="14">
        <f>_xlfn.XLOOKUP(Table1[[#This Row], [TEAM]],Sheet1!$A$12:$A$17,Sheet1!$G$12:$G$17)</f>
        <v>6238750</v>
      </c>
      <c r="D227" t="s">
        <v>18</v>
      </c>
      <c r="E227" s="4">
        <f>_xlfn.XLOOKUP(Table1[[#This Row], [ROOM]],Sheet1!$A$47:$A$66,Sheet1!$B$47:$B$66)</f>
        <v>134</v>
      </c>
      <c r="F227" t="s">
        <v>62</v>
      </c>
      <c r="G227" s="4">
        <f>_xlfn.XLOOKUP(Table1[[#This Row], [DISGUISE]],Sheet1!$A$21:$A$23,Sheet1!$B$21:$B$23)*Table1[[#This Row], [NUM OF MEM]]*(1+_xlfn.XLOOKUP(Table1[[#This Row], [DISGUISE]],Sheet1!$A$21:$A$23,Sheet1!$C$21:$C$23))</f>
        <v>15600</v>
      </c>
      <c r="H227" s="13" t="s">
        <v>63</v>
      </c>
      <c r="I227" s="4">
        <f>_xlfn.XLOOKUP(Table1[[#This Row], [WEAPON]],Sheet1!$A$27:$A$29,Sheet1!$B$27:$B$29)*Table1[[#This Row], [NUM OF MEM]]*(1+_xlfn.XLOOKUP(Table1[[#This Row], [WEAPON]],Sheet1!$A$27:$A$29,Sheet1!$C$27:$C$29))</f>
        <v>69000</v>
      </c>
      <c r="J227" t="s">
        <v>64</v>
      </c>
      <c r="K227" s="9">
        <f>Table1[[#This Row], [NUM OF MEM]]*Table1[[#This Row], [TOTAL TIME TAKEN]]*_xlfn.XLOOKUP(Table1[[#This Row], [EXIT]],Sheet1!$A$70:$A$71,Sheet1!$B$70:$B$71)*(1+_xlfn.XLOOKUP(Table1[[#This Row], [EXIT]],Sheet1!$A$70:$A$71,Sheet1!$C$70:$C$71))</f>
        <v>1726423.1999999997</v>
      </c>
      <c r="L227" s="13" t="s">
        <v>61</v>
      </c>
      <c r="M227" s="4">
        <f>IF(Table1[[#This Row], [EQUIPMENT]]="YES",Sheet1!$C$44*(1+Sheet1!$D$44),0)</f>
        <v>0</v>
      </c>
      <c r="N227" s="4">
        <f>_xlfn.XLOOKUP(Table1[[#This Row], [ROOM]],Sheet1!$A$47:$A$66,Sheet1!$F$47:$F$66)</f>
        <v>18050000</v>
      </c>
      <c r="O227" s="9">
        <f>_xlfn.XLOOKUP(_xlfn.CONCAT(Table1[[#This Row], [TEAM]],Table1[[#This Row], [ROOM]]),'ROOM TIME'!$H$2:$H$121,'ROOM TIME'!$J$2:$J$121)</f>
        <v>39.003888888888881</v>
      </c>
      <c r="P227" s="9">
        <f>(INDEX(Sheet1!$X$48:$Z$67,MATCH(Table1[[#This Row], [ROOM]],Sheet1!$P$48:$P$67,0),MATCH(Table1[[#This Row], [WEAPON]],Sheet1!$X$47:$Z$47,0)))/Table1[[#This Row], [NUM OF MEM]]</f>
        <v>5.4000000000000012</v>
      </c>
      <c r="Q227" s="9">
        <f>Table1[[#This Row], [ROOM TIME]]+Table1[[#This Row], [GUARD TIME]]</f>
        <v>44.403888888888879</v>
      </c>
      <c r="R227" s="4">
        <f>Sheet1!$K$3*_xlfn.XLOOKUP(Table1[[#This Row], [DISGUISE]],Sheet1!$A$21:$A$23,Sheet1!$D$21:$D$23)</f>
        <v>66</v>
      </c>
      <c r="S227" s="9">
        <f>Table1[[#This Row], [TOTAL TIME]]-Table1[[#This Row], [TOTAL TIME TAKEN]]</f>
        <v>21.596111111111121</v>
      </c>
      <c r="T227" t="str">
        <f>IF(Table1[[#This Row], [TIME DIFFERENCE]]&gt;=0,"PASS","FAIL")</f>
        <v>PASS</v>
      </c>
      <c r="U227" s="9">
        <f>Table1[[#This Row], [TRC]]+Table1[[#This Row], [DRC]]+Table1[[#This Row], [WRC]]+Table1[[#This Row], [ERC]]+Table1[[#This Row], [EQRC]]</f>
        <v>8049773.1999999993</v>
      </c>
      <c r="V227" s="9">
        <f>Table1[[#This Row], [TOTAL COST]]+_xlfn.XLOOKUP(Table1[[#This Row], [TEAM]],Sheet1!$A$12:$A$17,Sheet1!$I$12:$I$17)</f>
        <v>8361710.6999999993</v>
      </c>
      <c r="W227" s="9">
        <f>Table1[[#This Row], [LOOT]]-Table1[[#This Row], [TOTAL COST]]</f>
        <v>10000226.800000001</v>
      </c>
      <c r="X227" s="9">
        <f>IF(Table1[[#This Row], [PASS/FAIL]]="FAIL",0,Table1[[#This Row], [PROFIT]])</f>
        <v>10000226.800000001</v>
      </c>
    </row>
    <row r="228" spans="1:24" ht="19.5" customHeight="1" x14ac:dyDescent="0.45">
      <c r="A228" t="s">
        <v>16</v>
      </c>
      <c r="B228" s="14">
        <f>_xlfn.XLOOKUP(Table1[[#This Row], [TEAM]],Sheet1!$A$12:$A$17,Sheet1!$F$12:$F$17)</f>
        <v>2</v>
      </c>
      <c r="C228" s="14">
        <f>_xlfn.XLOOKUP(Table1[[#This Row], [TEAM]],Sheet1!$A$12:$A$17,Sheet1!$G$12:$G$17)</f>
        <v>6082800</v>
      </c>
      <c r="D228" t="s">
        <v>26</v>
      </c>
      <c r="E228" s="4">
        <f>_xlfn.XLOOKUP(Table1[[#This Row], [ROOM]],Sheet1!$A$47:$A$66,Sheet1!$B$47:$B$66)</f>
        <v>136</v>
      </c>
      <c r="F228" t="s">
        <v>58</v>
      </c>
      <c r="G228" s="4">
        <f>_xlfn.XLOOKUP(Table1[[#This Row], [DISGUISE]],Sheet1!$A$21:$A$23,Sheet1!$B$21:$B$23)*Table1[[#This Row], [NUM OF MEM]]*(1+_xlfn.XLOOKUP(Table1[[#This Row], [DISGUISE]],Sheet1!$A$21:$A$23,Sheet1!$C$21:$C$23))</f>
        <v>25600</v>
      </c>
      <c r="H228" s="13" t="s">
        <v>66</v>
      </c>
      <c r="I228" s="4">
        <f>_xlfn.XLOOKUP(Table1[[#This Row], [WEAPON]],Sheet1!$A$27:$A$29,Sheet1!$B$27:$B$29)*Table1[[#This Row], [NUM OF MEM]]*(1+_xlfn.XLOOKUP(Table1[[#This Row], [WEAPON]],Sheet1!$A$27:$A$29,Sheet1!$C$27:$C$29))</f>
        <v>72000</v>
      </c>
      <c r="J228" t="s">
        <v>60</v>
      </c>
      <c r="K228" s="9">
        <f>Table1[[#This Row], [NUM OF MEM]]*Table1[[#This Row], [TOTAL TIME TAKEN]]*_xlfn.XLOOKUP(Table1[[#This Row], [EXIT]],Sheet1!$A$70:$A$71,Sheet1!$B$70:$B$71)*(1+_xlfn.XLOOKUP(Table1[[#This Row], [EXIT]],Sheet1!$A$70:$A$71,Sheet1!$C$70:$C$71))</f>
        <v>1663091.9999999995</v>
      </c>
      <c r="L228" s="13" t="s">
        <v>65</v>
      </c>
      <c r="M228" s="4">
        <f>IF(Table1[[#This Row], [EQUIPMENT]]="YES",Sheet1!$C$44*(1+Sheet1!$D$44),0)</f>
        <v>307500</v>
      </c>
      <c r="N228" s="4">
        <f>_xlfn.XLOOKUP(Table1[[#This Row], [ROOM]],Sheet1!$A$47:$A$66,Sheet1!$F$47:$F$66)</f>
        <v>18150000</v>
      </c>
      <c r="O228" s="9">
        <f>_xlfn.XLOOKUP(_xlfn.CONCAT(Table1[[#This Row], [TEAM]],Table1[[#This Row], [ROOM]]),'ROOM TIME'!$H$2:$H$121,'ROOM TIME'!$J$2:$J$121)</f>
        <v>57.299999999999976</v>
      </c>
      <c r="P228" s="9">
        <f>(INDEX(Sheet1!$X$48:$Z$67,MATCH(Table1[[#This Row], [ROOM]],Sheet1!$P$48:$P$67,0),MATCH(Table1[[#This Row], [WEAPON]],Sheet1!$X$47:$Z$47,0)))/Table1[[#This Row], [NUM OF MEM]]</f>
        <v>7.5</v>
      </c>
      <c r="Q228" s="9">
        <f>Table1[[#This Row], [ROOM TIME]]+Table1[[#This Row], [GUARD TIME]]</f>
        <v>64.799999999999983</v>
      </c>
      <c r="R228" s="4">
        <f>Sheet1!$K$3*_xlfn.XLOOKUP(Table1[[#This Row], [DISGUISE]],Sheet1!$A$21:$A$23,Sheet1!$D$21:$D$23)</f>
        <v>69</v>
      </c>
      <c r="S228" s="9">
        <f>Table1[[#This Row], [TOTAL TIME]]-Table1[[#This Row], [TOTAL TIME TAKEN]]</f>
        <v>4.2000000000000171</v>
      </c>
      <c r="T228" t="str">
        <f>IF(Table1[[#This Row], [TIME DIFFERENCE]]&gt;=0,"PASS","FAIL")</f>
        <v>PASS</v>
      </c>
      <c r="U228" s="4">
        <f>Table1[[#This Row], [TRC]]+Table1[[#This Row], [DRC]]+Table1[[#This Row], [WRC]]+Table1[[#This Row], [ERC]]+Table1[[#This Row], [EQRC]]</f>
        <v>8150992</v>
      </c>
      <c r="V228" s="4">
        <f>Table1[[#This Row], [TOTAL COST]]+_xlfn.XLOOKUP(Table1[[#This Row], [TEAM]],Sheet1!$A$12:$A$17,Sheet1!$I$12:$I$17)</f>
        <v>8455132</v>
      </c>
      <c r="W228" s="4">
        <f>Table1[[#This Row], [LOOT]]-Table1[[#This Row], [TOTAL COST]]</f>
        <v>9999008</v>
      </c>
      <c r="X228" s="4">
        <f>IF(Table1[[#This Row], [PASS/FAIL]]="FAIL",0,Table1[[#This Row], [PROFIT]])</f>
        <v>9999008</v>
      </c>
    </row>
    <row r="229" spans="1:24" ht="19.5" customHeight="1" x14ac:dyDescent="0.45">
      <c r="A229" t="s">
        <v>12</v>
      </c>
      <c r="B229" s="14">
        <f>_xlfn.XLOOKUP(Table1[[#This Row], [TEAM]],Sheet1!$A$12:$A$17,Sheet1!$F$12:$F$17)</f>
        <v>3</v>
      </c>
      <c r="C229" s="14">
        <f>_xlfn.XLOOKUP(Table1[[#This Row], [TEAM]],Sheet1!$A$12:$A$17,Sheet1!$G$12:$G$17)</f>
        <v>5988750</v>
      </c>
      <c r="D229" t="s">
        <v>33</v>
      </c>
      <c r="E229" s="4">
        <f>_xlfn.XLOOKUP(Table1[[#This Row], [ROOM]],Sheet1!$A$47:$A$66,Sheet1!$B$47:$B$66)</f>
        <v>356</v>
      </c>
      <c r="F229" t="s">
        <v>62</v>
      </c>
      <c r="G229" s="4">
        <f>_xlfn.XLOOKUP(Table1[[#This Row], [DISGUISE]],Sheet1!$A$21:$A$23,Sheet1!$B$21:$B$23)*Table1[[#This Row], [NUM OF MEM]]*(1+_xlfn.XLOOKUP(Table1[[#This Row], [DISGUISE]],Sheet1!$A$21:$A$23,Sheet1!$C$21:$C$23))</f>
        <v>15600</v>
      </c>
      <c r="H229" s="13" t="s">
        <v>59</v>
      </c>
      <c r="I229" s="4">
        <f>_xlfn.XLOOKUP(Table1[[#This Row], [WEAPON]],Sheet1!$A$27:$A$29,Sheet1!$B$27:$B$29)*Table1[[#This Row], [NUM OF MEM]]*(1+_xlfn.XLOOKUP(Table1[[#This Row], [WEAPON]],Sheet1!$A$27:$A$29,Sheet1!$C$27:$C$29))</f>
        <v>136500</v>
      </c>
      <c r="J229" t="s">
        <v>60</v>
      </c>
      <c r="K229" s="9">
        <f>Table1[[#This Row], [NUM OF MEM]]*Table1[[#This Row], [TOTAL TIME TAKEN]]*_xlfn.XLOOKUP(Table1[[#This Row], [EXIT]],Sheet1!$A$70:$A$71,Sheet1!$B$70:$B$71)*(1+_xlfn.XLOOKUP(Table1[[#This Row], [EXIT]],Sheet1!$A$70:$A$71,Sheet1!$C$70:$C$71))</f>
        <v>1652740.4499999997</v>
      </c>
      <c r="L229" s="13" t="s">
        <v>65</v>
      </c>
      <c r="M229" s="4">
        <f>IF(Table1[[#This Row], [EQUIPMENT]]="YES",Sheet1!$C$44*(1+Sheet1!$D$44),0)</f>
        <v>307500</v>
      </c>
      <c r="N229" s="4">
        <f>_xlfn.XLOOKUP(Table1[[#This Row], [ROOM]],Sheet1!$A$47:$A$66,Sheet1!$F$47:$F$66)</f>
        <v>18100000</v>
      </c>
      <c r="O229" s="9">
        <f>_xlfn.XLOOKUP(_xlfn.CONCAT(Table1[[#This Row], [TEAM]],Table1[[#This Row], [ROOM]]),'ROOM TIME'!$H$2:$H$121,'ROOM TIME'!$J$2:$J$121)</f>
        <v>38.331111111111092</v>
      </c>
      <c r="P229" s="9">
        <f>(INDEX(Sheet1!$X$48:$Z$67,MATCH(Table1[[#This Row], [ROOM]],Sheet1!$P$48:$P$67,0),MATCH(Table1[[#This Row], [WEAPON]],Sheet1!$X$47:$Z$47,0)))/Table1[[#This Row], [NUM OF MEM]]</f>
        <v>4.5999999999999996</v>
      </c>
      <c r="Q229" s="9">
        <f>Table1[[#This Row], [ROOM TIME]]+Table1[[#This Row], [GUARD TIME]]</f>
        <v>42.931111111111093</v>
      </c>
      <c r="R229" s="4">
        <f>Sheet1!$K$3*_xlfn.XLOOKUP(Table1[[#This Row], [DISGUISE]],Sheet1!$A$21:$A$23,Sheet1!$D$21:$D$23)</f>
        <v>66</v>
      </c>
      <c r="S229" s="9">
        <f>Table1[[#This Row], [TOTAL TIME]]-Table1[[#This Row], [TOTAL TIME TAKEN]]</f>
        <v>23.068888888888907</v>
      </c>
      <c r="T229" t="str">
        <f>IF(Table1[[#This Row], [TIME DIFFERENCE]]&gt;=0,"PASS","FAIL")</f>
        <v>PASS</v>
      </c>
      <c r="U229" s="9">
        <f>Table1[[#This Row], [TRC]]+Table1[[#This Row], [DRC]]+Table1[[#This Row], [WRC]]+Table1[[#This Row], [ERC]]+Table1[[#This Row], [EQRC]]</f>
        <v>8101090.4499999993</v>
      </c>
      <c r="V229" s="9">
        <f>Table1[[#This Row], [TOTAL COST]]+_xlfn.XLOOKUP(Table1[[#This Row], [TEAM]],Sheet1!$A$12:$A$17,Sheet1!$I$12:$I$17)</f>
        <v>8400527.9499999993</v>
      </c>
      <c r="W229" s="9">
        <f>Table1[[#This Row], [LOOT]]-Table1[[#This Row], [TOTAL COST]]</f>
        <v>9998909.5500000007</v>
      </c>
      <c r="X229" s="9">
        <f>IF(Table1[[#This Row], [PASS/FAIL]]="FAIL",0,Table1[[#This Row], [PROFIT]])</f>
        <v>9998909.5500000007</v>
      </c>
    </row>
    <row r="230" spans="1:24" ht="19.5" customHeight="1" x14ac:dyDescent="0.45">
      <c r="A230" t="s">
        <v>13</v>
      </c>
      <c r="B230" s="14">
        <f>_xlfn.XLOOKUP(Table1[[#This Row], [TEAM]],Sheet1!$A$12:$A$17,Sheet1!$F$12:$F$17)</f>
        <v>3</v>
      </c>
      <c r="C230" s="14">
        <f>_xlfn.XLOOKUP(Table1[[#This Row], [TEAM]],Sheet1!$A$12:$A$17,Sheet1!$G$12:$G$17)</f>
        <v>5930000</v>
      </c>
      <c r="D230" t="s">
        <v>26</v>
      </c>
      <c r="E230" s="4">
        <f>_xlfn.XLOOKUP(Table1[[#This Row], [ROOM]],Sheet1!$A$47:$A$66,Sheet1!$B$47:$B$66)</f>
        <v>136</v>
      </c>
      <c r="F230" t="s">
        <v>58</v>
      </c>
      <c r="G230" s="4">
        <f>_xlfn.XLOOKUP(Table1[[#This Row], [DISGUISE]],Sheet1!$A$21:$A$23,Sheet1!$B$21:$B$23)*Table1[[#This Row], [NUM OF MEM]]*(1+_xlfn.XLOOKUP(Table1[[#This Row], [DISGUISE]],Sheet1!$A$21:$A$23,Sheet1!$C$21:$C$23))</f>
        <v>38400</v>
      </c>
      <c r="H230" s="13" t="s">
        <v>59</v>
      </c>
      <c r="I230" s="4">
        <f>_xlfn.XLOOKUP(Table1[[#This Row], [WEAPON]],Sheet1!$A$27:$A$29,Sheet1!$B$27:$B$29)*Table1[[#This Row], [NUM OF MEM]]*(1+_xlfn.XLOOKUP(Table1[[#This Row], [WEAPON]],Sheet1!$A$27:$A$29,Sheet1!$C$27:$C$29))</f>
        <v>136500</v>
      </c>
      <c r="J230" t="s">
        <v>64</v>
      </c>
      <c r="K230" s="9">
        <f>Table1[[#This Row], [NUM OF MEM]]*Table1[[#This Row], [TOTAL TIME TAKEN]]*_xlfn.XLOOKUP(Table1[[#This Row], [EXIT]],Sheet1!$A$70:$A$71,Sheet1!$B$70:$B$71)*(1+_xlfn.XLOOKUP(Table1[[#This Row], [EXIT]],Sheet1!$A$70:$A$71,Sheet1!$C$70:$C$71))</f>
        <v>1739879.9999999991</v>
      </c>
      <c r="L230" s="13" t="s">
        <v>65</v>
      </c>
      <c r="M230" s="4">
        <f>IF(Table1[[#This Row], [EQUIPMENT]]="YES",Sheet1!$C$44*(1+Sheet1!$D$44),0)</f>
        <v>307500</v>
      </c>
      <c r="N230" s="4">
        <f>_xlfn.XLOOKUP(Table1[[#This Row], [ROOM]],Sheet1!$A$47:$A$66,Sheet1!$F$47:$F$66)</f>
        <v>18150000</v>
      </c>
      <c r="O230" s="9">
        <f>_xlfn.XLOOKUP(_xlfn.CONCAT(Table1[[#This Row], [TEAM]],Table1[[#This Row], [ROOM]]),'ROOM TIME'!$H$2:$H$121,'ROOM TIME'!$J$2:$J$121)</f>
        <v>40.149999999999984</v>
      </c>
      <c r="P230" s="9">
        <f>(INDEX(Sheet1!$X$48:$Z$67,MATCH(Table1[[#This Row], [ROOM]],Sheet1!$P$48:$P$67,0),MATCH(Table1[[#This Row], [WEAPON]],Sheet1!$X$47:$Z$47,0)))/Table1[[#This Row], [NUM OF MEM]]</f>
        <v>4.5999999999999996</v>
      </c>
      <c r="Q230" s="9">
        <f>Table1[[#This Row], [ROOM TIME]]+Table1[[#This Row], [GUARD TIME]]</f>
        <v>44.749999999999986</v>
      </c>
      <c r="R230" s="4">
        <f>Sheet1!$K$3*_xlfn.XLOOKUP(Table1[[#This Row], [DISGUISE]],Sheet1!$A$21:$A$23,Sheet1!$D$21:$D$23)</f>
        <v>69</v>
      </c>
      <c r="S230" s="9">
        <f>Table1[[#This Row], [TOTAL TIME]]-Table1[[#This Row], [TOTAL TIME TAKEN]]</f>
        <v>24.250000000000014</v>
      </c>
      <c r="T230" t="str">
        <f>IF(Table1[[#This Row], [TIME DIFFERENCE]]&gt;=0,"PASS","FAIL")</f>
        <v>PASS</v>
      </c>
      <c r="U230" s="9">
        <f>Table1[[#This Row], [TRC]]+Table1[[#This Row], [DRC]]+Table1[[#This Row], [WRC]]+Table1[[#This Row], [ERC]]+Table1[[#This Row], [EQRC]]</f>
        <v>8152279.9999999991</v>
      </c>
      <c r="V230" s="4">
        <f>Table1[[#This Row], [TOTAL COST]]+_xlfn.XLOOKUP(Table1[[#This Row], [TEAM]],Sheet1!$A$12:$A$17,Sheet1!$I$12:$I$17)</f>
        <v>8448780</v>
      </c>
      <c r="W230" s="4">
        <f>Table1[[#This Row], [LOOT]]-Table1[[#This Row], [TOTAL COST]]</f>
        <v>9997720</v>
      </c>
      <c r="X230" s="4">
        <f>IF(Table1[[#This Row], [PASS/FAIL]]="FAIL",0,Table1[[#This Row], [PROFIT]])</f>
        <v>9997720</v>
      </c>
    </row>
    <row r="231" spans="1:24" ht="19.5" customHeight="1" x14ac:dyDescent="0.45">
      <c r="A231" t="s">
        <v>16</v>
      </c>
      <c r="B231" s="14">
        <f>_xlfn.XLOOKUP(Table1[[#This Row], [TEAM]],Sheet1!$A$12:$A$17,Sheet1!$F$12:$F$17)</f>
        <v>2</v>
      </c>
      <c r="C231" s="14">
        <f>_xlfn.XLOOKUP(Table1[[#This Row], [TEAM]],Sheet1!$A$12:$A$17,Sheet1!$G$12:$G$17)</f>
        <v>6082800</v>
      </c>
      <c r="D231" t="s">
        <v>26</v>
      </c>
      <c r="E231" s="4">
        <f>_xlfn.XLOOKUP(Table1[[#This Row], [ROOM]],Sheet1!$A$47:$A$66,Sheet1!$B$47:$B$66)</f>
        <v>136</v>
      </c>
      <c r="F231" t="s">
        <v>62</v>
      </c>
      <c r="G231" s="4">
        <f>_xlfn.XLOOKUP(Table1[[#This Row], [DISGUISE]],Sheet1!$A$21:$A$23,Sheet1!$B$21:$B$23)*Table1[[#This Row], [NUM OF MEM]]*(1+_xlfn.XLOOKUP(Table1[[#This Row], [DISGUISE]],Sheet1!$A$21:$A$23,Sheet1!$C$21:$C$23))</f>
        <v>10400</v>
      </c>
      <c r="H231" s="13" t="s">
        <v>66</v>
      </c>
      <c r="I231" s="4">
        <f>_xlfn.XLOOKUP(Table1[[#This Row], [WEAPON]],Sheet1!$A$27:$A$29,Sheet1!$B$27:$B$29)*Table1[[#This Row], [NUM OF MEM]]*(1+_xlfn.XLOOKUP(Table1[[#This Row], [WEAPON]],Sheet1!$A$27:$A$29,Sheet1!$C$27:$C$29))</f>
        <v>72000</v>
      </c>
      <c r="J231" t="s">
        <v>64</v>
      </c>
      <c r="K231" s="9">
        <f>Table1[[#This Row], [NUM OF MEM]]*Table1[[#This Row], [TOTAL TIME TAKEN]]*_xlfn.XLOOKUP(Table1[[#This Row], [EXIT]],Sheet1!$A$70:$A$71,Sheet1!$B$70:$B$71)*(1+_xlfn.XLOOKUP(Table1[[#This Row], [EXIT]],Sheet1!$A$70:$A$71,Sheet1!$C$70:$C$71))</f>
        <v>1679615.9999999993</v>
      </c>
      <c r="L231" s="13" t="s">
        <v>65</v>
      </c>
      <c r="M231" s="4">
        <f>IF(Table1[[#This Row], [EQUIPMENT]]="YES",Sheet1!$C$44*(1+Sheet1!$D$44),0)</f>
        <v>307500</v>
      </c>
      <c r="N231" s="4">
        <f>_xlfn.XLOOKUP(Table1[[#This Row], [ROOM]],Sheet1!$A$47:$A$66,Sheet1!$F$47:$F$66)</f>
        <v>18150000</v>
      </c>
      <c r="O231" s="9">
        <f>_xlfn.XLOOKUP(_xlfn.CONCAT(Table1[[#This Row], [TEAM]],Table1[[#This Row], [ROOM]]),'ROOM TIME'!$H$2:$H$121,'ROOM TIME'!$J$2:$J$121)</f>
        <v>57.299999999999976</v>
      </c>
      <c r="P231" s="9">
        <f>(INDEX(Sheet1!$X$48:$Z$67,MATCH(Table1[[#This Row], [ROOM]],Sheet1!$P$48:$P$67,0),MATCH(Table1[[#This Row], [WEAPON]],Sheet1!$X$47:$Z$47,0)))/Table1[[#This Row], [NUM OF MEM]]</f>
        <v>7.5</v>
      </c>
      <c r="Q231" s="9">
        <f>Table1[[#This Row], [ROOM TIME]]+Table1[[#This Row], [GUARD TIME]]</f>
        <v>64.799999999999983</v>
      </c>
      <c r="R231" s="4">
        <f>Sheet1!$K$3*_xlfn.XLOOKUP(Table1[[#This Row], [DISGUISE]],Sheet1!$A$21:$A$23,Sheet1!$D$21:$D$23)</f>
        <v>66</v>
      </c>
      <c r="S231" s="9">
        <f>Table1[[#This Row], [TOTAL TIME]]-Table1[[#This Row], [TOTAL TIME TAKEN]]</f>
        <v>1.2000000000000171</v>
      </c>
      <c r="T231" t="str">
        <f>IF(Table1[[#This Row], [TIME DIFFERENCE]]&gt;=0,"PASS","FAIL")</f>
        <v>PASS</v>
      </c>
      <c r="U231" s="9">
        <f>Table1[[#This Row], [TRC]]+Table1[[#This Row], [DRC]]+Table1[[#This Row], [WRC]]+Table1[[#This Row], [ERC]]+Table1[[#This Row], [EQRC]]</f>
        <v>8152315.9999999991</v>
      </c>
      <c r="V231" s="4">
        <f>Table1[[#This Row], [TOTAL COST]]+_xlfn.XLOOKUP(Table1[[#This Row], [TEAM]],Sheet1!$A$12:$A$17,Sheet1!$I$12:$I$17)</f>
        <v>8456456</v>
      </c>
      <c r="W231" s="4">
        <f>Table1[[#This Row], [LOOT]]-Table1[[#This Row], [TOTAL COST]]</f>
        <v>9997684</v>
      </c>
      <c r="X231" s="4">
        <f>IF(Table1[[#This Row], [PASS/FAIL]]="FAIL",0,Table1[[#This Row], [PROFIT]])</f>
        <v>9997684</v>
      </c>
    </row>
    <row r="232" spans="1:24" ht="19.5" customHeight="1" x14ac:dyDescent="0.45">
      <c r="A232" t="s">
        <v>12</v>
      </c>
      <c r="B232" s="14">
        <f>_xlfn.XLOOKUP(Table1[[#This Row], [TEAM]],Sheet1!$A$12:$A$17,Sheet1!$F$12:$F$17)</f>
        <v>3</v>
      </c>
      <c r="C232" s="14">
        <f>_xlfn.XLOOKUP(Table1[[#This Row], [TEAM]],Sheet1!$A$12:$A$17,Sheet1!$G$12:$G$17)</f>
        <v>5988750</v>
      </c>
      <c r="D232" t="s">
        <v>33</v>
      </c>
      <c r="E232" s="4">
        <f>_xlfn.XLOOKUP(Table1[[#This Row], [ROOM]],Sheet1!$A$47:$A$66,Sheet1!$B$47:$B$66)</f>
        <v>356</v>
      </c>
      <c r="F232" t="s">
        <v>58</v>
      </c>
      <c r="G232" s="4">
        <f>_xlfn.XLOOKUP(Table1[[#This Row], [DISGUISE]],Sheet1!$A$21:$A$23,Sheet1!$B$21:$B$23)*Table1[[#This Row], [NUM OF MEM]]*(1+_xlfn.XLOOKUP(Table1[[#This Row], [DISGUISE]],Sheet1!$A$21:$A$23,Sheet1!$C$21:$C$23))</f>
        <v>38400</v>
      </c>
      <c r="H232" s="13" t="s">
        <v>63</v>
      </c>
      <c r="I232" s="4">
        <f>_xlfn.XLOOKUP(Table1[[#This Row], [WEAPON]],Sheet1!$A$27:$A$29,Sheet1!$B$27:$B$29)*Table1[[#This Row], [NUM OF MEM]]*(1+_xlfn.XLOOKUP(Table1[[#This Row], [WEAPON]],Sheet1!$A$27:$A$29,Sheet1!$C$27:$C$29))</f>
        <v>69000</v>
      </c>
      <c r="J232" t="s">
        <v>64</v>
      </c>
      <c r="K232" s="9">
        <f>Table1[[#This Row], [NUM OF MEM]]*Table1[[#This Row], [TOTAL TIME TAKEN]]*_xlfn.XLOOKUP(Table1[[#This Row], [EXIT]],Sheet1!$A$70:$A$71,Sheet1!$B$70:$B$71)*(1+_xlfn.XLOOKUP(Table1[[#This Row], [EXIT]],Sheet1!$A$70:$A$71,Sheet1!$C$70:$C$71))</f>
        <v>1700265.5999999992</v>
      </c>
      <c r="L232" s="13" t="s">
        <v>65</v>
      </c>
      <c r="M232" s="4">
        <f>IF(Table1[[#This Row], [EQUIPMENT]]="YES",Sheet1!$C$44*(1+Sheet1!$D$44),0)</f>
        <v>307500</v>
      </c>
      <c r="N232" s="4">
        <f>_xlfn.XLOOKUP(Table1[[#This Row], [ROOM]],Sheet1!$A$47:$A$66,Sheet1!$F$47:$F$66)</f>
        <v>18100000</v>
      </c>
      <c r="O232" s="9">
        <f>_xlfn.XLOOKUP(_xlfn.CONCAT(Table1[[#This Row], [TEAM]],Table1[[#This Row], [ROOM]]),'ROOM TIME'!$H$2:$H$121,'ROOM TIME'!$J$2:$J$121)</f>
        <v>38.331111111111092</v>
      </c>
      <c r="P232" s="9">
        <f>(INDEX(Sheet1!$X$48:$Z$67,MATCH(Table1[[#This Row], [ROOM]],Sheet1!$P$48:$P$67,0),MATCH(Table1[[#This Row], [WEAPON]],Sheet1!$X$47:$Z$47,0)))/Table1[[#This Row], [NUM OF MEM]]</f>
        <v>5.4000000000000012</v>
      </c>
      <c r="Q232" s="9">
        <f>Table1[[#This Row], [ROOM TIME]]+Table1[[#This Row], [GUARD TIME]]</f>
        <v>43.73111111111109</v>
      </c>
      <c r="R232" s="4">
        <f>Sheet1!$K$3*_xlfn.XLOOKUP(Table1[[#This Row], [DISGUISE]],Sheet1!$A$21:$A$23,Sheet1!$D$21:$D$23)</f>
        <v>69</v>
      </c>
      <c r="S232" s="9">
        <f>Table1[[#This Row], [TOTAL TIME]]-Table1[[#This Row], [TOTAL TIME TAKEN]]</f>
        <v>25.26888888888891</v>
      </c>
      <c r="T232" t="str">
        <f>IF(Table1[[#This Row], [TIME DIFFERENCE]]&gt;=0,"PASS","FAIL")</f>
        <v>PASS</v>
      </c>
      <c r="U232" s="9">
        <f>Table1[[#This Row], [TRC]]+Table1[[#This Row], [DRC]]+Table1[[#This Row], [WRC]]+Table1[[#This Row], [ERC]]+Table1[[#This Row], [EQRC]]</f>
        <v>8103915.5999999996</v>
      </c>
      <c r="V232" s="9">
        <f>Table1[[#This Row], [TOTAL COST]]+_xlfn.XLOOKUP(Table1[[#This Row], [TEAM]],Sheet1!$A$12:$A$17,Sheet1!$I$12:$I$17)</f>
        <v>8403353.0999999996</v>
      </c>
      <c r="W232" s="9">
        <f>Table1[[#This Row], [LOOT]]-Table1[[#This Row], [TOTAL COST]]</f>
        <v>9996084.4000000004</v>
      </c>
      <c r="X232" s="9">
        <f>IF(Table1[[#This Row], [PASS/FAIL]]="FAIL",0,Table1[[#This Row], [PROFIT]])</f>
        <v>9996084.4000000004</v>
      </c>
    </row>
    <row r="233" spans="1:24" ht="19.5" customHeight="1" x14ac:dyDescent="0.45">
      <c r="A233" t="s">
        <v>12</v>
      </c>
      <c r="B233" s="14">
        <f>_xlfn.XLOOKUP(Table1[[#This Row], [TEAM]],Sheet1!$A$12:$A$17,Sheet1!$F$12:$F$17)</f>
        <v>3</v>
      </c>
      <c r="C233" s="14">
        <f>_xlfn.XLOOKUP(Table1[[#This Row], [TEAM]],Sheet1!$A$12:$A$17,Sheet1!$G$12:$G$17)</f>
        <v>5988750</v>
      </c>
      <c r="D233" t="s">
        <v>33</v>
      </c>
      <c r="E233" s="4">
        <f>_xlfn.XLOOKUP(Table1[[#This Row], [ROOM]],Sheet1!$A$47:$A$66,Sheet1!$B$47:$B$66)</f>
        <v>356</v>
      </c>
      <c r="F233" t="s">
        <v>62</v>
      </c>
      <c r="G233" s="4">
        <f>_xlfn.XLOOKUP(Table1[[#This Row], [DISGUISE]],Sheet1!$A$21:$A$23,Sheet1!$B$21:$B$23)*Table1[[#This Row], [NUM OF MEM]]*(1+_xlfn.XLOOKUP(Table1[[#This Row], [DISGUISE]],Sheet1!$A$21:$A$23,Sheet1!$C$21:$C$23))</f>
        <v>15600</v>
      </c>
      <c r="H233" s="13" t="s">
        <v>66</v>
      </c>
      <c r="I233" s="4">
        <f>_xlfn.XLOOKUP(Table1[[#This Row], [WEAPON]],Sheet1!$A$27:$A$29,Sheet1!$B$27:$B$29)*Table1[[#This Row], [NUM OF MEM]]*(1+_xlfn.XLOOKUP(Table1[[#This Row], [WEAPON]],Sheet1!$A$27:$A$29,Sheet1!$C$27:$C$29))</f>
        <v>108000</v>
      </c>
      <c r="J233" t="s">
        <v>64</v>
      </c>
      <c r="K233" s="9">
        <f>Table1[[#This Row], [NUM OF MEM]]*Table1[[#This Row], [TOTAL TIME TAKEN]]*_xlfn.XLOOKUP(Table1[[#This Row], [EXIT]],Sheet1!$A$70:$A$71,Sheet1!$B$70:$B$71)*(1+_xlfn.XLOOKUP(Table1[[#This Row], [EXIT]],Sheet1!$A$70:$A$71,Sheet1!$C$70:$C$71))</f>
        <v>1684713.5999999994</v>
      </c>
      <c r="L233" s="13" t="s">
        <v>65</v>
      </c>
      <c r="M233" s="4">
        <f>IF(Table1[[#This Row], [EQUIPMENT]]="YES",Sheet1!$C$44*(1+Sheet1!$D$44),0)</f>
        <v>307500</v>
      </c>
      <c r="N233" s="4">
        <f>_xlfn.XLOOKUP(Table1[[#This Row], [ROOM]],Sheet1!$A$47:$A$66,Sheet1!$F$47:$F$66)</f>
        <v>18100000</v>
      </c>
      <c r="O233" s="9">
        <f>_xlfn.XLOOKUP(_xlfn.CONCAT(Table1[[#This Row], [TEAM]],Table1[[#This Row], [ROOM]]),'ROOM TIME'!$H$2:$H$121,'ROOM TIME'!$J$2:$J$121)</f>
        <v>38.331111111111092</v>
      </c>
      <c r="P233" s="4">
        <f>(INDEX(Sheet1!$X$48:$Z$67,MATCH(Table1[[#This Row], [ROOM]],Sheet1!$P$48:$P$67,0),MATCH(Table1[[#This Row], [WEAPON]],Sheet1!$X$47:$Z$47,0)))/Table1[[#This Row], [NUM OF MEM]]</f>
        <v>5</v>
      </c>
      <c r="Q233" s="9">
        <f>Table1[[#This Row], [ROOM TIME]]+Table1[[#This Row], [GUARD TIME]]</f>
        <v>43.331111111111092</v>
      </c>
      <c r="R233" s="4">
        <f>Sheet1!$K$3*_xlfn.XLOOKUP(Table1[[#This Row], [DISGUISE]],Sheet1!$A$21:$A$23,Sheet1!$D$21:$D$23)</f>
        <v>66</v>
      </c>
      <c r="S233" s="9">
        <f>Table1[[#This Row], [TOTAL TIME]]-Table1[[#This Row], [TOTAL TIME TAKEN]]</f>
        <v>22.668888888888908</v>
      </c>
      <c r="T233" t="str">
        <f>IF(Table1[[#This Row], [TIME DIFFERENCE]]&gt;=0,"PASS","FAIL")</f>
        <v>PASS</v>
      </c>
      <c r="U233" s="9">
        <f>Table1[[#This Row], [TRC]]+Table1[[#This Row], [DRC]]+Table1[[#This Row], [WRC]]+Table1[[#This Row], [ERC]]+Table1[[#This Row], [EQRC]]</f>
        <v>8104563.5999999996</v>
      </c>
      <c r="V233" s="9">
        <f>Table1[[#This Row], [TOTAL COST]]+_xlfn.XLOOKUP(Table1[[#This Row], [TEAM]],Sheet1!$A$12:$A$17,Sheet1!$I$12:$I$17)</f>
        <v>8404001.0999999996</v>
      </c>
      <c r="W233" s="9">
        <f>Table1[[#This Row], [LOOT]]-Table1[[#This Row], [TOTAL COST]]</f>
        <v>9995436.4000000004</v>
      </c>
      <c r="X233" s="9">
        <f>IF(Table1[[#This Row], [PASS/FAIL]]="FAIL",0,Table1[[#This Row], [PROFIT]])</f>
        <v>9995436.4000000004</v>
      </c>
    </row>
    <row r="234" spans="1:24" ht="19.5" customHeight="1" x14ac:dyDescent="0.45">
      <c r="A234" t="s">
        <v>16</v>
      </c>
      <c r="B234" s="14">
        <f>_xlfn.XLOOKUP(Table1[[#This Row], [TEAM]],Sheet1!$A$12:$A$17,Sheet1!$F$12:$F$17)</f>
        <v>2</v>
      </c>
      <c r="C234" s="14">
        <f>_xlfn.XLOOKUP(Table1[[#This Row], [TEAM]],Sheet1!$A$12:$A$17,Sheet1!$G$12:$G$17)</f>
        <v>6082800</v>
      </c>
      <c r="D234" t="s">
        <v>26</v>
      </c>
      <c r="E234" s="4">
        <f>_xlfn.XLOOKUP(Table1[[#This Row], [ROOM]],Sheet1!$A$47:$A$66,Sheet1!$B$47:$B$66)</f>
        <v>136</v>
      </c>
      <c r="F234" t="s">
        <v>58</v>
      </c>
      <c r="G234" s="4">
        <f>_xlfn.XLOOKUP(Table1[[#This Row], [DISGUISE]],Sheet1!$A$21:$A$23,Sheet1!$B$21:$B$23)*Table1[[#This Row], [NUM OF MEM]]*(1+_xlfn.XLOOKUP(Table1[[#This Row], [DISGUISE]],Sheet1!$A$21:$A$23,Sheet1!$C$21:$C$23))</f>
        <v>25600</v>
      </c>
      <c r="H234" s="13" t="s">
        <v>59</v>
      </c>
      <c r="I234" s="4">
        <f>_xlfn.XLOOKUP(Table1[[#This Row], [WEAPON]],Sheet1!$A$27:$A$29,Sheet1!$B$27:$B$29)*Table1[[#This Row], [NUM OF MEM]]*(1+_xlfn.XLOOKUP(Table1[[#This Row], [WEAPON]],Sheet1!$A$27:$A$29,Sheet1!$C$27:$C$29))</f>
        <v>91000</v>
      </c>
      <c r="J234" t="s">
        <v>60</v>
      </c>
      <c r="K234" s="9">
        <f>Table1[[#This Row], [NUM OF MEM]]*Table1[[#This Row], [TOTAL TIME TAKEN]]*_xlfn.XLOOKUP(Table1[[#This Row], [EXIT]],Sheet1!$A$70:$A$71,Sheet1!$B$70:$B$71)*(1+_xlfn.XLOOKUP(Table1[[#This Row], [EXIT]],Sheet1!$A$70:$A$71,Sheet1!$C$70:$C$71))</f>
        <v>1647692.9999999993</v>
      </c>
      <c r="L234" s="13" t="s">
        <v>65</v>
      </c>
      <c r="M234" s="4">
        <f>IF(Table1[[#This Row], [EQUIPMENT]]="YES",Sheet1!$C$44*(1+Sheet1!$D$44),0)</f>
        <v>307500</v>
      </c>
      <c r="N234" s="4">
        <f>_xlfn.XLOOKUP(Table1[[#This Row], [ROOM]],Sheet1!$A$47:$A$66,Sheet1!$F$47:$F$66)</f>
        <v>18150000</v>
      </c>
      <c r="O234" s="9">
        <f>_xlfn.XLOOKUP(_xlfn.CONCAT(Table1[[#This Row], [TEAM]],Table1[[#This Row], [ROOM]]),'ROOM TIME'!$H$2:$H$121,'ROOM TIME'!$J$2:$J$121)</f>
        <v>57.299999999999976</v>
      </c>
      <c r="P234" s="9">
        <f>(INDEX(Sheet1!$X$48:$Z$67,MATCH(Table1[[#This Row], [ROOM]],Sheet1!$P$48:$P$67,0),MATCH(Table1[[#This Row], [WEAPON]],Sheet1!$X$47:$Z$47,0)))/Table1[[#This Row], [NUM OF MEM]]</f>
        <v>6.8999999999999995</v>
      </c>
      <c r="Q234" s="9">
        <f>Table1[[#This Row], [ROOM TIME]]+Table1[[#This Row], [GUARD TIME]]</f>
        <v>64.199999999999974</v>
      </c>
      <c r="R234" s="4">
        <f>Sheet1!$K$3*_xlfn.XLOOKUP(Table1[[#This Row], [DISGUISE]],Sheet1!$A$21:$A$23,Sheet1!$D$21:$D$23)</f>
        <v>69</v>
      </c>
      <c r="S234" s="9">
        <f>Table1[[#This Row], [TOTAL TIME]]-Table1[[#This Row], [TOTAL TIME TAKEN]]</f>
        <v>4.8000000000000256</v>
      </c>
      <c r="T234" t="str">
        <f>IF(Table1[[#This Row], [TIME DIFFERENCE]]&gt;=0,"PASS","FAIL")</f>
        <v>PASS</v>
      </c>
      <c r="U234" s="9">
        <f>Table1[[#This Row], [TRC]]+Table1[[#This Row], [DRC]]+Table1[[#This Row], [WRC]]+Table1[[#This Row], [ERC]]+Table1[[#This Row], [EQRC]]</f>
        <v>8154592.9999999991</v>
      </c>
      <c r="V234" s="4">
        <f>Table1[[#This Row], [TOTAL COST]]+_xlfn.XLOOKUP(Table1[[#This Row], [TEAM]],Sheet1!$A$12:$A$17,Sheet1!$I$12:$I$17)</f>
        <v>8458733</v>
      </c>
      <c r="W234" s="4">
        <f>Table1[[#This Row], [LOOT]]-Table1[[#This Row], [TOTAL COST]]</f>
        <v>9995407</v>
      </c>
      <c r="X234" s="4">
        <f>IF(Table1[[#This Row], [PASS/FAIL]]="FAIL",0,Table1[[#This Row], [PROFIT]])</f>
        <v>9995407</v>
      </c>
    </row>
    <row r="235" spans="1:24" ht="19.5" customHeight="1" x14ac:dyDescent="0.45">
      <c r="A235" t="s">
        <v>13</v>
      </c>
      <c r="B235" s="14">
        <f>_xlfn.XLOOKUP(Table1[[#This Row], [TEAM]],Sheet1!$A$12:$A$17,Sheet1!$F$12:$F$17)</f>
        <v>3</v>
      </c>
      <c r="C235" s="14">
        <f>_xlfn.XLOOKUP(Table1[[#This Row], [TEAM]],Sheet1!$A$12:$A$17,Sheet1!$G$12:$G$17)</f>
        <v>5930000</v>
      </c>
      <c r="D235" t="s">
        <v>33</v>
      </c>
      <c r="E235" s="4">
        <f>_xlfn.XLOOKUP(Table1[[#This Row], [ROOM]],Sheet1!$A$47:$A$66,Sheet1!$B$47:$B$66)</f>
        <v>356</v>
      </c>
      <c r="F235" t="s">
        <v>58</v>
      </c>
      <c r="G235" s="4">
        <f>_xlfn.XLOOKUP(Table1[[#This Row], [DISGUISE]],Sheet1!$A$21:$A$23,Sheet1!$B$21:$B$23)*Table1[[#This Row], [NUM OF MEM]]*(1+_xlfn.XLOOKUP(Table1[[#This Row], [DISGUISE]],Sheet1!$A$21:$A$23,Sheet1!$C$21:$C$23))</f>
        <v>38400</v>
      </c>
      <c r="H235" s="13" t="s">
        <v>66</v>
      </c>
      <c r="I235" s="4">
        <f>_xlfn.XLOOKUP(Table1[[#This Row], [WEAPON]],Sheet1!$A$27:$A$29,Sheet1!$B$27:$B$29)*Table1[[#This Row], [NUM OF MEM]]*(1+_xlfn.XLOOKUP(Table1[[#This Row], [WEAPON]],Sheet1!$A$27:$A$29,Sheet1!$C$27:$C$29))</f>
        <v>108000</v>
      </c>
      <c r="J235" t="s">
        <v>60</v>
      </c>
      <c r="K235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1721116.2874999996</v>
      </c>
      <c r="L235" s="13" t="s">
        <v>65</v>
      </c>
      <c r="M235" s="4">
        <f>IF(Table1[[#This Row], [EQUIPMENT]]="YES",Sheet1!$C$44*(1+Sheet1!$D$44),0)</f>
        <v>307500</v>
      </c>
      <c r="N235" s="4">
        <f>_xlfn.XLOOKUP(Table1[[#This Row], [ROOM]],Sheet1!$A$47:$A$66,Sheet1!$F$47:$F$66)</f>
        <v>18100000</v>
      </c>
      <c r="O235" s="9">
        <f>_xlfn.XLOOKUP(_xlfn.CONCAT(Table1[[#This Row], [TEAM]],Table1[[#This Row], [ROOM]]),'ROOM TIME'!$H$2:$H$121,'ROOM TIME'!$J$2:$J$121)</f>
        <v>39.707222222222214</v>
      </c>
      <c r="P235" s="4">
        <f>(INDEX(Sheet1!$X$48:$Z$67,MATCH(Table1[[#This Row], [ROOM]],Sheet1!$P$48:$P$67,0),MATCH(Table1[[#This Row], [WEAPON]],Sheet1!$X$47:$Z$47,0)))/Table1[[#This Row], [NUM OF MEM]]</f>
        <v>5</v>
      </c>
      <c r="Q235" s="9">
        <f>Table1[[#This Row], [ROOM TIME]]+Table1[[#This Row], [GUARD TIME]]</f>
        <v>44.707222222222214</v>
      </c>
      <c r="R235" s="4">
        <f>Sheet1!$K$3*_xlfn.XLOOKUP(Table1[[#This Row], [DISGUISE]],Sheet1!$A$21:$A$23,Sheet1!$D$21:$D$23)</f>
        <v>69</v>
      </c>
      <c r="S235" s="9">
        <f>Table1[[#This Row], [TOTAL TIME]]-Table1[[#This Row], [TOTAL TIME TAKEN]]</f>
        <v>24.292777777777786</v>
      </c>
      <c r="T235" t="str">
        <f>IF(Table1[[#This Row], [TIME DIFFERENCE]]&gt;=0,"PASS","FAIL")</f>
        <v>PASS</v>
      </c>
      <c r="U235" s="9">
        <f>Table1[[#This Row], [TRC]]+Table1[[#This Row], [DRC]]+Table1[[#This Row], [WRC]]+Table1[[#This Row], [ERC]]+Table1[[#This Row], [EQRC]]</f>
        <v>8105016.2874999996</v>
      </c>
      <c r="V235" s="9">
        <f>Table1[[#This Row], [TOTAL COST]]+_xlfn.XLOOKUP(Table1[[#This Row], [TEAM]],Sheet1!$A$12:$A$17,Sheet1!$I$12:$I$17)</f>
        <v>8401516.2874999996</v>
      </c>
      <c r="W235" s="9">
        <f>Table1[[#This Row], [LOOT]]-Table1[[#This Row], [TOTAL COST]]</f>
        <v>9994983.7125000004</v>
      </c>
      <c r="X235" s="9">
        <f>IF(Table1[[#This Row], [PASS/FAIL]]="FAIL",0,Table1[[#This Row], [PROFIT]])</f>
        <v>9994983.7125000004</v>
      </c>
    </row>
    <row r="236" spans="1:24" ht="19.5" customHeight="1" x14ac:dyDescent="0.45">
      <c r="A236" t="s">
        <v>9</v>
      </c>
      <c r="B236" s="14">
        <f>_xlfn.XLOOKUP(Table1[[#This Row], [TEAM]],Sheet1!$A$12:$A$17,Sheet1!$F$12:$F$17)</f>
        <v>3</v>
      </c>
      <c r="C236" s="14">
        <f>_xlfn.XLOOKUP(Table1[[#This Row], [TEAM]],Sheet1!$A$12:$A$17,Sheet1!$G$12:$G$17)</f>
        <v>6238750</v>
      </c>
      <c r="D236" t="s">
        <v>18</v>
      </c>
      <c r="E236" s="4">
        <f>_xlfn.XLOOKUP(Table1[[#This Row], [ROOM]],Sheet1!$A$47:$A$66,Sheet1!$B$47:$B$66)</f>
        <v>134</v>
      </c>
      <c r="F236" t="s">
        <v>58</v>
      </c>
      <c r="G236" s="4">
        <f>_xlfn.XLOOKUP(Table1[[#This Row], [DISGUISE]],Sheet1!$A$21:$A$23,Sheet1!$B$21:$B$23)*Table1[[#This Row], [NUM OF MEM]]*(1+_xlfn.XLOOKUP(Table1[[#This Row], [DISGUISE]],Sheet1!$A$21:$A$23,Sheet1!$C$21:$C$23))</f>
        <v>38400</v>
      </c>
      <c r="H236" s="13" t="s">
        <v>63</v>
      </c>
      <c r="I236" s="4">
        <f>_xlfn.XLOOKUP(Table1[[#This Row], [WEAPON]],Sheet1!$A$27:$A$29,Sheet1!$B$27:$B$29)*Table1[[#This Row], [NUM OF MEM]]*(1+_xlfn.XLOOKUP(Table1[[#This Row], [WEAPON]],Sheet1!$A$27:$A$29,Sheet1!$C$27:$C$29))</f>
        <v>69000</v>
      </c>
      <c r="J236" t="s">
        <v>60</v>
      </c>
      <c r="K236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1709438.7124999997</v>
      </c>
      <c r="L236" s="13" t="s">
        <v>61</v>
      </c>
      <c r="M236" s="4">
        <f>IF(Table1[[#This Row], [EQUIPMENT]]="YES",Sheet1!$C$44*(1+Sheet1!$D$44),0)</f>
        <v>0</v>
      </c>
      <c r="N236" s="4">
        <f>_xlfn.XLOOKUP(Table1[[#This Row], [ROOM]],Sheet1!$A$47:$A$66,Sheet1!$F$47:$F$66)</f>
        <v>18050000</v>
      </c>
      <c r="O236" s="9">
        <f>_xlfn.XLOOKUP(_xlfn.CONCAT(Table1[[#This Row], [TEAM]],Table1[[#This Row], [ROOM]]),'ROOM TIME'!$H$2:$H$121,'ROOM TIME'!$J$2:$J$121)</f>
        <v>39.003888888888881</v>
      </c>
      <c r="P236" s="9">
        <f>(INDEX(Sheet1!$X$48:$Z$67,MATCH(Table1[[#This Row], [ROOM]],Sheet1!$P$48:$P$67,0),MATCH(Table1[[#This Row], [WEAPON]],Sheet1!$X$47:$Z$47,0)))/Table1[[#This Row], [NUM OF MEM]]</f>
        <v>5.4000000000000012</v>
      </c>
      <c r="Q236" s="9">
        <f>Table1[[#This Row], [ROOM TIME]]+Table1[[#This Row], [GUARD TIME]]</f>
        <v>44.403888888888879</v>
      </c>
      <c r="R236" s="4">
        <f>Sheet1!$K$3*_xlfn.XLOOKUP(Table1[[#This Row], [DISGUISE]],Sheet1!$A$21:$A$23,Sheet1!$D$21:$D$23)</f>
        <v>69</v>
      </c>
      <c r="S236" s="9">
        <f>Table1[[#This Row], [TOTAL TIME]]-Table1[[#This Row], [TOTAL TIME TAKEN]]</f>
        <v>24.596111111111121</v>
      </c>
      <c r="T236" t="str">
        <f>IF(Table1[[#This Row], [TIME DIFFERENCE]]&gt;=0,"PASS","FAIL")</f>
        <v>PASS</v>
      </c>
      <c r="U236" s="9">
        <f>Table1[[#This Row], [TRC]]+Table1[[#This Row], [DRC]]+Table1[[#This Row], [WRC]]+Table1[[#This Row], [ERC]]+Table1[[#This Row], [EQRC]]</f>
        <v>8055588.7124999994</v>
      </c>
      <c r="V236" s="9">
        <f>Table1[[#This Row], [TOTAL COST]]+_xlfn.XLOOKUP(Table1[[#This Row], [TEAM]],Sheet1!$A$12:$A$17,Sheet1!$I$12:$I$17)</f>
        <v>8367526.2124999994</v>
      </c>
      <c r="W236" s="9">
        <f>Table1[[#This Row], [LOOT]]-Table1[[#This Row], [TOTAL COST]]</f>
        <v>9994411.2875000015</v>
      </c>
      <c r="X236" s="9">
        <f>IF(Table1[[#This Row], [PASS/FAIL]]="FAIL",0,Table1[[#This Row], [PROFIT]])</f>
        <v>9994411.2875000015</v>
      </c>
    </row>
    <row r="237" spans="1:24" ht="19.5" customHeight="1" x14ac:dyDescent="0.45">
      <c r="A237" t="s">
        <v>16</v>
      </c>
      <c r="B237" s="14">
        <f>_xlfn.XLOOKUP(Table1[[#This Row], [TEAM]],Sheet1!$A$12:$A$17,Sheet1!$F$12:$F$17)</f>
        <v>2</v>
      </c>
      <c r="C237" s="14">
        <f>_xlfn.XLOOKUP(Table1[[#This Row], [TEAM]],Sheet1!$A$12:$A$17,Sheet1!$G$12:$G$17)</f>
        <v>6082800</v>
      </c>
      <c r="D237" t="s">
        <v>26</v>
      </c>
      <c r="E237" s="4">
        <f>_xlfn.XLOOKUP(Table1[[#This Row], [ROOM]],Sheet1!$A$47:$A$66,Sheet1!$B$47:$B$66)</f>
        <v>136</v>
      </c>
      <c r="F237" t="s">
        <v>62</v>
      </c>
      <c r="G237" s="4">
        <f>_xlfn.XLOOKUP(Table1[[#This Row], [DISGUISE]],Sheet1!$A$21:$A$23,Sheet1!$B$21:$B$23)*Table1[[#This Row], [NUM OF MEM]]*(1+_xlfn.XLOOKUP(Table1[[#This Row], [DISGUISE]],Sheet1!$A$21:$A$23,Sheet1!$C$21:$C$23))</f>
        <v>10400</v>
      </c>
      <c r="H237" s="13" t="s">
        <v>59</v>
      </c>
      <c r="I237" s="4">
        <f>_xlfn.XLOOKUP(Table1[[#This Row], [WEAPON]],Sheet1!$A$27:$A$29,Sheet1!$B$27:$B$29)*Table1[[#This Row], [NUM OF MEM]]*(1+_xlfn.XLOOKUP(Table1[[#This Row], [WEAPON]],Sheet1!$A$27:$A$29,Sheet1!$C$27:$C$29))</f>
        <v>91000</v>
      </c>
      <c r="J237" t="s">
        <v>64</v>
      </c>
      <c r="K237" s="9">
        <f>Table1[[#This Row], [NUM OF MEM]]*Table1[[#This Row], [TOTAL TIME TAKEN]]*_xlfn.XLOOKUP(Table1[[#This Row], [EXIT]],Sheet1!$A$70:$A$71,Sheet1!$B$70:$B$71)*(1+_xlfn.XLOOKUP(Table1[[#This Row], [EXIT]],Sheet1!$A$70:$A$71,Sheet1!$C$70:$C$71))</f>
        <v>1664063.9999999993</v>
      </c>
      <c r="L237" s="13" t="s">
        <v>65</v>
      </c>
      <c r="M237" s="4">
        <f>IF(Table1[[#This Row], [EQUIPMENT]]="YES",Sheet1!$C$44*(1+Sheet1!$D$44),0)</f>
        <v>307500</v>
      </c>
      <c r="N237" s="4">
        <f>_xlfn.XLOOKUP(Table1[[#This Row], [ROOM]],Sheet1!$A$47:$A$66,Sheet1!$F$47:$F$66)</f>
        <v>18150000</v>
      </c>
      <c r="O237" s="9">
        <f>_xlfn.XLOOKUP(_xlfn.CONCAT(Table1[[#This Row], [TEAM]],Table1[[#This Row], [ROOM]]),'ROOM TIME'!$H$2:$H$121,'ROOM TIME'!$J$2:$J$121)</f>
        <v>57.299999999999976</v>
      </c>
      <c r="P237" s="9">
        <f>(INDEX(Sheet1!$X$48:$Z$67,MATCH(Table1[[#This Row], [ROOM]],Sheet1!$P$48:$P$67,0),MATCH(Table1[[#This Row], [WEAPON]],Sheet1!$X$47:$Z$47,0)))/Table1[[#This Row], [NUM OF MEM]]</f>
        <v>6.8999999999999995</v>
      </c>
      <c r="Q237" s="9">
        <f>Table1[[#This Row], [ROOM TIME]]+Table1[[#This Row], [GUARD TIME]]</f>
        <v>64.199999999999974</v>
      </c>
      <c r="R237" s="4">
        <f>Sheet1!$K$3*_xlfn.XLOOKUP(Table1[[#This Row], [DISGUISE]],Sheet1!$A$21:$A$23,Sheet1!$D$21:$D$23)</f>
        <v>66</v>
      </c>
      <c r="S237" s="9">
        <f>Table1[[#This Row], [TOTAL TIME]]-Table1[[#This Row], [TOTAL TIME TAKEN]]</f>
        <v>1.8000000000000256</v>
      </c>
      <c r="T237" t="str">
        <f>IF(Table1[[#This Row], [TIME DIFFERENCE]]&gt;=0,"PASS","FAIL")</f>
        <v>PASS</v>
      </c>
      <c r="U237" s="9">
        <f>Table1[[#This Row], [TRC]]+Table1[[#This Row], [DRC]]+Table1[[#This Row], [WRC]]+Table1[[#This Row], [ERC]]+Table1[[#This Row], [EQRC]]</f>
        <v>8155763.9999999991</v>
      </c>
      <c r="V237" s="4">
        <f>Table1[[#This Row], [TOTAL COST]]+_xlfn.XLOOKUP(Table1[[#This Row], [TEAM]],Sheet1!$A$12:$A$17,Sheet1!$I$12:$I$17)</f>
        <v>8459904</v>
      </c>
      <c r="W237" s="4">
        <f>Table1[[#This Row], [LOOT]]-Table1[[#This Row], [TOTAL COST]]</f>
        <v>9994236</v>
      </c>
      <c r="X237" s="4">
        <f>IF(Table1[[#This Row], [PASS/FAIL]]="FAIL",0,Table1[[#This Row], [PROFIT]])</f>
        <v>9994236</v>
      </c>
    </row>
    <row r="238" spans="1:24" ht="19.5" customHeight="1" x14ac:dyDescent="0.45">
      <c r="A238" t="s">
        <v>12</v>
      </c>
      <c r="B238" s="14">
        <f>_xlfn.XLOOKUP(Table1[[#This Row], [TEAM]],Sheet1!$A$12:$A$17,Sheet1!$F$12:$F$17)</f>
        <v>3</v>
      </c>
      <c r="C238" s="14">
        <f>_xlfn.XLOOKUP(Table1[[#This Row], [TEAM]],Sheet1!$A$12:$A$17,Sheet1!$G$12:$G$17)</f>
        <v>5988750</v>
      </c>
      <c r="D238" t="s">
        <v>21</v>
      </c>
      <c r="E238" s="4">
        <f>_xlfn.XLOOKUP(Table1[[#This Row], [ROOM]],Sheet1!$A$47:$A$66,Sheet1!$B$47:$B$66)</f>
        <v>234</v>
      </c>
      <c r="F238" t="s">
        <v>62</v>
      </c>
      <c r="G238" s="4">
        <f>_xlfn.XLOOKUP(Table1[[#This Row], [DISGUISE]],Sheet1!$A$21:$A$23,Sheet1!$B$21:$B$23)*Table1[[#This Row], [NUM OF MEM]]*(1+_xlfn.XLOOKUP(Table1[[#This Row], [DISGUISE]],Sheet1!$A$21:$A$23,Sheet1!$C$21:$C$23))</f>
        <v>15600</v>
      </c>
      <c r="H238" s="13" t="s">
        <v>63</v>
      </c>
      <c r="I238" s="4">
        <f>_xlfn.XLOOKUP(Table1[[#This Row], [WEAPON]],Sheet1!$A$27:$A$29,Sheet1!$B$27:$B$29)*Table1[[#This Row], [NUM OF MEM]]*(1+_xlfn.XLOOKUP(Table1[[#This Row], [WEAPON]],Sheet1!$A$27:$A$29,Sheet1!$C$27:$C$29))</f>
        <v>69000</v>
      </c>
      <c r="J238" t="s">
        <v>60</v>
      </c>
      <c r="K238" s="9">
        <f>Table1[[#This Row], [NUM OF MEM]]*Table1[[#This Row], [TOTAL TIME TAKEN]]*_xlfn.XLOOKUP(Table1[[#This Row], [EXIT]],Sheet1!$A$70:$A$71,Sheet1!$B$70:$B$71)*(1+_xlfn.XLOOKUP(Table1[[#This Row], [EXIT]],Sheet1!$A$70:$A$71,Sheet1!$C$70:$C$71))</f>
        <v>1832438.2249999992</v>
      </c>
      <c r="L238" s="13" t="s">
        <v>61</v>
      </c>
      <c r="M238" s="4">
        <f>IF(Table1[[#This Row], [EQUIPMENT]]="YES",Sheet1!$C$44*(1+Sheet1!$D$44),0)</f>
        <v>0</v>
      </c>
      <c r="N238" s="4">
        <f>_xlfn.XLOOKUP(Table1[[#This Row], [ROOM]],Sheet1!$A$47:$A$66,Sheet1!$F$47:$F$66)</f>
        <v>17900000</v>
      </c>
      <c r="O238" s="9">
        <f>_xlfn.XLOOKUP(_xlfn.CONCAT(Table1[[#This Row], [TEAM]],Table1[[#This Row], [ROOM]]),'ROOM TIME'!$H$2:$H$121,'ROOM TIME'!$J$2:$J$121)</f>
        <v>41.748888888888878</v>
      </c>
      <c r="P238" s="9">
        <f>(INDEX(Sheet1!$X$48:$Z$67,MATCH(Table1[[#This Row], [ROOM]],Sheet1!$P$48:$P$67,0),MATCH(Table1[[#This Row], [WEAPON]],Sheet1!$X$47:$Z$47,0)))/Table1[[#This Row], [NUM OF MEM]]</f>
        <v>5.8500000000000005</v>
      </c>
      <c r="Q238" s="9">
        <f>Table1[[#This Row], [ROOM TIME]]+Table1[[#This Row], [GUARD TIME]]</f>
        <v>47.598888888888879</v>
      </c>
      <c r="R238" s="4">
        <f>Sheet1!$K$3*_xlfn.XLOOKUP(Table1[[#This Row], [DISGUISE]],Sheet1!$A$21:$A$23,Sheet1!$D$21:$D$23)</f>
        <v>66</v>
      </c>
      <c r="S238" s="9">
        <f>Table1[[#This Row], [TOTAL TIME]]-Table1[[#This Row], [TOTAL TIME TAKEN]]</f>
        <v>18.401111111111121</v>
      </c>
      <c r="T238" t="str">
        <f>IF(Table1[[#This Row], [TIME DIFFERENCE]]&gt;=0,"PASS","FAIL")</f>
        <v>PASS</v>
      </c>
      <c r="U238" s="9">
        <f>Table1[[#This Row], [TRC]]+Table1[[#This Row], [DRC]]+Table1[[#This Row], [WRC]]+Table1[[#This Row], [ERC]]+Table1[[#This Row], [EQRC]]</f>
        <v>7905788.2249999996</v>
      </c>
      <c r="V238" s="9">
        <f>Table1[[#This Row], [TOTAL COST]]+_xlfn.XLOOKUP(Table1[[#This Row], [TEAM]],Sheet1!$A$12:$A$17,Sheet1!$I$12:$I$17)</f>
        <v>8205225.7249999996</v>
      </c>
      <c r="W238" s="9">
        <f>Table1[[#This Row], [LOOT]]-Table1[[#This Row], [TOTAL COST]]</f>
        <v>9994211.7750000004</v>
      </c>
      <c r="X238" s="9">
        <f>IF(Table1[[#This Row], [PASS/FAIL]]="FAIL",0,Table1[[#This Row], [PROFIT]])</f>
        <v>9994211.7750000004</v>
      </c>
    </row>
    <row r="239" spans="1:24" ht="19.5" customHeight="1" x14ac:dyDescent="0.45">
      <c r="A239" t="s">
        <v>9</v>
      </c>
      <c r="B239" s="14">
        <f>_xlfn.XLOOKUP(Table1[[#This Row], [TEAM]],Sheet1!$A$12:$A$17,Sheet1!$F$12:$F$17)</f>
        <v>3</v>
      </c>
      <c r="C239" s="14">
        <f>_xlfn.XLOOKUP(Table1[[#This Row], [TEAM]],Sheet1!$A$12:$A$17,Sheet1!$G$12:$G$17)</f>
        <v>6238750</v>
      </c>
      <c r="D239" t="s">
        <v>18</v>
      </c>
      <c r="E239" s="4">
        <f>_xlfn.XLOOKUP(Table1[[#This Row], [ROOM]],Sheet1!$A$47:$A$66,Sheet1!$B$47:$B$66)</f>
        <v>134</v>
      </c>
      <c r="F239" t="s">
        <v>62</v>
      </c>
      <c r="G239" s="4">
        <f>_xlfn.XLOOKUP(Table1[[#This Row], [DISGUISE]],Sheet1!$A$21:$A$23,Sheet1!$B$21:$B$23)*Table1[[#This Row], [NUM OF MEM]]*(1+_xlfn.XLOOKUP(Table1[[#This Row], [DISGUISE]],Sheet1!$A$21:$A$23,Sheet1!$C$21:$C$23))</f>
        <v>15600</v>
      </c>
      <c r="H239" s="13" t="s">
        <v>66</v>
      </c>
      <c r="I239" s="4">
        <f>_xlfn.XLOOKUP(Table1[[#This Row], [WEAPON]],Sheet1!$A$27:$A$29,Sheet1!$B$27:$B$29)*Table1[[#This Row], [NUM OF MEM]]*(1+_xlfn.XLOOKUP(Table1[[#This Row], [WEAPON]],Sheet1!$A$27:$A$29,Sheet1!$C$27:$C$29))</f>
        <v>108000</v>
      </c>
      <c r="J239" t="s">
        <v>60</v>
      </c>
      <c r="K239" s="9">
        <f>Table1[[#This Row], [NUM OF MEM]]*Table1[[#This Row], [TOTAL TIME TAKEN]]*_xlfn.XLOOKUP(Table1[[#This Row], [EXIT]],Sheet1!$A$70:$A$71,Sheet1!$B$70:$B$71)*(1+_xlfn.XLOOKUP(Table1[[#This Row], [EXIT]],Sheet1!$A$70:$A$71,Sheet1!$C$70:$C$71))</f>
        <v>1694039.7124999999</v>
      </c>
      <c r="L239" s="13" t="s">
        <v>61</v>
      </c>
      <c r="M239" s="4">
        <f>IF(Table1[[#This Row], [EQUIPMENT]]="YES",Sheet1!$C$44*(1+Sheet1!$D$44),0)</f>
        <v>0</v>
      </c>
      <c r="N239" s="4">
        <f>_xlfn.XLOOKUP(Table1[[#This Row], [ROOM]],Sheet1!$A$47:$A$66,Sheet1!$F$47:$F$66)</f>
        <v>18050000</v>
      </c>
      <c r="O239" s="9">
        <f>_xlfn.XLOOKUP(_xlfn.CONCAT(Table1[[#This Row], [TEAM]],Table1[[#This Row], [ROOM]]),'ROOM TIME'!$H$2:$H$121,'ROOM TIME'!$J$2:$J$121)</f>
        <v>39.003888888888881</v>
      </c>
      <c r="P239" s="4">
        <f>(INDEX(Sheet1!$X$48:$Z$67,MATCH(Table1[[#This Row], [ROOM]],Sheet1!$P$48:$P$67,0),MATCH(Table1[[#This Row], [WEAPON]],Sheet1!$X$47:$Z$47,0)))/Table1[[#This Row], [NUM OF MEM]]</f>
        <v>5</v>
      </c>
      <c r="Q239" s="9">
        <f>Table1[[#This Row], [ROOM TIME]]+Table1[[#This Row], [GUARD TIME]]</f>
        <v>44.003888888888881</v>
      </c>
      <c r="R239" s="4">
        <f>Sheet1!$K$3*_xlfn.XLOOKUP(Table1[[#This Row], [DISGUISE]],Sheet1!$A$21:$A$23,Sheet1!$D$21:$D$23)</f>
        <v>66</v>
      </c>
      <c r="S239" s="9">
        <f>Table1[[#This Row], [TOTAL TIME]]-Table1[[#This Row], [TOTAL TIME TAKEN]]</f>
        <v>21.996111111111119</v>
      </c>
      <c r="T239" t="str">
        <f>IF(Table1[[#This Row], [TIME DIFFERENCE]]&gt;=0,"PASS","FAIL")</f>
        <v>PASS</v>
      </c>
      <c r="U239" s="9">
        <f>Table1[[#This Row], [TRC]]+Table1[[#This Row], [DRC]]+Table1[[#This Row], [WRC]]+Table1[[#This Row], [ERC]]+Table1[[#This Row], [EQRC]]</f>
        <v>8056389.7125000004</v>
      </c>
      <c r="V239" s="9">
        <f>Table1[[#This Row], [TOTAL COST]]+_xlfn.XLOOKUP(Table1[[#This Row], [TEAM]],Sheet1!$A$12:$A$17,Sheet1!$I$12:$I$17)</f>
        <v>8368327.2125000004</v>
      </c>
      <c r="W239" s="9">
        <f>Table1[[#This Row], [LOOT]]-Table1[[#This Row], [TOTAL COST]]</f>
        <v>9993610.2874999996</v>
      </c>
      <c r="X239" s="9">
        <f>IF(Table1[[#This Row], [PASS/FAIL]]="FAIL",0,Table1[[#This Row], [PROFIT]])</f>
        <v>9993610.2874999996</v>
      </c>
    </row>
    <row r="240" spans="1:24" ht="19.5" customHeight="1" x14ac:dyDescent="0.45">
      <c r="A240" t="s">
        <v>16</v>
      </c>
      <c r="B240" s="14">
        <f>_xlfn.XLOOKUP(Table1[[#This Row], [TEAM]],Sheet1!$A$12:$A$17,Sheet1!$F$12:$F$17)</f>
        <v>2</v>
      </c>
      <c r="C240" s="14">
        <f>_xlfn.XLOOKUP(Table1[[#This Row], [TEAM]],Sheet1!$A$12:$A$17,Sheet1!$G$12:$G$17)</f>
        <v>6082800</v>
      </c>
      <c r="D240" t="s">
        <v>26</v>
      </c>
      <c r="E240" s="4">
        <f>_xlfn.XLOOKUP(Table1[[#This Row], [ROOM]],Sheet1!$A$47:$A$66,Sheet1!$B$47:$B$66)</f>
        <v>136</v>
      </c>
      <c r="F240" t="s">
        <v>58</v>
      </c>
      <c r="G240" s="4">
        <f>_xlfn.XLOOKUP(Table1[[#This Row], [DISGUISE]],Sheet1!$A$21:$A$23,Sheet1!$B$21:$B$23)*Table1[[#This Row], [NUM OF MEM]]*(1+_xlfn.XLOOKUP(Table1[[#This Row], [DISGUISE]],Sheet1!$A$21:$A$23,Sheet1!$C$21:$C$23))</f>
        <v>25600</v>
      </c>
      <c r="H240" s="13" t="s">
        <v>63</v>
      </c>
      <c r="I240" s="4">
        <f>_xlfn.XLOOKUP(Table1[[#This Row], [WEAPON]],Sheet1!$A$27:$A$29,Sheet1!$B$27:$B$29)*Table1[[#This Row], [NUM OF MEM]]*(1+_xlfn.XLOOKUP(Table1[[#This Row], [WEAPON]],Sheet1!$A$27:$A$29,Sheet1!$C$27:$C$29))</f>
        <v>46000</v>
      </c>
      <c r="J240" t="s">
        <v>64</v>
      </c>
      <c r="K240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1695167.9999999993</v>
      </c>
      <c r="L240" s="13" t="s">
        <v>65</v>
      </c>
      <c r="M240" s="4">
        <f>IF(Table1[[#This Row], [EQUIPMENT]]="YES",Sheet1!$C$44*(1+Sheet1!$D$44),0)</f>
        <v>307500</v>
      </c>
      <c r="N240" s="4">
        <f>_xlfn.XLOOKUP(Table1[[#This Row], [ROOM]],Sheet1!$A$47:$A$66,Sheet1!$F$47:$F$66)</f>
        <v>18150000</v>
      </c>
      <c r="O240" s="9">
        <f>_xlfn.XLOOKUP(_xlfn.CONCAT(Table1[[#This Row], [TEAM]],Table1[[#This Row], [ROOM]]),'ROOM TIME'!$H$2:$H$121,'ROOM TIME'!$J$2:$J$121)</f>
        <v>57.299999999999976</v>
      </c>
      <c r="P240" s="9">
        <f>(INDEX(Sheet1!$X$48:$Z$67,MATCH(Table1[[#This Row], [ROOM]],Sheet1!$P$48:$P$67,0),MATCH(Table1[[#This Row], [WEAPON]],Sheet1!$X$47:$Z$47,0)))/Table1[[#This Row], [NUM OF MEM]]</f>
        <v>8.1000000000000014</v>
      </c>
      <c r="Q240" s="9">
        <f>Table1[[#This Row], [ROOM TIME]]+Table1[[#This Row], [GUARD TIME]]</f>
        <v>65.399999999999977</v>
      </c>
      <c r="R240" s="4">
        <f>Sheet1!$K$3*_xlfn.XLOOKUP(Table1[[#This Row], [DISGUISE]],Sheet1!$A$21:$A$23,Sheet1!$D$21:$D$23)</f>
        <v>69</v>
      </c>
      <c r="S240" s="9">
        <f>Table1[[#This Row], [TOTAL TIME]]-Table1[[#This Row], [TOTAL TIME TAKEN]]</f>
        <v>3.6000000000000227</v>
      </c>
      <c r="T240" t="str">
        <f>IF(Table1[[#This Row], [TIME DIFFERENCE]]&gt;=0,"PASS","FAIL")</f>
        <v>PASS</v>
      </c>
      <c r="U240" s="9">
        <f>Table1[[#This Row], [TRC]]+Table1[[#This Row], [DRC]]+Table1[[#This Row], [WRC]]+Table1[[#This Row], [ERC]]+Table1[[#This Row], [EQRC]]</f>
        <v>8157067.9999999991</v>
      </c>
      <c r="V240" s="4">
        <f>Table1[[#This Row], [TOTAL COST]]+_xlfn.XLOOKUP(Table1[[#This Row], [TEAM]],Sheet1!$A$12:$A$17,Sheet1!$I$12:$I$17)</f>
        <v>8461208</v>
      </c>
      <c r="W240" s="4">
        <f>Table1[[#This Row], [LOOT]]-Table1[[#This Row], [TOTAL COST]]</f>
        <v>9992932</v>
      </c>
      <c r="X240" s="4">
        <f>IF(Table1[[#This Row], [PASS/FAIL]]="FAIL",0,Table1[[#This Row], [PROFIT]])</f>
        <v>9992932</v>
      </c>
    </row>
    <row r="241" spans="1:24" ht="19.5" customHeight="1" x14ac:dyDescent="0.45">
      <c r="A241" t="s">
        <v>12</v>
      </c>
      <c r="B241" s="14">
        <f>_xlfn.XLOOKUP(Table1[[#This Row], [TEAM]],Sheet1!$A$12:$A$17,Sheet1!$F$12:$F$17)</f>
        <v>3</v>
      </c>
      <c r="C241" s="14">
        <f>_xlfn.XLOOKUP(Table1[[#This Row], [TEAM]],Sheet1!$A$12:$A$17,Sheet1!$G$12:$G$17)</f>
        <v>5988750</v>
      </c>
      <c r="D241" t="s">
        <v>26</v>
      </c>
      <c r="E241" s="4">
        <f>_xlfn.XLOOKUP(Table1[[#This Row], [ROOM]],Sheet1!$A$47:$A$66,Sheet1!$B$47:$B$66)</f>
        <v>136</v>
      </c>
      <c r="F241" t="s">
        <v>58</v>
      </c>
      <c r="G241" s="4">
        <f>_xlfn.XLOOKUP(Table1[[#This Row], [DISGUISE]],Sheet1!$A$21:$A$23,Sheet1!$B$21:$B$23)*Table1[[#This Row], [NUM OF MEM]]*(1+_xlfn.XLOOKUP(Table1[[#This Row], [DISGUISE]],Sheet1!$A$21:$A$23,Sheet1!$C$21:$C$23))</f>
        <v>38400</v>
      </c>
      <c r="H241" s="13" t="s">
        <v>59</v>
      </c>
      <c r="I241" s="4">
        <f>_xlfn.XLOOKUP(Table1[[#This Row], [WEAPON]],Sheet1!$A$27:$A$29,Sheet1!$B$27:$B$29)*Table1[[#This Row], [NUM OF MEM]]*(1+_xlfn.XLOOKUP(Table1[[#This Row], [WEAPON]],Sheet1!$A$27:$A$29,Sheet1!$C$27:$C$29))</f>
        <v>136500</v>
      </c>
      <c r="J241" t="s">
        <v>64</v>
      </c>
      <c r="K241" s="9">
        <f>Table1[[#This Row], [NUM OF MEM]]*Table1[[#This Row], [TOTAL TIME TAKEN]]*_xlfn.XLOOKUP(Table1[[#This Row], [EXIT]],Sheet1!$A$70:$A$71,Sheet1!$B$70:$B$71)*(1+_xlfn.XLOOKUP(Table1[[#This Row], [EXIT]],Sheet1!$A$70:$A$71,Sheet1!$C$70:$C$71))</f>
        <v>1688126.3999999992</v>
      </c>
      <c r="L241" s="13" t="s">
        <v>65</v>
      </c>
      <c r="M241" s="4">
        <f>IF(Table1[[#This Row], [EQUIPMENT]]="YES",Sheet1!$C$44*(1+Sheet1!$D$44),0)</f>
        <v>307500</v>
      </c>
      <c r="N241" s="4">
        <f>_xlfn.XLOOKUP(Table1[[#This Row], [ROOM]],Sheet1!$A$47:$A$66,Sheet1!$F$47:$F$66)</f>
        <v>18150000</v>
      </c>
      <c r="O241" s="9">
        <f>_xlfn.XLOOKUP(_xlfn.CONCAT(Table1[[#This Row], [TEAM]],Table1[[#This Row], [ROOM]]),'ROOM TIME'!$H$2:$H$121,'ROOM TIME'!$J$2:$J$121)</f>
        <v>38.818888888888871</v>
      </c>
      <c r="P241" s="9">
        <f>(INDEX(Sheet1!$X$48:$Z$67,MATCH(Table1[[#This Row], [ROOM]],Sheet1!$P$48:$P$67,0),MATCH(Table1[[#This Row], [WEAPON]],Sheet1!$X$47:$Z$47,0)))/Table1[[#This Row], [NUM OF MEM]]</f>
        <v>4.5999999999999996</v>
      </c>
      <c r="Q241" s="9">
        <f>Table1[[#This Row], [ROOM TIME]]+Table1[[#This Row], [GUARD TIME]]</f>
        <v>43.418888888888873</v>
      </c>
      <c r="R241" s="4">
        <f>Sheet1!$K$3*_xlfn.XLOOKUP(Table1[[#This Row], [DISGUISE]],Sheet1!$A$21:$A$23,Sheet1!$D$21:$D$23)</f>
        <v>69</v>
      </c>
      <c r="S241" s="9">
        <f>Table1[[#This Row], [TOTAL TIME]]-Table1[[#This Row], [TOTAL TIME TAKEN]]</f>
        <v>25.581111111111127</v>
      </c>
      <c r="T241" t="str">
        <f>IF(Table1[[#This Row], [TIME DIFFERENCE]]&gt;=0,"PASS","FAIL")</f>
        <v>PASS</v>
      </c>
      <c r="U241" s="9">
        <f>Table1[[#This Row], [TRC]]+Table1[[#This Row], [DRC]]+Table1[[#This Row], [WRC]]+Table1[[#This Row], [ERC]]+Table1[[#This Row], [EQRC]]</f>
        <v>8159276.3999999994</v>
      </c>
      <c r="V241" s="9">
        <f>Table1[[#This Row], [TOTAL COST]]+_xlfn.XLOOKUP(Table1[[#This Row], [TEAM]],Sheet1!$A$12:$A$17,Sheet1!$I$12:$I$17)</f>
        <v>8458713.8999999985</v>
      </c>
      <c r="W241" s="9">
        <f>Table1[[#This Row], [LOOT]]-Table1[[#This Row], [TOTAL COST]]</f>
        <v>9990723.6000000015</v>
      </c>
      <c r="X241" s="9">
        <f>IF(Table1[[#This Row], [PASS/FAIL]]="FAIL",0,Table1[[#This Row], [PROFIT]])</f>
        <v>9990723.6000000015</v>
      </c>
    </row>
    <row r="242" spans="1:24" ht="19.5" customHeight="1" x14ac:dyDescent="0.45">
      <c r="A242" t="s">
        <v>16</v>
      </c>
      <c r="B242" s="14">
        <f>_xlfn.XLOOKUP(Table1[[#This Row], [TEAM]],Sheet1!$A$12:$A$17,Sheet1!$F$12:$F$17)</f>
        <v>2</v>
      </c>
      <c r="C242" s="14">
        <f>_xlfn.XLOOKUP(Table1[[#This Row], [TEAM]],Sheet1!$A$12:$A$17,Sheet1!$G$12:$G$17)</f>
        <v>6082800</v>
      </c>
      <c r="D242" t="s">
        <v>33</v>
      </c>
      <c r="E242" s="4">
        <f>_xlfn.XLOOKUP(Table1[[#This Row], [ROOM]],Sheet1!$A$47:$A$66,Sheet1!$B$47:$B$66)</f>
        <v>356</v>
      </c>
      <c r="F242" t="s">
        <v>62</v>
      </c>
      <c r="G242" s="4">
        <f>_xlfn.XLOOKUP(Table1[[#This Row], [DISGUISE]],Sheet1!$A$21:$A$23,Sheet1!$B$21:$B$23)*Table1[[#This Row], [NUM OF MEM]]*(1+_xlfn.XLOOKUP(Table1[[#This Row], [DISGUISE]],Sheet1!$A$21:$A$23,Sheet1!$C$21:$C$23))</f>
        <v>10400</v>
      </c>
      <c r="H242" s="13" t="s">
        <v>63</v>
      </c>
      <c r="I242" s="4">
        <f>_xlfn.XLOOKUP(Table1[[#This Row], [WEAPON]],Sheet1!$A$27:$A$29,Sheet1!$B$27:$B$29)*Table1[[#This Row], [NUM OF MEM]]*(1+_xlfn.XLOOKUP(Table1[[#This Row], [WEAPON]],Sheet1!$A$27:$A$29,Sheet1!$C$27:$C$29))</f>
        <v>46000</v>
      </c>
      <c r="J242" t="s">
        <v>60</v>
      </c>
      <c r="K242" s="9">
        <f>Table1[[#This Row], [NUM OF MEM]]*Table1[[#This Row], [TOTAL TIME TAKEN]]*_xlfn.XLOOKUP(Table1[[#This Row], [EXIT]],Sheet1!$A$70:$A$71,Sheet1!$B$70:$B$71)*(1+_xlfn.XLOOKUP(Table1[[#This Row], [EXIT]],Sheet1!$A$70:$A$71,Sheet1!$C$70:$C$71))</f>
        <v>1664086.5187499993</v>
      </c>
      <c r="L242" s="13" t="s">
        <v>65</v>
      </c>
      <c r="M242" s="4">
        <f>IF(Table1[[#This Row], [EQUIPMENT]]="YES",Sheet1!$C$44*(1+Sheet1!$D$44),0)</f>
        <v>307500</v>
      </c>
      <c r="N242" s="4">
        <f>_xlfn.XLOOKUP(Table1[[#This Row], [ROOM]],Sheet1!$A$47:$A$66,Sheet1!$F$47:$F$66)</f>
        <v>18100000</v>
      </c>
      <c r="O242" s="9">
        <f>_xlfn.XLOOKUP(_xlfn.CONCAT(Table1[[#This Row], [TEAM]],Table1[[#This Row], [ROOM]]),'ROOM TIME'!$H$2:$H$121,'ROOM TIME'!$J$2:$J$121)</f>
        <v>56.738749999999982</v>
      </c>
      <c r="P242" s="9">
        <f>(INDEX(Sheet1!$X$48:$Z$67,MATCH(Table1[[#This Row], [ROOM]],Sheet1!$P$48:$P$67,0),MATCH(Table1[[#This Row], [WEAPON]],Sheet1!$X$47:$Z$47,0)))/Table1[[#This Row], [NUM OF MEM]]</f>
        <v>8.1000000000000014</v>
      </c>
      <c r="Q242" s="9">
        <f>Table1[[#This Row], [ROOM TIME]]+Table1[[#This Row], [GUARD TIME]]</f>
        <v>64.838749999999976</v>
      </c>
      <c r="R242" s="4">
        <f>Sheet1!$K$3*_xlfn.XLOOKUP(Table1[[#This Row], [DISGUISE]],Sheet1!$A$21:$A$23,Sheet1!$D$21:$D$23)</f>
        <v>66</v>
      </c>
      <c r="S242" s="9">
        <f>Table1[[#This Row], [TOTAL TIME]]-Table1[[#This Row], [TOTAL TIME TAKEN]]</f>
        <v>1.1612500000000239</v>
      </c>
      <c r="T242" t="str">
        <f>IF(Table1[[#This Row], [TIME DIFFERENCE]]&gt;=0,"PASS","FAIL")</f>
        <v>PASS</v>
      </c>
      <c r="U242" s="9">
        <f>Table1[[#This Row], [TRC]]+Table1[[#This Row], [DRC]]+Table1[[#This Row], [WRC]]+Table1[[#This Row], [ERC]]+Table1[[#This Row], [EQRC]]</f>
        <v>8110786.5187499989</v>
      </c>
      <c r="V242" s="9">
        <f>Table1[[#This Row], [TOTAL COST]]+_xlfn.XLOOKUP(Table1[[#This Row], [TEAM]],Sheet1!$A$12:$A$17,Sheet1!$I$12:$I$17)</f>
        <v>8414926.5187499989</v>
      </c>
      <c r="W242" s="9">
        <f>Table1[[#This Row], [LOOT]]-Table1[[#This Row], [TOTAL COST]]</f>
        <v>9989213.4812500011</v>
      </c>
      <c r="X242" s="9">
        <f>IF(Table1[[#This Row], [PASS/FAIL]]="FAIL",0,Table1[[#This Row], [PROFIT]])</f>
        <v>9989213.4812500011</v>
      </c>
    </row>
    <row r="243" spans="1:24" ht="19.5" customHeight="1" x14ac:dyDescent="0.45">
      <c r="A243" t="s">
        <v>12</v>
      </c>
      <c r="B243" s="14">
        <f>_xlfn.XLOOKUP(Table1[[#This Row], [TEAM]],Sheet1!$A$12:$A$17,Sheet1!$F$12:$F$17)</f>
        <v>3</v>
      </c>
      <c r="C243" s="14">
        <f>_xlfn.XLOOKUP(Table1[[#This Row], [TEAM]],Sheet1!$A$12:$A$17,Sheet1!$G$12:$G$17)</f>
        <v>5988750</v>
      </c>
      <c r="D243" t="s">
        <v>33</v>
      </c>
      <c r="E243" s="4">
        <f>_xlfn.XLOOKUP(Table1[[#This Row], [ROOM]],Sheet1!$A$47:$A$66,Sheet1!$B$47:$B$66)</f>
        <v>356</v>
      </c>
      <c r="F243" t="s">
        <v>58</v>
      </c>
      <c r="G243" s="4">
        <f>_xlfn.XLOOKUP(Table1[[#This Row], [DISGUISE]],Sheet1!$A$21:$A$23,Sheet1!$B$21:$B$23)*Table1[[#This Row], [NUM OF MEM]]*(1+_xlfn.XLOOKUP(Table1[[#This Row], [DISGUISE]],Sheet1!$A$21:$A$23,Sheet1!$C$21:$C$23))</f>
        <v>38400</v>
      </c>
      <c r="H243" s="13" t="s">
        <v>66</v>
      </c>
      <c r="I243" s="4">
        <f>_xlfn.XLOOKUP(Table1[[#This Row], [WEAPON]],Sheet1!$A$27:$A$29,Sheet1!$B$27:$B$29)*Table1[[#This Row], [NUM OF MEM]]*(1+_xlfn.XLOOKUP(Table1[[#This Row], [WEAPON]],Sheet1!$A$27:$A$29,Sheet1!$C$27:$C$29))</f>
        <v>108000</v>
      </c>
      <c r="J243" t="s">
        <v>60</v>
      </c>
      <c r="K243" s="9">
        <f>Table1[[#This Row], [NUM OF MEM]]*Table1[[#This Row], [TOTAL TIME TAKEN]]*_xlfn.XLOOKUP(Table1[[#This Row], [EXIT]],Sheet1!$A$70:$A$71,Sheet1!$B$70:$B$71)*(1+_xlfn.XLOOKUP(Table1[[#This Row], [EXIT]],Sheet1!$A$70:$A$71,Sheet1!$C$70:$C$71))</f>
        <v>1668139.4499999993</v>
      </c>
      <c r="L243" s="13" t="s">
        <v>65</v>
      </c>
      <c r="M243" s="4">
        <f>IF(Table1[[#This Row], [EQUIPMENT]]="YES",Sheet1!$C$44*(1+Sheet1!$D$44),0)</f>
        <v>307500</v>
      </c>
      <c r="N243" s="4">
        <f>_xlfn.XLOOKUP(Table1[[#This Row], [ROOM]],Sheet1!$A$47:$A$66,Sheet1!$F$47:$F$66)</f>
        <v>18100000</v>
      </c>
      <c r="O243" s="9">
        <f>_xlfn.XLOOKUP(_xlfn.CONCAT(Table1[[#This Row], [TEAM]],Table1[[#This Row], [ROOM]]),'ROOM TIME'!$H$2:$H$121,'ROOM TIME'!$J$2:$J$121)</f>
        <v>38.331111111111092</v>
      </c>
      <c r="P243" s="4">
        <f>(INDEX(Sheet1!$X$48:$Z$67,MATCH(Table1[[#This Row], [ROOM]],Sheet1!$P$48:$P$67,0),MATCH(Table1[[#This Row], [WEAPON]],Sheet1!$X$47:$Z$47,0)))/Table1[[#This Row], [NUM OF MEM]]</f>
        <v>5</v>
      </c>
      <c r="Q243" s="9">
        <f>Table1[[#This Row], [ROOM TIME]]+Table1[[#This Row], [GUARD TIME]]</f>
        <v>43.331111111111092</v>
      </c>
      <c r="R243" s="4">
        <f>Sheet1!$K$3*_xlfn.XLOOKUP(Table1[[#This Row], [DISGUISE]],Sheet1!$A$21:$A$23,Sheet1!$D$21:$D$23)</f>
        <v>69</v>
      </c>
      <c r="S243" s="9">
        <f>Table1[[#This Row], [TOTAL TIME]]-Table1[[#This Row], [TOTAL TIME TAKEN]]</f>
        <v>25.668888888888908</v>
      </c>
      <c r="T243" t="str">
        <f>IF(Table1[[#This Row], [TIME DIFFERENCE]]&gt;=0,"PASS","FAIL")</f>
        <v>PASS</v>
      </c>
      <c r="U243" s="9">
        <f>Table1[[#This Row], [TRC]]+Table1[[#This Row], [DRC]]+Table1[[#This Row], [WRC]]+Table1[[#This Row], [ERC]]+Table1[[#This Row], [EQRC]]</f>
        <v>8110789.4499999993</v>
      </c>
      <c r="V243" s="9">
        <f>Table1[[#This Row], [TOTAL COST]]+_xlfn.XLOOKUP(Table1[[#This Row], [TEAM]],Sheet1!$A$12:$A$17,Sheet1!$I$12:$I$17)</f>
        <v>8410226.9499999993</v>
      </c>
      <c r="W243" s="9">
        <f>Table1[[#This Row], [LOOT]]-Table1[[#This Row], [TOTAL COST]]</f>
        <v>9989210.5500000007</v>
      </c>
      <c r="X243" s="9">
        <f>IF(Table1[[#This Row], [PASS/FAIL]]="FAIL",0,Table1[[#This Row], [PROFIT]])</f>
        <v>9989210.5500000007</v>
      </c>
    </row>
    <row r="244" spans="1:24" ht="19.5" customHeight="1" x14ac:dyDescent="0.45">
      <c r="A244" t="s">
        <v>13</v>
      </c>
      <c r="B244" s="14">
        <f>_xlfn.XLOOKUP(Table1[[#This Row], [TEAM]],Sheet1!$A$12:$A$17,Sheet1!$F$12:$F$17)</f>
        <v>3</v>
      </c>
      <c r="C244" s="14">
        <f>_xlfn.XLOOKUP(Table1[[#This Row], [TEAM]],Sheet1!$A$12:$A$17,Sheet1!$G$12:$G$17)</f>
        <v>5930000</v>
      </c>
      <c r="D244" t="s">
        <v>33</v>
      </c>
      <c r="E244" s="4">
        <f>_xlfn.XLOOKUP(Table1[[#This Row], [ROOM]],Sheet1!$A$47:$A$66,Sheet1!$B$47:$B$66)</f>
        <v>356</v>
      </c>
      <c r="F244" t="s">
        <v>62</v>
      </c>
      <c r="G244" s="4">
        <f>_xlfn.XLOOKUP(Table1[[#This Row], [DISGUISE]],Sheet1!$A$21:$A$23,Sheet1!$B$21:$B$23)*Table1[[#This Row], [NUM OF MEM]]*(1+_xlfn.XLOOKUP(Table1[[#This Row], [DISGUISE]],Sheet1!$A$21:$A$23,Sheet1!$C$21:$C$23))</f>
        <v>15600</v>
      </c>
      <c r="H244" s="13" t="s">
        <v>59</v>
      </c>
      <c r="I244" s="4">
        <f>_xlfn.XLOOKUP(Table1[[#This Row], [WEAPON]],Sheet1!$A$27:$A$29,Sheet1!$B$27:$B$29)*Table1[[#This Row], [NUM OF MEM]]*(1+_xlfn.XLOOKUP(Table1[[#This Row], [WEAPON]],Sheet1!$A$27:$A$29,Sheet1!$C$27:$C$29))</f>
        <v>136500</v>
      </c>
      <c r="J244" t="s">
        <v>64</v>
      </c>
      <c r="K244" s="9">
        <f>Table1[[#This Row], [NUM OF MEM]]*Table1[[#This Row], [TOTAL TIME TAKEN]]*_xlfn.XLOOKUP(Table1[[#This Row], [EXIT]],Sheet1!$A$70:$A$71,Sheet1!$B$70:$B$71)*(1+_xlfn.XLOOKUP(Table1[[#This Row], [EXIT]],Sheet1!$A$70:$A$71,Sheet1!$C$70:$C$71))</f>
        <v>1722664.7999999996</v>
      </c>
      <c r="L244" s="13" t="s">
        <v>65</v>
      </c>
      <c r="M244" s="4">
        <f>IF(Table1[[#This Row], [EQUIPMENT]]="YES",Sheet1!$C$44*(1+Sheet1!$D$44),0)</f>
        <v>307500</v>
      </c>
      <c r="N244" s="4">
        <f>_xlfn.XLOOKUP(Table1[[#This Row], [ROOM]],Sheet1!$A$47:$A$66,Sheet1!$F$47:$F$66)</f>
        <v>18100000</v>
      </c>
      <c r="O244" s="9">
        <f>_xlfn.XLOOKUP(_xlfn.CONCAT(Table1[[#This Row], [TEAM]],Table1[[#This Row], [ROOM]]),'ROOM TIME'!$H$2:$H$121,'ROOM TIME'!$J$2:$J$121)</f>
        <v>39.707222222222214</v>
      </c>
      <c r="P244" s="9">
        <f>(INDEX(Sheet1!$X$48:$Z$67,MATCH(Table1[[#This Row], [ROOM]],Sheet1!$P$48:$P$67,0),MATCH(Table1[[#This Row], [WEAPON]],Sheet1!$X$47:$Z$47,0)))/Table1[[#This Row], [NUM OF MEM]]</f>
        <v>4.5999999999999996</v>
      </c>
      <c r="Q244" s="9">
        <f>Table1[[#This Row], [ROOM TIME]]+Table1[[#This Row], [GUARD TIME]]</f>
        <v>44.307222222222215</v>
      </c>
      <c r="R244" s="4">
        <f>Sheet1!$K$3*_xlfn.XLOOKUP(Table1[[#This Row], [DISGUISE]],Sheet1!$A$21:$A$23,Sheet1!$D$21:$D$23)</f>
        <v>66</v>
      </c>
      <c r="S244" s="9">
        <f>Table1[[#This Row], [TOTAL TIME]]-Table1[[#This Row], [TOTAL TIME TAKEN]]</f>
        <v>21.692777777777785</v>
      </c>
      <c r="T244" t="str">
        <f>IF(Table1[[#This Row], [TIME DIFFERENCE]]&gt;=0,"PASS","FAIL")</f>
        <v>PASS</v>
      </c>
      <c r="U244" s="9">
        <f>Table1[[#This Row], [TRC]]+Table1[[#This Row], [DRC]]+Table1[[#This Row], [WRC]]+Table1[[#This Row], [ERC]]+Table1[[#This Row], [EQRC]]</f>
        <v>8112264.7999999998</v>
      </c>
      <c r="V244" s="9">
        <f>Table1[[#This Row], [TOTAL COST]]+_xlfn.XLOOKUP(Table1[[#This Row], [TEAM]],Sheet1!$A$12:$A$17,Sheet1!$I$12:$I$17)</f>
        <v>8408764.8000000007</v>
      </c>
      <c r="W244" s="9">
        <f>Table1[[#This Row], [LOOT]]-Table1[[#This Row], [TOTAL COST]]</f>
        <v>9987735.1999999993</v>
      </c>
      <c r="X244" s="9">
        <f>IF(Table1[[#This Row], [PASS/FAIL]]="FAIL",0,Table1[[#This Row], [PROFIT]])</f>
        <v>9987735.1999999993</v>
      </c>
    </row>
    <row r="245" spans="1:24" ht="19.5" customHeight="1" x14ac:dyDescent="0.45">
      <c r="A245" t="s">
        <v>13</v>
      </c>
      <c r="B245" s="14">
        <f>_xlfn.XLOOKUP(Table1[[#This Row], [TEAM]],Sheet1!$A$12:$A$17,Sheet1!$F$12:$F$17)</f>
        <v>3</v>
      </c>
      <c r="C245" s="14">
        <f>_xlfn.XLOOKUP(Table1[[#This Row], [TEAM]],Sheet1!$A$12:$A$17,Sheet1!$G$12:$G$17)</f>
        <v>5930000</v>
      </c>
      <c r="D245" t="s">
        <v>21</v>
      </c>
      <c r="E245" s="4">
        <f>_xlfn.XLOOKUP(Table1[[#This Row], [ROOM]],Sheet1!$A$47:$A$66,Sheet1!$B$47:$B$66)</f>
        <v>234</v>
      </c>
      <c r="F245" t="s">
        <v>62</v>
      </c>
      <c r="G245" s="4">
        <f>_xlfn.XLOOKUP(Table1[[#This Row], [DISGUISE]],Sheet1!$A$21:$A$23,Sheet1!$B$21:$B$23)*Table1[[#This Row], [NUM OF MEM]]*(1+_xlfn.XLOOKUP(Table1[[#This Row], [DISGUISE]],Sheet1!$A$21:$A$23,Sheet1!$C$21:$C$23))</f>
        <v>15600</v>
      </c>
      <c r="H245" s="13" t="s">
        <v>63</v>
      </c>
      <c r="I245" s="4">
        <f>_xlfn.XLOOKUP(Table1[[#This Row], [WEAPON]],Sheet1!$A$27:$A$29,Sheet1!$B$27:$B$29)*Table1[[#This Row], [NUM OF MEM]]*(1+_xlfn.XLOOKUP(Table1[[#This Row], [WEAPON]],Sheet1!$A$27:$A$29,Sheet1!$C$27:$C$29))</f>
        <v>69000</v>
      </c>
      <c r="J245" t="s">
        <v>60</v>
      </c>
      <c r="K245" s="9">
        <f>Table1[[#This Row], [NUM OF MEM]]*Table1[[#This Row], [TOTAL TIME TAKEN]]*_xlfn.XLOOKUP(Table1[[#This Row], [EXIT]],Sheet1!$A$70:$A$71,Sheet1!$B$70:$B$71)*(1+_xlfn.XLOOKUP(Table1[[#This Row], [EXIT]],Sheet1!$A$70:$A$71,Sheet1!$C$70:$C$71))</f>
        <v>1902375.3499999999</v>
      </c>
      <c r="L245" s="13" t="s">
        <v>61</v>
      </c>
      <c r="M245" s="4">
        <f>IF(Table1[[#This Row], [EQUIPMENT]]="YES",Sheet1!$C$44*(1+Sheet1!$D$44),0)</f>
        <v>0</v>
      </c>
      <c r="N245" s="4">
        <f>_xlfn.XLOOKUP(Table1[[#This Row], [ROOM]],Sheet1!$A$47:$A$66,Sheet1!$F$47:$F$66)</f>
        <v>17900000</v>
      </c>
      <c r="O245" s="9">
        <f>_xlfn.XLOOKUP(_xlfn.CONCAT(Table1[[#This Row], [TEAM]],Table1[[#This Row], [ROOM]]),'ROOM TIME'!$H$2:$H$121,'ROOM TIME'!$J$2:$J$121)</f>
        <v>43.565555555555555</v>
      </c>
      <c r="P245" s="9">
        <f>(INDEX(Sheet1!$X$48:$Z$67,MATCH(Table1[[#This Row], [ROOM]],Sheet1!$P$48:$P$67,0),MATCH(Table1[[#This Row], [WEAPON]],Sheet1!$X$47:$Z$47,0)))/Table1[[#This Row], [NUM OF MEM]]</f>
        <v>5.8500000000000005</v>
      </c>
      <c r="Q245" s="9">
        <f>Table1[[#This Row], [ROOM TIME]]+Table1[[#This Row], [GUARD TIME]]</f>
        <v>49.415555555555557</v>
      </c>
      <c r="R245" s="4">
        <f>Sheet1!$K$3*_xlfn.XLOOKUP(Table1[[#This Row], [DISGUISE]],Sheet1!$A$21:$A$23,Sheet1!$D$21:$D$23)</f>
        <v>66</v>
      </c>
      <c r="S245" s="9">
        <f>Table1[[#This Row], [TOTAL TIME]]-Table1[[#This Row], [TOTAL TIME TAKEN]]</f>
        <v>16.584444444444443</v>
      </c>
      <c r="T245" t="str">
        <f>IF(Table1[[#This Row], [TIME DIFFERENCE]]&gt;=0,"PASS","FAIL")</f>
        <v>PASS</v>
      </c>
      <c r="U245" s="9">
        <f>Table1[[#This Row], [TRC]]+Table1[[#This Row], [DRC]]+Table1[[#This Row], [WRC]]+Table1[[#This Row], [ERC]]+Table1[[#This Row], [EQRC]]</f>
        <v>7916975.3499999996</v>
      </c>
      <c r="V245" s="9">
        <f>Table1[[#This Row], [TOTAL COST]]+_xlfn.XLOOKUP(Table1[[#This Row], [TEAM]],Sheet1!$A$12:$A$17,Sheet1!$I$12:$I$17)</f>
        <v>8213475.3499999996</v>
      </c>
      <c r="W245" s="9">
        <f>Table1[[#This Row], [LOOT]]-Table1[[#This Row], [TOTAL COST]]</f>
        <v>9983024.6500000004</v>
      </c>
      <c r="X245" s="9">
        <f>IF(Table1[[#This Row], [PASS/FAIL]]="FAIL",0,Table1[[#This Row], [PROFIT]])</f>
        <v>9983024.6500000004</v>
      </c>
    </row>
    <row r="246" spans="1:24" ht="19.5" customHeight="1" x14ac:dyDescent="0.45">
      <c r="A246" t="s">
        <v>12</v>
      </c>
      <c r="B246" s="14">
        <f>_xlfn.XLOOKUP(Table1[[#This Row], [TEAM]],Sheet1!$A$12:$A$17,Sheet1!$F$12:$F$17)</f>
        <v>3</v>
      </c>
      <c r="C246" s="14">
        <f>_xlfn.XLOOKUP(Table1[[#This Row], [TEAM]],Sheet1!$A$12:$A$17,Sheet1!$G$12:$G$17)</f>
        <v>5988750</v>
      </c>
      <c r="D246" t="s">
        <v>33</v>
      </c>
      <c r="E246" s="4">
        <f>_xlfn.XLOOKUP(Table1[[#This Row], [ROOM]],Sheet1!$A$47:$A$66,Sheet1!$B$47:$B$66)</f>
        <v>356</v>
      </c>
      <c r="F246" t="s">
        <v>62</v>
      </c>
      <c r="G246" s="4">
        <f>_xlfn.XLOOKUP(Table1[[#This Row], [DISGUISE]],Sheet1!$A$21:$A$23,Sheet1!$B$21:$B$23)*Table1[[#This Row], [NUM OF MEM]]*(1+_xlfn.XLOOKUP(Table1[[#This Row], [DISGUISE]],Sheet1!$A$21:$A$23,Sheet1!$C$21:$C$23))</f>
        <v>15600</v>
      </c>
      <c r="H246" s="13" t="s">
        <v>59</v>
      </c>
      <c r="I246" s="4">
        <f>_xlfn.XLOOKUP(Table1[[#This Row], [WEAPON]],Sheet1!$A$27:$A$29,Sheet1!$B$27:$B$29)*Table1[[#This Row], [NUM OF MEM]]*(1+_xlfn.XLOOKUP(Table1[[#This Row], [WEAPON]],Sheet1!$A$27:$A$29,Sheet1!$C$27:$C$29))</f>
        <v>136500</v>
      </c>
      <c r="J246" t="s">
        <v>64</v>
      </c>
      <c r="K246" s="9">
        <f>Table1[[#This Row], [NUM OF MEM]]*Table1[[#This Row], [TOTAL TIME TAKEN]]*_xlfn.XLOOKUP(Table1[[#This Row], [EXIT]],Sheet1!$A$70:$A$71,Sheet1!$B$70:$B$71)*(1+_xlfn.XLOOKUP(Table1[[#This Row], [EXIT]],Sheet1!$A$70:$A$71,Sheet1!$C$70:$C$71))</f>
        <v>1669161.5999999994</v>
      </c>
      <c r="L246" s="13" t="s">
        <v>65</v>
      </c>
      <c r="M246" s="4">
        <f>IF(Table1[[#This Row], [EQUIPMENT]]="YES",Sheet1!$C$44*(1+Sheet1!$D$44),0)</f>
        <v>307500</v>
      </c>
      <c r="N246" s="4">
        <f>_xlfn.XLOOKUP(Table1[[#This Row], [ROOM]],Sheet1!$A$47:$A$66,Sheet1!$F$47:$F$66)</f>
        <v>18100000</v>
      </c>
      <c r="O246" s="9">
        <f>_xlfn.XLOOKUP(_xlfn.CONCAT(Table1[[#This Row], [TEAM]],Table1[[#This Row], [ROOM]]),'ROOM TIME'!$H$2:$H$121,'ROOM TIME'!$J$2:$J$121)</f>
        <v>38.331111111111092</v>
      </c>
      <c r="P246" s="9">
        <f>(INDEX(Sheet1!$X$48:$Z$67,MATCH(Table1[[#This Row], [ROOM]],Sheet1!$P$48:$P$67,0),MATCH(Table1[[#This Row], [WEAPON]],Sheet1!$X$47:$Z$47,0)))/Table1[[#This Row], [NUM OF MEM]]</f>
        <v>4.5999999999999996</v>
      </c>
      <c r="Q246" s="9">
        <f>Table1[[#This Row], [ROOM TIME]]+Table1[[#This Row], [GUARD TIME]]</f>
        <v>42.931111111111093</v>
      </c>
      <c r="R246" s="4">
        <f>Sheet1!$K$3*_xlfn.XLOOKUP(Table1[[#This Row], [DISGUISE]],Sheet1!$A$21:$A$23,Sheet1!$D$21:$D$23)</f>
        <v>66</v>
      </c>
      <c r="S246" s="9">
        <f>Table1[[#This Row], [TOTAL TIME]]-Table1[[#This Row], [TOTAL TIME TAKEN]]</f>
        <v>23.068888888888907</v>
      </c>
      <c r="T246" t="str">
        <f>IF(Table1[[#This Row], [TIME DIFFERENCE]]&gt;=0,"PASS","FAIL")</f>
        <v>PASS</v>
      </c>
      <c r="U246" s="9">
        <f>Table1[[#This Row], [TRC]]+Table1[[#This Row], [DRC]]+Table1[[#This Row], [WRC]]+Table1[[#This Row], [ERC]]+Table1[[#This Row], [EQRC]]</f>
        <v>8117511.5999999996</v>
      </c>
      <c r="V246" s="9">
        <f>Table1[[#This Row], [TOTAL COST]]+_xlfn.XLOOKUP(Table1[[#This Row], [TEAM]],Sheet1!$A$12:$A$17,Sheet1!$I$12:$I$17)</f>
        <v>8416949.0999999996</v>
      </c>
      <c r="W246" s="9">
        <f>Table1[[#This Row], [LOOT]]-Table1[[#This Row], [TOTAL COST]]</f>
        <v>9982488.4000000004</v>
      </c>
      <c r="X246" s="9">
        <f>IF(Table1[[#This Row], [PASS/FAIL]]="FAIL",0,Table1[[#This Row], [PROFIT]])</f>
        <v>9982488.4000000004</v>
      </c>
    </row>
    <row r="247" spans="1:24" ht="19.5" customHeight="1" x14ac:dyDescent="0.45">
      <c r="A247" t="s">
        <v>16</v>
      </c>
      <c r="B247" s="14">
        <f>_xlfn.XLOOKUP(Table1[[#This Row], [TEAM]],Sheet1!$A$12:$A$17,Sheet1!$F$12:$F$17)</f>
        <v>2</v>
      </c>
      <c r="C247" s="14">
        <f>_xlfn.XLOOKUP(Table1[[#This Row], [TEAM]],Sheet1!$A$12:$A$17,Sheet1!$G$12:$G$17)</f>
        <v>6082800</v>
      </c>
      <c r="D247" t="s">
        <v>26</v>
      </c>
      <c r="E247" s="4">
        <f>_xlfn.XLOOKUP(Table1[[#This Row], [ROOM]],Sheet1!$A$47:$A$66,Sheet1!$B$47:$B$66)</f>
        <v>136</v>
      </c>
      <c r="F247" t="s">
        <v>58</v>
      </c>
      <c r="G247" s="4">
        <f>_xlfn.XLOOKUP(Table1[[#This Row], [DISGUISE]],Sheet1!$A$21:$A$23,Sheet1!$B$21:$B$23)*Table1[[#This Row], [NUM OF MEM]]*(1+_xlfn.XLOOKUP(Table1[[#This Row], [DISGUISE]],Sheet1!$A$21:$A$23,Sheet1!$C$21:$C$23))</f>
        <v>25600</v>
      </c>
      <c r="H247" s="13" t="s">
        <v>66</v>
      </c>
      <c r="I247" s="4">
        <f>_xlfn.XLOOKUP(Table1[[#This Row], [WEAPON]],Sheet1!$A$27:$A$29,Sheet1!$B$27:$B$29)*Table1[[#This Row], [NUM OF MEM]]*(1+_xlfn.XLOOKUP(Table1[[#This Row], [WEAPON]],Sheet1!$A$27:$A$29,Sheet1!$C$27:$C$29))</f>
        <v>72000</v>
      </c>
      <c r="J247" t="s">
        <v>64</v>
      </c>
      <c r="K247" s="9">
        <f>Table1[[#This Row], [NUM OF MEM]]*Table1[[#This Row], [TOTAL TIME TAKEN]]*_xlfn.XLOOKUP(Table1[[#This Row], [EXIT]],Sheet1!$A$70:$A$71,Sheet1!$B$70:$B$71)*(1+_xlfn.XLOOKUP(Table1[[#This Row], [EXIT]],Sheet1!$A$70:$A$71,Sheet1!$C$70:$C$71))</f>
        <v>1679615.9999999993</v>
      </c>
      <c r="L247" s="13" t="s">
        <v>65</v>
      </c>
      <c r="M247" s="4">
        <f>IF(Table1[[#This Row], [EQUIPMENT]]="YES",Sheet1!$C$44*(1+Sheet1!$D$44),0)</f>
        <v>307500</v>
      </c>
      <c r="N247" s="4">
        <f>_xlfn.XLOOKUP(Table1[[#This Row], [ROOM]],Sheet1!$A$47:$A$66,Sheet1!$F$47:$F$66)</f>
        <v>18150000</v>
      </c>
      <c r="O247" s="9">
        <f>_xlfn.XLOOKUP(_xlfn.CONCAT(Table1[[#This Row], [TEAM]],Table1[[#This Row], [ROOM]]),'ROOM TIME'!$H$2:$H$121,'ROOM TIME'!$J$2:$J$121)</f>
        <v>57.299999999999976</v>
      </c>
      <c r="P247" s="9">
        <f>(INDEX(Sheet1!$X$48:$Z$67,MATCH(Table1[[#This Row], [ROOM]],Sheet1!$P$48:$P$67,0),MATCH(Table1[[#This Row], [WEAPON]],Sheet1!$X$47:$Z$47,0)))/Table1[[#This Row], [NUM OF MEM]]</f>
        <v>7.5</v>
      </c>
      <c r="Q247" s="9">
        <f>Table1[[#This Row], [ROOM TIME]]+Table1[[#This Row], [GUARD TIME]]</f>
        <v>64.799999999999983</v>
      </c>
      <c r="R247" s="4">
        <f>Sheet1!$K$3*_xlfn.XLOOKUP(Table1[[#This Row], [DISGUISE]],Sheet1!$A$21:$A$23,Sheet1!$D$21:$D$23)</f>
        <v>69</v>
      </c>
      <c r="S247" s="9">
        <f>Table1[[#This Row], [TOTAL TIME]]-Table1[[#This Row], [TOTAL TIME TAKEN]]</f>
        <v>4.2000000000000171</v>
      </c>
      <c r="T247" t="str">
        <f>IF(Table1[[#This Row], [TIME DIFFERENCE]]&gt;=0,"PASS","FAIL")</f>
        <v>PASS</v>
      </c>
      <c r="U247" s="9">
        <f>Table1[[#This Row], [TRC]]+Table1[[#This Row], [DRC]]+Table1[[#This Row], [WRC]]+Table1[[#This Row], [ERC]]+Table1[[#This Row], [EQRC]]</f>
        <v>8167515.9999999991</v>
      </c>
      <c r="V247" s="4">
        <f>Table1[[#This Row], [TOTAL COST]]+_xlfn.XLOOKUP(Table1[[#This Row], [TEAM]],Sheet1!$A$12:$A$17,Sheet1!$I$12:$I$17)</f>
        <v>8471656</v>
      </c>
      <c r="W247" s="4">
        <f>Table1[[#This Row], [LOOT]]-Table1[[#This Row], [TOTAL COST]]</f>
        <v>9982484</v>
      </c>
      <c r="X247" s="4">
        <f>IF(Table1[[#This Row], [PASS/FAIL]]="FAIL",0,Table1[[#This Row], [PROFIT]])</f>
        <v>9982484</v>
      </c>
    </row>
    <row r="248" spans="1:24" ht="19.5" customHeight="1" x14ac:dyDescent="0.45">
      <c r="A248" t="s">
        <v>13</v>
      </c>
      <c r="B248" s="14">
        <f>_xlfn.XLOOKUP(Table1[[#This Row], [TEAM]],Sheet1!$A$12:$A$17,Sheet1!$F$12:$F$17)</f>
        <v>3</v>
      </c>
      <c r="C248" s="14">
        <f>_xlfn.XLOOKUP(Table1[[#This Row], [TEAM]],Sheet1!$A$12:$A$17,Sheet1!$G$12:$G$17)</f>
        <v>5930000</v>
      </c>
      <c r="D248" t="s">
        <v>33</v>
      </c>
      <c r="E248" s="4">
        <f>_xlfn.XLOOKUP(Table1[[#This Row], [ROOM]],Sheet1!$A$47:$A$66,Sheet1!$B$47:$B$66)</f>
        <v>356</v>
      </c>
      <c r="F248" t="s">
        <v>58</v>
      </c>
      <c r="G248" s="4">
        <f>_xlfn.XLOOKUP(Table1[[#This Row], [DISGUISE]],Sheet1!$A$21:$A$23,Sheet1!$B$21:$B$23)*Table1[[#This Row], [NUM OF MEM]]*(1+_xlfn.XLOOKUP(Table1[[#This Row], [DISGUISE]],Sheet1!$A$21:$A$23,Sheet1!$C$21:$C$23))</f>
        <v>38400</v>
      </c>
      <c r="H248" s="13" t="s">
        <v>59</v>
      </c>
      <c r="I248" s="4">
        <f>_xlfn.XLOOKUP(Table1[[#This Row], [WEAPON]],Sheet1!$A$27:$A$29,Sheet1!$B$27:$B$29)*Table1[[#This Row], [NUM OF MEM]]*(1+_xlfn.XLOOKUP(Table1[[#This Row], [WEAPON]],Sheet1!$A$27:$A$29,Sheet1!$C$27:$C$29))</f>
        <v>136500</v>
      </c>
      <c r="J248" t="s">
        <v>60</v>
      </c>
      <c r="K248" s="9">
        <f>Table1[[#This Row], [NUM OF MEM]]*Table1[[#This Row], [TOTAL TIME TAKEN]]*_xlfn.XLOOKUP(Table1[[#This Row], [EXIT]],Sheet1!$A$70:$A$71,Sheet1!$B$70:$B$71)*(1+_xlfn.XLOOKUP(Table1[[#This Row], [EXIT]],Sheet1!$A$70:$A$71,Sheet1!$C$70:$C$71))</f>
        <v>1705717.2874999996</v>
      </c>
      <c r="L248" s="13" t="s">
        <v>65</v>
      </c>
      <c r="M248" s="4">
        <f>IF(Table1[[#This Row], [EQUIPMENT]]="YES",Sheet1!$C$44*(1+Sheet1!$D$44),0)</f>
        <v>307500</v>
      </c>
      <c r="N248" s="4">
        <f>_xlfn.XLOOKUP(Table1[[#This Row], [ROOM]],Sheet1!$A$47:$A$66,Sheet1!$F$47:$F$66)</f>
        <v>18100000</v>
      </c>
      <c r="O248" s="9">
        <f>_xlfn.XLOOKUP(_xlfn.CONCAT(Table1[[#This Row], [TEAM]],Table1[[#This Row], [ROOM]]),'ROOM TIME'!$H$2:$H$121,'ROOM TIME'!$J$2:$J$121)</f>
        <v>39.707222222222214</v>
      </c>
      <c r="P248" s="9">
        <f>(INDEX(Sheet1!$X$48:$Z$67,MATCH(Table1[[#This Row], [ROOM]],Sheet1!$P$48:$P$67,0),MATCH(Table1[[#This Row], [WEAPON]],Sheet1!$X$47:$Z$47,0)))/Table1[[#This Row], [NUM OF MEM]]</f>
        <v>4.5999999999999996</v>
      </c>
      <c r="Q248" s="9">
        <f>Table1[[#This Row], [ROOM TIME]]+Table1[[#This Row], [GUARD TIME]]</f>
        <v>44.307222222222215</v>
      </c>
      <c r="R248" s="4">
        <f>Sheet1!$K$3*_xlfn.XLOOKUP(Table1[[#This Row], [DISGUISE]],Sheet1!$A$21:$A$23,Sheet1!$D$21:$D$23)</f>
        <v>69</v>
      </c>
      <c r="S248" s="9">
        <f>Table1[[#This Row], [TOTAL TIME]]-Table1[[#This Row], [TOTAL TIME TAKEN]]</f>
        <v>24.692777777777785</v>
      </c>
      <c r="T248" t="str">
        <f>IF(Table1[[#This Row], [TIME DIFFERENCE]]&gt;=0,"PASS","FAIL")</f>
        <v>PASS</v>
      </c>
      <c r="U248" s="9">
        <f>Table1[[#This Row], [TRC]]+Table1[[#This Row], [DRC]]+Table1[[#This Row], [WRC]]+Table1[[#This Row], [ERC]]+Table1[[#This Row], [EQRC]]</f>
        <v>8118117.2874999996</v>
      </c>
      <c r="V248" s="9">
        <f>Table1[[#This Row], [TOTAL COST]]+_xlfn.XLOOKUP(Table1[[#This Row], [TEAM]],Sheet1!$A$12:$A$17,Sheet1!$I$12:$I$17)</f>
        <v>8414617.2874999996</v>
      </c>
      <c r="W248" s="9">
        <f>Table1[[#This Row], [LOOT]]-Table1[[#This Row], [TOTAL COST]]</f>
        <v>9981882.7125000004</v>
      </c>
      <c r="X248" s="9">
        <f>IF(Table1[[#This Row], [PASS/FAIL]]="FAIL",0,Table1[[#This Row], [PROFIT]])</f>
        <v>9981882.7125000004</v>
      </c>
    </row>
    <row r="249" spans="1:24" ht="19.5" customHeight="1" x14ac:dyDescent="0.45">
      <c r="A249" t="s">
        <v>9</v>
      </c>
      <c r="B249" s="14">
        <f>_xlfn.XLOOKUP(Table1[[#This Row], [TEAM]],Sheet1!$A$12:$A$17,Sheet1!$F$12:$F$17)</f>
        <v>3</v>
      </c>
      <c r="C249" s="14">
        <f>_xlfn.XLOOKUP(Table1[[#This Row], [TEAM]],Sheet1!$A$12:$A$17,Sheet1!$G$12:$G$17)</f>
        <v>6238750</v>
      </c>
      <c r="D249" t="s">
        <v>18</v>
      </c>
      <c r="E249" s="4">
        <f>_xlfn.XLOOKUP(Table1[[#This Row], [ROOM]],Sheet1!$A$47:$A$66,Sheet1!$B$47:$B$66)</f>
        <v>134</v>
      </c>
      <c r="F249" t="s">
        <v>62</v>
      </c>
      <c r="G249" s="4">
        <f>_xlfn.XLOOKUP(Table1[[#This Row], [DISGUISE]],Sheet1!$A$21:$A$23,Sheet1!$B$21:$B$23)*Table1[[#This Row], [NUM OF MEM]]*(1+_xlfn.XLOOKUP(Table1[[#This Row], [DISGUISE]],Sheet1!$A$21:$A$23,Sheet1!$C$21:$C$23))</f>
        <v>15600</v>
      </c>
      <c r="H249" s="13" t="s">
        <v>59</v>
      </c>
      <c r="I249" s="4">
        <f>_xlfn.XLOOKUP(Table1[[#This Row], [WEAPON]],Sheet1!$A$27:$A$29,Sheet1!$B$27:$B$29)*Table1[[#This Row], [NUM OF MEM]]*(1+_xlfn.XLOOKUP(Table1[[#This Row], [WEAPON]],Sheet1!$A$27:$A$29,Sheet1!$C$27:$C$29))</f>
        <v>136500</v>
      </c>
      <c r="J249" t="s">
        <v>60</v>
      </c>
      <c r="K249" s="9">
        <f>Table1[[#This Row], [NUM OF MEM]]*Table1[[#This Row], [TOTAL TIME TAKEN]]*_xlfn.XLOOKUP(Table1[[#This Row], [EXIT]],Sheet1!$A$70:$A$71,Sheet1!$B$70:$B$71)*(1+_xlfn.XLOOKUP(Table1[[#This Row], [EXIT]],Sheet1!$A$70:$A$71,Sheet1!$C$70:$C$71))</f>
        <v>1678640.7124999997</v>
      </c>
      <c r="L249" s="13" t="s">
        <v>61</v>
      </c>
      <c r="M249" s="4">
        <f>IF(Table1[[#This Row], [EQUIPMENT]]="YES",Sheet1!$C$44*(1+Sheet1!$D$44),0)</f>
        <v>0</v>
      </c>
      <c r="N249" s="4">
        <f>_xlfn.XLOOKUP(Table1[[#This Row], [ROOM]],Sheet1!$A$47:$A$66,Sheet1!$F$47:$F$66)</f>
        <v>18050000</v>
      </c>
      <c r="O249" s="9">
        <f>_xlfn.XLOOKUP(_xlfn.CONCAT(Table1[[#This Row], [TEAM]],Table1[[#This Row], [ROOM]]),'ROOM TIME'!$H$2:$H$121,'ROOM TIME'!$J$2:$J$121)</f>
        <v>39.003888888888881</v>
      </c>
      <c r="P249" s="9">
        <f>(INDEX(Sheet1!$X$48:$Z$67,MATCH(Table1[[#This Row], [ROOM]],Sheet1!$P$48:$P$67,0),MATCH(Table1[[#This Row], [WEAPON]],Sheet1!$X$47:$Z$47,0)))/Table1[[#This Row], [NUM OF MEM]]</f>
        <v>4.5999999999999996</v>
      </c>
      <c r="Q249" s="9">
        <f>Table1[[#This Row], [ROOM TIME]]+Table1[[#This Row], [GUARD TIME]]</f>
        <v>43.603888888888882</v>
      </c>
      <c r="R249" s="4">
        <f>Sheet1!$K$3*_xlfn.XLOOKUP(Table1[[#This Row], [DISGUISE]],Sheet1!$A$21:$A$23,Sheet1!$D$21:$D$23)</f>
        <v>66</v>
      </c>
      <c r="S249" s="9">
        <f>Table1[[#This Row], [TOTAL TIME]]-Table1[[#This Row], [TOTAL TIME TAKEN]]</f>
        <v>22.396111111111118</v>
      </c>
      <c r="T249" t="str">
        <f>IF(Table1[[#This Row], [TIME DIFFERENCE]]&gt;=0,"PASS","FAIL")</f>
        <v>PASS</v>
      </c>
      <c r="U249" s="9">
        <f>Table1[[#This Row], [TRC]]+Table1[[#This Row], [DRC]]+Table1[[#This Row], [WRC]]+Table1[[#This Row], [ERC]]+Table1[[#This Row], [EQRC]]</f>
        <v>8069490.7124999994</v>
      </c>
      <c r="V249" s="9">
        <f>Table1[[#This Row], [TOTAL COST]]+_xlfn.XLOOKUP(Table1[[#This Row], [TEAM]],Sheet1!$A$12:$A$17,Sheet1!$I$12:$I$17)</f>
        <v>8381428.2124999994</v>
      </c>
      <c r="W249" s="9">
        <f>Table1[[#This Row], [LOOT]]-Table1[[#This Row], [TOTAL COST]]</f>
        <v>9980509.2875000015</v>
      </c>
      <c r="X249" s="9">
        <f>IF(Table1[[#This Row], [PASS/FAIL]]="FAIL",0,Table1[[#This Row], [PROFIT]])</f>
        <v>9980509.2875000015</v>
      </c>
    </row>
    <row r="250" spans="1:24" ht="19.5" customHeight="1" x14ac:dyDescent="0.45">
      <c r="A250" t="s">
        <v>16</v>
      </c>
      <c r="B250" s="14">
        <f>_xlfn.XLOOKUP(Table1[[#This Row], [TEAM]],Sheet1!$A$12:$A$17,Sheet1!$F$12:$F$17)</f>
        <v>2</v>
      </c>
      <c r="C250" s="14">
        <f>_xlfn.XLOOKUP(Table1[[#This Row], [TEAM]],Sheet1!$A$12:$A$17,Sheet1!$G$12:$G$17)</f>
        <v>6082800</v>
      </c>
      <c r="D250" t="s">
        <v>26</v>
      </c>
      <c r="E250" s="4">
        <f>_xlfn.XLOOKUP(Table1[[#This Row], [ROOM]],Sheet1!$A$47:$A$66,Sheet1!$B$47:$B$66)</f>
        <v>136</v>
      </c>
      <c r="F250" t="s">
        <v>58</v>
      </c>
      <c r="G250" s="4">
        <f>_xlfn.XLOOKUP(Table1[[#This Row], [DISGUISE]],Sheet1!$A$21:$A$23,Sheet1!$B$21:$B$23)*Table1[[#This Row], [NUM OF MEM]]*(1+_xlfn.XLOOKUP(Table1[[#This Row], [DISGUISE]],Sheet1!$A$21:$A$23,Sheet1!$C$21:$C$23))</f>
        <v>25600</v>
      </c>
      <c r="H250" s="13" t="s">
        <v>59</v>
      </c>
      <c r="I250" s="4">
        <f>_xlfn.XLOOKUP(Table1[[#This Row], [WEAPON]],Sheet1!$A$27:$A$29,Sheet1!$B$27:$B$29)*Table1[[#This Row], [NUM OF MEM]]*(1+_xlfn.XLOOKUP(Table1[[#This Row], [WEAPON]],Sheet1!$A$27:$A$29,Sheet1!$C$27:$C$29))</f>
        <v>91000</v>
      </c>
      <c r="J250" t="s">
        <v>64</v>
      </c>
      <c r="K250" s="9">
        <f>Table1[[#This Row], [NUM OF MEM]]*Table1[[#This Row], [TOTAL TIME TAKEN]]*_xlfn.XLOOKUP(Table1[[#This Row], [EXIT]],Sheet1!$A$70:$A$71,Sheet1!$B$70:$B$71)*(1+_xlfn.XLOOKUP(Table1[[#This Row], [EXIT]],Sheet1!$A$70:$A$71,Sheet1!$C$70:$C$71))</f>
        <v>1664063.9999999993</v>
      </c>
      <c r="L250" s="13" t="s">
        <v>65</v>
      </c>
      <c r="M250" s="4">
        <f>IF(Table1[[#This Row], [EQUIPMENT]]="YES",Sheet1!$C$44*(1+Sheet1!$D$44),0)</f>
        <v>307500</v>
      </c>
      <c r="N250" s="4">
        <f>_xlfn.XLOOKUP(Table1[[#This Row], [ROOM]],Sheet1!$A$47:$A$66,Sheet1!$F$47:$F$66)</f>
        <v>18150000</v>
      </c>
      <c r="O250" s="9">
        <f>_xlfn.XLOOKUP(_xlfn.CONCAT(Table1[[#This Row], [TEAM]],Table1[[#This Row], [ROOM]]),'ROOM TIME'!$H$2:$H$121,'ROOM TIME'!$J$2:$J$121)</f>
        <v>57.299999999999976</v>
      </c>
      <c r="P250" s="9">
        <f>(INDEX(Sheet1!$X$48:$Z$67,MATCH(Table1[[#This Row], [ROOM]],Sheet1!$P$48:$P$67,0),MATCH(Table1[[#This Row], [WEAPON]],Sheet1!$X$47:$Z$47,0)))/Table1[[#This Row], [NUM OF MEM]]</f>
        <v>6.8999999999999995</v>
      </c>
      <c r="Q250" s="9">
        <f>Table1[[#This Row], [ROOM TIME]]+Table1[[#This Row], [GUARD TIME]]</f>
        <v>64.199999999999974</v>
      </c>
      <c r="R250" s="4">
        <f>Sheet1!$K$3*_xlfn.XLOOKUP(Table1[[#This Row], [DISGUISE]],Sheet1!$A$21:$A$23,Sheet1!$D$21:$D$23)</f>
        <v>69</v>
      </c>
      <c r="S250" s="9">
        <f>Table1[[#This Row], [TOTAL TIME]]-Table1[[#This Row], [TOTAL TIME TAKEN]]</f>
        <v>4.8000000000000256</v>
      </c>
      <c r="T250" t="str">
        <f>IF(Table1[[#This Row], [TIME DIFFERENCE]]&gt;=0,"PASS","FAIL")</f>
        <v>PASS</v>
      </c>
      <c r="U250" s="9">
        <f>Table1[[#This Row], [TRC]]+Table1[[#This Row], [DRC]]+Table1[[#This Row], [WRC]]+Table1[[#This Row], [ERC]]+Table1[[#This Row], [EQRC]]</f>
        <v>8170963.9999999991</v>
      </c>
      <c r="V250" s="4">
        <f>Table1[[#This Row], [TOTAL COST]]+_xlfn.XLOOKUP(Table1[[#This Row], [TEAM]],Sheet1!$A$12:$A$17,Sheet1!$I$12:$I$17)</f>
        <v>8475104</v>
      </c>
      <c r="W250" s="4">
        <f>Table1[[#This Row], [LOOT]]-Table1[[#This Row], [TOTAL COST]]</f>
        <v>9979036</v>
      </c>
      <c r="X250" s="4">
        <f>IF(Table1[[#This Row], [PASS/FAIL]]="FAIL",0,Table1[[#This Row], [PROFIT]])</f>
        <v>9979036</v>
      </c>
    </row>
    <row r="251" spans="1:24" ht="19.5" customHeight="1" x14ac:dyDescent="0.45">
      <c r="A251" t="s">
        <v>16</v>
      </c>
      <c r="B251" s="14">
        <f>_xlfn.XLOOKUP(Table1[[#This Row], [TEAM]],Sheet1!$A$12:$A$17,Sheet1!$F$12:$F$17)</f>
        <v>2</v>
      </c>
      <c r="C251" s="14">
        <f>_xlfn.XLOOKUP(Table1[[#This Row], [TEAM]],Sheet1!$A$12:$A$17,Sheet1!$G$12:$G$17)</f>
        <v>6082800</v>
      </c>
      <c r="D251" t="s">
        <v>33</v>
      </c>
      <c r="E251" s="4">
        <f>_xlfn.XLOOKUP(Table1[[#This Row], [ROOM]],Sheet1!$A$47:$A$66,Sheet1!$B$47:$B$66)</f>
        <v>356</v>
      </c>
      <c r="F251" t="s">
        <v>62</v>
      </c>
      <c r="G251" s="4">
        <f>_xlfn.XLOOKUP(Table1[[#This Row], [DISGUISE]],Sheet1!$A$21:$A$23,Sheet1!$B$21:$B$23)*Table1[[#This Row], [NUM OF MEM]]*(1+_xlfn.XLOOKUP(Table1[[#This Row], [DISGUISE]],Sheet1!$A$21:$A$23,Sheet1!$C$21:$C$23))</f>
        <v>10400</v>
      </c>
      <c r="H251" s="13" t="s">
        <v>66</v>
      </c>
      <c r="I251" s="4">
        <f>_xlfn.XLOOKUP(Table1[[#This Row], [WEAPON]],Sheet1!$A$27:$A$29,Sheet1!$B$27:$B$29)*Table1[[#This Row], [NUM OF MEM]]*(1+_xlfn.XLOOKUP(Table1[[#This Row], [WEAPON]],Sheet1!$A$27:$A$29,Sheet1!$C$27:$C$29))</f>
        <v>72000</v>
      </c>
      <c r="J251" t="s">
        <v>60</v>
      </c>
      <c r="K251" s="9">
        <f>Table1[[#This Row], [NUM OF MEM]]*Table1[[#This Row], [TOTAL TIME TAKEN]]*_xlfn.XLOOKUP(Table1[[#This Row], [EXIT]],Sheet1!$A$70:$A$71,Sheet1!$B$70:$B$71)*(1+_xlfn.XLOOKUP(Table1[[#This Row], [EXIT]],Sheet1!$A$70:$A$71,Sheet1!$C$70:$C$71))</f>
        <v>1648687.5187499996</v>
      </c>
      <c r="L251" s="13" t="s">
        <v>65</v>
      </c>
      <c r="M251" s="4">
        <f>IF(Table1[[#This Row], [EQUIPMENT]]="YES",Sheet1!$C$44*(1+Sheet1!$D$44),0)</f>
        <v>307500</v>
      </c>
      <c r="N251" s="4">
        <f>_xlfn.XLOOKUP(Table1[[#This Row], [ROOM]],Sheet1!$A$47:$A$66,Sheet1!$F$47:$F$66)</f>
        <v>18100000</v>
      </c>
      <c r="O251" s="9">
        <f>_xlfn.XLOOKUP(_xlfn.CONCAT(Table1[[#This Row], [TEAM]],Table1[[#This Row], [ROOM]]),'ROOM TIME'!$H$2:$H$121,'ROOM TIME'!$J$2:$J$121)</f>
        <v>56.738749999999982</v>
      </c>
      <c r="P251" s="9">
        <f>(INDEX(Sheet1!$X$48:$Z$67,MATCH(Table1[[#This Row], [ROOM]],Sheet1!$P$48:$P$67,0),MATCH(Table1[[#This Row], [WEAPON]],Sheet1!$X$47:$Z$47,0)))/Table1[[#This Row], [NUM OF MEM]]</f>
        <v>7.5</v>
      </c>
      <c r="Q251" s="9">
        <f>Table1[[#This Row], [ROOM TIME]]+Table1[[#This Row], [GUARD TIME]]</f>
        <v>64.238749999999982</v>
      </c>
      <c r="R251" s="4">
        <f>Sheet1!$K$3*_xlfn.XLOOKUP(Table1[[#This Row], [DISGUISE]],Sheet1!$A$21:$A$23,Sheet1!$D$21:$D$23)</f>
        <v>66</v>
      </c>
      <c r="S251" s="9">
        <f>Table1[[#This Row], [TOTAL TIME]]-Table1[[#This Row], [TOTAL TIME TAKEN]]</f>
        <v>1.7612500000000182</v>
      </c>
      <c r="T251" t="str">
        <f>IF(Table1[[#This Row], [TIME DIFFERENCE]]&gt;=0,"PASS","FAIL")</f>
        <v>PASS</v>
      </c>
      <c r="U251" s="9">
        <f>Table1[[#This Row], [TRC]]+Table1[[#This Row], [DRC]]+Table1[[#This Row], [WRC]]+Table1[[#This Row], [ERC]]+Table1[[#This Row], [EQRC]]</f>
        <v>8121387.5187499998</v>
      </c>
      <c r="V251" s="9">
        <f>Table1[[#This Row], [TOTAL COST]]+_xlfn.XLOOKUP(Table1[[#This Row], [TEAM]],Sheet1!$A$12:$A$17,Sheet1!$I$12:$I$17)</f>
        <v>8425527.5187500007</v>
      </c>
      <c r="W251" s="9">
        <f>Table1[[#This Row], [LOOT]]-Table1[[#This Row], [TOTAL COST]]</f>
        <v>9978612.4812499993</v>
      </c>
      <c r="X251" s="9">
        <f>IF(Table1[[#This Row], [PASS/FAIL]]="FAIL",0,Table1[[#This Row], [PROFIT]])</f>
        <v>9978612.4812499993</v>
      </c>
    </row>
    <row r="252" spans="1:24" ht="19.5" customHeight="1" x14ac:dyDescent="0.45">
      <c r="A252" t="s">
        <v>9</v>
      </c>
      <c r="B252" s="14">
        <f>_xlfn.XLOOKUP(Table1[[#This Row], [TEAM]],Sheet1!$A$12:$A$17,Sheet1!$F$12:$F$17)</f>
        <v>3</v>
      </c>
      <c r="C252" s="14">
        <f>_xlfn.XLOOKUP(Table1[[#This Row], [TEAM]],Sheet1!$A$12:$A$17,Sheet1!$G$12:$G$17)</f>
        <v>6238750</v>
      </c>
      <c r="D252" t="s">
        <v>24</v>
      </c>
      <c r="E252" s="4">
        <f>_xlfn.XLOOKUP(Table1[[#This Row], [ROOM]],Sheet1!$A$47:$A$66,Sheet1!$B$47:$B$66)</f>
        <v>345</v>
      </c>
      <c r="F252" t="s">
        <v>62</v>
      </c>
      <c r="G252" s="4">
        <f>_xlfn.XLOOKUP(Table1[[#This Row], [DISGUISE]],Sheet1!$A$21:$A$23,Sheet1!$B$21:$B$23)*Table1[[#This Row], [NUM OF MEM]]*(1+_xlfn.XLOOKUP(Table1[[#This Row], [DISGUISE]],Sheet1!$A$21:$A$23,Sheet1!$C$21:$C$23))</f>
        <v>15600</v>
      </c>
      <c r="H252" s="13" t="s">
        <v>63</v>
      </c>
      <c r="I252" s="4">
        <f>_xlfn.XLOOKUP(Table1[[#This Row], [WEAPON]],Sheet1!$A$27:$A$29,Sheet1!$B$27:$B$29)*Table1[[#This Row], [NUM OF MEM]]*(1+_xlfn.XLOOKUP(Table1[[#This Row], [WEAPON]],Sheet1!$A$27:$A$29,Sheet1!$C$27:$C$29))</f>
        <v>69000</v>
      </c>
      <c r="J252" t="s">
        <v>60</v>
      </c>
      <c r="K252" s="9">
        <f>Table1[[#This Row], [NUM OF MEM]]*Table1[[#This Row], [TOTAL TIME TAKEN]]*_xlfn.XLOOKUP(Table1[[#This Row], [EXIT]],Sheet1!$A$70:$A$71,Sheet1!$B$70:$B$71)*(1+_xlfn.XLOOKUP(Table1[[#This Row], [EXIT]],Sheet1!$A$70:$A$71,Sheet1!$C$70:$C$71))</f>
        <v>1698210.2749999997</v>
      </c>
      <c r="L252" s="13" t="s">
        <v>61</v>
      </c>
      <c r="M252" s="4">
        <f>IF(Table1[[#This Row], [EQUIPMENT]]="YES",Sheet1!$C$44*(1+Sheet1!$D$44),0)</f>
        <v>0</v>
      </c>
      <c r="N252" s="4">
        <f>_xlfn.XLOOKUP(Table1[[#This Row], [ROOM]],Sheet1!$A$47:$A$66,Sheet1!$F$47:$F$66)</f>
        <v>18000000</v>
      </c>
      <c r="O252" s="9">
        <f>_xlfn.XLOOKUP(_xlfn.CONCAT(Table1[[#This Row], [TEAM]],Table1[[#This Row], [ROOM]]),'ROOM TIME'!$H$2:$H$121,'ROOM TIME'!$J$2:$J$121)</f>
        <v>38.712222222222216</v>
      </c>
      <c r="P252" s="9">
        <f>(INDEX(Sheet1!$X$48:$Z$67,MATCH(Table1[[#This Row], [ROOM]],Sheet1!$P$48:$P$67,0),MATCH(Table1[[#This Row], [WEAPON]],Sheet1!$X$47:$Z$47,0)))/Table1[[#This Row], [NUM OF MEM]]</f>
        <v>5.4000000000000012</v>
      </c>
      <c r="Q252" s="9">
        <f>Table1[[#This Row], [ROOM TIME]]+Table1[[#This Row], [GUARD TIME]]</f>
        <v>44.112222222222215</v>
      </c>
      <c r="R252" s="4">
        <f>Sheet1!$K$3*_xlfn.XLOOKUP(Table1[[#This Row], [DISGUISE]],Sheet1!$A$21:$A$23,Sheet1!$D$21:$D$23)</f>
        <v>66</v>
      </c>
      <c r="S252" s="9">
        <f>Table1[[#This Row], [TOTAL TIME]]-Table1[[#This Row], [TOTAL TIME TAKEN]]</f>
        <v>21.887777777777785</v>
      </c>
      <c r="T252" t="str">
        <f>IF(Table1[[#This Row], [TIME DIFFERENCE]]&gt;=0,"PASS","FAIL")</f>
        <v>PASS</v>
      </c>
      <c r="U252" s="9">
        <f>Table1[[#This Row], [TRC]]+Table1[[#This Row], [DRC]]+Table1[[#This Row], [WRC]]+Table1[[#This Row], [ERC]]+Table1[[#This Row], [EQRC]]</f>
        <v>8021560.2749999994</v>
      </c>
      <c r="V252" s="9">
        <f>Table1[[#This Row], [TOTAL COST]]+_xlfn.XLOOKUP(Table1[[#This Row], [TEAM]],Sheet1!$A$12:$A$17,Sheet1!$I$12:$I$17)</f>
        <v>8333497.7749999994</v>
      </c>
      <c r="W252" s="9">
        <f>Table1[[#This Row], [LOOT]]-Table1[[#This Row], [TOTAL COST]]</f>
        <v>9978439.7250000015</v>
      </c>
      <c r="X252" s="9">
        <f>IF(Table1[[#This Row], [PASS/FAIL]]="FAIL",0,Table1[[#This Row], [PROFIT]])</f>
        <v>9978439.7250000015</v>
      </c>
    </row>
    <row r="253" spans="1:24" ht="19.5" customHeight="1" x14ac:dyDescent="0.45">
      <c r="A253" t="s">
        <v>13</v>
      </c>
      <c r="B253" s="14">
        <f>_xlfn.XLOOKUP(Table1[[#This Row], [TEAM]],Sheet1!$A$12:$A$17,Sheet1!$F$12:$F$17)</f>
        <v>3</v>
      </c>
      <c r="C253" s="14">
        <f>_xlfn.XLOOKUP(Table1[[#This Row], [TEAM]],Sheet1!$A$12:$A$17,Sheet1!$G$12:$G$17)</f>
        <v>5930000</v>
      </c>
      <c r="D253" t="s">
        <v>33</v>
      </c>
      <c r="E253" s="4">
        <f>_xlfn.XLOOKUP(Table1[[#This Row], [ROOM]],Sheet1!$A$47:$A$66,Sheet1!$B$47:$B$66)</f>
        <v>356</v>
      </c>
      <c r="F253" t="s">
        <v>58</v>
      </c>
      <c r="G253" s="4">
        <f>_xlfn.XLOOKUP(Table1[[#This Row], [DISGUISE]],Sheet1!$A$21:$A$23,Sheet1!$B$21:$B$23)*Table1[[#This Row], [NUM OF MEM]]*(1+_xlfn.XLOOKUP(Table1[[#This Row], [DISGUISE]],Sheet1!$A$21:$A$23,Sheet1!$C$21:$C$23))</f>
        <v>38400</v>
      </c>
      <c r="H253" s="13" t="s">
        <v>66</v>
      </c>
      <c r="I253" s="4">
        <f>_xlfn.XLOOKUP(Table1[[#This Row], [WEAPON]],Sheet1!$A$27:$A$29,Sheet1!$B$27:$B$29)*Table1[[#This Row], [NUM OF MEM]]*(1+_xlfn.XLOOKUP(Table1[[#This Row], [WEAPON]],Sheet1!$A$27:$A$29,Sheet1!$C$27:$C$29))</f>
        <v>108000</v>
      </c>
      <c r="J253" t="s">
        <v>64</v>
      </c>
      <c r="K253" s="9">
        <f>Table1[[#This Row], [NUM OF MEM]]*Table1[[#This Row], [TOTAL TIME TAKEN]]*_xlfn.XLOOKUP(Table1[[#This Row], [EXIT]],Sheet1!$A$70:$A$71,Sheet1!$B$70:$B$71)*(1+_xlfn.XLOOKUP(Table1[[#This Row], [EXIT]],Sheet1!$A$70:$A$71,Sheet1!$C$70:$C$71))</f>
        <v>1738216.7999999996</v>
      </c>
      <c r="L253" s="13" t="s">
        <v>65</v>
      </c>
      <c r="M253" s="4">
        <f>IF(Table1[[#This Row], [EQUIPMENT]]="YES",Sheet1!$C$44*(1+Sheet1!$D$44),0)</f>
        <v>307500</v>
      </c>
      <c r="N253" s="4">
        <f>_xlfn.XLOOKUP(Table1[[#This Row], [ROOM]],Sheet1!$A$47:$A$66,Sheet1!$F$47:$F$66)</f>
        <v>18100000</v>
      </c>
      <c r="O253" s="9">
        <f>_xlfn.XLOOKUP(_xlfn.CONCAT(Table1[[#This Row], [TEAM]],Table1[[#This Row], [ROOM]]),'ROOM TIME'!$H$2:$H$121,'ROOM TIME'!$J$2:$J$121)</f>
        <v>39.707222222222214</v>
      </c>
      <c r="P253" s="4">
        <f>(INDEX(Sheet1!$X$48:$Z$67,MATCH(Table1[[#This Row], [ROOM]],Sheet1!$P$48:$P$67,0),MATCH(Table1[[#This Row], [WEAPON]],Sheet1!$X$47:$Z$47,0)))/Table1[[#This Row], [NUM OF MEM]]</f>
        <v>5</v>
      </c>
      <c r="Q253" s="9">
        <f>Table1[[#This Row], [ROOM TIME]]+Table1[[#This Row], [GUARD TIME]]</f>
        <v>44.707222222222214</v>
      </c>
      <c r="R253" s="4">
        <f>Sheet1!$K$3*_xlfn.XLOOKUP(Table1[[#This Row], [DISGUISE]],Sheet1!$A$21:$A$23,Sheet1!$D$21:$D$23)</f>
        <v>69</v>
      </c>
      <c r="S253" s="9">
        <f>Table1[[#This Row], [TOTAL TIME]]-Table1[[#This Row], [TOTAL TIME TAKEN]]</f>
        <v>24.292777777777786</v>
      </c>
      <c r="T253" t="str">
        <f>IF(Table1[[#This Row], [TIME DIFFERENCE]]&gt;=0,"PASS","FAIL")</f>
        <v>PASS</v>
      </c>
      <c r="U253" s="9">
        <f>Table1[[#This Row], [TRC]]+Table1[[#This Row], [DRC]]+Table1[[#This Row], [WRC]]+Table1[[#This Row], [ERC]]+Table1[[#This Row], [EQRC]]</f>
        <v>8122116.7999999998</v>
      </c>
      <c r="V253" s="9">
        <f>Table1[[#This Row], [TOTAL COST]]+_xlfn.XLOOKUP(Table1[[#This Row], [TEAM]],Sheet1!$A$12:$A$17,Sheet1!$I$12:$I$17)</f>
        <v>8418616.8000000007</v>
      </c>
      <c r="W253" s="9">
        <f>Table1[[#This Row], [LOOT]]-Table1[[#This Row], [TOTAL COST]]</f>
        <v>9977883.1999999993</v>
      </c>
      <c r="X253" s="9">
        <f>IF(Table1[[#This Row], [PASS/FAIL]]="FAIL",0,Table1[[#This Row], [PROFIT]])</f>
        <v>9977883.1999999993</v>
      </c>
    </row>
    <row r="254" spans="1:24" ht="19.5" customHeight="1" x14ac:dyDescent="0.45">
      <c r="A254" t="s">
        <v>9</v>
      </c>
      <c r="B254" s="14">
        <f>_xlfn.XLOOKUP(Table1[[#This Row], [TEAM]],Sheet1!$A$12:$A$17,Sheet1!$F$12:$F$17)</f>
        <v>3</v>
      </c>
      <c r="C254" s="14">
        <f>_xlfn.XLOOKUP(Table1[[#This Row], [TEAM]],Sheet1!$A$12:$A$17,Sheet1!$G$12:$G$17)</f>
        <v>6238750</v>
      </c>
      <c r="D254" t="s">
        <v>18</v>
      </c>
      <c r="E254" s="4">
        <f>_xlfn.XLOOKUP(Table1[[#This Row], [ROOM]],Sheet1!$A$47:$A$66,Sheet1!$B$47:$B$66)</f>
        <v>134</v>
      </c>
      <c r="F254" t="s">
        <v>58</v>
      </c>
      <c r="G254" s="4">
        <f>_xlfn.XLOOKUP(Table1[[#This Row], [DISGUISE]],Sheet1!$A$21:$A$23,Sheet1!$B$21:$B$23)*Table1[[#This Row], [NUM OF MEM]]*(1+_xlfn.XLOOKUP(Table1[[#This Row], [DISGUISE]],Sheet1!$A$21:$A$23,Sheet1!$C$21:$C$23))</f>
        <v>38400</v>
      </c>
      <c r="H254" s="13" t="s">
        <v>63</v>
      </c>
      <c r="I254" s="4">
        <f>_xlfn.XLOOKUP(Table1[[#This Row], [WEAPON]],Sheet1!$A$27:$A$29,Sheet1!$B$27:$B$29)*Table1[[#This Row], [NUM OF MEM]]*(1+_xlfn.XLOOKUP(Table1[[#This Row], [WEAPON]],Sheet1!$A$27:$A$29,Sheet1!$C$27:$C$29))</f>
        <v>69000</v>
      </c>
      <c r="J254" t="s">
        <v>64</v>
      </c>
      <c r="K254" s="9">
        <f>Table1[[#This Row], [NUM OF MEM]]*Table1[[#This Row], [TOTAL TIME TAKEN]]*_xlfn.XLOOKUP(Table1[[#This Row], [EXIT]],Sheet1!$A$70:$A$71,Sheet1!$B$70:$B$71)*(1+_xlfn.XLOOKUP(Table1[[#This Row], [EXIT]],Sheet1!$A$70:$A$71,Sheet1!$C$70:$C$71))</f>
        <v>1726423.1999999997</v>
      </c>
      <c r="L254" s="13" t="s">
        <v>61</v>
      </c>
      <c r="M254" s="4">
        <f>IF(Table1[[#This Row], [EQUIPMENT]]="YES",Sheet1!$C$44*(1+Sheet1!$D$44),0)</f>
        <v>0</v>
      </c>
      <c r="N254" s="4">
        <f>_xlfn.XLOOKUP(Table1[[#This Row], [ROOM]],Sheet1!$A$47:$A$66,Sheet1!$F$47:$F$66)</f>
        <v>18050000</v>
      </c>
      <c r="O254" s="9">
        <f>_xlfn.XLOOKUP(_xlfn.CONCAT(Table1[[#This Row], [TEAM]],Table1[[#This Row], [ROOM]]),'ROOM TIME'!$H$2:$H$121,'ROOM TIME'!$J$2:$J$121)</f>
        <v>39.003888888888881</v>
      </c>
      <c r="P254" s="9">
        <f>(INDEX(Sheet1!$X$48:$Z$67,MATCH(Table1[[#This Row], [ROOM]],Sheet1!$P$48:$P$67,0),MATCH(Table1[[#This Row], [WEAPON]],Sheet1!$X$47:$Z$47,0)))/Table1[[#This Row], [NUM OF MEM]]</f>
        <v>5.4000000000000012</v>
      </c>
      <c r="Q254" s="9">
        <f>Table1[[#This Row], [ROOM TIME]]+Table1[[#This Row], [GUARD TIME]]</f>
        <v>44.403888888888879</v>
      </c>
      <c r="R254" s="4">
        <f>Sheet1!$K$3*_xlfn.XLOOKUP(Table1[[#This Row], [DISGUISE]],Sheet1!$A$21:$A$23,Sheet1!$D$21:$D$23)</f>
        <v>69</v>
      </c>
      <c r="S254" s="9">
        <f>Table1[[#This Row], [TOTAL TIME]]-Table1[[#This Row], [TOTAL TIME TAKEN]]</f>
        <v>24.596111111111121</v>
      </c>
      <c r="T254" t="str">
        <f>IF(Table1[[#This Row], [TIME DIFFERENCE]]&gt;=0,"PASS","FAIL")</f>
        <v>PASS</v>
      </c>
      <c r="U254" s="9">
        <f>Table1[[#This Row], [TRC]]+Table1[[#This Row], [DRC]]+Table1[[#This Row], [WRC]]+Table1[[#This Row], [ERC]]+Table1[[#This Row], [EQRC]]</f>
        <v>8072573.1999999993</v>
      </c>
      <c r="V254" s="9">
        <f>Table1[[#This Row], [TOTAL COST]]+_xlfn.XLOOKUP(Table1[[#This Row], [TEAM]],Sheet1!$A$12:$A$17,Sheet1!$I$12:$I$17)</f>
        <v>8384510.6999999993</v>
      </c>
      <c r="W254" s="9">
        <f>Table1[[#This Row], [LOOT]]-Table1[[#This Row], [TOTAL COST]]</f>
        <v>9977426.8000000007</v>
      </c>
      <c r="X254" s="9">
        <f>IF(Table1[[#This Row], [PASS/FAIL]]="FAIL",0,Table1[[#This Row], [PROFIT]])</f>
        <v>9977426.8000000007</v>
      </c>
    </row>
    <row r="255" spans="1:24" ht="19.5" customHeight="1" x14ac:dyDescent="0.45">
      <c r="A255" t="s">
        <v>9</v>
      </c>
      <c r="B255" s="14">
        <f>_xlfn.XLOOKUP(Table1[[#This Row], [TEAM]],Sheet1!$A$12:$A$17,Sheet1!$F$12:$F$17)</f>
        <v>3</v>
      </c>
      <c r="C255" s="14">
        <f>_xlfn.XLOOKUP(Table1[[#This Row], [TEAM]],Sheet1!$A$12:$A$17,Sheet1!$G$12:$G$17)</f>
        <v>6238750</v>
      </c>
      <c r="D255" t="s">
        <v>18</v>
      </c>
      <c r="E255" s="4">
        <f>_xlfn.XLOOKUP(Table1[[#This Row], [ROOM]],Sheet1!$A$47:$A$66,Sheet1!$B$47:$B$66)</f>
        <v>134</v>
      </c>
      <c r="F255" t="s">
        <v>62</v>
      </c>
      <c r="G255" s="4">
        <f>_xlfn.XLOOKUP(Table1[[#This Row], [DISGUISE]],Sheet1!$A$21:$A$23,Sheet1!$B$21:$B$23)*Table1[[#This Row], [NUM OF MEM]]*(1+_xlfn.XLOOKUP(Table1[[#This Row], [DISGUISE]],Sheet1!$A$21:$A$23,Sheet1!$C$21:$C$23))</f>
        <v>15600</v>
      </c>
      <c r="H255" s="13" t="s">
        <v>66</v>
      </c>
      <c r="I255" s="4">
        <f>_xlfn.XLOOKUP(Table1[[#This Row], [WEAPON]],Sheet1!$A$27:$A$29,Sheet1!$B$27:$B$29)*Table1[[#This Row], [NUM OF MEM]]*(1+_xlfn.XLOOKUP(Table1[[#This Row], [WEAPON]],Sheet1!$A$27:$A$29,Sheet1!$C$27:$C$29))</f>
        <v>108000</v>
      </c>
      <c r="J255" t="s">
        <v>64</v>
      </c>
      <c r="K255" s="9">
        <f>Table1[[#This Row], [NUM OF MEM]]*Table1[[#This Row], [TOTAL TIME TAKEN]]*_xlfn.XLOOKUP(Table1[[#This Row], [EXIT]],Sheet1!$A$70:$A$71,Sheet1!$B$70:$B$71)*(1+_xlfn.XLOOKUP(Table1[[#This Row], [EXIT]],Sheet1!$A$70:$A$71,Sheet1!$C$70:$C$71))</f>
        <v>1710871.2</v>
      </c>
      <c r="L255" s="13" t="s">
        <v>61</v>
      </c>
      <c r="M255" s="4">
        <f>IF(Table1[[#This Row], [EQUIPMENT]]="YES",Sheet1!$C$44*(1+Sheet1!$D$44),0)</f>
        <v>0</v>
      </c>
      <c r="N255" s="4">
        <f>_xlfn.XLOOKUP(Table1[[#This Row], [ROOM]],Sheet1!$A$47:$A$66,Sheet1!$F$47:$F$66)</f>
        <v>18050000</v>
      </c>
      <c r="O255" s="9">
        <f>_xlfn.XLOOKUP(_xlfn.CONCAT(Table1[[#This Row], [TEAM]],Table1[[#This Row], [ROOM]]),'ROOM TIME'!$H$2:$H$121,'ROOM TIME'!$J$2:$J$121)</f>
        <v>39.003888888888881</v>
      </c>
      <c r="P255" s="4">
        <f>(INDEX(Sheet1!$X$48:$Z$67,MATCH(Table1[[#This Row], [ROOM]],Sheet1!$P$48:$P$67,0),MATCH(Table1[[#This Row], [WEAPON]],Sheet1!$X$47:$Z$47,0)))/Table1[[#This Row], [NUM OF MEM]]</f>
        <v>5</v>
      </c>
      <c r="Q255" s="9">
        <f>Table1[[#This Row], [ROOM TIME]]+Table1[[#This Row], [GUARD TIME]]</f>
        <v>44.003888888888881</v>
      </c>
      <c r="R255" s="4">
        <f>Sheet1!$K$3*_xlfn.XLOOKUP(Table1[[#This Row], [DISGUISE]],Sheet1!$A$21:$A$23,Sheet1!$D$21:$D$23)</f>
        <v>66</v>
      </c>
      <c r="S255" s="9">
        <f>Table1[[#This Row], [TOTAL TIME]]-Table1[[#This Row], [TOTAL TIME TAKEN]]</f>
        <v>21.996111111111119</v>
      </c>
      <c r="T255" t="str">
        <f>IF(Table1[[#This Row], [TIME DIFFERENCE]]&gt;=0,"PASS","FAIL")</f>
        <v>PASS</v>
      </c>
      <c r="U255" s="9">
        <f>Table1[[#This Row], [TRC]]+Table1[[#This Row], [DRC]]+Table1[[#This Row], [WRC]]+Table1[[#This Row], [ERC]]+Table1[[#This Row], [EQRC]]</f>
        <v>8073221.2000000002</v>
      </c>
      <c r="V255" s="9">
        <f>Table1[[#This Row], [TOTAL COST]]+_xlfn.XLOOKUP(Table1[[#This Row], [TEAM]],Sheet1!$A$12:$A$17,Sheet1!$I$12:$I$17)</f>
        <v>8385158.7000000002</v>
      </c>
      <c r="W255" s="9">
        <f>Table1[[#This Row], [LOOT]]-Table1[[#This Row], [TOTAL COST]]</f>
        <v>9976778.8000000007</v>
      </c>
      <c r="X255" s="9">
        <f>IF(Table1[[#This Row], [PASS/FAIL]]="FAIL",0,Table1[[#This Row], [PROFIT]])</f>
        <v>9976778.8000000007</v>
      </c>
    </row>
    <row r="256" spans="1:24" ht="19.5" customHeight="1" x14ac:dyDescent="0.45">
      <c r="A256" t="s">
        <v>12</v>
      </c>
      <c r="B256" s="14">
        <f>_xlfn.XLOOKUP(Table1[[#This Row], [TEAM]],Sheet1!$A$12:$A$17,Sheet1!$F$12:$F$17)</f>
        <v>3</v>
      </c>
      <c r="C256" s="14">
        <f>_xlfn.XLOOKUP(Table1[[#This Row], [TEAM]],Sheet1!$A$12:$A$17,Sheet1!$G$12:$G$17)</f>
        <v>5988750</v>
      </c>
      <c r="D256" t="s">
        <v>33</v>
      </c>
      <c r="E256" s="4">
        <f>_xlfn.XLOOKUP(Table1[[#This Row], [ROOM]],Sheet1!$A$47:$A$66,Sheet1!$B$47:$B$66)</f>
        <v>356</v>
      </c>
      <c r="F256" t="s">
        <v>58</v>
      </c>
      <c r="G256" s="4">
        <f>_xlfn.XLOOKUP(Table1[[#This Row], [DISGUISE]],Sheet1!$A$21:$A$23,Sheet1!$B$21:$B$23)*Table1[[#This Row], [NUM OF MEM]]*(1+_xlfn.XLOOKUP(Table1[[#This Row], [DISGUISE]],Sheet1!$A$21:$A$23,Sheet1!$C$21:$C$23))</f>
        <v>38400</v>
      </c>
      <c r="H256" s="13" t="s">
        <v>59</v>
      </c>
      <c r="I256" s="4">
        <f>_xlfn.XLOOKUP(Table1[[#This Row], [WEAPON]],Sheet1!$A$27:$A$29,Sheet1!$B$27:$B$29)*Table1[[#This Row], [NUM OF MEM]]*(1+_xlfn.XLOOKUP(Table1[[#This Row], [WEAPON]],Sheet1!$A$27:$A$29,Sheet1!$C$27:$C$29))</f>
        <v>136500</v>
      </c>
      <c r="J256" t="s">
        <v>60</v>
      </c>
      <c r="K256" s="9">
        <f>Table1[[#This Row], [NUM OF MEM]]*Table1[[#This Row], [TOTAL TIME TAKEN]]*_xlfn.XLOOKUP(Table1[[#This Row], [EXIT]],Sheet1!$A$70:$A$71,Sheet1!$B$70:$B$71)*(1+_xlfn.XLOOKUP(Table1[[#This Row], [EXIT]],Sheet1!$A$70:$A$71,Sheet1!$C$70:$C$71))</f>
        <v>1652740.4499999997</v>
      </c>
      <c r="L256" s="13" t="s">
        <v>65</v>
      </c>
      <c r="M256" s="4">
        <f>IF(Table1[[#This Row], [EQUIPMENT]]="YES",Sheet1!$C$44*(1+Sheet1!$D$44),0)</f>
        <v>307500</v>
      </c>
      <c r="N256" s="4">
        <f>_xlfn.XLOOKUP(Table1[[#This Row], [ROOM]],Sheet1!$A$47:$A$66,Sheet1!$F$47:$F$66)</f>
        <v>18100000</v>
      </c>
      <c r="O256" s="9">
        <f>_xlfn.XLOOKUP(_xlfn.CONCAT(Table1[[#This Row], [TEAM]],Table1[[#This Row], [ROOM]]),'ROOM TIME'!$H$2:$H$121,'ROOM TIME'!$J$2:$J$121)</f>
        <v>38.331111111111092</v>
      </c>
      <c r="P256" s="9">
        <f>(INDEX(Sheet1!$X$48:$Z$67,MATCH(Table1[[#This Row], [ROOM]],Sheet1!$P$48:$P$67,0),MATCH(Table1[[#This Row], [WEAPON]],Sheet1!$X$47:$Z$47,0)))/Table1[[#This Row], [NUM OF MEM]]</f>
        <v>4.5999999999999996</v>
      </c>
      <c r="Q256" s="9">
        <f>Table1[[#This Row], [ROOM TIME]]+Table1[[#This Row], [GUARD TIME]]</f>
        <v>42.931111111111093</v>
      </c>
      <c r="R256" s="4">
        <f>Sheet1!$K$3*_xlfn.XLOOKUP(Table1[[#This Row], [DISGUISE]],Sheet1!$A$21:$A$23,Sheet1!$D$21:$D$23)</f>
        <v>69</v>
      </c>
      <c r="S256" s="9">
        <f>Table1[[#This Row], [TOTAL TIME]]-Table1[[#This Row], [TOTAL TIME TAKEN]]</f>
        <v>26.068888888888907</v>
      </c>
      <c r="T256" t="str">
        <f>IF(Table1[[#This Row], [TIME DIFFERENCE]]&gt;=0,"PASS","FAIL")</f>
        <v>PASS</v>
      </c>
      <c r="U256" s="9">
        <f>Table1[[#This Row], [TRC]]+Table1[[#This Row], [DRC]]+Table1[[#This Row], [WRC]]+Table1[[#This Row], [ERC]]+Table1[[#This Row], [EQRC]]</f>
        <v>8123890.4499999993</v>
      </c>
      <c r="V256" s="9">
        <f>Table1[[#This Row], [TOTAL COST]]+_xlfn.XLOOKUP(Table1[[#This Row], [TEAM]],Sheet1!$A$12:$A$17,Sheet1!$I$12:$I$17)</f>
        <v>8423327.9499999993</v>
      </c>
      <c r="W256" s="9">
        <f>Table1[[#This Row], [LOOT]]-Table1[[#This Row], [TOTAL COST]]</f>
        <v>9976109.5500000007</v>
      </c>
      <c r="X256" s="9">
        <f>IF(Table1[[#This Row], [PASS/FAIL]]="FAIL",0,Table1[[#This Row], [PROFIT]])</f>
        <v>9976109.5500000007</v>
      </c>
    </row>
    <row r="257" spans="1:24" ht="19.5" customHeight="1" x14ac:dyDescent="0.45">
      <c r="A257" t="s">
        <v>12</v>
      </c>
      <c r="B257" s="14">
        <f>_xlfn.XLOOKUP(Table1[[#This Row], [TEAM]],Sheet1!$A$12:$A$17,Sheet1!$F$12:$F$17)</f>
        <v>3</v>
      </c>
      <c r="C257" s="14">
        <f>_xlfn.XLOOKUP(Table1[[#This Row], [TEAM]],Sheet1!$A$12:$A$17,Sheet1!$G$12:$G$17)</f>
        <v>5988750</v>
      </c>
      <c r="D257" t="s">
        <v>21</v>
      </c>
      <c r="E257" s="4">
        <f>_xlfn.XLOOKUP(Table1[[#This Row], [ROOM]],Sheet1!$A$47:$A$66,Sheet1!$B$47:$B$66)</f>
        <v>234</v>
      </c>
      <c r="F257" t="s">
        <v>62</v>
      </c>
      <c r="G257" s="4">
        <f>_xlfn.XLOOKUP(Table1[[#This Row], [DISGUISE]],Sheet1!$A$21:$A$23,Sheet1!$B$21:$B$23)*Table1[[#This Row], [NUM OF MEM]]*(1+_xlfn.XLOOKUP(Table1[[#This Row], [DISGUISE]],Sheet1!$A$21:$A$23,Sheet1!$C$21:$C$23))</f>
        <v>15600</v>
      </c>
      <c r="H257" s="13" t="s">
        <v>63</v>
      </c>
      <c r="I257" s="4">
        <f>_xlfn.XLOOKUP(Table1[[#This Row], [WEAPON]],Sheet1!$A$27:$A$29,Sheet1!$B$27:$B$29)*Table1[[#This Row], [NUM OF MEM]]*(1+_xlfn.XLOOKUP(Table1[[#This Row], [WEAPON]],Sheet1!$A$27:$A$29,Sheet1!$C$27:$C$29))</f>
        <v>69000</v>
      </c>
      <c r="J257" t="s">
        <v>64</v>
      </c>
      <c r="K257" s="9">
        <f>Table1[[#This Row], [NUM OF MEM]]*Table1[[#This Row], [TOTAL TIME TAKEN]]*_xlfn.XLOOKUP(Table1[[#This Row], [EXIT]],Sheet1!$A$70:$A$71,Sheet1!$B$70:$B$71)*(1+_xlfn.XLOOKUP(Table1[[#This Row], [EXIT]],Sheet1!$A$70:$A$71,Sheet1!$C$70:$C$71))</f>
        <v>1850644.7999999993</v>
      </c>
      <c r="L257" s="13" t="s">
        <v>61</v>
      </c>
      <c r="M257" s="4">
        <f>IF(Table1[[#This Row], [EQUIPMENT]]="YES",Sheet1!$C$44*(1+Sheet1!$D$44),0)</f>
        <v>0</v>
      </c>
      <c r="N257" s="4">
        <f>_xlfn.XLOOKUP(Table1[[#This Row], [ROOM]],Sheet1!$A$47:$A$66,Sheet1!$F$47:$F$66)</f>
        <v>17900000</v>
      </c>
      <c r="O257" s="9">
        <f>_xlfn.XLOOKUP(_xlfn.CONCAT(Table1[[#This Row], [TEAM]],Table1[[#This Row], [ROOM]]),'ROOM TIME'!$H$2:$H$121,'ROOM TIME'!$J$2:$J$121)</f>
        <v>41.748888888888878</v>
      </c>
      <c r="P257" s="9">
        <f>(INDEX(Sheet1!$X$48:$Z$67,MATCH(Table1[[#This Row], [ROOM]],Sheet1!$P$48:$P$67,0),MATCH(Table1[[#This Row], [WEAPON]],Sheet1!$X$47:$Z$47,0)))/Table1[[#This Row], [NUM OF MEM]]</f>
        <v>5.8500000000000005</v>
      </c>
      <c r="Q257" s="9">
        <f>Table1[[#This Row], [ROOM TIME]]+Table1[[#This Row], [GUARD TIME]]</f>
        <v>47.598888888888879</v>
      </c>
      <c r="R257" s="4">
        <f>Sheet1!$K$3*_xlfn.XLOOKUP(Table1[[#This Row], [DISGUISE]],Sheet1!$A$21:$A$23,Sheet1!$D$21:$D$23)</f>
        <v>66</v>
      </c>
      <c r="S257" s="9">
        <f>Table1[[#This Row], [TOTAL TIME]]-Table1[[#This Row], [TOTAL TIME TAKEN]]</f>
        <v>18.401111111111121</v>
      </c>
      <c r="T257" t="str">
        <f>IF(Table1[[#This Row], [TIME DIFFERENCE]]&gt;=0,"PASS","FAIL")</f>
        <v>PASS</v>
      </c>
      <c r="U257" s="9">
        <f>Table1[[#This Row], [TRC]]+Table1[[#This Row], [DRC]]+Table1[[#This Row], [WRC]]+Table1[[#This Row], [ERC]]+Table1[[#This Row], [EQRC]]</f>
        <v>7923994.7999999989</v>
      </c>
      <c r="V257" s="9">
        <f>Table1[[#This Row], [TOTAL COST]]+_xlfn.XLOOKUP(Table1[[#This Row], [TEAM]],Sheet1!$A$12:$A$17,Sheet1!$I$12:$I$17)</f>
        <v>8223432.2999999989</v>
      </c>
      <c r="W257" s="9">
        <f>Table1[[#This Row], [LOOT]]-Table1[[#This Row], [TOTAL COST]]</f>
        <v>9976005.2000000011</v>
      </c>
      <c r="X257" s="9">
        <f>IF(Table1[[#This Row], [PASS/FAIL]]="FAIL",0,Table1[[#This Row], [PROFIT]])</f>
        <v>9976005.2000000011</v>
      </c>
    </row>
    <row r="258" spans="1:24" ht="19.5" customHeight="1" x14ac:dyDescent="0.45">
      <c r="A258" t="s">
        <v>16</v>
      </c>
      <c r="B258" s="14">
        <f>_xlfn.XLOOKUP(Table1[[#This Row], [TEAM]],Sheet1!$A$12:$A$17,Sheet1!$F$12:$F$17)</f>
        <v>2</v>
      </c>
      <c r="C258" s="14">
        <f>_xlfn.XLOOKUP(Table1[[#This Row], [TEAM]],Sheet1!$A$12:$A$17,Sheet1!$G$12:$G$17)</f>
        <v>6082800</v>
      </c>
      <c r="D258" t="s">
        <v>33</v>
      </c>
      <c r="E258" s="4">
        <f>_xlfn.XLOOKUP(Table1[[#This Row], [ROOM]],Sheet1!$A$47:$A$66,Sheet1!$B$47:$B$66)</f>
        <v>356</v>
      </c>
      <c r="F258" t="s">
        <v>62</v>
      </c>
      <c r="G258" s="4">
        <f>_xlfn.XLOOKUP(Table1[[#This Row], [DISGUISE]],Sheet1!$A$21:$A$23,Sheet1!$B$21:$B$23)*Table1[[#This Row], [NUM OF MEM]]*(1+_xlfn.XLOOKUP(Table1[[#This Row], [DISGUISE]],Sheet1!$A$21:$A$23,Sheet1!$C$21:$C$23))</f>
        <v>10400</v>
      </c>
      <c r="H258" s="13" t="s">
        <v>59</v>
      </c>
      <c r="I258" s="4">
        <f>_xlfn.XLOOKUP(Table1[[#This Row], [WEAPON]],Sheet1!$A$27:$A$29,Sheet1!$B$27:$B$29)*Table1[[#This Row], [NUM OF MEM]]*(1+_xlfn.XLOOKUP(Table1[[#This Row], [WEAPON]],Sheet1!$A$27:$A$29,Sheet1!$C$27:$C$29))</f>
        <v>91000</v>
      </c>
      <c r="J258" t="s">
        <v>60</v>
      </c>
      <c r="K258" s="9">
        <f>Table1[[#This Row], [NUM OF MEM]]*Table1[[#This Row], [TOTAL TIME TAKEN]]*_xlfn.XLOOKUP(Table1[[#This Row], [EXIT]],Sheet1!$A$70:$A$71,Sheet1!$B$70:$B$71)*(1+_xlfn.XLOOKUP(Table1[[#This Row], [EXIT]],Sheet1!$A$70:$A$71,Sheet1!$C$70:$C$71))</f>
        <v>1633288.5187499996</v>
      </c>
      <c r="L258" s="13" t="s">
        <v>65</v>
      </c>
      <c r="M258" s="4">
        <f>IF(Table1[[#This Row], [EQUIPMENT]]="YES",Sheet1!$C$44*(1+Sheet1!$D$44),0)</f>
        <v>307500</v>
      </c>
      <c r="N258" s="4">
        <f>_xlfn.XLOOKUP(Table1[[#This Row], [ROOM]],Sheet1!$A$47:$A$66,Sheet1!$F$47:$F$66)</f>
        <v>18100000</v>
      </c>
      <c r="O258" s="9">
        <f>_xlfn.XLOOKUP(_xlfn.CONCAT(Table1[[#This Row], [TEAM]],Table1[[#This Row], [ROOM]]),'ROOM TIME'!$H$2:$H$121,'ROOM TIME'!$J$2:$J$121)</f>
        <v>56.738749999999982</v>
      </c>
      <c r="P258" s="9">
        <f>(INDEX(Sheet1!$X$48:$Z$67,MATCH(Table1[[#This Row], [ROOM]],Sheet1!$P$48:$P$67,0),MATCH(Table1[[#This Row], [WEAPON]],Sheet1!$X$47:$Z$47,0)))/Table1[[#This Row], [NUM OF MEM]]</f>
        <v>6.8999999999999995</v>
      </c>
      <c r="Q258" s="9">
        <f>Table1[[#This Row], [ROOM TIME]]+Table1[[#This Row], [GUARD TIME]]</f>
        <v>63.63874999999998</v>
      </c>
      <c r="R258" s="4">
        <f>Sheet1!$K$3*_xlfn.XLOOKUP(Table1[[#This Row], [DISGUISE]],Sheet1!$A$21:$A$23,Sheet1!$D$21:$D$23)</f>
        <v>66</v>
      </c>
      <c r="S258" s="9">
        <f>Table1[[#This Row], [TOTAL TIME]]-Table1[[#This Row], [TOTAL TIME TAKEN]]</f>
        <v>2.3612500000000196</v>
      </c>
      <c r="T258" t="str">
        <f>IF(Table1[[#This Row], [TIME DIFFERENCE]]&gt;=0,"PASS","FAIL")</f>
        <v>PASS</v>
      </c>
      <c r="U258" s="9">
        <f>Table1[[#This Row], [TRC]]+Table1[[#This Row], [DRC]]+Table1[[#This Row], [WRC]]+Table1[[#This Row], [ERC]]+Table1[[#This Row], [EQRC]]</f>
        <v>8124988.5187499998</v>
      </c>
      <c r="V258" s="9">
        <f>Table1[[#This Row], [TOTAL COST]]+_xlfn.XLOOKUP(Table1[[#This Row], [TEAM]],Sheet1!$A$12:$A$17,Sheet1!$I$12:$I$17)</f>
        <v>8429128.5187500007</v>
      </c>
      <c r="W258" s="9">
        <f>Table1[[#This Row], [LOOT]]-Table1[[#This Row], [TOTAL COST]]</f>
        <v>9975011.4812499993</v>
      </c>
      <c r="X258" s="9">
        <f>IF(Table1[[#This Row], [PASS/FAIL]]="FAIL",0,Table1[[#This Row], [PROFIT]])</f>
        <v>9975011.4812499993</v>
      </c>
    </row>
    <row r="259" spans="1:24" ht="19.5" customHeight="1" x14ac:dyDescent="0.45">
      <c r="A259" t="s">
        <v>16</v>
      </c>
      <c r="B259" s="14">
        <f>_xlfn.XLOOKUP(Table1[[#This Row], [TEAM]],Sheet1!$A$12:$A$17,Sheet1!$F$12:$F$17)</f>
        <v>2</v>
      </c>
      <c r="C259" s="14">
        <f>_xlfn.XLOOKUP(Table1[[#This Row], [TEAM]],Sheet1!$A$12:$A$17,Sheet1!$G$12:$G$17)</f>
        <v>6082800</v>
      </c>
      <c r="D259" t="s">
        <v>33</v>
      </c>
      <c r="E259" s="4">
        <f>_xlfn.XLOOKUP(Table1[[#This Row], [ROOM]],Sheet1!$A$47:$A$66,Sheet1!$B$47:$B$66)</f>
        <v>356</v>
      </c>
      <c r="F259" t="s">
        <v>58</v>
      </c>
      <c r="G259" s="4">
        <f>_xlfn.XLOOKUP(Table1[[#This Row], [DISGUISE]],Sheet1!$A$21:$A$23,Sheet1!$B$21:$B$23)*Table1[[#This Row], [NUM OF MEM]]*(1+_xlfn.XLOOKUP(Table1[[#This Row], [DISGUISE]],Sheet1!$A$21:$A$23,Sheet1!$C$21:$C$23))</f>
        <v>25600</v>
      </c>
      <c r="H259" s="13" t="s">
        <v>63</v>
      </c>
      <c r="I259" s="4">
        <f>_xlfn.XLOOKUP(Table1[[#This Row], [WEAPON]],Sheet1!$A$27:$A$29,Sheet1!$B$27:$B$29)*Table1[[#This Row], [NUM OF MEM]]*(1+_xlfn.XLOOKUP(Table1[[#This Row], [WEAPON]],Sheet1!$A$27:$A$29,Sheet1!$C$27:$C$29))</f>
        <v>46000</v>
      </c>
      <c r="J259" t="s">
        <v>60</v>
      </c>
      <c r="K259" s="9">
        <f>Table1[[#This Row], [NUM OF MEM]]*Table1[[#This Row], [TOTAL TIME TAKEN]]*_xlfn.XLOOKUP(Table1[[#This Row], [EXIT]],Sheet1!$A$70:$A$71,Sheet1!$B$70:$B$71)*(1+_xlfn.XLOOKUP(Table1[[#This Row], [EXIT]],Sheet1!$A$70:$A$71,Sheet1!$C$70:$C$71))</f>
        <v>1664086.5187499993</v>
      </c>
      <c r="L259" s="13" t="s">
        <v>65</v>
      </c>
      <c r="M259" s="4">
        <f>IF(Table1[[#This Row], [EQUIPMENT]]="YES",Sheet1!$C$44*(1+Sheet1!$D$44),0)</f>
        <v>307500</v>
      </c>
      <c r="N259" s="4">
        <f>_xlfn.XLOOKUP(Table1[[#This Row], [ROOM]],Sheet1!$A$47:$A$66,Sheet1!$F$47:$F$66)</f>
        <v>18100000</v>
      </c>
      <c r="O259" s="9">
        <f>_xlfn.XLOOKUP(_xlfn.CONCAT(Table1[[#This Row], [TEAM]],Table1[[#This Row], [ROOM]]),'ROOM TIME'!$H$2:$H$121,'ROOM TIME'!$J$2:$J$121)</f>
        <v>56.738749999999982</v>
      </c>
      <c r="P259" s="9">
        <f>(INDEX(Sheet1!$X$48:$Z$67,MATCH(Table1[[#This Row], [ROOM]],Sheet1!$P$48:$P$67,0),MATCH(Table1[[#This Row], [WEAPON]],Sheet1!$X$47:$Z$47,0)))/Table1[[#This Row], [NUM OF MEM]]</f>
        <v>8.1000000000000014</v>
      </c>
      <c r="Q259" s="9">
        <f>Table1[[#This Row], [ROOM TIME]]+Table1[[#This Row], [GUARD TIME]]</f>
        <v>64.838749999999976</v>
      </c>
      <c r="R259" s="4">
        <f>Sheet1!$K$3*_xlfn.XLOOKUP(Table1[[#This Row], [DISGUISE]],Sheet1!$A$21:$A$23,Sheet1!$D$21:$D$23)</f>
        <v>69</v>
      </c>
      <c r="S259" s="9">
        <f>Table1[[#This Row], [TOTAL TIME]]-Table1[[#This Row], [TOTAL TIME TAKEN]]</f>
        <v>4.1612500000000239</v>
      </c>
      <c r="T259" t="str">
        <f>IF(Table1[[#This Row], [TIME DIFFERENCE]]&gt;=0,"PASS","FAIL")</f>
        <v>PASS</v>
      </c>
      <c r="U259" s="9">
        <f>Table1[[#This Row], [TRC]]+Table1[[#This Row], [DRC]]+Table1[[#This Row], [WRC]]+Table1[[#This Row], [ERC]]+Table1[[#This Row], [EQRC]]</f>
        <v>8125986.5187499989</v>
      </c>
      <c r="V259" s="9">
        <f>Table1[[#This Row], [TOTAL COST]]+_xlfn.XLOOKUP(Table1[[#This Row], [TEAM]],Sheet1!$A$12:$A$17,Sheet1!$I$12:$I$17)</f>
        <v>8430126.5187499989</v>
      </c>
      <c r="W259" s="9">
        <f>Table1[[#This Row], [LOOT]]-Table1[[#This Row], [TOTAL COST]]</f>
        <v>9974013.4812500011</v>
      </c>
      <c r="X259" s="9">
        <f>IF(Table1[[#This Row], [PASS/FAIL]]="FAIL",0,Table1[[#This Row], [PROFIT]])</f>
        <v>9974013.4812500011</v>
      </c>
    </row>
    <row r="260" spans="1:24" ht="19.5" customHeight="1" x14ac:dyDescent="0.45">
      <c r="A260" t="s">
        <v>16</v>
      </c>
      <c r="B260" s="14">
        <f>_xlfn.XLOOKUP(Table1[[#This Row], [TEAM]],Sheet1!$A$12:$A$17,Sheet1!$F$12:$F$17)</f>
        <v>2</v>
      </c>
      <c r="C260" s="14">
        <f>_xlfn.XLOOKUP(Table1[[#This Row], [TEAM]],Sheet1!$A$12:$A$17,Sheet1!$G$12:$G$17)</f>
        <v>6082800</v>
      </c>
      <c r="D260" t="s">
        <v>33</v>
      </c>
      <c r="E260" s="4">
        <f>_xlfn.XLOOKUP(Table1[[#This Row], [ROOM]],Sheet1!$A$47:$A$66,Sheet1!$B$47:$B$66)</f>
        <v>356</v>
      </c>
      <c r="F260" t="s">
        <v>62</v>
      </c>
      <c r="G260" s="4">
        <f>_xlfn.XLOOKUP(Table1[[#This Row], [DISGUISE]],Sheet1!$A$21:$A$23,Sheet1!$B$21:$B$23)*Table1[[#This Row], [NUM OF MEM]]*(1+_xlfn.XLOOKUP(Table1[[#This Row], [DISGUISE]],Sheet1!$A$21:$A$23,Sheet1!$C$21:$C$23))</f>
        <v>10400</v>
      </c>
      <c r="H260" s="13" t="s">
        <v>63</v>
      </c>
      <c r="I260" s="4">
        <f>_xlfn.XLOOKUP(Table1[[#This Row], [WEAPON]],Sheet1!$A$27:$A$29,Sheet1!$B$27:$B$29)*Table1[[#This Row], [NUM OF MEM]]*(1+_xlfn.XLOOKUP(Table1[[#This Row], [WEAPON]],Sheet1!$A$27:$A$29,Sheet1!$C$27:$C$29))</f>
        <v>46000</v>
      </c>
      <c r="J260" t="s">
        <v>64</v>
      </c>
      <c r="K260" s="9">
        <f>Table1[[#This Row], [NUM OF MEM]]*Table1[[#This Row], [TOTAL TIME TAKEN]]*_xlfn.XLOOKUP(Table1[[#This Row], [EXIT]],Sheet1!$A$70:$A$71,Sheet1!$B$70:$B$71)*(1+_xlfn.XLOOKUP(Table1[[#This Row], [EXIT]],Sheet1!$A$70:$A$71,Sheet1!$C$70:$C$71))</f>
        <v>1680620.3999999994</v>
      </c>
      <c r="L260" s="13" t="s">
        <v>65</v>
      </c>
      <c r="M260" s="4">
        <f>IF(Table1[[#This Row], [EQUIPMENT]]="YES",Sheet1!$C$44*(1+Sheet1!$D$44),0)</f>
        <v>307500</v>
      </c>
      <c r="N260" s="4">
        <f>_xlfn.XLOOKUP(Table1[[#This Row], [ROOM]],Sheet1!$A$47:$A$66,Sheet1!$F$47:$F$66)</f>
        <v>18100000</v>
      </c>
      <c r="O260" s="9">
        <f>_xlfn.XLOOKUP(_xlfn.CONCAT(Table1[[#This Row], [TEAM]],Table1[[#This Row], [ROOM]]),'ROOM TIME'!$H$2:$H$121,'ROOM TIME'!$J$2:$J$121)</f>
        <v>56.738749999999982</v>
      </c>
      <c r="P260" s="9">
        <f>(INDEX(Sheet1!$X$48:$Z$67,MATCH(Table1[[#This Row], [ROOM]],Sheet1!$P$48:$P$67,0),MATCH(Table1[[#This Row], [WEAPON]],Sheet1!$X$47:$Z$47,0)))/Table1[[#This Row], [NUM OF MEM]]</f>
        <v>8.1000000000000014</v>
      </c>
      <c r="Q260" s="9">
        <f>Table1[[#This Row], [ROOM TIME]]+Table1[[#This Row], [GUARD TIME]]</f>
        <v>64.838749999999976</v>
      </c>
      <c r="R260" s="4">
        <f>Sheet1!$K$3*_xlfn.XLOOKUP(Table1[[#This Row], [DISGUISE]],Sheet1!$A$21:$A$23,Sheet1!$D$21:$D$23)</f>
        <v>66</v>
      </c>
      <c r="S260" s="9">
        <f>Table1[[#This Row], [TOTAL TIME]]-Table1[[#This Row], [TOTAL TIME TAKEN]]</f>
        <v>1.1612500000000239</v>
      </c>
      <c r="T260" t="str">
        <f>IF(Table1[[#This Row], [TIME DIFFERENCE]]&gt;=0,"PASS","FAIL")</f>
        <v>PASS</v>
      </c>
      <c r="U260" s="9">
        <f>Table1[[#This Row], [TRC]]+Table1[[#This Row], [DRC]]+Table1[[#This Row], [WRC]]+Table1[[#This Row], [ERC]]+Table1[[#This Row], [EQRC]]</f>
        <v>8127320.3999999994</v>
      </c>
      <c r="V260" s="9">
        <f>Table1[[#This Row], [TOTAL COST]]+_xlfn.XLOOKUP(Table1[[#This Row], [TEAM]],Sheet1!$A$12:$A$17,Sheet1!$I$12:$I$17)</f>
        <v>8431460.3999999985</v>
      </c>
      <c r="W260" s="9">
        <f>Table1[[#This Row], [LOOT]]-Table1[[#This Row], [TOTAL COST]]</f>
        <v>9972679.6000000015</v>
      </c>
      <c r="X260" s="9">
        <f>IF(Table1[[#This Row], [PASS/FAIL]]="FAIL",0,Table1[[#This Row], [PROFIT]])</f>
        <v>9972679.6000000015</v>
      </c>
    </row>
    <row r="261" spans="1:24" ht="19.5" customHeight="1" x14ac:dyDescent="0.45">
      <c r="A261" t="s">
        <v>12</v>
      </c>
      <c r="B261" s="14">
        <f>_xlfn.XLOOKUP(Table1[[#This Row], [TEAM]],Sheet1!$A$12:$A$17,Sheet1!$F$12:$F$17)</f>
        <v>3</v>
      </c>
      <c r="C261" s="14">
        <f>_xlfn.XLOOKUP(Table1[[#This Row], [TEAM]],Sheet1!$A$12:$A$17,Sheet1!$G$12:$G$17)</f>
        <v>5988750</v>
      </c>
      <c r="D261" t="s">
        <v>33</v>
      </c>
      <c r="E261" s="4">
        <f>_xlfn.XLOOKUP(Table1[[#This Row], [ROOM]],Sheet1!$A$47:$A$66,Sheet1!$B$47:$B$66)</f>
        <v>356</v>
      </c>
      <c r="F261" t="s">
        <v>58</v>
      </c>
      <c r="G261" s="4">
        <f>_xlfn.XLOOKUP(Table1[[#This Row], [DISGUISE]],Sheet1!$A$21:$A$23,Sheet1!$B$21:$B$23)*Table1[[#This Row], [NUM OF MEM]]*(1+_xlfn.XLOOKUP(Table1[[#This Row], [DISGUISE]],Sheet1!$A$21:$A$23,Sheet1!$C$21:$C$23))</f>
        <v>38400</v>
      </c>
      <c r="H261" s="13" t="s">
        <v>66</v>
      </c>
      <c r="I261" s="4">
        <f>_xlfn.XLOOKUP(Table1[[#This Row], [WEAPON]],Sheet1!$A$27:$A$29,Sheet1!$B$27:$B$29)*Table1[[#This Row], [NUM OF MEM]]*(1+_xlfn.XLOOKUP(Table1[[#This Row], [WEAPON]],Sheet1!$A$27:$A$29,Sheet1!$C$27:$C$29))</f>
        <v>108000</v>
      </c>
      <c r="J261" t="s">
        <v>64</v>
      </c>
      <c r="K261" s="9">
        <f>Table1[[#This Row], [NUM OF MEM]]*Table1[[#This Row], [TOTAL TIME TAKEN]]*_xlfn.XLOOKUP(Table1[[#This Row], [EXIT]],Sheet1!$A$70:$A$71,Sheet1!$B$70:$B$71)*(1+_xlfn.XLOOKUP(Table1[[#This Row], [EXIT]],Sheet1!$A$70:$A$71,Sheet1!$C$70:$C$71))</f>
        <v>1684713.5999999994</v>
      </c>
      <c r="L261" s="13" t="s">
        <v>65</v>
      </c>
      <c r="M261" s="4">
        <f>IF(Table1[[#This Row], [EQUIPMENT]]="YES",Sheet1!$C$44*(1+Sheet1!$D$44),0)</f>
        <v>307500</v>
      </c>
      <c r="N261" s="4">
        <f>_xlfn.XLOOKUP(Table1[[#This Row], [ROOM]],Sheet1!$A$47:$A$66,Sheet1!$F$47:$F$66)</f>
        <v>18100000</v>
      </c>
      <c r="O261" s="9">
        <f>_xlfn.XLOOKUP(_xlfn.CONCAT(Table1[[#This Row], [TEAM]],Table1[[#This Row], [ROOM]]),'ROOM TIME'!$H$2:$H$121,'ROOM TIME'!$J$2:$J$121)</f>
        <v>38.331111111111092</v>
      </c>
      <c r="P261" s="4">
        <f>(INDEX(Sheet1!$X$48:$Z$67,MATCH(Table1[[#This Row], [ROOM]],Sheet1!$P$48:$P$67,0),MATCH(Table1[[#This Row], [WEAPON]],Sheet1!$X$47:$Z$47,0)))/Table1[[#This Row], [NUM OF MEM]]</f>
        <v>5</v>
      </c>
      <c r="Q261" s="9">
        <f>Table1[[#This Row], [ROOM TIME]]+Table1[[#This Row], [GUARD TIME]]</f>
        <v>43.331111111111092</v>
      </c>
      <c r="R261" s="4">
        <f>Sheet1!$K$3*_xlfn.XLOOKUP(Table1[[#This Row], [DISGUISE]],Sheet1!$A$21:$A$23,Sheet1!$D$21:$D$23)</f>
        <v>69</v>
      </c>
      <c r="S261" s="9">
        <f>Table1[[#This Row], [TOTAL TIME]]-Table1[[#This Row], [TOTAL TIME TAKEN]]</f>
        <v>25.668888888888908</v>
      </c>
      <c r="T261" t="str">
        <f>IF(Table1[[#This Row], [TIME DIFFERENCE]]&gt;=0,"PASS","FAIL")</f>
        <v>PASS</v>
      </c>
      <c r="U261" s="9">
        <f>Table1[[#This Row], [TRC]]+Table1[[#This Row], [DRC]]+Table1[[#This Row], [WRC]]+Table1[[#This Row], [ERC]]+Table1[[#This Row], [EQRC]]</f>
        <v>8127363.5999999996</v>
      </c>
      <c r="V261" s="9">
        <f>Table1[[#This Row], [TOTAL COST]]+_xlfn.XLOOKUP(Table1[[#This Row], [TEAM]],Sheet1!$A$12:$A$17,Sheet1!$I$12:$I$17)</f>
        <v>8426801.0999999996</v>
      </c>
      <c r="W261" s="9">
        <f>Table1[[#This Row], [LOOT]]-Table1[[#This Row], [TOTAL COST]]</f>
        <v>9972636.4000000004</v>
      </c>
      <c r="X261" s="9">
        <f>IF(Table1[[#This Row], [PASS/FAIL]]="FAIL",0,Table1[[#This Row], [PROFIT]])</f>
        <v>9972636.4000000004</v>
      </c>
    </row>
    <row r="262" spans="1:24" ht="19.5" customHeight="1" x14ac:dyDescent="0.45">
      <c r="A262" t="s">
        <v>12</v>
      </c>
      <c r="B262" s="14">
        <f>_xlfn.XLOOKUP(Table1[[#This Row], [TEAM]],Sheet1!$A$12:$A$17,Sheet1!$F$12:$F$17)</f>
        <v>3</v>
      </c>
      <c r="C262" s="14">
        <f>_xlfn.XLOOKUP(Table1[[#This Row], [TEAM]],Sheet1!$A$12:$A$17,Sheet1!$G$12:$G$17)</f>
        <v>5988750</v>
      </c>
      <c r="D262" t="s">
        <v>21</v>
      </c>
      <c r="E262" s="4">
        <f>_xlfn.XLOOKUP(Table1[[#This Row], [ROOM]],Sheet1!$A$47:$A$66,Sheet1!$B$47:$B$66)</f>
        <v>234</v>
      </c>
      <c r="F262" t="s">
        <v>62</v>
      </c>
      <c r="G262" s="4">
        <f>_xlfn.XLOOKUP(Table1[[#This Row], [DISGUISE]],Sheet1!$A$21:$A$23,Sheet1!$B$21:$B$23)*Table1[[#This Row], [NUM OF MEM]]*(1+_xlfn.XLOOKUP(Table1[[#This Row], [DISGUISE]],Sheet1!$A$21:$A$23,Sheet1!$C$21:$C$23))</f>
        <v>15600</v>
      </c>
      <c r="H262" s="13" t="s">
        <v>66</v>
      </c>
      <c r="I262" s="4">
        <f>_xlfn.XLOOKUP(Table1[[#This Row], [WEAPON]],Sheet1!$A$27:$A$29,Sheet1!$B$27:$B$29)*Table1[[#This Row], [NUM OF MEM]]*(1+_xlfn.XLOOKUP(Table1[[#This Row], [WEAPON]],Sheet1!$A$27:$A$29,Sheet1!$C$27:$C$29))</f>
        <v>108000</v>
      </c>
      <c r="J262" t="s">
        <v>60</v>
      </c>
      <c r="K262" s="9">
        <f>Table1[[#This Row], [NUM OF MEM]]*Table1[[#This Row], [TOTAL TIME TAKEN]]*_xlfn.XLOOKUP(Table1[[#This Row], [EXIT]],Sheet1!$A$70:$A$71,Sheet1!$B$70:$B$71)*(1+_xlfn.XLOOKUP(Table1[[#This Row], [EXIT]],Sheet1!$A$70:$A$71,Sheet1!$C$70:$C$71))</f>
        <v>1815755.9749999992</v>
      </c>
      <c r="L262" s="13" t="s">
        <v>61</v>
      </c>
      <c r="M262" s="4">
        <f>IF(Table1[[#This Row], [EQUIPMENT]]="YES",Sheet1!$C$44*(1+Sheet1!$D$44),0)</f>
        <v>0</v>
      </c>
      <c r="N262" s="4">
        <f>_xlfn.XLOOKUP(Table1[[#This Row], [ROOM]],Sheet1!$A$47:$A$66,Sheet1!$F$47:$F$66)</f>
        <v>17900000</v>
      </c>
      <c r="O262" s="9">
        <f>_xlfn.XLOOKUP(_xlfn.CONCAT(Table1[[#This Row], [TEAM]],Table1[[#This Row], [ROOM]]),'ROOM TIME'!$H$2:$H$121,'ROOM TIME'!$J$2:$J$121)</f>
        <v>41.748888888888878</v>
      </c>
      <c r="P262" s="9">
        <f>(INDEX(Sheet1!$X$48:$Z$67,MATCH(Table1[[#This Row], [ROOM]],Sheet1!$P$48:$P$67,0),MATCH(Table1[[#This Row], [WEAPON]],Sheet1!$X$47:$Z$47,0)))/Table1[[#This Row], [NUM OF MEM]]</f>
        <v>5.416666666666667</v>
      </c>
      <c r="Q262" s="9">
        <f>Table1[[#This Row], [ROOM TIME]]+Table1[[#This Row], [GUARD TIME]]</f>
        <v>47.165555555555542</v>
      </c>
      <c r="R262" s="4">
        <f>Sheet1!$K$3*_xlfn.XLOOKUP(Table1[[#This Row], [DISGUISE]],Sheet1!$A$21:$A$23,Sheet1!$D$21:$D$23)</f>
        <v>66</v>
      </c>
      <c r="S262" s="9">
        <f>Table1[[#This Row], [TOTAL TIME]]-Table1[[#This Row], [TOTAL TIME TAKEN]]</f>
        <v>18.834444444444458</v>
      </c>
      <c r="T262" t="str">
        <f>IF(Table1[[#This Row], [TIME DIFFERENCE]]&gt;=0,"PASS","FAIL")</f>
        <v>PASS</v>
      </c>
      <c r="U262" s="9">
        <f>Table1[[#This Row], [TRC]]+Table1[[#This Row], [DRC]]+Table1[[#This Row], [WRC]]+Table1[[#This Row], [ERC]]+Table1[[#This Row], [EQRC]]</f>
        <v>7928105.9749999996</v>
      </c>
      <c r="V262" s="9">
        <f>Table1[[#This Row], [TOTAL COST]]+_xlfn.XLOOKUP(Table1[[#This Row], [TEAM]],Sheet1!$A$12:$A$17,Sheet1!$I$12:$I$17)</f>
        <v>8227543.4749999996</v>
      </c>
      <c r="W262" s="9">
        <f>Table1[[#This Row], [LOOT]]-Table1[[#This Row], [TOTAL COST]]</f>
        <v>9971894.0250000004</v>
      </c>
      <c r="X262" s="9">
        <f>IF(Table1[[#This Row], [PASS/FAIL]]="FAIL",0,Table1[[#This Row], [PROFIT]])</f>
        <v>9971894.0250000004</v>
      </c>
    </row>
    <row r="263" spans="1:24" ht="19.5" customHeight="1" x14ac:dyDescent="0.45">
      <c r="A263" t="s">
        <v>12</v>
      </c>
      <c r="B263" s="14">
        <f>_xlfn.XLOOKUP(Table1[[#This Row], [TEAM]],Sheet1!$A$12:$A$17,Sheet1!$F$12:$F$17)</f>
        <v>3</v>
      </c>
      <c r="C263" s="14">
        <f>_xlfn.XLOOKUP(Table1[[#This Row], [TEAM]],Sheet1!$A$12:$A$17,Sheet1!$G$12:$G$17)</f>
        <v>5988750</v>
      </c>
      <c r="D263" t="s">
        <v>21</v>
      </c>
      <c r="E263" s="4">
        <f>_xlfn.XLOOKUP(Table1[[#This Row], [ROOM]],Sheet1!$A$47:$A$66,Sheet1!$B$47:$B$66)</f>
        <v>234</v>
      </c>
      <c r="F263" t="s">
        <v>58</v>
      </c>
      <c r="G263" s="4">
        <f>_xlfn.XLOOKUP(Table1[[#This Row], [DISGUISE]],Sheet1!$A$21:$A$23,Sheet1!$B$21:$B$23)*Table1[[#This Row], [NUM OF MEM]]*(1+_xlfn.XLOOKUP(Table1[[#This Row], [DISGUISE]],Sheet1!$A$21:$A$23,Sheet1!$C$21:$C$23))</f>
        <v>38400</v>
      </c>
      <c r="H263" s="13" t="s">
        <v>63</v>
      </c>
      <c r="I263" s="4">
        <f>_xlfn.XLOOKUP(Table1[[#This Row], [WEAPON]],Sheet1!$A$27:$A$29,Sheet1!$B$27:$B$29)*Table1[[#This Row], [NUM OF MEM]]*(1+_xlfn.XLOOKUP(Table1[[#This Row], [WEAPON]],Sheet1!$A$27:$A$29,Sheet1!$C$27:$C$29))</f>
        <v>69000</v>
      </c>
      <c r="J263" t="s">
        <v>60</v>
      </c>
      <c r="K263" s="9">
        <f>Table1[[#This Row], [NUM OF MEM]]*Table1[[#This Row], [TOTAL TIME TAKEN]]*_xlfn.XLOOKUP(Table1[[#This Row], [EXIT]],Sheet1!$A$70:$A$71,Sheet1!$B$70:$B$71)*(1+_xlfn.XLOOKUP(Table1[[#This Row], [EXIT]],Sheet1!$A$70:$A$71,Sheet1!$C$70:$C$71))</f>
        <v>1832438.2249999992</v>
      </c>
      <c r="L263" s="13" t="s">
        <v>61</v>
      </c>
      <c r="M263" s="4">
        <f>IF(Table1[[#This Row], [EQUIPMENT]]="YES",Sheet1!$C$44*(1+Sheet1!$D$44),0)</f>
        <v>0</v>
      </c>
      <c r="N263" s="4">
        <f>_xlfn.XLOOKUP(Table1[[#This Row], [ROOM]],Sheet1!$A$47:$A$66,Sheet1!$F$47:$F$66)</f>
        <v>17900000</v>
      </c>
      <c r="O263" s="9">
        <f>_xlfn.XLOOKUP(_xlfn.CONCAT(Table1[[#This Row], [TEAM]],Table1[[#This Row], [ROOM]]),'ROOM TIME'!$H$2:$H$121,'ROOM TIME'!$J$2:$J$121)</f>
        <v>41.748888888888878</v>
      </c>
      <c r="P263" s="9">
        <f>(INDEX(Sheet1!$X$48:$Z$67,MATCH(Table1[[#This Row], [ROOM]],Sheet1!$P$48:$P$67,0),MATCH(Table1[[#This Row], [WEAPON]],Sheet1!$X$47:$Z$47,0)))/Table1[[#This Row], [NUM OF MEM]]</f>
        <v>5.8500000000000005</v>
      </c>
      <c r="Q263" s="9">
        <f>Table1[[#This Row], [ROOM TIME]]+Table1[[#This Row], [GUARD TIME]]</f>
        <v>47.598888888888879</v>
      </c>
      <c r="R263" s="4">
        <f>Sheet1!$K$3*_xlfn.XLOOKUP(Table1[[#This Row], [DISGUISE]],Sheet1!$A$21:$A$23,Sheet1!$D$21:$D$23)</f>
        <v>69</v>
      </c>
      <c r="S263" s="9">
        <f>Table1[[#This Row], [TOTAL TIME]]-Table1[[#This Row], [TOTAL TIME TAKEN]]</f>
        <v>21.401111111111121</v>
      </c>
      <c r="T263" t="str">
        <f>IF(Table1[[#This Row], [TIME DIFFERENCE]]&gt;=0,"PASS","FAIL")</f>
        <v>PASS</v>
      </c>
      <c r="U263" s="9">
        <f>Table1[[#This Row], [TRC]]+Table1[[#This Row], [DRC]]+Table1[[#This Row], [WRC]]+Table1[[#This Row], [ERC]]+Table1[[#This Row], [EQRC]]</f>
        <v>7928588.2249999996</v>
      </c>
      <c r="V263" s="9">
        <f>Table1[[#This Row], [TOTAL COST]]+_xlfn.XLOOKUP(Table1[[#This Row], [TEAM]],Sheet1!$A$12:$A$17,Sheet1!$I$12:$I$17)</f>
        <v>8228025.7249999996</v>
      </c>
      <c r="W263" s="9">
        <f>Table1[[#This Row], [LOOT]]-Table1[[#This Row], [TOTAL COST]]</f>
        <v>9971411.7750000004</v>
      </c>
      <c r="X263" s="9">
        <f>IF(Table1[[#This Row], [PASS/FAIL]]="FAIL",0,Table1[[#This Row], [PROFIT]])</f>
        <v>9971411.7750000004</v>
      </c>
    </row>
    <row r="264" spans="1:24" ht="19.5" customHeight="1" x14ac:dyDescent="0.45">
      <c r="A264" t="s">
        <v>9</v>
      </c>
      <c r="B264" s="14">
        <f>_xlfn.XLOOKUP(Table1[[#This Row], [TEAM]],Sheet1!$A$12:$A$17,Sheet1!$F$12:$F$17)</f>
        <v>3</v>
      </c>
      <c r="C264" s="14">
        <f>_xlfn.XLOOKUP(Table1[[#This Row], [TEAM]],Sheet1!$A$12:$A$17,Sheet1!$G$12:$G$17)</f>
        <v>6238750</v>
      </c>
      <c r="D264" t="s">
        <v>18</v>
      </c>
      <c r="E264" s="4">
        <f>_xlfn.XLOOKUP(Table1[[#This Row], [ROOM]],Sheet1!$A$47:$A$66,Sheet1!$B$47:$B$66)</f>
        <v>134</v>
      </c>
      <c r="F264" t="s">
        <v>58</v>
      </c>
      <c r="G264" s="4">
        <f>_xlfn.XLOOKUP(Table1[[#This Row], [DISGUISE]],Sheet1!$A$21:$A$23,Sheet1!$B$21:$B$23)*Table1[[#This Row], [NUM OF MEM]]*(1+_xlfn.XLOOKUP(Table1[[#This Row], [DISGUISE]],Sheet1!$A$21:$A$23,Sheet1!$C$21:$C$23))</f>
        <v>38400</v>
      </c>
      <c r="H264" s="13" t="s">
        <v>66</v>
      </c>
      <c r="I264" s="4">
        <f>_xlfn.XLOOKUP(Table1[[#This Row], [WEAPON]],Sheet1!$A$27:$A$29,Sheet1!$B$27:$B$29)*Table1[[#This Row], [NUM OF MEM]]*(1+_xlfn.XLOOKUP(Table1[[#This Row], [WEAPON]],Sheet1!$A$27:$A$29,Sheet1!$C$27:$C$29))</f>
        <v>108000</v>
      </c>
      <c r="J264" t="s">
        <v>60</v>
      </c>
      <c r="K264" s="9">
        <f>Table1[[#This Row], [NUM OF MEM]]*Table1[[#This Row], [TOTAL TIME TAKEN]]*_xlfn.XLOOKUP(Table1[[#This Row], [EXIT]],Sheet1!$A$70:$A$71,Sheet1!$B$70:$B$71)*(1+_xlfn.XLOOKUP(Table1[[#This Row], [EXIT]],Sheet1!$A$70:$A$71,Sheet1!$C$70:$C$71))</f>
        <v>1694039.7124999999</v>
      </c>
      <c r="L264" s="13" t="s">
        <v>61</v>
      </c>
      <c r="M264" s="4">
        <f>IF(Table1[[#This Row], [EQUIPMENT]]="YES",Sheet1!$C$44*(1+Sheet1!$D$44),0)</f>
        <v>0</v>
      </c>
      <c r="N264" s="4">
        <f>_xlfn.XLOOKUP(Table1[[#This Row], [ROOM]],Sheet1!$A$47:$A$66,Sheet1!$F$47:$F$66)</f>
        <v>18050000</v>
      </c>
      <c r="O264" s="9">
        <f>_xlfn.XLOOKUP(_xlfn.CONCAT(Table1[[#This Row], [TEAM]],Table1[[#This Row], [ROOM]]),'ROOM TIME'!$H$2:$H$121,'ROOM TIME'!$J$2:$J$121)</f>
        <v>39.003888888888881</v>
      </c>
      <c r="P264" s="4">
        <f>(INDEX(Sheet1!$X$48:$Z$67,MATCH(Table1[[#This Row], [ROOM]],Sheet1!$P$48:$P$67,0),MATCH(Table1[[#This Row], [WEAPON]],Sheet1!$X$47:$Z$47,0)))/Table1[[#This Row], [NUM OF MEM]]</f>
        <v>5</v>
      </c>
      <c r="Q264" s="9">
        <f>Table1[[#This Row], [ROOM TIME]]+Table1[[#This Row], [GUARD TIME]]</f>
        <v>44.003888888888881</v>
      </c>
      <c r="R264" s="4">
        <f>Sheet1!$K$3*_xlfn.XLOOKUP(Table1[[#This Row], [DISGUISE]],Sheet1!$A$21:$A$23,Sheet1!$D$21:$D$23)</f>
        <v>69</v>
      </c>
      <c r="S264" s="9">
        <f>Table1[[#This Row], [TOTAL TIME]]-Table1[[#This Row], [TOTAL TIME TAKEN]]</f>
        <v>24.996111111111119</v>
      </c>
      <c r="T264" t="str">
        <f>IF(Table1[[#This Row], [TIME DIFFERENCE]]&gt;=0,"PASS","FAIL")</f>
        <v>PASS</v>
      </c>
      <c r="U264" s="9">
        <f>Table1[[#This Row], [TRC]]+Table1[[#This Row], [DRC]]+Table1[[#This Row], [WRC]]+Table1[[#This Row], [ERC]]+Table1[[#This Row], [EQRC]]</f>
        <v>8079189.7125000004</v>
      </c>
      <c r="V264" s="9">
        <f>Table1[[#This Row], [TOTAL COST]]+_xlfn.XLOOKUP(Table1[[#This Row], [TEAM]],Sheet1!$A$12:$A$17,Sheet1!$I$12:$I$17)</f>
        <v>8391127.2125000004</v>
      </c>
      <c r="W264" s="9">
        <f>Table1[[#This Row], [LOOT]]-Table1[[#This Row], [TOTAL COST]]</f>
        <v>9970810.2874999996</v>
      </c>
      <c r="X264" s="9">
        <f>IF(Table1[[#This Row], [PASS/FAIL]]="FAIL",0,Table1[[#This Row], [PROFIT]])</f>
        <v>9970810.2874999996</v>
      </c>
    </row>
    <row r="265" spans="1:24" ht="19.5" customHeight="1" x14ac:dyDescent="0.45">
      <c r="A265" t="s">
        <v>13</v>
      </c>
      <c r="B265" s="14">
        <f>_xlfn.XLOOKUP(Table1[[#This Row], [TEAM]],Sheet1!$A$12:$A$17,Sheet1!$F$12:$F$17)</f>
        <v>3</v>
      </c>
      <c r="C265" s="14">
        <f>_xlfn.XLOOKUP(Table1[[#This Row], [TEAM]],Sheet1!$A$12:$A$17,Sheet1!$G$12:$G$17)</f>
        <v>5930000</v>
      </c>
      <c r="D265" t="s">
        <v>33</v>
      </c>
      <c r="E265" s="4">
        <f>_xlfn.XLOOKUP(Table1[[#This Row], [ROOM]],Sheet1!$A$47:$A$66,Sheet1!$B$47:$B$66)</f>
        <v>356</v>
      </c>
      <c r="F265" t="s">
        <v>58</v>
      </c>
      <c r="G265" s="4">
        <f>_xlfn.XLOOKUP(Table1[[#This Row], [DISGUISE]],Sheet1!$A$21:$A$23,Sheet1!$B$21:$B$23)*Table1[[#This Row], [NUM OF MEM]]*(1+_xlfn.XLOOKUP(Table1[[#This Row], [DISGUISE]],Sheet1!$A$21:$A$23,Sheet1!$C$21:$C$23))</f>
        <v>38400</v>
      </c>
      <c r="H265" s="13" t="s">
        <v>59</v>
      </c>
      <c r="I265" s="4">
        <f>_xlfn.XLOOKUP(Table1[[#This Row], [WEAPON]],Sheet1!$A$27:$A$29,Sheet1!$B$27:$B$29)*Table1[[#This Row], [NUM OF MEM]]*(1+_xlfn.XLOOKUP(Table1[[#This Row], [WEAPON]],Sheet1!$A$27:$A$29,Sheet1!$C$27:$C$29))</f>
        <v>136500</v>
      </c>
      <c r="J265" t="s">
        <v>64</v>
      </c>
      <c r="K265" s="9">
        <f>Table1[[#This Row], [NUM OF MEM]]*Table1[[#This Row], [TOTAL TIME TAKEN]]*_xlfn.XLOOKUP(Table1[[#This Row], [EXIT]],Sheet1!$A$70:$A$71,Sheet1!$B$70:$B$71)*(1+_xlfn.XLOOKUP(Table1[[#This Row], [EXIT]],Sheet1!$A$70:$A$71,Sheet1!$C$70:$C$71))</f>
        <v>1722664.7999999996</v>
      </c>
      <c r="L265" s="13" t="s">
        <v>65</v>
      </c>
      <c r="M265" s="4">
        <f>IF(Table1[[#This Row], [EQUIPMENT]]="YES",Sheet1!$C$44*(1+Sheet1!$D$44),0)</f>
        <v>307500</v>
      </c>
      <c r="N265" s="4">
        <f>_xlfn.XLOOKUP(Table1[[#This Row], [ROOM]],Sheet1!$A$47:$A$66,Sheet1!$F$47:$F$66)</f>
        <v>18100000</v>
      </c>
      <c r="O265" s="9">
        <f>_xlfn.XLOOKUP(_xlfn.CONCAT(Table1[[#This Row], [TEAM]],Table1[[#This Row], [ROOM]]),'ROOM TIME'!$H$2:$H$121,'ROOM TIME'!$J$2:$J$121)</f>
        <v>39.707222222222214</v>
      </c>
      <c r="P265" s="9">
        <f>(INDEX(Sheet1!$X$48:$Z$67,MATCH(Table1[[#This Row], [ROOM]],Sheet1!$P$48:$P$67,0),MATCH(Table1[[#This Row], [WEAPON]],Sheet1!$X$47:$Z$47,0)))/Table1[[#This Row], [NUM OF MEM]]</f>
        <v>4.5999999999999996</v>
      </c>
      <c r="Q265" s="9">
        <f>Table1[[#This Row], [ROOM TIME]]+Table1[[#This Row], [GUARD TIME]]</f>
        <v>44.307222222222215</v>
      </c>
      <c r="R265" s="4">
        <f>Sheet1!$K$3*_xlfn.XLOOKUP(Table1[[#This Row], [DISGUISE]],Sheet1!$A$21:$A$23,Sheet1!$D$21:$D$23)</f>
        <v>69</v>
      </c>
      <c r="S265" s="9">
        <f>Table1[[#This Row], [TOTAL TIME]]-Table1[[#This Row], [TOTAL TIME TAKEN]]</f>
        <v>24.692777777777785</v>
      </c>
      <c r="T265" t="str">
        <f>IF(Table1[[#This Row], [TIME DIFFERENCE]]&gt;=0,"PASS","FAIL")</f>
        <v>PASS</v>
      </c>
      <c r="U265" s="9">
        <f>Table1[[#This Row], [TRC]]+Table1[[#This Row], [DRC]]+Table1[[#This Row], [WRC]]+Table1[[#This Row], [ERC]]+Table1[[#This Row], [EQRC]]</f>
        <v>8135064.7999999998</v>
      </c>
      <c r="V265" s="9">
        <f>Table1[[#This Row], [TOTAL COST]]+_xlfn.XLOOKUP(Table1[[#This Row], [TEAM]],Sheet1!$A$12:$A$17,Sheet1!$I$12:$I$17)</f>
        <v>8431564.8000000007</v>
      </c>
      <c r="W265" s="9">
        <f>Table1[[#This Row], [LOOT]]-Table1[[#This Row], [TOTAL COST]]</f>
        <v>9964935.1999999993</v>
      </c>
      <c r="X265" s="9">
        <f>IF(Table1[[#This Row], [PASS/FAIL]]="FAIL",0,Table1[[#This Row], [PROFIT]])</f>
        <v>9964935.1999999993</v>
      </c>
    </row>
    <row r="266" spans="1:24" ht="19.5" customHeight="1" x14ac:dyDescent="0.45">
      <c r="A266" t="s">
        <v>13</v>
      </c>
      <c r="B266" s="14">
        <f>_xlfn.XLOOKUP(Table1[[#This Row], [TEAM]],Sheet1!$A$12:$A$17,Sheet1!$F$12:$F$17)</f>
        <v>3</v>
      </c>
      <c r="C266" s="14">
        <f>_xlfn.XLOOKUP(Table1[[#This Row], [TEAM]],Sheet1!$A$12:$A$17,Sheet1!$G$12:$G$17)</f>
        <v>5930000</v>
      </c>
      <c r="D266" t="s">
        <v>21</v>
      </c>
      <c r="E266" s="4">
        <f>_xlfn.XLOOKUP(Table1[[#This Row], [ROOM]],Sheet1!$A$47:$A$66,Sheet1!$B$47:$B$66)</f>
        <v>234</v>
      </c>
      <c r="F266" t="s">
        <v>62</v>
      </c>
      <c r="G266" s="4">
        <f>_xlfn.XLOOKUP(Table1[[#This Row], [DISGUISE]],Sheet1!$A$21:$A$23,Sheet1!$B$21:$B$23)*Table1[[#This Row], [NUM OF MEM]]*(1+_xlfn.XLOOKUP(Table1[[#This Row], [DISGUISE]],Sheet1!$A$21:$A$23,Sheet1!$C$21:$C$23))</f>
        <v>15600</v>
      </c>
      <c r="H266" s="13" t="s">
        <v>63</v>
      </c>
      <c r="I266" s="4">
        <f>_xlfn.XLOOKUP(Table1[[#This Row], [WEAPON]],Sheet1!$A$27:$A$29,Sheet1!$B$27:$B$29)*Table1[[#This Row], [NUM OF MEM]]*(1+_xlfn.XLOOKUP(Table1[[#This Row], [WEAPON]],Sheet1!$A$27:$A$29,Sheet1!$C$27:$C$29))</f>
        <v>69000</v>
      </c>
      <c r="J266" t="s">
        <v>64</v>
      </c>
      <c r="K266" s="9">
        <f>Table1[[#This Row], [NUM OF MEM]]*Table1[[#This Row], [TOTAL TIME TAKEN]]*_xlfn.XLOOKUP(Table1[[#This Row], [EXIT]],Sheet1!$A$70:$A$71,Sheet1!$B$70:$B$71)*(1+_xlfn.XLOOKUP(Table1[[#This Row], [EXIT]],Sheet1!$A$70:$A$71,Sheet1!$C$70:$C$71))</f>
        <v>1921276.7999999998</v>
      </c>
      <c r="L266" s="13" t="s">
        <v>61</v>
      </c>
      <c r="M266" s="4">
        <f>IF(Table1[[#This Row], [EQUIPMENT]]="YES",Sheet1!$C$44*(1+Sheet1!$D$44),0)</f>
        <v>0</v>
      </c>
      <c r="N266" s="4">
        <f>_xlfn.XLOOKUP(Table1[[#This Row], [ROOM]],Sheet1!$A$47:$A$66,Sheet1!$F$47:$F$66)</f>
        <v>17900000</v>
      </c>
      <c r="O266" s="9">
        <f>_xlfn.XLOOKUP(_xlfn.CONCAT(Table1[[#This Row], [TEAM]],Table1[[#This Row], [ROOM]]),'ROOM TIME'!$H$2:$H$121,'ROOM TIME'!$J$2:$J$121)</f>
        <v>43.565555555555555</v>
      </c>
      <c r="P266" s="9">
        <f>(INDEX(Sheet1!$X$48:$Z$67,MATCH(Table1[[#This Row], [ROOM]],Sheet1!$P$48:$P$67,0),MATCH(Table1[[#This Row], [WEAPON]],Sheet1!$X$47:$Z$47,0)))/Table1[[#This Row], [NUM OF MEM]]</f>
        <v>5.8500000000000005</v>
      </c>
      <c r="Q266" s="9">
        <f>Table1[[#This Row], [ROOM TIME]]+Table1[[#This Row], [GUARD TIME]]</f>
        <v>49.415555555555557</v>
      </c>
      <c r="R266" s="4">
        <f>Sheet1!$K$3*_xlfn.XLOOKUP(Table1[[#This Row], [DISGUISE]],Sheet1!$A$21:$A$23,Sheet1!$D$21:$D$23)</f>
        <v>66</v>
      </c>
      <c r="S266" s="9">
        <f>Table1[[#This Row], [TOTAL TIME]]-Table1[[#This Row], [TOTAL TIME TAKEN]]</f>
        <v>16.584444444444443</v>
      </c>
      <c r="T266" t="str">
        <f>IF(Table1[[#This Row], [TIME DIFFERENCE]]&gt;=0,"PASS","FAIL")</f>
        <v>PASS</v>
      </c>
      <c r="U266" s="9">
        <f>Table1[[#This Row], [TRC]]+Table1[[#This Row], [DRC]]+Table1[[#This Row], [WRC]]+Table1[[#This Row], [ERC]]+Table1[[#This Row], [EQRC]]</f>
        <v>7935876.7999999998</v>
      </c>
      <c r="V266" s="9">
        <f>Table1[[#This Row], [TOTAL COST]]+_xlfn.XLOOKUP(Table1[[#This Row], [TEAM]],Sheet1!$A$12:$A$17,Sheet1!$I$12:$I$17)</f>
        <v>8232376.7999999998</v>
      </c>
      <c r="W266" s="9">
        <f>Table1[[#This Row], [LOOT]]-Table1[[#This Row], [TOTAL COST]]</f>
        <v>9964123.1999999993</v>
      </c>
      <c r="X266" s="9">
        <f>IF(Table1[[#This Row], [PASS/FAIL]]="FAIL",0,Table1[[#This Row], [PROFIT]])</f>
        <v>9964123.1999999993</v>
      </c>
    </row>
    <row r="267" spans="1:24" ht="19.5" customHeight="1" x14ac:dyDescent="0.45">
      <c r="A267" t="s">
        <v>9</v>
      </c>
      <c r="B267" s="14">
        <f>_xlfn.XLOOKUP(Table1[[#This Row], [TEAM]],Sheet1!$A$12:$A$17,Sheet1!$F$12:$F$17)</f>
        <v>3</v>
      </c>
      <c r="C267" s="14">
        <f>_xlfn.XLOOKUP(Table1[[#This Row], [TEAM]],Sheet1!$A$12:$A$17,Sheet1!$G$12:$G$17)</f>
        <v>6238750</v>
      </c>
      <c r="D267" t="s">
        <v>18</v>
      </c>
      <c r="E267" s="4">
        <f>_xlfn.XLOOKUP(Table1[[#This Row], [ROOM]],Sheet1!$A$47:$A$66,Sheet1!$B$47:$B$66)</f>
        <v>134</v>
      </c>
      <c r="F267" t="s">
        <v>62</v>
      </c>
      <c r="G267" s="4">
        <f>_xlfn.XLOOKUP(Table1[[#This Row], [DISGUISE]],Sheet1!$A$21:$A$23,Sheet1!$B$21:$B$23)*Table1[[#This Row], [NUM OF MEM]]*(1+_xlfn.XLOOKUP(Table1[[#This Row], [DISGUISE]],Sheet1!$A$21:$A$23,Sheet1!$C$21:$C$23))</f>
        <v>15600</v>
      </c>
      <c r="H267" s="13" t="s">
        <v>59</v>
      </c>
      <c r="I267" s="4">
        <f>_xlfn.XLOOKUP(Table1[[#This Row], [WEAPON]],Sheet1!$A$27:$A$29,Sheet1!$B$27:$B$29)*Table1[[#This Row], [NUM OF MEM]]*(1+_xlfn.XLOOKUP(Table1[[#This Row], [WEAPON]],Sheet1!$A$27:$A$29,Sheet1!$C$27:$C$29))</f>
        <v>136500</v>
      </c>
      <c r="J267" t="s">
        <v>64</v>
      </c>
      <c r="K267" s="9">
        <f>Table1[[#This Row], [NUM OF MEM]]*Table1[[#This Row], [TOTAL TIME TAKEN]]*_xlfn.XLOOKUP(Table1[[#This Row], [EXIT]],Sheet1!$A$70:$A$71,Sheet1!$B$70:$B$71)*(1+_xlfn.XLOOKUP(Table1[[#This Row], [EXIT]],Sheet1!$A$70:$A$71,Sheet1!$C$70:$C$71))</f>
        <v>1695319.1999999997</v>
      </c>
      <c r="L267" s="13" t="s">
        <v>61</v>
      </c>
      <c r="M267" s="4">
        <f>IF(Table1[[#This Row], [EQUIPMENT]]="YES",Sheet1!$C$44*(1+Sheet1!$D$44),0)</f>
        <v>0</v>
      </c>
      <c r="N267" s="4">
        <f>_xlfn.XLOOKUP(Table1[[#This Row], [ROOM]],Sheet1!$A$47:$A$66,Sheet1!$F$47:$F$66)</f>
        <v>18050000</v>
      </c>
      <c r="O267" s="9">
        <f>_xlfn.XLOOKUP(_xlfn.CONCAT(Table1[[#This Row], [TEAM]],Table1[[#This Row], [ROOM]]),'ROOM TIME'!$H$2:$H$121,'ROOM TIME'!$J$2:$J$121)</f>
        <v>39.003888888888881</v>
      </c>
      <c r="P267" s="9">
        <f>(INDEX(Sheet1!$X$48:$Z$67,MATCH(Table1[[#This Row], [ROOM]],Sheet1!$P$48:$P$67,0),MATCH(Table1[[#This Row], [WEAPON]],Sheet1!$X$47:$Z$47,0)))/Table1[[#This Row], [NUM OF MEM]]</f>
        <v>4.5999999999999996</v>
      </c>
      <c r="Q267" s="9">
        <f>Table1[[#This Row], [ROOM TIME]]+Table1[[#This Row], [GUARD TIME]]</f>
        <v>43.603888888888882</v>
      </c>
      <c r="R267" s="4">
        <f>Sheet1!$K$3*_xlfn.XLOOKUP(Table1[[#This Row], [DISGUISE]],Sheet1!$A$21:$A$23,Sheet1!$D$21:$D$23)</f>
        <v>66</v>
      </c>
      <c r="S267" s="9">
        <f>Table1[[#This Row], [TOTAL TIME]]-Table1[[#This Row], [TOTAL TIME TAKEN]]</f>
        <v>22.396111111111118</v>
      </c>
      <c r="T267" t="str">
        <f>IF(Table1[[#This Row], [TIME DIFFERENCE]]&gt;=0,"PASS","FAIL")</f>
        <v>PASS</v>
      </c>
      <c r="U267" s="9">
        <f>Table1[[#This Row], [TRC]]+Table1[[#This Row], [DRC]]+Table1[[#This Row], [WRC]]+Table1[[#This Row], [ERC]]+Table1[[#This Row], [EQRC]]</f>
        <v>8086169.1999999993</v>
      </c>
      <c r="V267" s="9">
        <f>Table1[[#This Row], [TOTAL COST]]+_xlfn.XLOOKUP(Table1[[#This Row], [TEAM]],Sheet1!$A$12:$A$17,Sheet1!$I$12:$I$17)</f>
        <v>8398106.6999999993</v>
      </c>
      <c r="W267" s="9">
        <f>Table1[[#This Row], [LOOT]]-Table1[[#This Row], [TOTAL COST]]</f>
        <v>9963830.8000000007</v>
      </c>
      <c r="X267" s="9">
        <f>IF(Table1[[#This Row], [PASS/FAIL]]="FAIL",0,Table1[[#This Row], [PROFIT]])</f>
        <v>9963830.8000000007</v>
      </c>
    </row>
    <row r="268" spans="1:24" ht="19.5" customHeight="1" x14ac:dyDescent="0.45">
      <c r="A268" t="s">
        <v>16</v>
      </c>
      <c r="B268" s="14">
        <f>_xlfn.XLOOKUP(Table1[[#This Row], [TEAM]],Sheet1!$A$12:$A$17,Sheet1!$F$12:$F$17)</f>
        <v>2</v>
      </c>
      <c r="C268" s="14">
        <f>_xlfn.XLOOKUP(Table1[[#This Row], [TEAM]],Sheet1!$A$12:$A$17,Sheet1!$G$12:$G$17)</f>
        <v>6082800</v>
      </c>
      <c r="D268" t="s">
        <v>33</v>
      </c>
      <c r="E268" s="4">
        <f>_xlfn.XLOOKUP(Table1[[#This Row], [ROOM]],Sheet1!$A$47:$A$66,Sheet1!$B$47:$B$66)</f>
        <v>356</v>
      </c>
      <c r="F268" t="s">
        <v>58</v>
      </c>
      <c r="G268" s="4">
        <f>_xlfn.XLOOKUP(Table1[[#This Row], [DISGUISE]],Sheet1!$A$21:$A$23,Sheet1!$B$21:$B$23)*Table1[[#This Row], [NUM OF MEM]]*(1+_xlfn.XLOOKUP(Table1[[#This Row], [DISGUISE]],Sheet1!$A$21:$A$23,Sheet1!$C$21:$C$23))</f>
        <v>25600</v>
      </c>
      <c r="H268" s="13" t="s">
        <v>66</v>
      </c>
      <c r="I268" s="4">
        <f>_xlfn.XLOOKUP(Table1[[#This Row], [WEAPON]],Sheet1!$A$27:$A$29,Sheet1!$B$27:$B$29)*Table1[[#This Row], [NUM OF MEM]]*(1+_xlfn.XLOOKUP(Table1[[#This Row], [WEAPON]],Sheet1!$A$27:$A$29,Sheet1!$C$27:$C$29))</f>
        <v>72000</v>
      </c>
      <c r="J268" t="s">
        <v>60</v>
      </c>
      <c r="K268" s="9">
        <f>Table1[[#This Row], [NUM OF MEM]]*Table1[[#This Row], [TOTAL TIME TAKEN]]*_xlfn.XLOOKUP(Table1[[#This Row], [EXIT]],Sheet1!$A$70:$A$71,Sheet1!$B$70:$B$71)*(1+_xlfn.XLOOKUP(Table1[[#This Row], [EXIT]],Sheet1!$A$70:$A$71,Sheet1!$C$70:$C$71))</f>
        <v>1648687.5187499996</v>
      </c>
      <c r="L268" s="13" t="s">
        <v>65</v>
      </c>
      <c r="M268" s="4">
        <f>IF(Table1[[#This Row], [EQUIPMENT]]="YES",Sheet1!$C$44*(1+Sheet1!$D$44),0)</f>
        <v>307500</v>
      </c>
      <c r="N268" s="4">
        <f>_xlfn.XLOOKUP(Table1[[#This Row], [ROOM]],Sheet1!$A$47:$A$66,Sheet1!$F$47:$F$66)</f>
        <v>18100000</v>
      </c>
      <c r="O268" s="9">
        <f>_xlfn.XLOOKUP(_xlfn.CONCAT(Table1[[#This Row], [TEAM]],Table1[[#This Row], [ROOM]]),'ROOM TIME'!$H$2:$H$121,'ROOM TIME'!$J$2:$J$121)</f>
        <v>56.738749999999982</v>
      </c>
      <c r="P268" s="9">
        <f>(INDEX(Sheet1!$X$48:$Z$67,MATCH(Table1[[#This Row], [ROOM]],Sheet1!$P$48:$P$67,0),MATCH(Table1[[#This Row], [WEAPON]],Sheet1!$X$47:$Z$47,0)))/Table1[[#This Row], [NUM OF MEM]]</f>
        <v>7.5</v>
      </c>
      <c r="Q268" s="9">
        <f>Table1[[#This Row], [ROOM TIME]]+Table1[[#This Row], [GUARD TIME]]</f>
        <v>64.238749999999982</v>
      </c>
      <c r="R268" s="4">
        <f>Sheet1!$K$3*_xlfn.XLOOKUP(Table1[[#This Row], [DISGUISE]],Sheet1!$A$21:$A$23,Sheet1!$D$21:$D$23)</f>
        <v>69</v>
      </c>
      <c r="S268" s="9">
        <f>Table1[[#This Row], [TOTAL TIME]]-Table1[[#This Row], [TOTAL TIME TAKEN]]</f>
        <v>4.7612500000000182</v>
      </c>
      <c r="T268" t="str">
        <f>IF(Table1[[#This Row], [TIME DIFFERENCE]]&gt;=0,"PASS","FAIL")</f>
        <v>PASS</v>
      </c>
      <c r="U268" s="9">
        <f>Table1[[#This Row], [TRC]]+Table1[[#This Row], [DRC]]+Table1[[#This Row], [WRC]]+Table1[[#This Row], [ERC]]+Table1[[#This Row], [EQRC]]</f>
        <v>8136587.5187499998</v>
      </c>
      <c r="V268" s="9">
        <f>Table1[[#This Row], [TOTAL COST]]+_xlfn.XLOOKUP(Table1[[#This Row], [TEAM]],Sheet1!$A$12:$A$17,Sheet1!$I$12:$I$17)</f>
        <v>8440727.5187500007</v>
      </c>
      <c r="W268" s="9">
        <f>Table1[[#This Row], [LOOT]]-Table1[[#This Row], [TOTAL COST]]</f>
        <v>9963412.4812499993</v>
      </c>
      <c r="X268" s="9">
        <f>IF(Table1[[#This Row], [PASS/FAIL]]="FAIL",0,Table1[[#This Row], [PROFIT]])</f>
        <v>9963412.4812499993</v>
      </c>
    </row>
    <row r="269" spans="1:24" ht="19.5" customHeight="1" x14ac:dyDescent="0.45">
      <c r="A269" t="s">
        <v>16</v>
      </c>
      <c r="B269" s="14">
        <f>_xlfn.XLOOKUP(Table1[[#This Row], [TEAM]],Sheet1!$A$12:$A$17,Sheet1!$F$12:$F$17)</f>
        <v>2</v>
      </c>
      <c r="C269" s="14">
        <f>_xlfn.XLOOKUP(Table1[[#This Row], [TEAM]],Sheet1!$A$12:$A$17,Sheet1!$G$12:$G$17)</f>
        <v>6082800</v>
      </c>
      <c r="D269" t="s">
        <v>33</v>
      </c>
      <c r="E269" s="4">
        <f>_xlfn.XLOOKUP(Table1[[#This Row], [ROOM]],Sheet1!$A$47:$A$66,Sheet1!$B$47:$B$66)</f>
        <v>356</v>
      </c>
      <c r="F269" t="s">
        <v>62</v>
      </c>
      <c r="G269" s="4">
        <f>_xlfn.XLOOKUP(Table1[[#This Row], [DISGUISE]],Sheet1!$A$21:$A$23,Sheet1!$B$21:$B$23)*Table1[[#This Row], [NUM OF MEM]]*(1+_xlfn.XLOOKUP(Table1[[#This Row], [DISGUISE]],Sheet1!$A$21:$A$23,Sheet1!$C$21:$C$23))</f>
        <v>10400</v>
      </c>
      <c r="H269" s="13" t="s">
        <v>66</v>
      </c>
      <c r="I269" s="4">
        <f>_xlfn.XLOOKUP(Table1[[#This Row], [WEAPON]],Sheet1!$A$27:$A$29,Sheet1!$B$27:$B$29)*Table1[[#This Row], [NUM OF MEM]]*(1+_xlfn.XLOOKUP(Table1[[#This Row], [WEAPON]],Sheet1!$A$27:$A$29,Sheet1!$C$27:$C$29))</f>
        <v>72000</v>
      </c>
      <c r="J269" t="s">
        <v>64</v>
      </c>
      <c r="K269" s="9">
        <f>Table1[[#This Row], [NUM OF MEM]]*Table1[[#This Row], [TOTAL TIME TAKEN]]*_xlfn.XLOOKUP(Table1[[#This Row], [EXIT]],Sheet1!$A$70:$A$71,Sheet1!$B$70:$B$71)*(1+_xlfn.XLOOKUP(Table1[[#This Row], [EXIT]],Sheet1!$A$70:$A$71,Sheet1!$C$70:$C$71))</f>
        <v>1665068.3999999994</v>
      </c>
      <c r="L269" s="13" t="s">
        <v>65</v>
      </c>
      <c r="M269" s="4">
        <f>IF(Table1[[#This Row], [EQUIPMENT]]="YES",Sheet1!$C$44*(1+Sheet1!$D$44),0)</f>
        <v>307500</v>
      </c>
      <c r="N269" s="4">
        <f>_xlfn.XLOOKUP(Table1[[#This Row], [ROOM]],Sheet1!$A$47:$A$66,Sheet1!$F$47:$F$66)</f>
        <v>18100000</v>
      </c>
      <c r="O269" s="9">
        <f>_xlfn.XLOOKUP(_xlfn.CONCAT(Table1[[#This Row], [TEAM]],Table1[[#This Row], [ROOM]]),'ROOM TIME'!$H$2:$H$121,'ROOM TIME'!$J$2:$J$121)</f>
        <v>56.738749999999982</v>
      </c>
      <c r="P269" s="9">
        <f>(INDEX(Sheet1!$X$48:$Z$67,MATCH(Table1[[#This Row], [ROOM]],Sheet1!$P$48:$P$67,0),MATCH(Table1[[#This Row], [WEAPON]],Sheet1!$X$47:$Z$47,0)))/Table1[[#This Row], [NUM OF MEM]]</f>
        <v>7.5</v>
      </c>
      <c r="Q269" s="9">
        <f>Table1[[#This Row], [ROOM TIME]]+Table1[[#This Row], [GUARD TIME]]</f>
        <v>64.238749999999982</v>
      </c>
      <c r="R269" s="4">
        <f>Sheet1!$K$3*_xlfn.XLOOKUP(Table1[[#This Row], [DISGUISE]],Sheet1!$A$21:$A$23,Sheet1!$D$21:$D$23)</f>
        <v>66</v>
      </c>
      <c r="S269" s="9">
        <f>Table1[[#This Row], [TOTAL TIME]]-Table1[[#This Row], [TOTAL TIME TAKEN]]</f>
        <v>1.7612500000000182</v>
      </c>
      <c r="T269" t="str">
        <f>IF(Table1[[#This Row], [TIME DIFFERENCE]]&gt;=0,"PASS","FAIL")</f>
        <v>PASS</v>
      </c>
      <c r="U269" s="9">
        <f>Table1[[#This Row], [TRC]]+Table1[[#This Row], [DRC]]+Table1[[#This Row], [WRC]]+Table1[[#This Row], [ERC]]+Table1[[#This Row], [EQRC]]</f>
        <v>8137768.3999999994</v>
      </c>
      <c r="V269" s="9">
        <f>Table1[[#This Row], [TOTAL COST]]+_xlfn.XLOOKUP(Table1[[#This Row], [TEAM]],Sheet1!$A$12:$A$17,Sheet1!$I$12:$I$17)</f>
        <v>8441908.3999999985</v>
      </c>
      <c r="W269" s="9">
        <f>Table1[[#This Row], [LOOT]]-Table1[[#This Row], [TOTAL COST]]</f>
        <v>9962231.6000000015</v>
      </c>
      <c r="X269" s="9">
        <f>IF(Table1[[#This Row], [PASS/FAIL]]="FAIL",0,Table1[[#This Row], [PROFIT]])</f>
        <v>9962231.6000000015</v>
      </c>
    </row>
    <row r="270" spans="1:24" ht="19.5" customHeight="1" x14ac:dyDescent="0.45">
      <c r="A270" t="s">
        <v>9</v>
      </c>
      <c r="B270" s="14">
        <f>_xlfn.XLOOKUP(Table1[[#This Row], [TEAM]],Sheet1!$A$12:$A$17,Sheet1!$F$12:$F$17)</f>
        <v>3</v>
      </c>
      <c r="C270" s="14">
        <f>_xlfn.XLOOKUP(Table1[[#This Row], [TEAM]],Sheet1!$A$12:$A$17,Sheet1!$G$12:$G$17)</f>
        <v>6238750</v>
      </c>
      <c r="D270" t="s">
        <v>24</v>
      </c>
      <c r="E270" s="4">
        <f>_xlfn.XLOOKUP(Table1[[#This Row], [ROOM]],Sheet1!$A$47:$A$66,Sheet1!$B$47:$B$66)</f>
        <v>345</v>
      </c>
      <c r="F270" t="s">
        <v>62</v>
      </c>
      <c r="G270" s="4">
        <f>_xlfn.XLOOKUP(Table1[[#This Row], [DISGUISE]],Sheet1!$A$21:$A$23,Sheet1!$B$21:$B$23)*Table1[[#This Row], [NUM OF MEM]]*(1+_xlfn.XLOOKUP(Table1[[#This Row], [DISGUISE]],Sheet1!$A$21:$A$23,Sheet1!$C$21:$C$23))</f>
        <v>15600</v>
      </c>
      <c r="H270" s="13" t="s">
        <v>63</v>
      </c>
      <c r="I270" s="4">
        <f>_xlfn.XLOOKUP(Table1[[#This Row], [WEAPON]],Sheet1!$A$27:$A$29,Sheet1!$B$27:$B$29)*Table1[[#This Row], [NUM OF MEM]]*(1+_xlfn.XLOOKUP(Table1[[#This Row], [WEAPON]],Sheet1!$A$27:$A$29,Sheet1!$C$27:$C$29))</f>
        <v>69000</v>
      </c>
      <c r="J270" t="s">
        <v>64</v>
      </c>
      <c r="K270" s="9">
        <f>Table1[[#This Row], [NUM OF MEM]]*Table1[[#This Row], [TOTAL TIME TAKEN]]*_xlfn.XLOOKUP(Table1[[#This Row], [EXIT]],Sheet1!$A$70:$A$71,Sheet1!$B$70:$B$71)*(1+_xlfn.XLOOKUP(Table1[[#This Row], [EXIT]],Sheet1!$A$70:$A$71,Sheet1!$C$70:$C$71))</f>
        <v>1715083.1999999997</v>
      </c>
      <c r="L270" s="13" t="s">
        <v>61</v>
      </c>
      <c r="M270" s="4">
        <f>IF(Table1[[#This Row], [EQUIPMENT]]="YES",Sheet1!$C$44*(1+Sheet1!$D$44),0)</f>
        <v>0</v>
      </c>
      <c r="N270" s="4">
        <f>_xlfn.XLOOKUP(Table1[[#This Row], [ROOM]],Sheet1!$A$47:$A$66,Sheet1!$F$47:$F$66)</f>
        <v>18000000</v>
      </c>
      <c r="O270" s="9">
        <f>_xlfn.XLOOKUP(_xlfn.CONCAT(Table1[[#This Row], [TEAM]],Table1[[#This Row], [ROOM]]),'ROOM TIME'!$H$2:$H$121,'ROOM TIME'!$J$2:$J$121)</f>
        <v>38.712222222222216</v>
      </c>
      <c r="P270" s="9">
        <f>(INDEX(Sheet1!$X$48:$Z$67,MATCH(Table1[[#This Row], [ROOM]],Sheet1!$P$48:$P$67,0),MATCH(Table1[[#This Row], [WEAPON]],Sheet1!$X$47:$Z$47,0)))/Table1[[#This Row], [NUM OF MEM]]</f>
        <v>5.4000000000000012</v>
      </c>
      <c r="Q270" s="9">
        <f>Table1[[#This Row], [ROOM TIME]]+Table1[[#This Row], [GUARD TIME]]</f>
        <v>44.112222222222215</v>
      </c>
      <c r="R270" s="4">
        <f>Sheet1!$K$3*_xlfn.XLOOKUP(Table1[[#This Row], [DISGUISE]],Sheet1!$A$21:$A$23,Sheet1!$D$21:$D$23)</f>
        <v>66</v>
      </c>
      <c r="S270" s="9">
        <f>Table1[[#This Row], [TOTAL TIME]]-Table1[[#This Row], [TOTAL TIME TAKEN]]</f>
        <v>21.887777777777785</v>
      </c>
      <c r="T270" t="str">
        <f>IF(Table1[[#This Row], [TIME DIFFERENCE]]&gt;=0,"PASS","FAIL")</f>
        <v>PASS</v>
      </c>
      <c r="U270" s="9">
        <f>Table1[[#This Row], [TRC]]+Table1[[#This Row], [DRC]]+Table1[[#This Row], [WRC]]+Table1[[#This Row], [ERC]]+Table1[[#This Row], [EQRC]]</f>
        <v>8038433.1999999993</v>
      </c>
      <c r="V270" s="9">
        <f>Table1[[#This Row], [TOTAL COST]]+_xlfn.XLOOKUP(Table1[[#This Row], [TEAM]],Sheet1!$A$12:$A$17,Sheet1!$I$12:$I$17)</f>
        <v>8350370.6999999993</v>
      </c>
      <c r="W270" s="9">
        <f>Table1[[#This Row], [LOOT]]-Table1[[#This Row], [TOTAL COST]]</f>
        <v>9961566.8000000007</v>
      </c>
      <c r="X270" s="9">
        <f>IF(Table1[[#This Row], [PASS/FAIL]]="FAIL",0,Table1[[#This Row], [PROFIT]])</f>
        <v>9961566.8000000007</v>
      </c>
    </row>
    <row r="271" spans="1:24" ht="19.5" customHeight="1" x14ac:dyDescent="0.45">
      <c r="A271" t="s">
        <v>13</v>
      </c>
      <c r="B271" s="14">
        <f>_xlfn.XLOOKUP(Table1[[#This Row], [TEAM]],Sheet1!$A$12:$A$17,Sheet1!$F$12:$F$17)</f>
        <v>3</v>
      </c>
      <c r="C271" s="14">
        <f>_xlfn.XLOOKUP(Table1[[#This Row], [TEAM]],Sheet1!$A$12:$A$17,Sheet1!$G$12:$G$17)</f>
        <v>5930000</v>
      </c>
      <c r="D271" t="s">
        <v>21</v>
      </c>
      <c r="E271" s="4">
        <f>_xlfn.XLOOKUP(Table1[[#This Row], [ROOM]],Sheet1!$A$47:$A$66,Sheet1!$B$47:$B$66)</f>
        <v>234</v>
      </c>
      <c r="F271" t="s">
        <v>62</v>
      </c>
      <c r="G271" s="4">
        <f>_xlfn.XLOOKUP(Table1[[#This Row], [DISGUISE]],Sheet1!$A$21:$A$23,Sheet1!$B$21:$B$23)*Table1[[#This Row], [NUM OF MEM]]*(1+_xlfn.XLOOKUP(Table1[[#This Row], [DISGUISE]],Sheet1!$A$21:$A$23,Sheet1!$C$21:$C$23))</f>
        <v>15600</v>
      </c>
      <c r="H271" s="13" t="s">
        <v>66</v>
      </c>
      <c r="I271" s="4">
        <f>_xlfn.XLOOKUP(Table1[[#This Row], [WEAPON]],Sheet1!$A$27:$A$29,Sheet1!$B$27:$B$29)*Table1[[#This Row], [NUM OF MEM]]*(1+_xlfn.XLOOKUP(Table1[[#This Row], [WEAPON]],Sheet1!$A$27:$A$29,Sheet1!$C$27:$C$29))</f>
        <v>108000</v>
      </c>
      <c r="J271" t="s">
        <v>60</v>
      </c>
      <c r="K271" s="9">
        <f>Table1[[#This Row], [NUM OF MEM]]*Table1[[#This Row], [TOTAL TIME TAKEN]]*_xlfn.XLOOKUP(Table1[[#This Row], [EXIT]],Sheet1!$A$70:$A$71,Sheet1!$B$70:$B$71)*(1+_xlfn.XLOOKUP(Table1[[#This Row], [EXIT]],Sheet1!$A$70:$A$71,Sheet1!$C$70:$C$71))</f>
        <v>1885693.0999999999</v>
      </c>
      <c r="L271" s="13" t="s">
        <v>61</v>
      </c>
      <c r="M271" s="4">
        <f>IF(Table1[[#This Row], [EQUIPMENT]]="YES",Sheet1!$C$44*(1+Sheet1!$D$44),0)</f>
        <v>0</v>
      </c>
      <c r="N271" s="4">
        <f>_xlfn.XLOOKUP(Table1[[#This Row], [ROOM]],Sheet1!$A$47:$A$66,Sheet1!$F$47:$F$66)</f>
        <v>17900000</v>
      </c>
      <c r="O271" s="9">
        <f>_xlfn.XLOOKUP(_xlfn.CONCAT(Table1[[#This Row], [TEAM]],Table1[[#This Row], [ROOM]]),'ROOM TIME'!$H$2:$H$121,'ROOM TIME'!$J$2:$J$121)</f>
        <v>43.565555555555555</v>
      </c>
      <c r="P271" s="9">
        <f>(INDEX(Sheet1!$X$48:$Z$67,MATCH(Table1[[#This Row], [ROOM]],Sheet1!$P$48:$P$67,0),MATCH(Table1[[#This Row], [WEAPON]],Sheet1!$X$47:$Z$47,0)))/Table1[[#This Row], [NUM OF MEM]]</f>
        <v>5.416666666666667</v>
      </c>
      <c r="Q271" s="9">
        <f>Table1[[#This Row], [ROOM TIME]]+Table1[[#This Row], [GUARD TIME]]</f>
        <v>48.982222222222219</v>
      </c>
      <c r="R271" s="4">
        <f>Sheet1!$K$3*_xlfn.XLOOKUP(Table1[[#This Row], [DISGUISE]],Sheet1!$A$21:$A$23,Sheet1!$D$21:$D$23)</f>
        <v>66</v>
      </c>
      <c r="S271" s="9">
        <f>Table1[[#This Row], [TOTAL TIME]]-Table1[[#This Row], [TOTAL TIME TAKEN]]</f>
        <v>17.017777777777781</v>
      </c>
      <c r="T271" t="str">
        <f>IF(Table1[[#This Row], [TIME DIFFERENCE]]&gt;=0,"PASS","FAIL")</f>
        <v>PASS</v>
      </c>
      <c r="U271" s="9">
        <f>Table1[[#This Row], [TRC]]+Table1[[#This Row], [DRC]]+Table1[[#This Row], [WRC]]+Table1[[#This Row], [ERC]]+Table1[[#This Row], [EQRC]]</f>
        <v>7939293.0999999996</v>
      </c>
      <c r="V271" s="9">
        <f>Table1[[#This Row], [TOTAL COST]]+_xlfn.XLOOKUP(Table1[[#This Row], [TEAM]],Sheet1!$A$12:$A$17,Sheet1!$I$12:$I$17)</f>
        <v>8235793.0999999996</v>
      </c>
      <c r="W271" s="9">
        <f>Table1[[#This Row], [LOOT]]-Table1[[#This Row], [TOTAL COST]]</f>
        <v>9960706.9000000004</v>
      </c>
      <c r="X271" s="9">
        <f>IF(Table1[[#This Row], [PASS/FAIL]]="FAIL",0,Table1[[#This Row], [PROFIT]])</f>
        <v>9960706.9000000004</v>
      </c>
    </row>
    <row r="272" spans="1:24" ht="19.5" customHeight="1" x14ac:dyDescent="0.45">
      <c r="A272" t="s">
        <v>13</v>
      </c>
      <c r="B272" s="14">
        <f>_xlfn.XLOOKUP(Table1[[#This Row], [TEAM]],Sheet1!$A$12:$A$17,Sheet1!$F$12:$F$17)</f>
        <v>3</v>
      </c>
      <c r="C272" s="14">
        <f>_xlfn.XLOOKUP(Table1[[#This Row], [TEAM]],Sheet1!$A$12:$A$17,Sheet1!$G$12:$G$17)</f>
        <v>5930000</v>
      </c>
      <c r="D272" t="s">
        <v>21</v>
      </c>
      <c r="E272" s="4">
        <f>_xlfn.XLOOKUP(Table1[[#This Row], [ROOM]],Sheet1!$A$47:$A$66,Sheet1!$B$47:$B$66)</f>
        <v>234</v>
      </c>
      <c r="F272" t="s">
        <v>58</v>
      </c>
      <c r="G272" s="4">
        <f>_xlfn.XLOOKUP(Table1[[#This Row], [DISGUISE]],Sheet1!$A$21:$A$23,Sheet1!$B$21:$B$23)*Table1[[#This Row], [NUM OF MEM]]*(1+_xlfn.XLOOKUP(Table1[[#This Row], [DISGUISE]],Sheet1!$A$21:$A$23,Sheet1!$C$21:$C$23))</f>
        <v>38400</v>
      </c>
      <c r="H272" s="13" t="s">
        <v>63</v>
      </c>
      <c r="I272" s="4">
        <f>_xlfn.XLOOKUP(Table1[[#This Row], [WEAPON]],Sheet1!$A$27:$A$29,Sheet1!$B$27:$B$29)*Table1[[#This Row], [NUM OF MEM]]*(1+_xlfn.XLOOKUP(Table1[[#This Row], [WEAPON]],Sheet1!$A$27:$A$29,Sheet1!$C$27:$C$29))</f>
        <v>69000</v>
      </c>
      <c r="J272" t="s">
        <v>60</v>
      </c>
      <c r="K272" s="9">
        <f>Table1[[#This Row], [NUM OF MEM]]*Table1[[#This Row], [TOTAL TIME TAKEN]]*_xlfn.XLOOKUP(Table1[[#This Row], [EXIT]],Sheet1!$A$70:$A$71,Sheet1!$B$70:$B$71)*(1+_xlfn.XLOOKUP(Table1[[#This Row], [EXIT]],Sheet1!$A$70:$A$71,Sheet1!$C$70:$C$71))</f>
        <v>1902375.3499999999</v>
      </c>
      <c r="L272" s="13" t="s">
        <v>61</v>
      </c>
      <c r="M272" s="4">
        <f>IF(Table1[[#This Row], [EQUIPMENT]]="YES",Sheet1!$C$44*(1+Sheet1!$D$44),0)</f>
        <v>0</v>
      </c>
      <c r="N272" s="4">
        <f>_xlfn.XLOOKUP(Table1[[#This Row], [ROOM]],Sheet1!$A$47:$A$66,Sheet1!$F$47:$F$66)</f>
        <v>17900000</v>
      </c>
      <c r="O272" s="9">
        <f>_xlfn.XLOOKUP(_xlfn.CONCAT(Table1[[#This Row], [TEAM]],Table1[[#This Row], [ROOM]]),'ROOM TIME'!$H$2:$H$121,'ROOM TIME'!$J$2:$J$121)</f>
        <v>43.565555555555555</v>
      </c>
      <c r="P272" s="9">
        <f>(INDEX(Sheet1!$X$48:$Z$67,MATCH(Table1[[#This Row], [ROOM]],Sheet1!$P$48:$P$67,0),MATCH(Table1[[#This Row], [WEAPON]],Sheet1!$X$47:$Z$47,0)))/Table1[[#This Row], [NUM OF MEM]]</f>
        <v>5.8500000000000005</v>
      </c>
      <c r="Q272" s="9">
        <f>Table1[[#This Row], [ROOM TIME]]+Table1[[#This Row], [GUARD TIME]]</f>
        <v>49.415555555555557</v>
      </c>
      <c r="R272" s="4">
        <f>Sheet1!$K$3*_xlfn.XLOOKUP(Table1[[#This Row], [DISGUISE]],Sheet1!$A$21:$A$23,Sheet1!$D$21:$D$23)</f>
        <v>69</v>
      </c>
      <c r="S272" s="9">
        <f>Table1[[#This Row], [TOTAL TIME]]-Table1[[#This Row], [TOTAL TIME TAKEN]]</f>
        <v>19.584444444444443</v>
      </c>
      <c r="T272" t="str">
        <f>IF(Table1[[#This Row], [TIME DIFFERENCE]]&gt;=0,"PASS","FAIL")</f>
        <v>PASS</v>
      </c>
      <c r="U272" s="9">
        <f>Table1[[#This Row], [TRC]]+Table1[[#This Row], [DRC]]+Table1[[#This Row], [WRC]]+Table1[[#This Row], [ERC]]+Table1[[#This Row], [EQRC]]</f>
        <v>7939775.3499999996</v>
      </c>
      <c r="V272" s="9">
        <f>Table1[[#This Row], [TOTAL COST]]+_xlfn.XLOOKUP(Table1[[#This Row], [TEAM]],Sheet1!$A$12:$A$17,Sheet1!$I$12:$I$17)</f>
        <v>8236275.3499999996</v>
      </c>
      <c r="W272" s="9">
        <f>Table1[[#This Row], [LOOT]]-Table1[[#This Row], [TOTAL COST]]</f>
        <v>9960224.6500000004</v>
      </c>
      <c r="X272" s="9">
        <f>IF(Table1[[#This Row], [PASS/FAIL]]="FAIL",0,Table1[[#This Row], [PROFIT]])</f>
        <v>9960224.6500000004</v>
      </c>
    </row>
    <row r="273" spans="1:24" ht="19.5" customHeight="1" x14ac:dyDescent="0.45">
      <c r="A273" t="s">
        <v>12</v>
      </c>
      <c r="B273" s="14">
        <f>_xlfn.XLOOKUP(Table1[[#This Row], [TEAM]],Sheet1!$A$12:$A$17,Sheet1!$F$12:$F$17)</f>
        <v>3</v>
      </c>
      <c r="C273" s="14">
        <f>_xlfn.XLOOKUP(Table1[[#This Row], [TEAM]],Sheet1!$A$12:$A$17,Sheet1!$G$12:$G$17)</f>
        <v>5988750</v>
      </c>
      <c r="D273" t="s">
        <v>21</v>
      </c>
      <c r="E273" s="4">
        <f>_xlfn.XLOOKUP(Table1[[#This Row], [ROOM]],Sheet1!$A$47:$A$66,Sheet1!$B$47:$B$66)</f>
        <v>234</v>
      </c>
      <c r="F273" t="s">
        <v>62</v>
      </c>
      <c r="G273" s="4">
        <f>_xlfn.XLOOKUP(Table1[[#This Row], [DISGUISE]],Sheet1!$A$21:$A$23,Sheet1!$B$21:$B$23)*Table1[[#This Row], [NUM OF MEM]]*(1+_xlfn.XLOOKUP(Table1[[#This Row], [DISGUISE]],Sheet1!$A$21:$A$23,Sheet1!$C$21:$C$23))</f>
        <v>15600</v>
      </c>
      <c r="H273" s="13" t="s">
        <v>59</v>
      </c>
      <c r="I273" s="4">
        <f>_xlfn.XLOOKUP(Table1[[#This Row], [WEAPON]],Sheet1!$A$27:$A$29,Sheet1!$B$27:$B$29)*Table1[[#This Row], [NUM OF MEM]]*(1+_xlfn.XLOOKUP(Table1[[#This Row], [WEAPON]],Sheet1!$A$27:$A$29,Sheet1!$C$27:$C$29))</f>
        <v>136500</v>
      </c>
      <c r="J273" t="s">
        <v>60</v>
      </c>
      <c r="K273" s="9">
        <f>Table1[[#This Row], [NUM OF MEM]]*Table1[[#This Row], [TOTAL TIME TAKEN]]*_xlfn.XLOOKUP(Table1[[#This Row], [EXIT]],Sheet1!$A$70:$A$71,Sheet1!$B$70:$B$71)*(1+_xlfn.XLOOKUP(Table1[[#This Row], [EXIT]],Sheet1!$A$70:$A$71,Sheet1!$C$70:$C$71))</f>
        <v>1799073.7249999996</v>
      </c>
      <c r="L273" s="13" t="s">
        <v>61</v>
      </c>
      <c r="M273" s="4">
        <f>IF(Table1[[#This Row], [EQUIPMENT]]="YES",Sheet1!$C$44*(1+Sheet1!$D$44),0)</f>
        <v>0</v>
      </c>
      <c r="N273" s="4">
        <f>_xlfn.XLOOKUP(Table1[[#This Row], [ROOM]],Sheet1!$A$47:$A$66,Sheet1!$F$47:$F$66)</f>
        <v>17900000</v>
      </c>
      <c r="O273" s="9">
        <f>_xlfn.XLOOKUP(_xlfn.CONCAT(Table1[[#This Row], [TEAM]],Table1[[#This Row], [ROOM]]),'ROOM TIME'!$H$2:$H$121,'ROOM TIME'!$J$2:$J$121)</f>
        <v>41.748888888888878</v>
      </c>
      <c r="P273" s="9">
        <f>(INDEX(Sheet1!$X$48:$Z$67,MATCH(Table1[[#This Row], [ROOM]],Sheet1!$P$48:$P$67,0),MATCH(Table1[[#This Row], [WEAPON]],Sheet1!$X$47:$Z$47,0)))/Table1[[#This Row], [NUM OF MEM]]</f>
        <v>4.9833333333333334</v>
      </c>
      <c r="Q273" s="9">
        <f>Table1[[#This Row], [ROOM TIME]]+Table1[[#This Row], [GUARD TIME]]</f>
        <v>46.732222222222212</v>
      </c>
      <c r="R273" s="4">
        <f>Sheet1!$K$3*_xlfn.XLOOKUP(Table1[[#This Row], [DISGUISE]],Sheet1!$A$21:$A$23,Sheet1!$D$21:$D$23)</f>
        <v>66</v>
      </c>
      <c r="S273" s="9">
        <f>Table1[[#This Row], [TOTAL TIME]]-Table1[[#This Row], [TOTAL TIME TAKEN]]</f>
        <v>19.267777777777788</v>
      </c>
      <c r="T273" t="str">
        <f>IF(Table1[[#This Row], [TIME DIFFERENCE]]&gt;=0,"PASS","FAIL")</f>
        <v>PASS</v>
      </c>
      <c r="U273" s="9">
        <f>Table1[[#This Row], [TRC]]+Table1[[#This Row], [DRC]]+Table1[[#This Row], [WRC]]+Table1[[#This Row], [ERC]]+Table1[[#This Row], [EQRC]]</f>
        <v>7939923.7249999996</v>
      </c>
      <c r="V273" s="9">
        <f>Table1[[#This Row], [TOTAL COST]]+_xlfn.XLOOKUP(Table1[[#This Row], [TEAM]],Sheet1!$A$12:$A$17,Sheet1!$I$12:$I$17)</f>
        <v>8239361.2249999996</v>
      </c>
      <c r="W273" s="9">
        <f>Table1[[#This Row], [LOOT]]-Table1[[#This Row], [TOTAL COST]]</f>
        <v>9960076.2750000004</v>
      </c>
      <c r="X273" s="9">
        <f>IF(Table1[[#This Row], [PASS/FAIL]]="FAIL",0,Table1[[#This Row], [PROFIT]])</f>
        <v>9960076.2750000004</v>
      </c>
    </row>
    <row r="274" spans="1:24" ht="19.5" customHeight="1" x14ac:dyDescent="0.45">
      <c r="A274" t="s">
        <v>16</v>
      </c>
      <c r="B274" s="14">
        <f>_xlfn.XLOOKUP(Table1[[#This Row], [TEAM]],Sheet1!$A$12:$A$17,Sheet1!$F$12:$F$17)</f>
        <v>2</v>
      </c>
      <c r="C274" s="14">
        <f>_xlfn.XLOOKUP(Table1[[#This Row], [TEAM]],Sheet1!$A$12:$A$17,Sheet1!$G$12:$G$17)</f>
        <v>6082800</v>
      </c>
      <c r="D274" t="s">
        <v>33</v>
      </c>
      <c r="E274" s="4">
        <f>_xlfn.XLOOKUP(Table1[[#This Row], [ROOM]],Sheet1!$A$47:$A$66,Sheet1!$B$47:$B$66)</f>
        <v>356</v>
      </c>
      <c r="F274" t="s">
        <v>58</v>
      </c>
      <c r="G274" s="4">
        <f>_xlfn.XLOOKUP(Table1[[#This Row], [DISGUISE]],Sheet1!$A$21:$A$23,Sheet1!$B$21:$B$23)*Table1[[#This Row], [NUM OF MEM]]*(1+_xlfn.XLOOKUP(Table1[[#This Row], [DISGUISE]],Sheet1!$A$21:$A$23,Sheet1!$C$21:$C$23))</f>
        <v>25600</v>
      </c>
      <c r="H274" s="13" t="s">
        <v>59</v>
      </c>
      <c r="I274" s="4">
        <f>_xlfn.XLOOKUP(Table1[[#This Row], [WEAPON]],Sheet1!$A$27:$A$29,Sheet1!$B$27:$B$29)*Table1[[#This Row], [NUM OF MEM]]*(1+_xlfn.XLOOKUP(Table1[[#This Row], [WEAPON]],Sheet1!$A$27:$A$29,Sheet1!$C$27:$C$29))</f>
        <v>91000</v>
      </c>
      <c r="J274" t="s">
        <v>60</v>
      </c>
      <c r="K274" s="9">
        <f>Table1[[#This Row], [NUM OF MEM]]*Table1[[#This Row], [TOTAL TIME TAKEN]]*_xlfn.XLOOKUP(Table1[[#This Row], [EXIT]],Sheet1!$A$70:$A$71,Sheet1!$B$70:$B$71)*(1+_xlfn.XLOOKUP(Table1[[#This Row], [EXIT]],Sheet1!$A$70:$A$71,Sheet1!$C$70:$C$71))</f>
        <v>1633288.5187499996</v>
      </c>
      <c r="L274" s="13" t="s">
        <v>65</v>
      </c>
      <c r="M274" s="4">
        <f>IF(Table1[[#This Row], [EQUIPMENT]]="YES",Sheet1!$C$44*(1+Sheet1!$D$44),0)</f>
        <v>307500</v>
      </c>
      <c r="N274" s="4">
        <f>_xlfn.XLOOKUP(Table1[[#This Row], [ROOM]],Sheet1!$A$47:$A$66,Sheet1!$F$47:$F$66)</f>
        <v>18100000</v>
      </c>
      <c r="O274" s="9">
        <f>_xlfn.XLOOKUP(_xlfn.CONCAT(Table1[[#This Row], [TEAM]],Table1[[#This Row], [ROOM]]),'ROOM TIME'!$H$2:$H$121,'ROOM TIME'!$J$2:$J$121)</f>
        <v>56.738749999999982</v>
      </c>
      <c r="P274" s="9">
        <f>(INDEX(Sheet1!$X$48:$Z$67,MATCH(Table1[[#This Row], [ROOM]],Sheet1!$P$48:$P$67,0),MATCH(Table1[[#This Row], [WEAPON]],Sheet1!$X$47:$Z$47,0)))/Table1[[#This Row], [NUM OF MEM]]</f>
        <v>6.8999999999999995</v>
      </c>
      <c r="Q274" s="9">
        <f>Table1[[#This Row], [ROOM TIME]]+Table1[[#This Row], [GUARD TIME]]</f>
        <v>63.63874999999998</v>
      </c>
      <c r="R274" s="4">
        <f>Sheet1!$K$3*_xlfn.XLOOKUP(Table1[[#This Row], [DISGUISE]],Sheet1!$A$21:$A$23,Sheet1!$D$21:$D$23)</f>
        <v>69</v>
      </c>
      <c r="S274" s="9">
        <f>Table1[[#This Row], [TOTAL TIME]]-Table1[[#This Row], [TOTAL TIME TAKEN]]</f>
        <v>5.3612500000000196</v>
      </c>
      <c r="T274" t="str">
        <f>IF(Table1[[#This Row], [TIME DIFFERENCE]]&gt;=0,"PASS","FAIL")</f>
        <v>PASS</v>
      </c>
      <c r="U274" s="9">
        <f>Table1[[#This Row], [TRC]]+Table1[[#This Row], [DRC]]+Table1[[#This Row], [WRC]]+Table1[[#This Row], [ERC]]+Table1[[#This Row], [EQRC]]</f>
        <v>8140188.5187499998</v>
      </c>
      <c r="V274" s="9">
        <f>Table1[[#This Row], [TOTAL COST]]+_xlfn.XLOOKUP(Table1[[#This Row], [TEAM]],Sheet1!$A$12:$A$17,Sheet1!$I$12:$I$17)</f>
        <v>8444328.5187500007</v>
      </c>
      <c r="W274" s="9">
        <f>Table1[[#This Row], [LOOT]]-Table1[[#This Row], [TOTAL COST]]</f>
        <v>9959811.4812499993</v>
      </c>
      <c r="X274" s="9">
        <f>IF(Table1[[#This Row], [PASS/FAIL]]="FAIL",0,Table1[[#This Row], [PROFIT]])</f>
        <v>9959811.4812499993</v>
      </c>
    </row>
    <row r="275" spans="1:24" ht="19.5" customHeight="1" x14ac:dyDescent="0.45">
      <c r="A275" t="s">
        <v>12</v>
      </c>
      <c r="B275" s="14">
        <f>_xlfn.XLOOKUP(Table1[[#This Row], [TEAM]],Sheet1!$A$12:$A$17,Sheet1!$F$12:$F$17)</f>
        <v>3</v>
      </c>
      <c r="C275" s="14">
        <f>_xlfn.XLOOKUP(Table1[[#This Row], [TEAM]],Sheet1!$A$12:$A$17,Sheet1!$G$12:$G$17)</f>
        <v>5988750</v>
      </c>
      <c r="D275" t="s">
        <v>33</v>
      </c>
      <c r="E275" s="4">
        <f>_xlfn.XLOOKUP(Table1[[#This Row], [ROOM]],Sheet1!$A$47:$A$66,Sheet1!$B$47:$B$66)</f>
        <v>356</v>
      </c>
      <c r="F275" t="s">
        <v>58</v>
      </c>
      <c r="G275" s="4">
        <f>_xlfn.XLOOKUP(Table1[[#This Row], [DISGUISE]],Sheet1!$A$21:$A$23,Sheet1!$B$21:$B$23)*Table1[[#This Row], [NUM OF MEM]]*(1+_xlfn.XLOOKUP(Table1[[#This Row], [DISGUISE]],Sheet1!$A$21:$A$23,Sheet1!$C$21:$C$23))</f>
        <v>38400</v>
      </c>
      <c r="H275" s="13" t="s">
        <v>59</v>
      </c>
      <c r="I275" s="4">
        <f>_xlfn.XLOOKUP(Table1[[#This Row], [WEAPON]],Sheet1!$A$27:$A$29,Sheet1!$B$27:$B$29)*Table1[[#This Row], [NUM OF MEM]]*(1+_xlfn.XLOOKUP(Table1[[#This Row], [WEAPON]],Sheet1!$A$27:$A$29,Sheet1!$C$27:$C$29))</f>
        <v>136500</v>
      </c>
      <c r="J275" t="s">
        <v>64</v>
      </c>
      <c r="K275" s="9">
        <f>Table1[[#This Row], [NUM OF MEM]]*Table1[[#This Row], [TOTAL TIME TAKEN]]*_xlfn.XLOOKUP(Table1[[#This Row], [EXIT]],Sheet1!$A$70:$A$71,Sheet1!$B$70:$B$71)*(1+_xlfn.XLOOKUP(Table1[[#This Row], [EXIT]],Sheet1!$A$70:$A$71,Sheet1!$C$70:$C$71))</f>
        <v>1669161.5999999994</v>
      </c>
      <c r="L275" s="13" t="s">
        <v>65</v>
      </c>
      <c r="M275" s="4">
        <f>IF(Table1[[#This Row], [EQUIPMENT]]="YES",Sheet1!$C$44*(1+Sheet1!$D$44),0)</f>
        <v>307500</v>
      </c>
      <c r="N275" s="4">
        <f>_xlfn.XLOOKUP(Table1[[#This Row], [ROOM]],Sheet1!$A$47:$A$66,Sheet1!$F$47:$F$66)</f>
        <v>18100000</v>
      </c>
      <c r="O275" s="9">
        <f>_xlfn.XLOOKUP(_xlfn.CONCAT(Table1[[#This Row], [TEAM]],Table1[[#This Row], [ROOM]]),'ROOM TIME'!$H$2:$H$121,'ROOM TIME'!$J$2:$J$121)</f>
        <v>38.331111111111092</v>
      </c>
      <c r="P275" s="9">
        <f>(INDEX(Sheet1!$X$48:$Z$67,MATCH(Table1[[#This Row], [ROOM]],Sheet1!$P$48:$P$67,0),MATCH(Table1[[#This Row], [WEAPON]],Sheet1!$X$47:$Z$47,0)))/Table1[[#This Row], [NUM OF MEM]]</f>
        <v>4.5999999999999996</v>
      </c>
      <c r="Q275" s="9">
        <f>Table1[[#This Row], [ROOM TIME]]+Table1[[#This Row], [GUARD TIME]]</f>
        <v>42.931111111111093</v>
      </c>
      <c r="R275" s="4">
        <f>Sheet1!$K$3*_xlfn.XLOOKUP(Table1[[#This Row], [DISGUISE]],Sheet1!$A$21:$A$23,Sheet1!$D$21:$D$23)</f>
        <v>69</v>
      </c>
      <c r="S275" s="9">
        <f>Table1[[#This Row], [TOTAL TIME]]-Table1[[#This Row], [TOTAL TIME TAKEN]]</f>
        <v>26.068888888888907</v>
      </c>
      <c r="T275" t="str">
        <f>IF(Table1[[#This Row], [TIME DIFFERENCE]]&gt;=0,"PASS","FAIL")</f>
        <v>PASS</v>
      </c>
      <c r="U275" s="9">
        <f>Table1[[#This Row], [TRC]]+Table1[[#This Row], [DRC]]+Table1[[#This Row], [WRC]]+Table1[[#This Row], [ERC]]+Table1[[#This Row], [EQRC]]</f>
        <v>8140311.5999999996</v>
      </c>
      <c r="V275" s="9">
        <f>Table1[[#This Row], [TOTAL COST]]+_xlfn.XLOOKUP(Table1[[#This Row], [TEAM]],Sheet1!$A$12:$A$17,Sheet1!$I$12:$I$17)</f>
        <v>8439749.0999999996</v>
      </c>
      <c r="W275" s="9">
        <f>Table1[[#This Row], [LOOT]]-Table1[[#This Row], [TOTAL COST]]</f>
        <v>9959688.4000000004</v>
      </c>
      <c r="X275" s="9">
        <f>IF(Table1[[#This Row], [PASS/FAIL]]="FAIL",0,Table1[[#This Row], [PROFIT]])</f>
        <v>9959688.4000000004</v>
      </c>
    </row>
    <row r="276" spans="1:24" ht="19.5" customHeight="1" x14ac:dyDescent="0.45">
      <c r="A276" t="s">
        <v>16</v>
      </c>
      <c r="B276" s="14">
        <f>_xlfn.XLOOKUP(Table1[[#This Row], [TEAM]],Sheet1!$A$12:$A$17,Sheet1!$F$12:$F$17)</f>
        <v>2</v>
      </c>
      <c r="C276" s="14">
        <f>_xlfn.XLOOKUP(Table1[[#This Row], [TEAM]],Sheet1!$A$12:$A$17,Sheet1!$G$12:$G$17)</f>
        <v>6082800</v>
      </c>
      <c r="D276" t="s">
        <v>33</v>
      </c>
      <c r="E276" s="4">
        <f>_xlfn.XLOOKUP(Table1[[#This Row], [ROOM]],Sheet1!$A$47:$A$66,Sheet1!$B$47:$B$66)</f>
        <v>356</v>
      </c>
      <c r="F276" t="s">
        <v>62</v>
      </c>
      <c r="G276" s="4">
        <f>_xlfn.XLOOKUP(Table1[[#This Row], [DISGUISE]],Sheet1!$A$21:$A$23,Sheet1!$B$21:$B$23)*Table1[[#This Row], [NUM OF MEM]]*(1+_xlfn.XLOOKUP(Table1[[#This Row], [DISGUISE]],Sheet1!$A$21:$A$23,Sheet1!$C$21:$C$23))</f>
        <v>10400</v>
      </c>
      <c r="H276" s="13" t="s">
        <v>59</v>
      </c>
      <c r="I276" s="4">
        <f>_xlfn.XLOOKUP(Table1[[#This Row], [WEAPON]],Sheet1!$A$27:$A$29,Sheet1!$B$27:$B$29)*Table1[[#This Row], [NUM OF MEM]]*(1+_xlfn.XLOOKUP(Table1[[#This Row], [WEAPON]],Sheet1!$A$27:$A$29,Sheet1!$C$27:$C$29))</f>
        <v>91000</v>
      </c>
      <c r="J276" t="s">
        <v>64</v>
      </c>
      <c r="K276" s="9">
        <f>Table1[[#This Row], [NUM OF MEM]]*Table1[[#This Row], [TOTAL TIME TAKEN]]*_xlfn.XLOOKUP(Table1[[#This Row], [EXIT]],Sheet1!$A$70:$A$71,Sheet1!$B$70:$B$71)*(1+_xlfn.XLOOKUP(Table1[[#This Row], [EXIT]],Sheet1!$A$70:$A$71,Sheet1!$C$70:$C$71))</f>
        <v>1649516.3999999994</v>
      </c>
      <c r="L276" s="13" t="s">
        <v>65</v>
      </c>
      <c r="M276" s="4">
        <f>IF(Table1[[#This Row], [EQUIPMENT]]="YES",Sheet1!$C$44*(1+Sheet1!$D$44),0)</f>
        <v>307500</v>
      </c>
      <c r="N276" s="4">
        <f>_xlfn.XLOOKUP(Table1[[#This Row], [ROOM]],Sheet1!$A$47:$A$66,Sheet1!$F$47:$F$66)</f>
        <v>18100000</v>
      </c>
      <c r="O276" s="9">
        <f>_xlfn.XLOOKUP(_xlfn.CONCAT(Table1[[#This Row], [TEAM]],Table1[[#This Row], [ROOM]]),'ROOM TIME'!$H$2:$H$121,'ROOM TIME'!$J$2:$J$121)</f>
        <v>56.738749999999982</v>
      </c>
      <c r="P276" s="9">
        <f>(INDEX(Sheet1!$X$48:$Z$67,MATCH(Table1[[#This Row], [ROOM]],Sheet1!$P$48:$P$67,0),MATCH(Table1[[#This Row], [WEAPON]],Sheet1!$X$47:$Z$47,0)))/Table1[[#This Row], [NUM OF MEM]]</f>
        <v>6.8999999999999995</v>
      </c>
      <c r="Q276" s="9">
        <f>Table1[[#This Row], [ROOM TIME]]+Table1[[#This Row], [GUARD TIME]]</f>
        <v>63.63874999999998</v>
      </c>
      <c r="R276" s="4">
        <f>Sheet1!$K$3*_xlfn.XLOOKUP(Table1[[#This Row], [DISGUISE]],Sheet1!$A$21:$A$23,Sheet1!$D$21:$D$23)</f>
        <v>66</v>
      </c>
      <c r="S276" s="9">
        <f>Table1[[#This Row], [TOTAL TIME]]-Table1[[#This Row], [TOTAL TIME TAKEN]]</f>
        <v>2.3612500000000196</v>
      </c>
      <c r="T276" t="str">
        <f>IF(Table1[[#This Row], [TIME DIFFERENCE]]&gt;=0,"PASS","FAIL")</f>
        <v>PASS</v>
      </c>
      <c r="U276" s="9">
        <f>Table1[[#This Row], [TRC]]+Table1[[#This Row], [DRC]]+Table1[[#This Row], [WRC]]+Table1[[#This Row], [ERC]]+Table1[[#This Row], [EQRC]]</f>
        <v>8141216.3999999994</v>
      </c>
      <c r="V276" s="9">
        <f>Table1[[#This Row], [TOTAL COST]]+_xlfn.XLOOKUP(Table1[[#This Row], [TEAM]],Sheet1!$A$12:$A$17,Sheet1!$I$12:$I$17)</f>
        <v>8445356.3999999985</v>
      </c>
      <c r="W276" s="9">
        <f>Table1[[#This Row], [LOOT]]-Table1[[#This Row], [TOTAL COST]]</f>
        <v>9958783.6000000015</v>
      </c>
      <c r="X276" s="9">
        <f>IF(Table1[[#This Row], [PASS/FAIL]]="FAIL",0,Table1[[#This Row], [PROFIT]])</f>
        <v>9958783.6000000015</v>
      </c>
    </row>
    <row r="277" spans="1:24" ht="19.5" customHeight="1" x14ac:dyDescent="0.45">
      <c r="A277" t="s">
        <v>9</v>
      </c>
      <c r="B277" s="14">
        <f>_xlfn.XLOOKUP(Table1[[#This Row], [TEAM]],Sheet1!$A$12:$A$17,Sheet1!$F$12:$F$17)</f>
        <v>3</v>
      </c>
      <c r="C277" s="14">
        <f>_xlfn.XLOOKUP(Table1[[#This Row], [TEAM]],Sheet1!$A$12:$A$17,Sheet1!$G$12:$G$17)</f>
        <v>6238750</v>
      </c>
      <c r="D277" t="s">
        <v>18</v>
      </c>
      <c r="E277" s="4">
        <f>_xlfn.XLOOKUP(Table1[[#This Row], [ROOM]],Sheet1!$A$47:$A$66,Sheet1!$B$47:$B$66)</f>
        <v>134</v>
      </c>
      <c r="F277" t="s">
        <v>58</v>
      </c>
      <c r="G277" s="4">
        <f>_xlfn.XLOOKUP(Table1[[#This Row], [DISGUISE]],Sheet1!$A$21:$A$23,Sheet1!$B$21:$B$23)*Table1[[#This Row], [NUM OF MEM]]*(1+_xlfn.XLOOKUP(Table1[[#This Row], [DISGUISE]],Sheet1!$A$21:$A$23,Sheet1!$C$21:$C$23))</f>
        <v>38400</v>
      </c>
      <c r="H277" s="13" t="s">
        <v>59</v>
      </c>
      <c r="I277" s="4">
        <f>_xlfn.XLOOKUP(Table1[[#This Row], [WEAPON]],Sheet1!$A$27:$A$29,Sheet1!$B$27:$B$29)*Table1[[#This Row], [NUM OF MEM]]*(1+_xlfn.XLOOKUP(Table1[[#This Row], [WEAPON]],Sheet1!$A$27:$A$29,Sheet1!$C$27:$C$29))</f>
        <v>136500</v>
      </c>
      <c r="J277" t="s">
        <v>60</v>
      </c>
      <c r="K277" s="9">
        <f>Table1[[#This Row], [NUM OF MEM]]*Table1[[#This Row], [TOTAL TIME TAKEN]]*_xlfn.XLOOKUP(Table1[[#This Row], [EXIT]],Sheet1!$A$70:$A$71,Sheet1!$B$70:$B$71)*(1+_xlfn.XLOOKUP(Table1[[#This Row], [EXIT]],Sheet1!$A$70:$A$71,Sheet1!$C$70:$C$71))</f>
        <v>1678640.7124999997</v>
      </c>
      <c r="L277" s="13" t="s">
        <v>61</v>
      </c>
      <c r="M277" s="4">
        <f>IF(Table1[[#This Row], [EQUIPMENT]]="YES",Sheet1!$C$44*(1+Sheet1!$D$44),0)</f>
        <v>0</v>
      </c>
      <c r="N277" s="4">
        <f>_xlfn.XLOOKUP(Table1[[#This Row], [ROOM]],Sheet1!$A$47:$A$66,Sheet1!$F$47:$F$66)</f>
        <v>18050000</v>
      </c>
      <c r="O277" s="9">
        <f>_xlfn.XLOOKUP(_xlfn.CONCAT(Table1[[#This Row], [TEAM]],Table1[[#This Row], [ROOM]]),'ROOM TIME'!$H$2:$H$121,'ROOM TIME'!$J$2:$J$121)</f>
        <v>39.003888888888881</v>
      </c>
      <c r="P277" s="9">
        <f>(INDEX(Sheet1!$X$48:$Z$67,MATCH(Table1[[#This Row], [ROOM]],Sheet1!$P$48:$P$67,0),MATCH(Table1[[#This Row], [WEAPON]],Sheet1!$X$47:$Z$47,0)))/Table1[[#This Row], [NUM OF MEM]]</f>
        <v>4.5999999999999996</v>
      </c>
      <c r="Q277" s="9">
        <f>Table1[[#This Row], [ROOM TIME]]+Table1[[#This Row], [GUARD TIME]]</f>
        <v>43.603888888888882</v>
      </c>
      <c r="R277" s="4">
        <f>Sheet1!$K$3*_xlfn.XLOOKUP(Table1[[#This Row], [DISGUISE]],Sheet1!$A$21:$A$23,Sheet1!$D$21:$D$23)</f>
        <v>69</v>
      </c>
      <c r="S277" s="9">
        <f>Table1[[#This Row], [TOTAL TIME]]-Table1[[#This Row], [TOTAL TIME TAKEN]]</f>
        <v>25.396111111111118</v>
      </c>
      <c r="T277" t="str">
        <f>IF(Table1[[#This Row], [TIME DIFFERENCE]]&gt;=0,"PASS","FAIL")</f>
        <v>PASS</v>
      </c>
      <c r="U277" s="9">
        <f>Table1[[#This Row], [TRC]]+Table1[[#This Row], [DRC]]+Table1[[#This Row], [WRC]]+Table1[[#This Row], [ERC]]+Table1[[#This Row], [EQRC]]</f>
        <v>8092290.7124999994</v>
      </c>
      <c r="V277" s="9">
        <f>Table1[[#This Row], [TOTAL COST]]+_xlfn.XLOOKUP(Table1[[#This Row], [TEAM]],Sheet1!$A$12:$A$17,Sheet1!$I$12:$I$17)</f>
        <v>8404228.2124999985</v>
      </c>
      <c r="W277" s="9">
        <f>Table1[[#This Row], [LOOT]]-Table1[[#This Row], [TOTAL COST]]</f>
        <v>9957709.2875000015</v>
      </c>
      <c r="X277" s="9">
        <f>IF(Table1[[#This Row], [PASS/FAIL]]="FAIL",0,Table1[[#This Row], [PROFIT]])</f>
        <v>9957709.2875000015</v>
      </c>
    </row>
    <row r="278" spans="1:24" ht="19.5" customHeight="1" x14ac:dyDescent="0.45">
      <c r="A278" t="s">
        <v>16</v>
      </c>
      <c r="B278" s="14">
        <f>_xlfn.XLOOKUP(Table1[[#This Row], [TEAM]],Sheet1!$A$12:$A$17,Sheet1!$F$12:$F$17)</f>
        <v>2</v>
      </c>
      <c r="C278" s="14">
        <f>_xlfn.XLOOKUP(Table1[[#This Row], [TEAM]],Sheet1!$A$12:$A$17,Sheet1!$G$12:$G$17)</f>
        <v>6082800</v>
      </c>
      <c r="D278" t="s">
        <v>33</v>
      </c>
      <c r="E278" s="4">
        <f>_xlfn.XLOOKUP(Table1[[#This Row], [ROOM]],Sheet1!$A$47:$A$66,Sheet1!$B$47:$B$66)</f>
        <v>356</v>
      </c>
      <c r="F278" t="s">
        <v>58</v>
      </c>
      <c r="G278" s="4">
        <f>_xlfn.XLOOKUP(Table1[[#This Row], [DISGUISE]],Sheet1!$A$21:$A$23,Sheet1!$B$21:$B$23)*Table1[[#This Row], [NUM OF MEM]]*(1+_xlfn.XLOOKUP(Table1[[#This Row], [DISGUISE]],Sheet1!$A$21:$A$23,Sheet1!$C$21:$C$23))</f>
        <v>25600</v>
      </c>
      <c r="H278" s="13" t="s">
        <v>63</v>
      </c>
      <c r="I278" s="4">
        <f>_xlfn.XLOOKUP(Table1[[#This Row], [WEAPON]],Sheet1!$A$27:$A$29,Sheet1!$B$27:$B$29)*Table1[[#This Row], [NUM OF MEM]]*(1+_xlfn.XLOOKUP(Table1[[#This Row], [WEAPON]],Sheet1!$A$27:$A$29,Sheet1!$C$27:$C$29))</f>
        <v>46000</v>
      </c>
      <c r="J278" t="s">
        <v>64</v>
      </c>
      <c r="K278" s="9">
        <f>Table1[[#This Row], [NUM OF MEM]]*Table1[[#This Row], [TOTAL TIME TAKEN]]*_xlfn.XLOOKUP(Table1[[#This Row], [EXIT]],Sheet1!$A$70:$A$71,Sheet1!$B$70:$B$71)*(1+_xlfn.XLOOKUP(Table1[[#This Row], [EXIT]],Sheet1!$A$70:$A$71,Sheet1!$C$70:$C$71))</f>
        <v>1680620.3999999994</v>
      </c>
      <c r="L278" s="13" t="s">
        <v>65</v>
      </c>
      <c r="M278" s="4">
        <f>IF(Table1[[#This Row], [EQUIPMENT]]="YES",Sheet1!$C$44*(1+Sheet1!$D$44),0)</f>
        <v>307500</v>
      </c>
      <c r="N278" s="4">
        <f>_xlfn.XLOOKUP(Table1[[#This Row], [ROOM]],Sheet1!$A$47:$A$66,Sheet1!$F$47:$F$66)</f>
        <v>18100000</v>
      </c>
      <c r="O278" s="9">
        <f>_xlfn.XLOOKUP(_xlfn.CONCAT(Table1[[#This Row], [TEAM]],Table1[[#This Row], [ROOM]]),'ROOM TIME'!$H$2:$H$121,'ROOM TIME'!$J$2:$J$121)</f>
        <v>56.738749999999982</v>
      </c>
      <c r="P278" s="9">
        <f>(INDEX(Sheet1!$X$48:$Z$67,MATCH(Table1[[#This Row], [ROOM]],Sheet1!$P$48:$P$67,0),MATCH(Table1[[#This Row], [WEAPON]],Sheet1!$X$47:$Z$47,0)))/Table1[[#This Row], [NUM OF MEM]]</f>
        <v>8.1000000000000014</v>
      </c>
      <c r="Q278" s="9">
        <f>Table1[[#This Row], [ROOM TIME]]+Table1[[#This Row], [GUARD TIME]]</f>
        <v>64.838749999999976</v>
      </c>
      <c r="R278" s="4">
        <f>Sheet1!$K$3*_xlfn.XLOOKUP(Table1[[#This Row], [DISGUISE]],Sheet1!$A$21:$A$23,Sheet1!$D$21:$D$23)</f>
        <v>69</v>
      </c>
      <c r="S278" s="9">
        <f>Table1[[#This Row], [TOTAL TIME]]-Table1[[#This Row], [TOTAL TIME TAKEN]]</f>
        <v>4.1612500000000239</v>
      </c>
      <c r="T278" t="str">
        <f>IF(Table1[[#This Row], [TIME DIFFERENCE]]&gt;=0,"PASS","FAIL")</f>
        <v>PASS</v>
      </c>
      <c r="U278" s="9">
        <f>Table1[[#This Row], [TRC]]+Table1[[#This Row], [DRC]]+Table1[[#This Row], [WRC]]+Table1[[#This Row], [ERC]]+Table1[[#This Row], [EQRC]]</f>
        <v>8142520.3999999994</v>
      </c>
      <c r="V278" s="9">
        <f>Table1[[#This Row], [TOTAL COST]]+_xlfn.XLOOKUP(Table1[[#This Row], [TEAM]],Sheet1!$A$12:$A$17,Sheet1!$I$12:$I$17)</f>
        <v>8446660.3999999985</v>
      </c>
      <c r="W278" s="9">
        <f>Table1[[#This Row], [LOOT]]-Table1[[#This Row], [TOTAL COST]]</f>
        <v>9957479.6000000015</v>
      </c>
      <c r="X278" s="9">
        <f>IF(Table1[[#This Row], [PASS/FAIL]]="FAIL",0,Table1[[#This Row], [PROFIT]])</f>
        <v>9957479.6000000015</v>
      </c>
    </row>
    <row r="279" spans="1:24" ht="19.5" customHeight="1" x14ac:dyDescent="0.45">
      <c r="A279" t="s">
        <v>9</v>
      </c>
      <c r="B279" s="14">
        <f>_xlfn.XLOOKUP(Table1[[#This Row], [TEAM]],Sheet1!$A$12:$A$17,Sheet1!$F$12:$F$17)</f>
        <v>3</v>
      </c>
      <c r="C279" s="14">
        <f>_xlfn.XLOOKUP(Table1[[#This Row], [TEAM]],Sheet1!$A$12:$A$17,Sheet1!$G$12:$G$17)</f>
        <v>6238750</v>
      </c>
      <c r="D279" t="s">
        <v>24</v>
      </c>
      <c r="E279" s="4">
        <f>_xlfn.XLOOKUP(Table1[[#This Row], [ROOM]],Sheet1!$A$47:$A$66,Sheet1!$B$47:$B$66)</f>
        <v>345</v>
      </c>
      <c r="F279" t="s">
        <v>58</v>
      </c>
      <c r="G279" s="4">
        <f>_xlfn.XLOOKUP(Table1[[#This Row], [DISGUISE]],Sheet1!$A$21:$A$23,Sheet1!$B$21:$B$23)*Table1[[#This Row], [NUM OF MEM]]*(1+_xlfn.XLOOKUP(Table1[[#This Row], [DISGUISE]],Sheet1!$A$21:$A$23,Sheet1!$C$21:$C$23))</f>
        <v>38400</v>
      </c>
      <c r="H279" s="13" t="s">
        <v>63</v>
      </c>
      <c r="I279" s="4">
        <f>_xlfn.XLOOKUP(Table1[[#This Row], [WEAPON]],Sheet1!$A$27:$A$29,Sheet1!$B$27:$B$29)*Table1[[#This Row], [NUM OF MEM]]*(1+_xlfn.XLOOKUP(Table1[[#This Row], [WEAPON]],Sheet1!$A$27:$A$29,Sheet1!$C$27:$C$29))</f>
        <v>69000</v>
      </c>
      <c r="J279" t="s">
        <v>60</v>
      </c>
      <c r="K279" s="9">
        <f>Table1[[#This Row], [NUM OF MEM]]*Table1[[#This Row], [TOTAL TIME TAKEN]]*_xlfn.XLOOKUP(Table1[[#This Row], [EXIT]],Sheet1!$A$70:$A$71,Sheet1!$B$70:$B$71)*(1+_xlfn.XLOOKUP(Table1[[#This Row], [EXIT]],Sheet1!$A$70:$A$71,Sheet1!$C$70:$C$71))</f>
        <v>1698210.2749999997</v>
      </c>
      <c r="L279" s="13" t="s">
        <v>61</v>
      </c>
      <c r="M279" s="4">
        <f>IF(Table1[[#This Row], [EQUIPMENT]]="YES",Sheet1!$C$44*(1+Sheet1!$D$44),0)</f>
        <v>0</v>
      </c>
      <c r="N279" s="4">
        <f>_xlfn.XLOOKUP(Table1[[#This Row], [ROOM]],Sheet1!$A$47:$A$66,Sheet1!$F$47:$F$66)</f>
        <v>18000000</v>
      </c>
      <c r="O279" s="9">
        <f>_xlfn.XLOOKUP(_xlfn.CONCAT(Table1[[#This Row], [TEAM]],Table1[[#This Row], [ROOM]]),'ROOM TIME'!$H$2:$H$121,'ROOM TIME'!$J$2:$J$121)</f>
        <v>38.712222222222216</v>
      </c>
      <c r="P279" s="9">
        <f>(INDEX(Sheet1!$X$48:$Z$67,MATCH(Table1[[#This Row], [ROOM]],Sheet1!$P$48:$P$67,0),MATCH(Table1[[#This Row], [WEAPON]],Sheet1!$X$47:$Z$47,0)))/Table1[[#This Row], [NUM OF MEM]]</f>
        <v>5.4000000000000012</v>
      </c>
      <c r="Q279" s="9">
        <f>Table1[[#This Row], [ROOM TIME]]+Table1[[#This Row], [GUARD TIME]]</f>
        <v>44.112222222222215</v>
      </c>
      <c r="R279" s="4">
        <f>Sheet1!$K$3*_xlfn.XLOOKUP(Table1[[#This Row], [DISGUISE]],Sheet1!$A$21:$A$23,Sheet1!$D$21:$D$23)</f>
        <v>69</v>
      </c>
      <c r="S279" s="9">
        <f>Table1[[#This Row], [TOTAL TIME]]-Table1[[#This Row], [TOTAL TIME TAKEN]]</f>
        <v>24.887777777777785</v>
      </c>
      <c r="T279" t="str">
        <f>IF(Table1[[#This Row], [TIME DIFFERENCE]]&gt;=0,"PASS","FAIL")</f>
        <v>PASS</v>
      </c>
      <c r="U279" s="9">
        <f>Table1[[#This Row], [TRC]]+Table1[[#This Row], [DRC]]+Table1[[#This Row], [WRC]]+Table1[[#This Row], [ERC]]+Table1[[#This Row], [EQRC]]</f>
        <v>8044360.2749999994</v>
      </c>
      <c r="V279" s="9">
        <f>Table1[[#This Row], [TOTAL COST]]+_xlfn.XLOOKUP(Table1[[#This Row], [TEAM]],Sheet1!$A$12:$A$17,Sheet1!$I$12:$I$17)</f>
        <v>8356297.7749999994</v>
      </c>
      <c r="W279" s="9">
        <f>Table1[[#This Row], [LOOT]]-Table1[[#This Row], [TOTAL COST]]</f>
        <v>9955639.7250000015</v>
      </c>
      <c r="X279" s="9">
        <f>IF(Table1[[#This Row], [PASS/FAIL]]="FAIL",0,Table1[[#This Row], [PROFIT]])</f>
        <v>9955639.7250000015</v>
      </c>
    </row>
    <row r="280" spans="1:24" ht="19.5" customHeight="1" x14ac:dyDescent="0.45">
      <c r="A280" t="s">
        <v>9</v>
      </c>
      <c r="B280" s="14">
        <f>_xlfn.XLOOKUP(Table1[[#This Row], [TEAM]],Sheet1!$A$12:$A$17,Sheet1!$F$12:$F$17)</f>
        <v>3</v>
      </c>
      <c r="C280" s="14">
        <f>_xlfn.XLOOKUP(Table1[[#This Row], [TEAM]],Sheet1!$A$12:$A$17,Sheet1!$G$12:$G$17)</f>
        <v>6238750</v>
      </c>
      <c r="D280" t="s">
        <v>24</v>
      </c>
      <c r="E280" s="4">
        <f>_xlfn.XLOOKUP(Table1[[#This Row], [ROOM]],Sheet1!$A$47:$A$66,Sheet1!$B$47:$B$66)</f>
        <v>345</v>
      </c>
      <c r="F280" t="s">
        <v>62</v>
      </c>
      <c r="G280" s="4">
        <f>_xlfn.XLOOKUP(Table1[[#This Row], [DISGUISE]],Sheet1!$A$21:$A$23,Sheet1!$B$21:$B$23)*Table1[[#This Row], [NUM OF MEM]]*(1+_xlfn.XLOOKUP(Table1[[#This Row], [DISGUISE]],Sheet1!$A$21:$A$23,Sheet1!$C$21:$C$23))</f>
        <v>15600</v>
      </c>
      <c r="H280" s="13" t="s">
        <v>66</v>
      </c>
      <c r="I280" s="4">
        <f>_xlfn.XLOOKUP(Table1[[#This Row], [WEAPON]],Sheet1!$A$27:$A$29,Sheet1!$B$27:$B$29)*Table1[[#This Row], [NUM OF MEM]]*(1+_xlfn.XLOOKUP(Table1[[#This Row], [WEAPON]],Sheet1!$A$27:$A$29,Sheet1!$C$27:$C$29))</f>
        <v>108000</v>
      </c>
      <c r="J280" t="s">
        <v>60</v>
      </c>
      <c r="K280" s="9">
        <f>Table1[[#This Row], [NUM OF MEM]]*Table1[[#This Row], [TOTAL TIME TAKEN]]*_xlfn.XLOOKUP(Table1[[#This Row], [EXIT]],Sheet1!$A$70:$A$71,Sheet1!$B$70:$B$71)*(1+_xlfn.XLOOKUP(Table1[[#This Row], [EXIT]],Sheet1!$A$70:$A$71,Sheet1!$C$70:$C$71))</f>
        <v>1682811.2749999999</v>
      </c>
      <c r="L280" s="13" t="s">
        <v>61</v>
      </c>
      <c r="M280" s="4">
        <f>IF(Table1[[#This Row], [EQUIPMENT]]="YES",Sheet1!$C$44*(1+Sheet1!$D$44),0)</f>
        <v>0</v>
      </c>
      <c r="N280" s="4">
        <f>_xlfn.XLOOKUP(Table1[[#This Row], [ROOM]],Sheet1!$A$47:$A$66,Sheet1!$F$47:$F$66)</f>
        <v>18000000</v>
      </c>
      <c r="O280" s="9">
        <f>_xlfn.XLOOKUP(_xlfn.CONCAT(Table1[[#This Row], [TEAM]],Table1[[#This Row], [ROOM]]),'ROOM TIME'!$H$2:$H$121,'ROOM TIME'!$J$2:$J$121)</f>
        <v>38.712222222222216</v>
      </c>
      <c r="P280" s="4">
        <f>(INDEX(Sheet1!$X$48:$Z$67,MATCH(Table1[[#This Row], [ROOM]],Sheet1!$P$48:$P$67,0),MATCH(Table1[[#This Row], [WEAPON]],Sheet1!$X$47:$Z$47,0)))/Table1[[#This Row], [NUM OF MEM]]</f>
        <v>5</v>
      </c>
      <c r="Q280" s="9">
        <f>Table1[[#This Row], [ROOM TIME]]+Table1[[#This Row], [GUARD TIME]]</f>
        <v>43.712222222222216</v>
      </c>
      <c r="R280" s="4">
        <f>Sheet1!$K$3*_xlfn.XLOOKUP(Table1[[#This Row], [DISGUISE]],Sheet1!$A$21:$A$23,Sheet1!$D$21:$D$23)</f>
        <v>66</v>
      </c>
      <c r="S280" s="9">
        <f>Table1[[#This Row], [TOTAL TIME]]-Table1[[#This Row], [TOTAL TIME TAKEN]]</f>
        <v>22.287777777777784</v>
      </c>
      <c r="T280" t="str">
        <f>IF(Table1[[#This Row], [TIME DIFFERENCE]]&gt;=0,"PASS","FAIL")</f>
        <v>PASS</v>
      </c>
      <c r="U280" s="9">
        <f>Table1[[#This Row], [TRC]]+Table1[[#This Row], [DRC]]+Table1[[#This Row], [WRC]]+Table1[[#This Row], [ERC]]+Table1[[#This Row], [EQRC]]</f>
        <v>8045161.2750000004</v>
      </c>
      <c r="V280" s="9">
        <f>Table1[[#This Row], [TOTAL COST]]+_xlfn.XLOOKUP(Table1[[#This Row], [TEAM]],Sheet1!$A$12:$A$17,Sheet1!$I$12:$I$17)</f>
        <v>8357098.7750000004</v>
      </c>
      <c r="W280" s="9">
        <f>Table1[[#This Row], [LOOT]]-Table1[[#This Row], [TOTAL COST]]</f>
        <v>9954838.7249999996</v>
      </c>
      <c r="X280" s="9">
        <f>IF(Table1[[#This Row], [PASS/FAIL]]="FAIL",0,Table1[[#This Row], [PROFIT]])</f>
        <v>9954838.7249999996</v>
      </c>
    </row>
    <row r="281" spans="1:24" ht="19.5" customHeight="1" x14ac:dyDescent="0.45">
      <c r="A281" t="s">
        <v>9</v>
      </c>
      <c r="B281" s="14">
        <f>_xlfn.XLOOKUP(Table1[[#This Row], [TEAM]],Sheet1!$A$12:$A$17,Sheet1!$F$12:$F$17)</f>
        <v>3</v>
      </c>
      <c r="C281" s="14">
        <f>_xlfn.XLOOKUP(Table1[[#This Row], [TEAM]],Sheet1!$A$12:$A$17,Sheet1!$G$12:$G$17)</f>
        <v>6238750</v>
      </c>
      <c r="D281" t="s">
        <v>18</v>
      </c>
      <c r="E281" s="4">
        <f>_xlfn.XLOOKUP(Table1[[#This Row], [ROOM]],Sheet1!$A$47:$A$66,Sheet1!$B$47:$B$66)</f>
        <v>134</v>
      </c>
      <c r="F281" t="s">
        <v>58</v>
      </c>
      <c r="G281" s="4">
        <f>_xlfn.XLOOKUP(Table1[[#This Row], [DISGUISE]],Sheet1!$A$21:$A$23,Sheet1!$B$21:$B$23)*Table1[[#This Row], [NUM OF MEM]]*(1+_xlfn.XLOOKUP(Table1[[#This Row], [DISGUISE]],Sheet1!$A$21:$A$23,Sheet1!$C$21:$C$23))</f>
        <v>38400</v>
      </c>
      <c r="H281" s="13" t="s">
        <v>66</v>
      </c>
      <c r="I281" s="4">
        <f>_xlfn.XLOOKUP(Table1[[#This Row], [WEAPON]],Sheet1!$A$27:$A$29,Sheet1!$B$27:$B$29)*Table1[[#This Row], [NUM OF MEM]]*(1+_xlfn.XLOOKUP(Table1[[#This Row], [WEAPON]],Sheet1!$A$27:$A$29,Sheet1!$C$27:$C$29))</f>
        <v>108000</v>
      </c>
      <c r="J281" t="s">
        <v>64</v>
      </c>
      <c r="K281" s="9">
        <f>Table1[[#This Row], [NUM OF MEM]]*Table1[[#This Row], [TOTAL TIME TAKEN]]*_xlfn.XLOOKUP(Table1[[#This Row], [EXIT]],Sheet1!$A$70:$A$71,Sheet1!$B$70:$B$71)*(1+_xlfn.XLOOKUP(Table1[[#This Row], [EXIT]],Sheet1!$A$70:$A$71,Sheet1!$C$70:$C$71))</f>
        <v>1710871.2</v>
      </c>
      <c r="L281" s="13" t="s">
        <v>61</v>
      </c>
      <c r="M281" s="4">
        <f>IF(Table1[[#This Row], [EQUIPMENT]]="YES",Sheet1!$C$44*(1+Sheet1!$D$44),0)</f>
        <v>0</v>
      </c>
      <c r="N281" s="4">
        <f>_xlfn.XLOOKUP(Table1[[#This Row], [ROOM]],Sheet1!$A$47:$A$66,Sheet1!$F$47:$F$66)</f>
        <v>18050000</v>
      </c>
      <c r="O281" s="9">
        <f>_xlfn.XLOOKUP(_xlfn.CONCAT(Table1[[#This Row], [TEAM]],Table1[[#This Row], [ROOM]]),'ROOM TIME'!$H$2:$H$121,'ROOM TIME'!$J$2:$J$121)</f>
        <v>39.003888888888881</v>
      </c>
      <c r="P281" s="4">
        <f>(INDEX(Sheet1!$X$48:$Z$67,MATCH(Table1[[#This Row], [ROOM]],Sheet1!$P$48:$P$67,0),MATCH(Table1[[#This Row], [WEAPON]],Sheet1!$X$47:$Z$47,0)))/Table1[[#This Row], [NUM OF MEM]]</f>
        <v>5</v>
      </c>
      <c r="Q281" s="9">
        <f>Table1[[#This Row], [ROOM TIME]]+Table1[[#This Row], [GUARD TIME]]</f>
        <v>44.003888888888881</v>
      </c>
      <c r="R281" s="4">
        <f>Sheet1!$K$3*_xlfn.XLOOKUP(Table1[[#This Row], [DISGUISE]],Sheet1!$A$21:$A$23,Sheet1!$D$21:$D$23)</f>
        <v>69</v>
      </c>
      <c r="S281" s="9">
        <f>Table1[[#This Row], [TOTAL TIME]]-Table1[[#This Row], [TOTAL TIME TAKEN]]</f>
        <v>24.996111111111119</v>
      </c>
      <c r="T281" t="str">
        <f>IF(Table1[[#This Row], [TIME DIFFERENCE]]&gt;=0,"PASS","FAIL")</f>
        <v>PASS</v>
      </c>
      <c r="U281" s="9">
        <f>Table1[[#This Row], [TRC]]+Table1[[#This Row], [DRC]]+Table1[[#This Row], [WRC]]+Table1[[#This Row], [ERC]]+Table1[[#This Row], [EQRC]]</f>
        <v>8096021.2000000002</v>
      </c>
      <c r="V281" s="9">
        <f>Table1[[#This Row], [TOTAL COST]]+_xlfn.XLOOKUP(Table1[[#This Row], [TEAM]],Sheet1!$A$12:$A$17,Sheet1!$I$12:$I$17)</f>
        <v>8407958.6999999993</v>
      </c>
      <c r="W281" s="9">
        <f>Table1[[#This Row], [LOOT]]-Table1[[#This Row], [TOTAL COST]]</f>
        <v>9953978.8000000007</v>
      </c>
      <c r="X281" s="9">
        <f>IF(Table1[[#This Row], [PASS/FAIL]]="FAIL",0,Table1[[#This Row], [PROFIT]])</f>
        <v>9953978.8000000007</v>
      </c>
    </row>
    <row r="282" spans="1:24" ht="19.5" customHeight="1" x14ac:dyDescent="0.45">
      <c r="A282" t="s">
        <v>12</v>
      </c>
      <c r="B282" s="14">
        <f>_xlfn.XLOOKUP(Table1[[#This Row], [TEAM]],Sheet1!$A$12:$A$17,Sheet1!$F$12:$F$17)</f>
        <v>3</v>
      </c>
      <c r="C282" s="14">
        <f>_xlfn.XLOOKUP(Table1[[#This Row], [TEAM]],Sheet1!$A$12:$A$17,Sheet1!$G$12:$G$17)</f>
        <v>5988750</v>
      </c>
      <c r="D282" t="s">
        <v>21</v>
      </c>
      <c r="E282" s="4">
        <f>_xlfn.XLOOKUP(Table1[[#This Row], [ROOM]],Sheet1!$A$47:$A$66,Sheet1!$B$47:$B$66)</f>
        <v>234</v>
      </c>
      <c r="F282" t="s">
        <v>62</v>
      </c>
      <c r="G282" s="4">
        <f>_xlfn.XLOOKUP(Table1[[#This Row], [DISGUISE]],Sheet1!$A$21:$A$23,Sheet1!$B$21:$B$23)*Table1[[#This Row], [NUM OF MEM]]*(1+_xlfn.XLOOKUP(Table1[[#This Row], [DISGUISE]],Sheet1!$A$21:$A$23,Sheet1!$C$21:$C$23))</f>
        <v>15600</v>
      </c>
      <c r="H282" s="13" t="s">
        <v>66</v>
      </c>
      <c r="I282" s="4">
        <f>_xlfn.XLOOKUP(Table1[[#This Row], [WEAPON]],Sheet1!$A$27:$A$29,Sheet1!$B$27:$B$29)*Table1[[#This Row], [NUM OF MEM]]*(1+_xlfn.XLOOKUP(Table1[[#This Row], [WEAPON]],Sheet1!$A$27:$A$29,Sheet1!$C$27:$C$29))</f>
        <v>108000</v>
      </c>
      <c r="J282" t="s">
        <v>64</v>
      </c>
      <c r="K282" s="9">
        <f>Table1[[#This Row], [NUM OF MEM]]*Table1[[#This Row], [TOTAL TIME TAKEN]]*_xlfn.XLOOKUP(Table1[[#This Row], [EXIT]],Sheet1!$A$70:$A$71,Sheet1!$B$70:$B$71)*(1+_xlfn.XLOOKUP(Table1[[#This Row], [EXIT]],Sheet1!$A$70:$A$71,Sheet1!$C$70:$C$71))</f>
        <v>1833796.7999999993</v>
      </c>
      <c r="L282" s="13" t="s">
        <v>61</v>
      </c>
      <c r="M282" s="4">
        <f>IF(Table1[[#This Row], [EQUIPMENT]]="YES",Sheet1!$C$44*(1+Sheet1!$D$44),0)</f>
        <v>0</v>
      </c>
      <c r="N282" s="4">
        <f>_xlfn.XLOOKUP(Table1[[#This Row], [ROOM]],Sheet1!$A$47:$A$66,Sheet1!$F$47:$F$66)</f>
        <v>17900000</v>
      </c>
      <c r="O282" s="9">
        <f>_xlfn.XLOOKUP(_xlfn.CONCAT(Table1[[#This Row], [TEAM]],Table1[[#This Row], [ROOM]]),'ROOM TIME'!$H$2:$H$121,'ROOM TIME'!$J$2:$J$121)</f>
        <v>41.748888888888878</v>
      </c>
      <c r="P282" s="9">
        <f>(INDEX(Sheet1!$X$48:$Z$67,MATCH(Table1[[#This Row], [ROOM]],Sheet1!$P$48:$P$67,0),MATCH(Table1[[#This Row], [WEAPON]],Sheet1!$X$47:$Z$47,0)))/Table1[[#This Row], [NUM OF MEM]]</f>
        <v>5.416666666666667</v>
      </c>
      <c r="Q282" s="9">
        <f>Table1[[#This Row], [ROOM TIME]]+Table1[[#This Row], [GUARD TIME]]</f>
        <v>47.165555555555542</v>
      </c>
      <c r="R282" s="4">
        <f>Sheet1!$K$3*_xlfn.XLOOKUP(Table1[[#This Row], [DISGUISE]],Sheet1!$A$21:$A$23,Sheet1!$D$21:$D$23)</f>
        <v>66</v>
      </c>
      <c r="S282" s="9">
        <f>Table1[[#This Row], [TOTAL TIME]]-Table1[[#This Row], [TOTAL TIME TAKEN]]</f>
        <v>18.834444444444458</v>
      </c>
      <c r="T282" t="str">
        <f>IF(Table1[[#This Row], [TIME DIFFERENCE]]&gt;=0,"PASS","FAIL")</f>
        <v>PASS</v>
      </c>
      <c r="U282" s="9">
        <f>Table1[[#This Row], [TRC]]+Table1[[#This Row], [DRC]]+Table1[[#This Row], [WRC]]+Table1[[#This Row], [ERC]]+Table1[[#This Row], [EQRC]]</f>
        <v>7946146.7999999989</v>
      </c>
      <c r="V282" s="9">
        <f>Table1[[#This Row], [TOTAL COST]]+_xlfn.XLOOKUP(Table1[[#This Row], [TEAM]],Sheet1!$A$12:$A$17,Sheet1!$I$12:$I$17)</f>
        <v>8245584.2999999989</v>
      </c>
      <c r="W282" s="9">
        <f>Table1[[#This Row], [LOOT]]-Table1[[#This Row], [TOTAL COST]]</f>
        <v>9953853.2000000011</v>
      </c>
      <c r="X282" s="9">
        <f>IF(Table1[[#This Row], [PASS/FAIL]]="FAIL",0,Table1[[#This Row], [PROFIT]])</f>
        <v>9953853.2000000011</v>
      </c>
    </row>
    <row r="283" spans="1:24" ht="19.5" customHeight="1" x14ac:dyDescent="0.45">
      <c r="A283" t="s">
        <v>12</v>
      </c>
      <c r="B283" s="14">
        <f>_xlfn.XLOOKUP(Table1[[#This Row], [TEAM]],Sheet1!$A$12:$A$17,Sheet1!$F$12:$F$17)</f>
        <v>3</v>
      </c>
      <c r="C283" s="14">
        <f>_xlfn.XLOOKUP(Table1[[#This Row], [TEAM]],Sheet1!$A$12:$A$17,Sheet1!$G$12:$G$17)</f>
        <v>5988750</v>
      </c>
      <c r="D283" t="s">
        <v>21</v>
      </c>
      <c r="E283" s="4">
        <f>_xlfn.XLOOKUP(Table1[[#This Row], [ROOM]],Sheet1!$A$47:$A$66,Sheet1!$B$47:$B$66)</f>
        <v>234</v>
      </c>
      <c r="F283" t="s">
        <v>58</v>
      </c>
      <c r="G283" s="4">
        <f>_xlfn.XLOOKUP(Table1[[#This Row], [DISGUISE]],Sheet1!$A$21:$A$23,Sheet1!$B$21:$B$23)*Table1[[#This Row], [NUM OF MEM]]*(1+_xlfn.XLOOKUP(Table1[[#This Row], [DISGUISE]],Sheet1!$A$21:$A$23,Sheet1!$C$21:$C$23))</f>
        <v>38400</v>
      </c>
      <c r="H283" s="13" t="s">
        <v>63</v>
      </c>
      <c r="I283" s="4">
        <f>_xlfn.XLOOKUP(Table1[[#This Row], [WEAPON]],Sheet1!$A$27:$A$29,Sheet1!$B$27:$B$29)*Table1[[#This Row], [NUM OF MEM]]*(1+_xlfn.XLOOKUP(Table1[[#This Row], [WEAPON]],Sheet1!$A$27:$A$29,Sheet1!$C$27:$C$29))</f>
        <v>69000</v>
      </c>
      <c r="J283" t="s">
        <v>64</v>
      </c>
      <c r="K283" s="9">
        <f>Table1[[#This Row], [NUM OF MEM]]*Table1[[#This Row], [TOTAL TIME TAKEN]]*_xlfn.XLOOKUP(Table1[[#This Row], [EXIT]],Sheet1!$A$70:$A$71,Sheet1!$B$70:$B$71)*(1+_xlfn.XLOOKUP(Table1[[#This Row], [EXIT]],Sheet1!$A$70:$A$71,Sheet1!$C$70:$C$71))</f>
        <v>1850644.7999999993</v>
      </c>
      <c r="L283" s="13" t="s">
        <v>61</v>
      </c>
      <c r="M283" s="4">
        <f>IF(Table1[[#This Row], [EQUIPMENT]]="YES",Sheet1!$C$44*(1+Sheet1!$D$44),0)</f>
        <v>0</v>
      </c>
      <c r="N283" s="4">
        <f>_xlfn.XLOOKUP(Table1[[#This Row], [ROOM]],Sheet1!$A$47:$A$66,Sheet1!$F$47:$F$66)</f>
        <v>17900000</v>
      </c>
      <c r="O283" s="9">
        <f>_xlfn.XLOOKUP(_xlfn.CONCAT(Table1[[#This Row], [TEAM]],Table1[[#This Row], [ROOM]]),'ROOM TIME'!$H$2:$H$121,'ROOM TIME'!$J$2:$J$121)</f>
        <v>41.748888888888878</v>
      </c>
      <c r="P283" s="9">
        <f>(INDEX(Sheet1!$X$48:$Z$67,MATCH(Table1[[#This Row], [ROOM]],Sheet1!$P$48:$P$67,0),MATCH(Table1[[#This Row], [WEAPON]],Sheet1!$X$47:$Z$47,0)))/Table1[[#This Row], [NUM OF MEM]]</f>
        <v>5.8500000000000005</v>
      </c>
      <c r="Q283" s="9">
        <f>Table1[[#This Row], [ROOM TIME]]+Table1[[#This Row], [GUARD TIME]]</f>
        <v>47.598888888888879</v>
      </c>
      <c r="R283" s="4">
        <f>Sheet1!$K$3*_xlfn.XLOOKUP(Table1[[#This Row], [DISGUISE]],Sheet1!$A$21:$A$23,Sheet1!$D$21:$D$23)</f>
        <v>69</v>
      </c>
      <c r="S283" s="9">
        <f>Table1[[#This Row], [TOTAL TIME]]-Table1[[#This Row], [TOTAL TIME TAKEN]]</f>
        <v>21.401111111111121</v>
      </c>
      <c r="T283" t="str">
        <f>IF(Table1[[#This Row], [TIME DIFFERENCE]]&gt;=0,"PASS","FAIL")</f>
        <v>PASS</v>
      </c>
      <c r="U283" s="9">
        <f>Table1[[#This Row], [TRC]]+Table1[[#This Row], [DRC]]+Table1[[#This Row], [WRC]]+Table1[[#This Row], [ERC]]+Table1[[#This Row], [EQRC]]</f>
        <v>7946794.7999999989</v>
      </c>
      <c r="V283" s="9">
        <f>Table1[[#This Row], [TOTAL COST]]+_xlfn.XLOOKUP(Table1[[#This Row], [TEAM]],Sheet1!$A$12:$A$17,Sheet1!$I$12:$I$17)</f>
        <v>8246232.2999999989</v>
      </c>
      <c r="W283" s="9">
        <f>Table1[[#This Row], [LOOT]]-Table1[[#This Row], [TOTAL COST]]</f>
        <v>9953205.2000000011</v>
      </c>
      <c r="X283" s="9">
        <f>IF(Table1[[#This Row], [PASS/FAIL]]="FAIL",0,Table1[[#This Row], [PROFIT]])</f>
        <v>9953205.2000000011</v>
      </c>
    </row>
    <row r="284" spans="1:24" ht="19.5" customHeight="1" x14ac:dyDescent="0.45">
      <c r="A284" t="s">
        <v>12</v>
      </c>
      <c r="B284" s="14">
        <f>_xlfn.XLOOKUP(Table1[[#This Row], [TEAM]],Sheet1!$A$12:$A$17,Sheet1!$F$12:$F$17)</f>
        <v>3</v>
      </c>
      <c r="C284" s="14">
        <f>_xlfn.XLOOKUP(Table1[[#This Row], [TEAM]],Sheet1!$A$12:$A$17,Sheet1!$G$12:$G$17)</f>
        <v>5988750</v>
      </c>
      <c r="D284" t="s">
        <v>10</v>
      </c>
      <c r="E284" s="4">
        <f>_xlfn.XLOOKUP(Table1[[#This Row], [ROOM]],Sheet1!$A$47:$A$66,Sheet1!$B$47:$B$66)</f>
        <v>123</v>
      </c>
      <c r="F284" t="s">
        <v>62</v>
      </c>
      <c r="G284" s="4">
        <f>_xlfn.XLOOKUP(Table1[[#This Row], [DISGUISE]],Sheet1!$A$21:$A$23,Sheet1!$B$21:$B$23)*Table1[[#This Row], [NUM OF MEM]]*(1+_xlfn.XLOOKUP(Table1[[#This Row], [DISGUISE]],Sheet1!$A$21:$A$23,Sheet1!$C$21:$C$23))</f>
        <v>15600</v>
      </c>
      <c r="H284" s="13" t="s">
        <v>63</v>
      </c>
      <c r="I284" s="4">
        <f>_xlfn.XLOOKUP(Table1[[#This Row], [WEAPON]],Sheet1!$A$27:$A$29,Sheet1!$B$27:$B$29)*Table1[[#This Row], [NUM OF MEM]]*(1+_xlfn.XLOOKUP(Table1[[#This Row], [WEAPON]],Sheet1!$A$27:$A$29,Sheet1!$C$27:$C$29))</f>
        <v>69000</v>
      </c>
      <c r="J284" t="s">
        <v>60</v>
      </c>
      <c r="K284" s="9">
        <f>Table1[[#This Row], [NUM OF MEM]]*Table1[[#This Row], [TOTAL TIME TAKEN]]*_xlfn.XLOOKUP(Table1[[#This Row], [EXIT]],Sheet1!$A$70:$A$71,Sheet1!$B$70:$B$71)*(1+_xlfn.XLOOKUP(Table1[[#This Row], [EXIT]],Sheet1!$A$70:$A$71,Sheet1!$C$70:$C$71))</f>
        <v>1823541.0249999997</v>
      </c>
      <c r="L284" s="13" t="s">
        <v>61</v>
      </c>
      <c r="M284" s="4">
        <f>IF(Table1[[#This Row], [EQUIPMENT]]="YES",Sheet1!$C$44*(1+Sheet1!$D$44),0)</f>
        <v>0</v>
      </c>
      <c r="N284" s="4">
        <f>_xlfn.XLOOKUP(Table1[[#This Row], [ROOM]],Sheet1!$A$47:$A$66,Sheet1!$F$47:$F$66)</f>
        <v>17850000</v>
      </c>
      <c r="O284" s="9">
        <f>_xlfn.XLOOKUP(_xlfn.CONCAT(Table1[[#This Row], [TEAM]],Table1[[#This Row], [ROOM]]),'ROOM TIME'!$H$2:$H$121,'ROOM TIME'!$J$2:$J$121)</f>
        <v>41.967777777777762</v>
      </c>
      <c r="P284" s="9">
        <f>(INDEX(Sheet1!$X$48:$Z$67,MATCH(Table1[[#This Row], [ROOM]],Sheet1!$P$48:$P$67,0),MATCH(Table1[[#This Row], [WEAPON]],Sheet1!$X$47:$Z$47,0)))/Table1[[#This Row], [NUM OF MEM]]</f>
        <v>5.4000000000000012</v>
      </c>
      <c r="Q284" s="9">
        <f>Table1[[#This Row], [ROOM TIME]]+Table1[[#This Row], [GUARD TIME]]</f>
        <v>47.367777777777761</v>
      </c>
      <c r="R284" s="4">
        <f>Sheet1!$K$3*_xlfn.XLOOKUP(Table1[[#This Row], [DISGUISE]],Sheet1!$A$21:$A$23,Sheet1!$D$21:$D$23)</f>
        <v>66</v>
      </c>
      <c r="S284" s="9">
        <f>Table1[[#This Row], [TOTAL TIME]]-Table1[[#This Row], [TOTAL TIME TAKEN]]</f>
        <v>18.632222222222239</v>
      </c>
      <c r="T284" t="str">
        <f>IF(Table1[[#This Row], [TIME DIFFERENCE]]&gt;=0,"PASS","FAIL")</f>
        <v>PASS</v>
      </c>
      <c r="U284" s="9">
        <f>Table1[[#This Row], [TRC]]+Table1[[#This Row], [DRC]]+Table1[[#This Row], [WRC]]+Table1[[#This Row], [ERC]]+Table1[[#This Row], [EQRC]]</f>
        <v>7896891.0249999994</v>
      </c>
      <c r="V284" s="9">
        <f>Table1[[#This Row], [TOTAL COST]]+_xlfn.XLOOKUP(Table1[[#This Row], [TEAM]],Sheet1!$A$12:$A$17,Sheet1!$I$12:$I$17)</f>
        <v>8196328.5249999994</v>
      </c>
      <c r="W284" s="9">
        <f>Table1[[#This Row], [LOOT]]-Table1[[#This Row], [TOTAL COST]]</f>
        <v>9953108.9750000015</v>
      </c>
      <c r="X284" s="9">
        <f>IF(Table1[[#This Row], [PASS/FAIL]]="FAIL",0,Table1[[#This Row], [PROFIT]])</f>
        <v>9953108.9750000015</v>
      </c>
    </row>
    <row r="285" spans="1:24" ht="19.5" customHeight="1" x14ac:dyDescent="0.45">
      <c r="A285" t="s">
        <v>12</v>
      </c>
      <c r="B285" s="14">
        <f>_xlfn.XLOOKUP(Table1[[#This Row], [TEAM]],Sheet1!$A$12:$A$17,Sheet1!$F$12:$F$17)</f>
        <v>3</v>
      </c>
      <c r="C285" s="14">
        <f>_xlfn.XLOOKUP(Table1[[#This Row], [TEAM]],Sheet1!$A$12:$A$17,Sheet1!$G$12:$G$17)</f>
        <v>5988750</v>
      </c>
      <c r="D285" t="s">
        <v>21</v>
      </c>
      <c r="E285" s="4">
        <f>_xlfn.XLOOKUP(Table1[[#This Row], [ROOM]],Sheet1!$A$47:$A$66,Sheet1!$B$47:$B$66)</f>
        <v>234</v>
      </c>
      <c r="F285" t="s">
        <v>58</v>
      </c>
      <c r="G285" s="4">
        <f>_xlfn.XLOOKUP(Table1[[#This Row], [DISGUISE]],Sheet1!$A$21:$A$23,Sheet1!$B$21:$B$23)*Table1[[#This Row], [NUM OF MEM]]*(1+_xlfn.XLOOKUP(Table1[[#This Row], [DISGUISE]],Sheet1!$A$21:$A$23,Sheet1!$C$21:$C$23))</f>
        <v>38400</v>
      </c>
      <c r="H285" s="13" t="s">
        <v>66</v>
      </c>
      <c r="I285" s="4">
        <f>_xlfn.XLOOKUP(Table1[[#This Row], [WEAPON]],Sheet1!$A$27:$A$29,Sheet1!$B$27:$B$29)*Table1[[#This Row], [NUM OF MEM]]*(1+_xlfn.XLOOKUP(Table1[[#This Row], [WEAPON]],Sheet1!$A$27:$A$29,Sheet1!$C$27:$C$29))</f>
        <v>108000</v>
      </c>
      <c r="J285" t="s">
        <v>60</v>
      </c>
      <c r="K285" s="9">
        <f>Table1[[#This Row], [NUM OF MEM]]*Table1[[#This Row], [TOTAL TIME TAKEN]]*_xlfn.XLOOKUP(Table1[[#This Row], [EXIT]],Sheet1!$A$70:$A$71,Sheet1!$B$70:$B$71)*(1+_xlfn.XLOOKUP(Table1[[#This Row], [EXIT]],Sheet1!$A$70:$A$71,Sheet1!$C$70:$C$71))</f>
        <v>1815755.9749999992</v>
      </c>
      <c r="L285" s="13" t="s">
        <v>61</v>
      </c>
      <c r="M285" s="4">
        <f>IF(Table1[[#This Row], [EQUIPMENT]]="YES",Sheet1!$C$44*(1+Sheet1!$D$44),0)</f>
        <v>0</v>
      </c>
      <c r="N285" s="4">
        <f>_xlfn.XLOOKUP(Table1[[#This Row], [ROOM]],Sheet1!$A$47:$A$66,Sheet1!$F$47:$F$66)</f>
        <v>17900000</v>
      </c>
      <c r="O285" s="9">
        <f>_xlfn.XLOOKUP(_xlfn.CONCAT(Table1[[#This Row], [TEAM]],Table1[[#This Row], [ROOM]]),'ROOM TIME'!$H$2:$H$121,'ROOM TIME'!$J$2:$J$121)</f>
        <v>41.748888888888878</v>
      </c>
      <c r="P285" s="9">
        <f>(INDEX(Sheet1!$X$48:$Z$67,MATCH(Table1[[#This Row], [ROOM]],Sheet1!$P$48:$P$67,0),MATCH(Table1[[#This Row], [WEAPON]],Sheet1!$X$47:$Z$47,0)))/Table1[[#This Row], [NUM OF MEM]]</f>
        <v>5.416666666666667</v>
      </c>
      <c r="Q285" s="9">
        <f>Table1[[#This Row], [ROOM TIME]]+Table1[[#This Row], [GUARD TIME]]</f>
        <v>47.165555555555542</v>
      </c>
      <c r="R285" s="4">
        <f>Sheet1!$K$3*_xlfn.XLOOKUP(Table1[[#This Row], [DISGUISE]],Sheet1!$A$21:$A$23,Sheet1!$D$21:$D$23)</f>
        <v>69</v>
      </c>
      <c r="S285" s="9">
        <f>Table1[[#This Row], [TOTAL TIME]]-Table1[[#This Row], [TOTAL TIME TAKEN]]</f>
        <v>21.834444444444458</v>
      </c>
      <c r="T285" t="str">
        <f>IF(Table1[[#This Row], [TIME DIFFERENCE]]&gt;=0,"PASS","FAIL")</f>
        <v>PASS</v>
      </c>
      <c r="U285" s="9">
        <f>Table1[[#This Row], [TRC]]+Table1[[#This Row], [DRC]]+Table1[[#This Row], [WRC]]+Table1[[#This Row], [ERC]]+Table1[[#This Row], [EQRC]]</f>
        <v>7950905.9749999996</v>
      </c>
      <c r="V285" s="9">
        <f>Table1[[#This Row], [TOTAL COST]]+_xlfn.XLOOKUP(Table1[[#This Row], [TEAM]],Sheet1!$A$12:$A$17,Sheet1!$I$12:$I$17)</f>
        <v>8250343.4749999996</v>
      </c>
      <c r="W285" s="9">
        <f>Table1[[#This Row], [LOOT]]-Table1[[#This Row], [TOTAL COST]]</f>
        <v>9949094.0250000004</v>
      </c>
      <c r="X285" s="9">
        <f>IF(Table1[[#This Row], [PASS/FAIL]]="FAIL",0,Table1[[#This Row], [PROFIT]])</f>
        <v>9949094.0250000004</v>
      </c>
    </row>
    <row r="286" spans="1:24" ht="19.5" customHeight="1" x14ac:dyDescent="0.45">
      <c r="A286" t="s">
        <v>13</v>
      </c>
      <c r="B286" s="14">
        <f>_xlfn.XLOOKUP(Table1[[#This Row], [TEAM]],Sheet1!$A$12:$A$17,Sheet1!$F$12:$F$17)</f>
        <v>3</v>
      </c>
      <c r="C286" s="14">
        <f>_xlfn.XLOOKUP(Table1[[#This Row], [TEAM]],Sheet1!$A$12:$A$17,Sheet1!$G$12:$G$17)</f>
        <v>5930000</v>
      </c>
      <c r="D286" t="s">
        <v>21</v>
      </c>
      <c r="E286" s="4">
        <f>_xlfn.XLOOKUP(Table1[[#This Row], [ROOM]],Sheet1!$A$47:$A$66,Sheet1!$B$47:$B$66)</f>
        <v>234</v>
      </c>
      <c r="F286" t="s">
        <v>62</v>
      </c>
      <c r="G286" s="4">
        <f>_xlfn.XLOOKUP(Table1[[#This Row], [DISGUISE]],Sheet1!$A$21:$A$23,Sheet1!$B$21:$B$23)*Table1[[#This Row], [NUM OF MEM]]*(1+_xlfn.XLOOKUP(Table1[[#This Row], [DISGUISE]],Sheet1!$A$21:$A$23,Sheet1!$C$21:$C$23))</f>
        <v>15600</v>
      </c>
      <c r="H286" s="13" t="s">
        <v>59</v>
      </c>
      <c r="I286" s="4">
        <f>_xlfn.XLOOKUP(Table1[[#This Row], [WEAPON]],Sheet1!$A$27:$A$29,Sheet1!$B$27:$B$29)*Table1[[#This Row], [NUM OF MEM]]*(1+_xlfn.XLOOKUP(Table1[[#This Row], [WEAPON]],Sheet1!$A$27:$A$29,Sheet1!$C$27:$C$29))</f>
        <v>136500</v>
      </c>
      <c r="J286" t="s">
        <v>60</v>
      </c>
      <c r="K286" s="9">
        <f>Table1[[#This Row], [NUM OF MEM]]*Table1[[#This Row], [TOTAL TIME TAKEN]]*_xlfn.XLOOKUP(Table1[[#This Row], [EXIT]],Sheet1!$A$70:$A$71,Sheet1!$B$70:$B$71)*(1+_xlfn.XLOOKUP(Table1[[#This Row], [EXIT]],Sheet1!$A$70:$A$71,Sheet1!$C$70:$C$71))</f>
        <v>1869010.8499999999</v>
      </c>
      <c r="L286" s="13" t="s">
        <v>61</v>
      </c>
      <c r="M286" s="4">
        <f>IF(Table1[[#This Row], [EQUIPMENT]]="YES",Sheet1!$C$44*(1+Sheet1!$D$44),0)</f>
        <v>0</v>
      </c>
      <c r="N286" s="4">
        <f>_xlfn.XLOOKUP(Table1[[#This Row], [ROOM]],Sheet1!$A$47:$A$66,Sheet1!$F$47:$F$66)</f>
        <v>17900000</v>
      </c>
      <c r="O286" s="9">
        <f>_xlfn.XLOOKUP(_xlfn.CONCAT(Table1[[#This Row], [TEAM]],Table1[[#This Row], [ROOM]]),'ROOM TIME'!$H$2:$H$121,'ROOM TIME'!$J$2:$J$121)</f>
        <v>43.565555555555555</v>
      </c>
      <c r="P286" s="9">
        <f>(INDEX(Sheet1!$X$48:$Z$67,MATCH(Table1[[#This Row], [ROOM]],Sheet1!$P$48:$P$67,0),MATCH(Table1[[#This Row], [WEAPON]],Sheet1!$X$47:$Z$47,0)))/Table1[[#This Row], [NUM OF MEM]]</f>
        <v>4.9833333333333334</v>
      </c>
      <c r="Q286" s="9">
        <f>Table1[[#This Row], [ROOM TIME]]+Table1[[#This Row], [GUARD TIME]]</f>
        <v>48.548888888888889</v>
      </c>
      <c r="R286" s="4">
        <f>Sheet1!$K$3*_xlfn.XLOOKUP(Table1[[#This Row], [DISGUISE]],Sheet1!$A$21:$A$23,Sheet1!$D$21:$D$23)</f>
        <v>66</v>
      </c>
      <c r="S286" s="9">
        <f>Table1[[#This Row], [TOTAL TIME]]-Table1[[#This Row], [TOTAL TIME TAKEN]]</f>
        <v>17.451111111111111</v>
      </c>
      <c r="T286" t="str">
        <f>IF(Table1[[#This Row], [TIME DIFFERENCE]]&gt;=0,"PASS","FAIL")</f>
        <v>PASS</v>
      </c>
      <c r="U286" s="9">
        <f>Table1[[#This Row], [TRC]]+Table1[[#This Row], [DRC]]+Table1[[#This Row], [WRC]]+Table1[[#This Row], [ERC]]+Table1[[#This Row], [EQRC]]</f>
        <v>7951110.8499999996</v>
      </c>
      <c r="V286" s="9">
        <f>Table1[[#This Row], [TOTAL COST]]+_xlfn.XLOOKUP(Table1[[#This Row], [TEAM]],Sheet1!$A$12:$A$17,Sheet1!$I$12:$I$17)</f>
        <v>8247610.8499999996</v>
      </c>
      <c r="W286" s="9">
        <f>Table1[[#This Row], [LOOT]]-Table1[[#This Row], [TOTAL COST]]</f>
        <v>9948889.1500000004</v>
      </c>
      <c r="X286" s="9">
        <f>IF(Table1[[#This Row], [PASS/FAIL]]="FAIL",0,Table1[[#This Row], [PROFIT]])</f>
        <v>9948889.1500000004</v>
      </c>
    </row>
    <row r="287" spans="1:24" ht="19.5" customHeight="1" x14ac:dyDescent="0.45">
      <c r="A287" t="s">
        <v>9</v>
      </c>
      <c r="B287" s="14">
        <f>_xlfn.XLOOKUP(Table1[[#This Row], [TEAM]],Sheet1!$A$12:$A$17,Sheet1!$F$12:$F$17)</f>
        <v>3</v>
      </c>
      <c r="C287" s="14">
        <f>_xlfn.XLOOKUP(Table1[[#This Row], [TEAM]],Sheet1!$A$12:$A$17,Sheet1!$G$12:$G$17)</f>
        <v>6238750</v>
      </c>
      <c r="D287" t="s">
        <v>19</v>
      </c>
      <c r="E287" s="4">
        <f>_xlfn.XLOOKUP(Table1[[#This Row], [ROOM]],Sheet1!$A$47:$A$66,Sheet1!$B$47:$B$66)</f>
        <v>135</v>
      </c>
      <c r="F287" t="s">
        <v>62</v>
      </c>
      <c r="G287" s="4">
        <f>_xlfn.XLOOKUP(Table1[[#This Row], [DISGUISE]],Sheet1!$A$21:$A$23,Sheet1!$B$21:$B$23)*Table1[[#This Row], [NUM OF MEM]]*(1+_xlfn.XLOOKUP(Table1[[#This Row], [DISGUISE]],Sheet1!$A$21:$A$23,Sheet1!$C$21:$C$23))</f>
        <v>15600</v>
      </c>
      <c r="H287" s="13" t="s">
        <v>63</v>
      </c>
      <c r="I287" s="4">
        <f>_xlfn.XLOOKUP(Table1[[#This Row], [WEAPON]],Sheet1!$A$27:$A$29,Sheet1!$B$27:$B$29)*Table1[[#This Row], [NUM OF MEM]]*(1+_xlfn.XLOOKUP(Table1[[#This Row], [WEAPON]],Sheet1!$A$27:$A$29,Sheet1!$C$27:$C$29))</f>
        <v>69000</v>
      </c>
      <c r="J287" t="s">
        <v>60</v>
      </c>
      <c r="K287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1678469.6124999996</v>
      </c>
      <c r="L287" s="13" t="s">
        <v>61</v>
      </c>
      <c r="M287" s="4">
        <f>IF(Table1[[#This Row], [EQUIPMENT]]="YES",Sheet1!$C$44*(1+Sheet1!$D$44),0)</f>
        <v>0</v>
      </c>
      <c r="N287" s="4">
        <f>_xlfn.XLOOKUP(Table1[[#This Row], [ROOM]],Sheet1!$A$47:$A$66,Sheet1!$F$47:$F$66)</f>
        <v>17950000</v>
      </c>
      <c r="O287" s="9">
        <f>_xlfn.XLOOKUP(_xlfn.CONCAT(Table1[[#This Row], [TEAM]],Table1[[#This Row], [ROOM]]),'ROOM TIME'!$H$2:$H$121,'ROOM TIME'!$J$2:$J$121)</f>
        <v>38.649444444444434</v>
      </c>
      <c r="P287" s="9">
        <f>(INDEX(Sheet1!$X$48:$Z$67,MATCH(Table1[[#This Row], [ROOM]],Sheet1!$P$48:$P$67,0),MATCH(Table1[[#This Row], [WEAPON]],Sheet1!$X$47:$Z$47,0)))/Table1[[#This Row], [NUM OF MEM]]</f>
        <v>4.95</v>
      </c>
      <c r="Q287" s="9">
        <f>Table1[[#This Row], [ROOM TIME]]+Table1[[#This Row], [GUARD TIME]]</f>
        <v>43.599444444444437</v>
      </c>
      <c r="R287" s="4">
        <f>Sheet1!$K$3*_xlfn.XLOOKUP(Table1[[#This Row], [DISGUISE]],Sheet1!$A$21:$A$23,Sheet1!$D$21:$D$23)</f>
        <v>66</v>
      </c>
      <c r="S287" s="9">
        <f>Table1[[#This Row], [TOTAL TIME]]-Table1[[#This Row], [TOTAL TIME TAKEN]]</f>
        <v>22.400555555555563</v>
      </c>
      <c r="T287" t="str">
        <f>IF(Table1[[#This Row], [TIME DIFFERENCE]]&gt;=0,"PASS","FAIL")</f>
        <v>PASS</v>
      </c>
      <c r="U287" s="9">
        <f>Table1[[#This Row], [TRC]]+Table1[[#This Row], [DRC]]+Table1[[#This Row], [WRC]]+Table1[[#This Row], [ERC]]+Table1[[#This Row], [EQRC]]</f>
        <v>8001819.6124999998</v>
      </c>
      <c r="V287" s="9">
        <f>Table1[[#This Row], [TOTAL COST]]+_xlfn.XLOOKUP(Table1[[#This Row], [TEAM]],Sheet1!$A$12:$A$17,Sheet1!$I$12:$I$17)</f>
        <v>8313757.1124999998</v>
      </c>
      <c r="W287" s="9">
        <f>Table1[[#This Row], [LOOT]]-Table1[[#This Row], [TOTAL COST]]</f>
        <v>9948180.3874999993</v>
      </c>
      <c r="X287" s="9">
        <f>IF(Table1[[#This Row], [PASS/FAIL]]="FAIL",0,Table1[[#This Row], [PROFIT]])</f>
        <v>9948180.3874999993</v>
      </c>
    </row>
    <row r="288" spans="1:24" ht="19.5" customHeight="1" x14ac:dyDescent="0.45">
      <c r="A288" t="s">
        <v>16</v>
      </c>
      <c r="B288" s="14">
        <f>_xlfn.XLOOKUP(Table1[[#This Row], [TEAM]],Sheet1!$A$12:$A$17,Sheet1!$F$12:$F$17)</f>
        <v>2</v>
      </c>
      <c r="C288" s="14">
        <f>_xlfn.XLOOKUP(Table1[[#This Row], [TEAM]],Sheet1!$A$12:$A$17,Sheet1!$G$12:$G$17)</f>
        <v>6082800</v>
      </c>
      <c r="D288" t="s">
        <v>33</v>
      </c>
      <c r="E288" s="4">
        <f>_xlfn.XLOOKUP(Table1[[#This Row], [ROOM]],Sheet1!$A$47:$A$66,Sheet1!$B$47:$B$66)</f>
        <v>356</v>
      </c>
      <c r="F288" t="s">
        <v>58</v>
      </c>
      <c r="G288" s="4">
        <f>_xlfn.XLOOKUP(Table1[[#This Row], [DISGUISE]],Sheet1!$A$21:$A$23,Sheet1!$B$21:$B$23)*Table1[[#This Row], [NUM OF MEM]]*(1+_xlfn.XLOOKUP(Table1[[#This Row], [DISGUISE]],Sheet1!$A$21:$A$23,Sheet1!$C$21:$C$23))</f>
        <v>25600</v>
      </c>
      <c r="H288" s="13" t="s">
        <v>66</v>
      </c>
      <c r="I288" s="4">
        <f>_xlfn.XLOOKUP(Table1[[#This Row], [WEAPON]],Sheet1!$A$27:$A$29,Sheet1!$B$27:$B$29)*Table1[[#This Row], [NUM OF MEM]]*(1+_xlfn.XLOOKUP(Table1[[#This Row], [WEAPON]],Sheet1!$A$27:$A$29,Sheet1!$C$27:$C$29))</f>
        <v>72000</v>
      </c>
      <c r="J288" t="s">
        <v>64</v>
      </c>
      <c r="K288" s="9">
        <f>Table1[[#This Row], [NUM OF MEM]]*Table1[[#This Row], [TOTAL TIME TAKEN]]*_xlfn.XLOOKUP(Table1[[#This Row], [EXIT]],Sheet1!$A$70:$A$71,Sheet1!$B$70:$B$71)*(1+_xlfn.XLOOKUP(Table1[[#This Row], [EXIT]],Sheet1!$A$70:$A$71,Sheet1!$C$70:$C$71))</f>
        <v>1665068.3999999994</v>
      </c>
      <c r="L288" s="13" t="s">
        <v>65</v>
      </c>
      <c r="M288" s="4">
        <f>IF(Table1[[#This Row], [EQUIPMENT]]="YES",Sheet1!$C$44*(1+Sheet1!$D$44),0)</f>
        <v>307500</v>
      </c>
      <c r="N288" s="4">
        <f>_xlfn.XLOOKUP(Table1[[#This Row], [ROOM]],Sheet1!$A$47:$A$66,Sheet1!$F$47:$F$66)</f>
        <v>18100000</v>
      </c>
      <c r="O288" s="9">
        <f>_xlfn.XLOOKUP(_xlfn.CONCAT(Table1[[#This Row], [TEAM]],Table1[[#This Row], [ROOM]]),'ROOM TIME'!$H$2:$H$121,'ROOM TIME'!$J$2:$J$121)</f>
        <v>56.738749999999982</v>
      </c>
      <c r="P288" s="9">
        <f>(INDEX(Sheet1!$X$48:$Z$67,MATCH(Table1[[#This Row], [ROOM]],Sheet1!$P$48:$P$67,0),MATCH(Table1[[#This Row], [WEAPON]],Sheet1!$X$47:$Z$47,0)))/Table1[[#This Row], [NUM OF MEM]]</f>
        <v>7.5</v>
      </c>
      <c r="Q288" s="9">
        <f>Table1[[#This Row], [ROOM TIME]]+Table1[[#This Row], [GUARD TIME]]</f>
        <v>64.238749999999982</v>
      </c>
      <c r="R288" s="4">
        <f>Sheet1!$K$3*_xlfn.XLOOKUP(Table1[[#This Row], [DISGUISE]],Sheet1!$A$21:$A$23,Sheet1!$D$21:$D$23)</f>
        <v>69</v>
      </c>
      <c r="S288" s="9">
        <f>Table1[[#This Row], [TOTAL TIME]]-Table1[[#This Row], [TOTAL TIME TAKEN]]</f>
        <v>4.7612500000000182</v>
      </c>
      <c r="T288" t="str">
        <f>IF(Table1[[#This Row], [TIME DIFFERENCE]]&gt;=0,"PASS","FAIL")</f>
        <v>PASS</v>
      </c>
      <c r="U288" s="9">
        <f>Table1[[#This Row], [TRC]]+Table1[[#This Row], [DRC]]+Table1[[#This Row], [WRC]]+Table1[[#This Row], [ERC]]+Table1[[#This Row], [EQRC]]</f>
        <v>8152968.3999999994</v>
      </c>
      <c r="V288" s="9">
        <f>Table1[[#This Row], [TOTAL COST]]+_xlfn.XLOOKUP(Table1[[#This Row], [TEAM]],Sheet1!$A$12:$A$17,Sheet1!$I$12:$I$17)</f>
        <v>8457108.3999999985</v>
      </c>
      <c r="W288" s="9">
        <f>Table1[[#This Row], [LOOT]]-Table1[[#This Row], [TOTAL COST]]</f>
        <v>9947031.6000000015</v>
      </c>
      <c r="X288" s="9">
        <f>IF(Table1[[#This Row], [PASS/FAIL]]="FAIL",0,Table1[[#This Row], [PROFIT]])</f>
        <v>9947031.6000000015</v>
      </c>
    </row>
    <row r="289" spans="1:24" ht="19.5" customHeight="1" x14ac:dyDescent="0.45">
      <c r="A289" t="s">
        <v>13</v>
      </c>
      <c r="B289" s="14">
        <f>_xlfn.XLOOKUP(Table1[[#This Row], [TEAM]],Sheet1!$A$12:$A$17,Sheet1!$F$12:$F$17)</f>
        <v>3</v>
      </c>
      <c r="C289" s="14">
        <f>_xlfn.XLOOKUP(Table1[[#This Row], [TEAM]],Sheet1!$A$12:$A$17,Sheet1!$G$12:$G$17)</f>
        <v>5930000</v>
      </c>
      <c r="D289" t="s">
        <v>10</v>
      </c>
      <c r="E289" s="4">
        <f>_xlfn.XLOOKUP(Table1[[#This Row], [ROOM]],Sheet1!$A$47:$A$66,Sheet1!$B$47:$B$66)</f>
        <v>123</v>
      </c>
      <c r="F289" t="s">
        <v>62</v>
      </c>
      <c r="G289" s="4">
        <f>_xlfn.XLOOKUP(Table1[[#This Row], [DISGUISE]],Sheet1!$A$21:$A$23,Sheet1!$B$21:$B$23)*Table1[[#This Row], [NUM OF MEM]]*(1+_xlfn.XLOOKUP(Table1[[#This Row], [DISGUISE]],Sheet1!$A$21:$A$23,Sheet1!$C$21:$C$23))</f>
        <v>15600</v>
      </c>
      <c r="H289" s="13" t="s">
        <v>63</v>
      </c>
      <c r="I289" s="4">
        <f>_xlfn.XLOOKUP(Table1[[#This Row], [WEAPON]],Sheet1!$A$27:$A$29,Sheet1!$B$27:$B$29)*Table1[[#This Row], [NUM OF MEM]]*(1+_xlfn.XLOOKUP(Table1[[#This Row], [WEAPON]],Sheet1!$A$27:$A$29,Sheet1!$C$27:$C$29))</f>
        <v>69000</v>
      </c>
      <c r="J289" t="s">
        <v>60</v>
      </c>
      <c r="K289" s="9">
        <f>Table1[[#This Row], [NUM OF MEM]]*Table1[[#This Row], [TOTAL TIME TAKEN]]*_xlfn.XLOOKUP(Table1[[#This Row], [EXIT]],Sheet1!$A$70:$A$71,Sheet1!$B$70:$B$71)*(1+_xlfn.XLOOKUP(Table1[[#This Row], [EXIT]],Sheet1!$A$70:$A$71,Sheet1!$C$70:$C$71))</f>
        <v>1888473.4749999996</v>
      </c>
      <c r="L289" s="13" t="s">
        <v>61</v>
      </c>
      <c r="M289" s="4">
        <f>IF(Table1[[#This Row], [EQUIPMENT]]="YES",Sheet1!$C$44*(1+Sheet1!$D$44),0)</f>
        <v>0</v>
      </c>
      <c r="N289" s="4">
        <f>_xlfn.XLOOKUP(Table1[[#This Row], [ROOM]],Sheet1!$A$47:$A$66,Sheet1!$F$47:$F$66)</f>
        <v>17850000</v>
      </c>
      <c r="O289" s="9">
        <f>_xlfn.XLOOKUP(_xlfn.CONCAT(Table1[[#This Row], [TEAM]],Table1[[#This Row], [ROOM]]),'ROOM TIME'!$H$2:$H$121,'ROOM TIME'!$J$2:$J$121)</f>
        <v>43.654444444444437</v>
      </c>
      <c r="P289" s="9">
        <f>(INDEX(Sheet1!$X$48:$Z$67,MATCH(Table1[[#This Row], [ROOM]],Sheet1!$P$48:$P$67,0),MATCH(Table1[[#This Row], [WEAPON]],Sheet1!$X$47:$Z$47,0)))/Table1[[#This Row], [NUM OF MEM]]</f>
        <v>5.4000000000000012</v>
      </c>
      <c r="Q289" s="9">
        <f>Table1[[#This Row], [ROOM TIME]]+Table1[[#This Row], [GUARD TIME]]</f>
        <v>49.054444444444435</v>
      </c>
      <c r="R289" s="4">
        <f>Sheet1!$K$3*_xlfn.XLOOKUP(Table1[[#This Row], [DISGUISE]],Sheet1!$A$21:$A$23,Sheet1!$D$21:$D$23)</f>
        <v>66</v>
      </c>
      <c r="S289" s="9">
        <f>Table1[[#This Row], [TOTAL TIME]]-Table1[[#This Row], [TOTAL TIME TAKEN]]</f>
        <v>16.945555555555565</v>
      </c>
      <c r="T289" t="str">
        <f>IF(Table1[[#This Row], [TIME DIFFERENCE]]&gt;=0,"PASS","FAIL")</f>
        <v>PASS</v>
      </c>
      <c r="U289" s="9">
        <f>Table1[[#This Row], [TRC]]+Table1[[#This Row], [DRC]]+Table1[[#This Row], [WRC]]+Table1[[#This Row], [ERC]]+Table1[[#This Row], [EQRC]]</f>
        <v>7903073.4749999996</v>
      </c>
      <c r="V289" s="9">
        <f>Table1[[#This Row], [TOTAL COST]]+_xlfn.XLOOKUP(Table1[[#This Row], [TEAM]],Sheet1!$A$12:$A$17,Sheet1!$I$12:$I$17)</f>
        <v>8199573.4749999996</v>
      </c>
      <c r="W289" s="9">
        <f>Table1[[#This Row], [LOOT]]-Table1[[#This Row], [TOTAL COST]]</f>
        <v>9946926.5250000004</v>
      </c>
      <c r="X289" s="9">
        <f>IF(Table1[[#This Row], [PASS/FAIL]]="FAIL",0,Table1[[#This Row], [PROFIT]])</f>
        <v>9946926.5250000004</v>
      </c>
    </row>
    <row r="290" spans="1:24" ht="19.5" customHeight="1" x14ac:dyDescent="0.45">
      <c r="A290" t="s">
        <v>16</v>
      </c>
      <c r="B290" s="14">
        <f>_xlfn.XLOOKUP(Table1[[#This Row], [TEAM]],Sheet1!$A$12:$A$17,Sheet1!$F$12:$F$17)</f>
        <v>2</v>
      </c>
      <c r="C290" s="14">
        <f>_xlfn.XLOOKUP(Table1[[#This Row], [TEAM]],Sheet1!$A$12:$A$17,Sheet1!$G$12:$G$17)</f>
        <v>6082800</v>
      </c>
      <c r="D290" t="s">
        <v>33</v>
      </c>
      <c r="E290" s="4">
        <f>_xlfn.XLOOKUP(Table1[[#This Row], [ROOM]],Sheet1!$A$47:$A$66,Sheet1!$B$47:$B$66)</f>
        <v>356</v>
      </c>
      <c r="F290" t="s">
        <v>58</v>
      </c>
      <c r="G290" s="4">
        <f>_xlfn.XLOOKUP(Table1[[#This Row], [DISGUISE]],Sheet1!$A$21:$A$23,Sheet1!$B$21:$B$23)*Table1[[#This Row], [NUM OF MEM]]*(1+_xlfn.XLOOKUP(Table1[[#This Row], [DISGUISE]],Sheet1!$A$21:$A$23,Sheet1!$C$21:$C$23))</f>
        <v>25600</v>
      </c>
      <c r="H290" s="13" t="s">
        <v>59</v>
      </c>
      <c r="I290" s="4">
        <f>_xlfn.XLOOKUP(Table1[[#This Row], [WEAPON]],Sheet1!$A$27:$A$29,Sheet1!$B$27:$B$29)*Table1[[#This Row], [NUM OF MEM]]*(1+_xlfn.XLOOKUP(Table1[[#This Row], [WEAPON]],Sheet1!$A$27:$A$29,Sheet1!$C$27:$C$29))</f>
        <v>91000</v>
      </c>
      <c r="J290" t="s">
        <v>64</v>
      </c>
      <c r="K290" s="9">
        <f>Table1[[#This Row], [NUM OF MEM]]*Table1[[#This Row], [TOTAL TIME TAKEN]]*_xlfn.XLOOKUP(Table1[[#This Row], [EXIT]],Sheet1!$A$70:$A$71,Sheet1!$B$70:$B$71)*(1+_xlfn.XLOOKUP(Table1[[#This Row], [EXIT]],Sheet1!$A$70:$A$71,Sheet1!$C$70:$C$71))</f>
        <v>1649516.3999999994</v>
      </c>
      <c r="L290" s="13" t="s">
        <v>65</v>
      </c>
      <c r="M290" s="4">
        <f>IF(Table1[[#This Row], [EQUIPMENT]]="YES",Sheet1!$C$44*(1+Sheet1!$D$44),0)</f>
        <v>307500</v>
      </c>
      <c r="N290" s="4">
        <f>_xlfn.XLOOKUP(Table1[[#This Row], [ROOM]],Sheet1!$A$47:$A$66,Sheet1!$F$47:$F$66)</f>
        <v>18100000</v>
      </c>
      <c r="O290" s="9">
        <f>_xlfn.XLOOKUP(_xlfn.CONCAT(Table1[[#This Row], [TEAM]],Table1[[#This Row], [ROOM]]),'ROOM TIME'!$H$2:$H$121,'ROOM TIME'!$J$2:$J$121)</f>
        <v>56.738749999999982</v>
      </c>
      <c r="P290" s="9">
        <f>(INDEX(Sheet1!$X$48:$Z$67,MATCH(Table1[[#This Row], [ROOM]],Sheet1!$P$48:$P$67,0),MATCH(Table1[[#This Row], [WEAPON]],Sheet1!$X$47:$Z$47,0)))/Table1[[#This Row], [NUM OF MEM]]</f>
        <v>6.8999999999999995</v>
      </c>
      <c r="Q290" s="9">
        <f>Table1[[#This Row], [ROOM TIME]]+Table1[[#This Row], [GUARD TIME]]</f>
        <v>63.63874999999998</v>
      </c>
      <c r="R290" s="4">
        <f>Sheet1!$K$3*_xlfn.XLOOKUP(Table1[[#This Row], [DISGUISE]],Sheet1!$A$21:$A$23,Sheet1!$D$21:$D$23)</f>
        <v>69</v>
      </c>
      <c r="S290" s="9">
        <f>Table1[[#This Row], [TOTAL TIME]]-Table1[[#This Row], [TOTAL TIME TAKEN]]</f>
        <v>5.3612500000000196</v>
      </c>
      <c r="T290" t="str">
        <f>IF(Table1[[#This Row], [TIME DIFFERENCE]]&gt;=0,"PASS","FAIL")</f>
        <v>PASS</v>
      </c>
      <c r="U290" s="9">
        <f>Table1[[#This Row], [TRC]]+Table1[[#This Row], [DRC]]+Table1[[#This Row], [WRC]]+Table1[[#This Row], [ERC]]+Table1[[#This Row], [EQRC]]</f>
        <v>8156416.3999999994</v>
      </c>
      <c r="V290" s="9">
        <f>Table1[[#This Row], [TOTAL COST]]+_xlfn.XLOOKUP(Table1[[#This Row], [TEAM]],Sheet1!$A$12:$A$17,Sheet1!$I$12:$I$17)</f>
        <v>8460556.3999999985</v>
      </c>
      <c r="W290" s="9">
        <f>Table1[[#This Row], [LOOT]]-Table1[[#This Row], [TOTAL COST]]</f>
        <v>9943583.6000000015</v>
      </c>
      <c r="X290" s="9">
        <f>IF(Table1[[#This Row], [PASS/FAIL]]="FAIL",0,Table1[[#This Row], [PROFIT]])</f>
        <v>9943583.6000000015</v>
      </c>
    </row>
    <row r="291" spans="1:24" ht="19.5" customHeight="1" x14ac:dyDescent="0.45">
      <c r="A291" t="s">
        <v>12</v>
      </c>
      <c r="B291" s="14">
        <f>_xlfn.XLOOKUP(Table1[[#This Row], [TEAM]],Sheet1!$A$12:$A$17,Sheet1!$F$12:$F$17)</f>
        <v>3</v>
      </c>
      <c r="C291" s="14">
        <f>_xlfn.XLOOKUP(Table1[[#This Row], [TEAM]],Sheet1!$A$12:$A$17,Sheet1!$G$12:$G$17)</f>
        <v>5988750</v>
      </c>
      <c r="D291" t="s">
        <v>21</v>
      </c>
      <c r="E291" s="4">
        <f>_xlfn.XLOOKUP(Table1[[#This Row], [ROOM]],Sheet1!$A$47:$A$66,Sheet1!$B$47:$B$66)</f>
        <v>234</v>
      </c>
      <c r="F291" t="s">
        <v>62</v>
      </c>
      <c r="G291" s="4">
        <f>_xlfn.XLOOKUP(Table1[[#This Row], [DISGUISE]],Sheet1!$A$21:$A$23,Sheet1!$B$21:$B$23)*Table1[[#This Row], [NUM OF MEM]]*(1+_xlfn.XLOOKUP(Table1[[#This Row], [DISGUISE]],Sheet1!$A$21:$A$23,Sheet1!$C$21:$C$23))</f>
        <v>15600</v>
      </c>
      <c r="H291" s="13" t="s">
        <v>59</v>
      </c>
      <c r="I291" s="4">
        <f>_xlfn.XLOOKUP(Table1[[#This Row], [WEAPON]],Sheet1!$A$27:$A$29,Sheet1!$B$27:$B$29)*Table1[[#This Row], [NUM OF MEM]]*(1+_xlfn.XLOOKUP(Table1[[#This Row], [WEAPON]],Sheet1!$A$27:$A$29,Sheet1!$C$27:$C$29))</f>
        <v>136500</v>
      </c>
      <c r="J291" t="s">
        <v>64</v>
      </c>
      <c r="K291" s="9">
        <f>Table1[[#This Row], [NUM OF MEM]]*Table1[[#This Row], [TOTAL TIME TAKEN]]*_xlfn.XLOOKUP(Table1[[#This Row], [EXIT]],Sheet1!$A$70:$A$71,Sheet1!$B$70:$B$71)*(1+_xlfn.XLOOKUP(Table1[[#This Row], [EXIT]],Sheet1!$A$70:$A$71,Sheet1!$C$70:$C$71))</f>
        <v>1816948.7999999993</v>
      </c>
      <c r="L291" s="13" t="s">
        <v>61</v>
      </c>
      <c r="M291" s="4">
        <f>IF(Table1[[#This Row], [EQUIPMENT]]="YES",Sheet1!$C$44*(1+Sheet1!$D$44),0)</f>
        <v>0</v>
      </c>
      <c r="N291" s="4">
        <f>_xlfn.XLOOKUP(Table1[[#This Row], [ROOM]],Sheet1!$A$47:$A$66,Sheet1!$F$47:$F$66)</f>
        <v>17900000</v>
      </c>
      <c r="O291" s="9">
        <f>_xlfn.XLOOKUP(_xlfn.CONCAT(Table1[[#This Row], [TEAM]],Table1[[#This Row], [ROOM]]),'ROOM TIME'!$H$2:$H$121,'ROOM TIME'!$J$2:$J$121)</f>
        <v>41.748888888888878</v>
      </c>
      <c r="P291" s="9">
        <f>(INDEX(Sheet1!$X$48:$Z$67,MATCH(Table1[[#This Row], [ROOM]],Sheet1!$P$48:$P$67,0),MATCH(Table1[[#This Row], [WEAPON]],Sheet1!$X$47:$Z$47,0)))/Table1[[#This Row], [NUM OF MEM]]</f>
        <v>4.9833333333333334</v>
      </c>
      <c r="Q291" s="9">
        <f>Table1[[#This Row], [ROOM TIME]]+Table1[[#This Row], [GUARD TIME]]</f>
        <v>46.732222222222212</v>
      </c>
      <c r="R291" s="4">
        <f>Sheet1!$K$3*_xlfn.XLOOKUP(Table1[[#This Row], [DISGUISE]],Sheet1!$A$21:$A$23,Sheet1!$D$21:$D$23)</f>
        <v>66</v>
      </c>
      <c r="S291" s="9">
        <f>Table1[[#This Row], [TOTAL TIME]]-Table1[[#This Row], [TOTAL TIME TAKEN]]</f>
        <v>19.267777777777788</v>
      </c>
      <c r="T291" t="str">
        <f>IF(Table1[[#This Row], [TIME DIFFERENCE]]&gt;=0,"PASS","FAIL")</f>
        <v>PASS</v>
      </c>
      <c r="U291" s="9">
        <f>Table1[[#This Row], [TRC]]+Table1[[#This Row], [DRC]]+Table1[[#This Row], [WRC]]+Table1[[#This Row], [ERC]]+Table1[[#This Row], [EQRC]]</f>
        <v>7957798.7999999989</v>
      </c>
      <c r="V291" s="9">
        <f>Table1[[#This Row], [TOTAL COST]]+_xlfn.XLOOKUP(Table1[[#This Row], [TEAM]],Sheet1!$A$12:$A$17,Sheet1!$I$12:$I$17)</f>
        <v>8257236.2999999989</v>
      </c>
      <c r="W291" s="9">
        <f>Table1[[#This Row], [LOOT]]-Table1[[#This Row], [TOTAL COST]]</f>
        <v>9942201.2000000011</v>
      </c>
      <c r="X291" s="9">
        <f>IF(Table1[[#This Row], [PASS/FAIL]]="FAIL",0,Table1[[#This Row], [PROFIT]])</f>
        <v>9942201.2000000011</v>
      </c>
    </row>
    <row r="292" spans="1:24" ht="19.5" customHeight="1" x14ac:dyDescent="0.45">
      <c r="A292" t="s">
        <v>13</v>
      </c>
      <c r="B292" s="14">
        <f>_xlfn.XLOOKUP(Table1[[#This Row], [TEAM]],Sheet1!$A$12:$A$17,Sheet1!$F$12:$F$17)</f>
        <v>3</v>
      </c>
      <c r="C292" s="14">
        <f>_xlfn.XLOOKUP(Table1[[#This Row], [TEAM]],Sheet1!$A$12:$A$17,Sheet1!$G$12:$G$17)</f>
        <v>5930000</v>
      </c>
      <c r="D292" t="s">
        <v>21</v>
      </c>
      <c r="E292" s="4">
        <f>_xlfn.XLOOKUP(Table1[[#This Row], [ROOM]],Sheet1!$A$47:$A$66,Sheet1!$B$47:$B$66)</f>
        <v>234</v>
      </c>
      <c r="F292" t="s">
        <v>62</v>
      </c>
      <c r="G292" s="4">
        <f>_xlfn.XLOOKUP(Table1[[#This Row], [DISGUISE]],Sheet1!$A$21:$A$23,Sheet1!$B$21:$B$23)*Table1[[#This Row], [NUM OF MEM]]*(1+_xlfn.XLOOKUP(Table1[[#This Row], [DISGUISE]],Sheet1!$A$21:$A$23,Sheet1!$C$21:$C$23))</f>
        <v>15600</v>
      </c>
      <c r="H292" s="13" t="s">
        <v>66</v>
      </c>
      <c r="I292" s="4">
        <f>_xlfn.XLOOKUP(Table1[[#This Row], [WEAPON]],Sheet1!$A$27:$A$29,Sheet1!$B$27:$B$29)*Table1[[#This Row], [NUM OF MEM]]*(1+_xlfn.XLOOKUP(Table1[[#This Row], [WEAPON]],Sheet1!$A$27:$A$29,Sheet1!$C$27:$C$29))</f>
        <v>108000</v>
      </c>
      <c r="J292" t="s">
        <v>64</v>
      </c>
      <c r="K292" s="9">
        <f>Table1[[#This Row], [NUM OF MEM]]*Table1[[#This Row], [TOTAL TIME TAKEN]]*_xlfn.XLOOKUP(Table1[[#This Row], [EXIT]],Sheet1!$A$70:$A$71,Sheet1!$B$70:$B$71)*(1+_xlfn.XLOOKUP(Table1[[#This Row], [EXIT]],Sheet1!$A$70:$A$71,Sheet1!$C$70:$C$71))</f>
        <v>1904428.7999999998</v>
      </c>
      <c r="L292" s="13" t="s">
        <v>61</v>
      </c>
      <c r="M292" s="4">
        <f>IF(Table1[[#This Row], [EQUIPMENT]]="YES",Sheet1!$C$44*(1+Sheet1!$D$44),0)</f>
        <v>0</v>
      </c>
      <c r="N292" s="4">
        <f>_xlfn.XLOOKUP(Table1[[#This Row], [ROOM]],Sheet1!$A$47:$A$66,Sheet1!$F$47:$F$66)</f>
        <v>17900000</v>
      </c>
      <c r="O292" s="9">
        <f>_xlfn.XLOOKUP(_xlfn.CONCAT(Table1[[#This Row], [TEAM]],Table1[[#This Row], [ROOM]]),'ROOM TIME'!$H$2:$H$121,'ROOM TIME'!$J$2:$J$121)</f>
        <v>43.565555555555555</v>
      </c>
      <c r="P292" s="9">
        <f>(INDEX(Sheet1!$X$48:$Z$67,MATCH(Table1[[#This Row], [ROOM]],Sheet1!$P$48:$P$67,0),MATCH(Table1[[#This Row], [WEAPON]],Sheet1!$X$47:$Z$47,0)))/Table1[[#This Row], [NUM OF MEM]]</f>
        <v>5.416666666666667</v>
      </c>
      <c r="Q292" s="9">
        <f>Table1[[#This Row], [ROOM TIME]]+Table1[[#This Row], [GUARD TIME]]</f>
        <v>48.982222222222219</v>
      </c>
      <c r="R292" s="4">
        <f>Sheet1!$K$3*_xlfn.XLOOKUP(Table1[[#This Row], [DISGUISE]],Sheet1!$A$21:$A$23,Sheet1!$D$21:$D$23)</f>
        <v>66</v>
      </c>
      <c r="S292" s="9">
        <f>Table1[[#This Row], [TOTAL TIME]]-Table1[[#This Row], [TOTAL TIME TAKEN]]</f>
        <v>17.017777777777781</v>
      </c>
      <c r="T292" t="str">
        <f>IF(Table1[[#This Row], [TIME DIFFERENCE]]&gt;=0,"PASS","FAIL")</f>
        <v>PASS</v>
      </c>
      <c r="U292" s="9">
        <f>Table1[[#This Row], [TRC]]+Table1[[#This Row], [DRC]]+Table1[[#This Row], [WRC]]+Table1[[#This Row], [ERC]]+Table1[[#This Row], [EQRC]]</f>
        <v>7958028.7999999998</v>
      </c>
      <c r="V292" s="9">
        <f>Table1[[#This Row], [TOTAL COST]]+_xlfn.XLOOKUP(Table1[[#This Row], [TEAM]],Sheet1!$A$12:$A$17,Sheet1!$I$12:$I$17)</f>
        <v>8254528.7999999998</v>
      </c>
      <c r="W292" s="9">
        <f>Table1[[#This Row], [LOOT]]-Table1[[#This Row], [TOTAL COST]]</f>
        <v>9941971.1999999993</v>
      </c>
      <c r="X292" s="9">
        <f>IF(Table1[[#This Row], [PASS/FAIL]]="FAIL",0,Table1[[#This Row], [PROFIT]])</f>
        <v>9941971.1999999993</v>
      </c>
    </row>
    <row r="293" spans="1:24" ht="19.5" customHeight="1" x14ac:dyDescent="0.45">
      <c r="A293" t="s">
        <v>9</v>
      </c>
      <c r="B293" s="14">
        <f>_xlfn.XLOOKUP(Table1[[#This Row], [TEAM]],Sheet1!$A$12:$A$17,Sheet1!$F$12:$F$17)</f>
        <v>3</v>
      </c>
      <c r="C293" s="14">
        <f>_xlfn.XLOOKUP(Table1[[#This Row], [TEAM]],Sheet1!$A$12:$A$17,Sheet1!$G$12:$G$17)</f>
        <v>6238750</v>
      </c>
      <c r="D293" t="s">
        <v>24</v>
      </c>
      <c r="E293" s="4">
        <f>_xlfn.XLOOKUP(Table1[[#This Row], [ROOM]],Sheet1!$A$47:$A$66,Sheet1!$B$47:$B$66)</f>
        <v>345</v>
      </c>
      <c r="F293" t="s">
        <v>62</v>
      </c>
      <c r="G293" s="4">
        <f>_xlfn.XLOOKUP(Table1[[#This Row], [DISGUISE]],Sheet1!$A$21:$A$23,Sheet1!$B$21:$B$23)*Table1[[#This Row], [NUM OF MEM]]*(1+_xlfn.XLOOKUP(Table1[[#This Row], [DISGUISE]],Sheet1!$A$21:$A$23,Sheet1!$C$21:$C$23))</f>
        <v>15600</v>
      </c>
      <c r="H293" s="13" t="s">
        <v>59</v>
      </c>
      <c r="I293" s="4">
        <f>_xlfn.XLOOKUP(Table1[[#This Row], [WEAPON]],Sheet1!$A$27:$A$29,Sheet1!$B$27:$B$29)*Table1[[#This Row], [NUM OF MEM]]*(1+_xlfn.XLOOKUP(Table1[[#This Row], [WEAPON]],Sheet1!$A$27:$A$29,Sheet1!$C$27:$C$29))</f>
        <v>136500</v>
      </c>
      <c r="J293" t="s">
        <v>60</v>
      </c>
      <c r="K293" s="9">
        <f>Table1[[#This Row], [NUM OF MEM]]*Table1[[#This Row], [TOTAL TIME TAKEN]]*_xlfn.XLOOKUP(Table1[[#This Row], [EXIT]],Sheet1!$A$70:$A$71,Sheet1!$B$70:$B$71)*(1+_xlfn.XLOOKUP(Table1[[#This Row], [EXIT]],Sheet1!$A$70:$A$71,Sheet1!$C$70:$C$71))</f>
        <v>1667412.2749999999</v>
      </c>
      <c r="L293" s="13" t="s">
        <v>61</v>
      </c>
      <c r="M293" s="4">
        <f>IF(Table1[[#This Row], [EQUIPMENT]]="YES",Sheet1!$C$44*(1+Sheet1!$D$44),0)</f>
        <v>0</v>
      </c>
      <c r="N293" s="4">
        <f>_xlfn.XLOOKUP(Table1[[#This Row], [ROOM]],Sheet1!$A$47:$A$66,Sheet1!$F$47:$F$66)</f>
        <v>18000000</v>
      </c>
      <c r="O293" s="9">
        <f>_xlfn.XLOOKUP(_xlfn.CONCAT(Table1[[#This Row], [TEAM]],Table1[[#This Row], [ROOM]]),'ROOM TIME'!$H$2:$H$121,'ROOM TIME'!$J$2:$J$121)</f>
        <v>38.712222222222216</v>
      </c>
      <c r="P293" s="9">
        <f>(INDEX(Sheet1!$X$48:$Z$67,MATCH(Table1[[#This Row], [ROOM]],Sheet1!$P$48:$P$67,0),MATCH(Table1[[#This Row], [WEAPON]],Sheet1!$X$47:$Z$47,0)))/Table1[[#This Row], [NUM OF MEM]]</f>
        <v>4.5999999999999996</v>
      </c>
      <c r="Q293" s="9">
        <f>Table1[[#This Row], [ROOM TIME]]+Table1[[#This Row], [GUARD TIME]]</f>
        <v>43.312222222222218</v>
      </c>
      <c r="R293" s="4">
        <f>Sheet1!$K$3*_xlfn.XLOOKUP(Table1[[#This Row], [DISGUISE]],Sheet1!$A$21:$A$23,Sheet1!$D$21:$D$23)</f>
        <v>66</v>
      </c>
      <c r="S293" s="9">
        <f>Table1[[#This Row], [TOTAL TIME]]-Table1[[#This Row], [TOTAL TIME TAKEN]]</f>
        <v>22.687777777777782</v>
      </c>
      <c r="T293" t="str">
        <f>IF(Table1[[#This Row], [TIME DIFFERENCE]]&gt;=0,"PASS","FAIL")</f>
        <v>PASS</v>
      </c>
      <c r="U293" s="9">
        <f>Table1[[#This Row], [TRC]]+Table1[[#This Row], [DRC]]+Table1[[#This Row], [WRC]]+Table1[[#This Row], [ERC]]+Table1[[#This Row], [EQRC]]</f>
        <v>8058262.2750000004</v>
      </c>
      <c r="V293" s="9">
        <f>Table1[[#This Row], [TOTAL COST]]+_xlfn.XLOOKUP(Table1[[#This Row], [TEAM]],Sheet1!$A$12:$A$17,Sheet1!$I$12:$I$17)</f>
        <v>8370199.7750000004</v>
      </c>
      <c r="W293" s="9">
        <f>Table1[[#This Row], [LOOT]]-Table1[[#This Row], [TOTAL COST]]</f>
        <v>9941737.7249999996</v>
      </c>
      <c r="X293" s="9">
        <f>IF(Table1[[#This Row], [PASS/FAIL]]="FAIL",0,Table1[[#This Row], [PROFIT]])</f>
        <v>9941737.7249999996</v>
      </c>
    </row>
    <row r="294" spans="1:24" ht="19.5" customHeight="1" x14ac:dyDescent="0.45">
      <c r="A294" t="s">
        <v>13</v>
      </c>
      <c r="B294" s="14">
        <f>_xlfn.XLOOKUP(Table1[[#This Row], [TEAM]],Sheet1!$A$12:$A$17,Sheet1!$F$12:$F$17)</f>
        <v>3</v>
      </c>
      <c r="C294" s="14">
        <f>_xlfn.XLOOKUP(Table1[[#This Row], [TEAM]],Sheet1!$A$12:$A$17,Sheet1!$G$12:$G$17)</f>
        <v>5930000</v>
      </c>
      <c r="D294" t="s">
        <v>21</v>
      </c>
      <c r="E294" s="4">
        <f>_xlfn.XLOOKUP(Table1[[#This Row], [ROOM]],Sheet1!$A$47:$A$66,Sheet1!$B$47:$B$66)</f>
        <v>234</v>
      </c>
      <c r="F294" t="s">
        <v>58</v>
      </c>
      <c r="G294" s="4">
        <f>_xlfn.XLOOKUP(Table1[[#This Row], [DISGUISE]],Sheet1!$A$21:$A$23,Sheet1!$B$21:$B$23)*Table1[[#This Row], [NUM OF MEM]]*(1+_xlfn.XLOOKUP(Table1[[#This Row], [DISGUISE]],Sheet1!$A$21:$A$23,Sheet1!$C$21:$C$23))</f>
        <v>38400</v>
      </c>
      <c r="H294" s="13" t="s">
        <v>63</v>
      </c>
      <c r="I294" s="4">
        <f>_xlfn.XLOOKUP(Table1[[#This Row], [WEAPON]],Sheet1!$A$27:$A$29,Sheet1!$B$27:$B$29)*Table1[[#This Row], [NUM OF MEM]]*(1+_xlfn.XLOOKUP(Table1[[#This Row], [WEAPON]],Sheet1!$A$27:$A$29,Sheet1!$C$27:$C$29))</f>
        <v>69000</v>
      </c>
      <c r="J294" t="s">
        <v>64</v>
      </c>
      <c r="K294" s="9">
        <f>Table1[[#This Row], [NUM OF MEM]]*Table1[[#This Row], [TOTAL TIME TAKEN]]*_xlfn.XLOOKUP(Table1[[#This Row], [EXIT]],Sheet1!$A$70:$A$71,Sheet1!$B$70:$B$71)*(1+_xlfn.XLOOKUP(Table1[[#This Row], [EXIT]],Sheet1!$A$70:$A$71,Sheet1!$C$70:$C$71))</f>
        <v>1921276.7999999998</v>
      </c>
      <c r="L294" s="13" t="s">
        <v>61</v>
      </c>
      <c r="M294" s="4">
        <f>IF(Table1[[#This Row], [EQUIPMENT]]="YES",Sheet1!$C$44*(1+Sheet1!$D$44),0)</f>
        <v>0</v>
      </c>
      <c r="N294" s="4">
        <f>_xlfn.XLOOKUP(Table1[[#This Row], [ROOM]],Sheet1!$A$47:$A$66,Sheet1!$F$47:$F$66)</f>
        <v>17900000</v>
      </c>
      <c r="O294" s="9">
        <f>_xlfn.XLOOKUP(_xlfn.CONCAT(Table1[[#This Row], [TEAM]],Table1[[#This Row], [ROOM]]),'ROOM TIME'!$H$2:$H$121,'ROOM TIME'!$J$2:$J$121)</f>
        <v>43.565555555555555</v>
      </c>
      <c r="P294" s="9">
        <f>(INDEX(Sheet1!$X$48:$Z$67,MATCH(Table1[[#This Row], [ROOM]],Sheet1!$P$48:$P$67,0),MATCH(Table1[[#This Row], [WEAPON]],Sheet1!$X$47:$Z$47,0)))/Table1[[#This Row], [NUM OF MEM]]</f>
        <v>5.8500000000000005</v>
      </c>
      <c r="Q294" s="9">
        <f>Table1[[#This Row], [ROOM TIME]]+Table1[[#This Row], [GUARD TIME]]</f>
        <v>49.415555555555557</v>
      </c>
      <c r="R294" s="4">
        <f>Sheet1!$K$3*_xlfn.XLOOKUP(Table1[[#This Row], [DISGUISE]],Sheet1!$A$21:$A$23,Sheet1!$D$21:$D$23)</f>
        <v>69</v>
      </c>
      <c r="S294" s="9">
        <f>Table1[[#This Row], [TOTAL TIME]]-Table1[[#This Row], [TOTAL TIME TAKEN]]</f>
        <v>19.584444444444443</v>
      </c>
      <c r="T294" t="str">
        <f>IF(Table1[[#This Row], [TIME DIFFERENCE]]&gt;=0,"PASS","FAIL")</f>
        <v>PASS</v>
      </c>
      <c r="U294" s="9">
        <f>Table1[[#This Row], [TRC]]+Table1[[#This Row], [DRC]]+Table1[[#This Row], [WRC]]+Table1[[#This Row], [ERC]]+Table1[[#This Row], [EQRC]]</f>
        <v>7958676.7999999998</v>
      </c>
      <c r="V294" s="9">
        <f>Table1[[#This Row], [TOTAL COST]]+_xlfn.XLOOKUP(Table1[[#This Row], [TEAM]],Sheet1!$A$12:$A$17,Sheet1!$I$12:$I$17)</f>
        <v>8255176.7999999998</v>
      </c>
      <c r="W294" s="9">
        <f>Table1[[#This Row], [LOOT]]-Table1[[#This Row], [TOTAL COST]]</f>
        <v>9941323.1999999993</v>
      </c>
      <c r="X294" s="9">
        <f>IF(Table1[[#This Row], [PASS/FAIL]]="FAIL",0,Table1[[#This Row], [PROFIT]])</f>
        <v>9941323.1999999993</v>
      </c>
    </row>
    <row r="295" spans="1:24" ht="19.5" customHeight="1" x14ac:dyDescent="0.45">
      <c r="A295" t="s">
        <v>9</v>
      </c>
      <c r="B295" s="14">
        <f>_xlfn.XLOOKUP(Table1[[#This Row], [TEAM]],Sheet1!$A$12:$A$17,Sheet1!$F$12:$F$17)</f>
        <v>3</v>
      </c>
      <c r="C295" s="14">
        <f>_xlfn.XLOOKUP(Table1[[#This Row], [TEAM]],Sheet1!$A$12:$A$17,Sheet1!$G$12:$G$17)</f>
        <v>6238750</v>
      </c>
      <c r="D295" t="s">
        <v>18</v>
      </c>
      <c r="E295" s="4">
        <f>_xlfn.XLOOKUP(Table1[[#This Row], [ROOM]],Sheet1!$A$47:$A$66,Sheet1!$B$47:$B$66)</f>
        <v>134</v>
      </c>
      <c r="F295" t="s">
        <v>58</v>
      </c>
      <c r="G295" s="4">
        <f>_xlfn.XLOOKUP(Table1[[#This Row], [DISGUISE]],Sheet1!$A$21:$A$23,Sheet1!$B$21:$B$23)*Table1[[#This Row], [NUM OF MEM]]*(1+_xlfn.XLOOKUP(Table1[[#This Row], [DISGUISE]],Sheet1!$A$21:$A$23,Sheet1!$C$21:$C$23))</f>
        <v>38400</v>
      </c>
      <c r="H295" s="13" t="s">
        <v>59</v>
      </c>
      <c r="I295" s="4">
        <f>_xlfn.XLOOKUP(Table1[[#This Row], [WEAPON]],Sheet1!$A$27:$A$29,Sheet1!$B$27:$B$29)*Table1[[#This Row], [NUM OF MEM]]*(1+_xlfn.XLOOKUP(Table1[[#This Row], [WEAPON]],Sheet1!$A$27:$A$29,Sheet1!$C$27:$C$29))</f>
        <v>136500</v>
      </c>
      <c r="J295" t="s">
        <v>64</v>
      </c>
      <c r="K295" s="9">
        <f>Table1[[#This Row], [NUM OF MEM]]*Table1[[#This Row], [TOTAL TIME TAKEN]]*_xlfn.XLOOKUP(Table1[[#This Row], [EXIT]],Sheet1!$A$70:$A$71,Sheet1!$B$70:$B$71)*(1+_xlfn.XLOOKUP(Table1[[#This Row], [EXIT]],Sheet1!$A$70:$A$71,Sheet1!$C$70:$C$71))</f>
        <v>1695319.1999999997</v>
      </c>
      <c r="L295" s="13" t="s">
        <v>61</v>
      </c>
      <c r="M295" s="4">
        <f>IF(Table1[[#This Row], [EQUIPMENT]]="YES",Sheet1!$C$44*(1+Sheet1!$D$44),0)</f>
        <v>0</v>
      </c>
      <c r="N295" s="4">
        <f>_xlfn.XLOOKUP(Table1[[#This Row], [ROOM]],Sheet1!$A$47:$A$66,Sheet1!$F$47:$F$66)</f>
        <v>18050000</v>
      </c>
      <c r="O295" s="9">
        <f>_xlfn.XLOOKUP(_xlfn.CONCAT(Table1[[#This Row], [TEAM]],Table1[[#This Row], [ROOM]]),'ROOM TIME'!$H$2:$H$121,'ROOM TIME'!$J$2:$J$121)</f>
        <v>39.003888888888881</v>
      </c>
      <c r="P295" s="9">
        <f>(INDEX(Sheet1!$X$48:$Z$67,MATCH(Table1[[#This Row], [ROOM]],Sheet1!$P$48:$P$67,0),MATCH(Table1[[#This Row], [WEAPON]],Sheet1!$X$47:$Z$47,0)))/Table1[[#This Row], [NUM OF MEM]]</f>
        <v>4.5999999999999996</v>
      </c>
      <c r="Q295" s="9">
        <f>Table1[[#This Row], [ROOM TIME]]+Table1[[#This Row], [GUARD TIME]]</f>
        <v>43.603888888888882</v>
      </c>
      <c r="R295" s="4">
        <f>Sheet1!$K$3*_xlfn.XLOOKUP(Table1[[#This Row], [DISGUISE]],Sheet1!$A$21:$A$23,Sheet1!$D$21:$D$23)</f>
        <v>69</v>
      </c>
      <c r="S295" s="9">
        <f>Table1[[#This Row], [TOTAL TIME]]-Table1[[#This Row], [TOTAL TIME TAKEN]]</f>
        <v>25.396111111111118</v>
      </c>
      <c r="T295" t="str">
        <f>IF(Table1[[#This Row], [TIME DIFFERENCE]]&gt;=0,"PASS","FAIL")</f>
        <v>PASS</v>
      </c>
      <c r="U295" s="9">
        <f>Table1[[#This Row], [TRC]]+Table1[[#This Row], [DRC]]+Table1[[#This Row], [WRC]]+Table1[[#This Row], [ERC]]+Table1[[#This Row], [EQRC]]</f>
        <v>8108969.1999999993</v>
      </c>
      <c r="V295" s="9">
        <f>Table1[[#This Row], [TOTAL COST]]+_xlfn.XLOOKUP(Table1[[#This Row], [TEAM]],Sheet1!$A$12:$A$17,Sheet1!$I$12:$I$17)</f>
        <v>8420906.6999999993</v>
      </c>
      <c r="W295" s="9">
        <f>Table1[[#This Row], [LOOT]]-Table1[[#This Row], [TOTAL COST]]</f>
        <v>9941030.8000000007</v>
      </c>
      <c r="X295" s="9">
        <f>IF(Table1[[#This Row], [PASS/FAIL]]="FAIL",0,Table1[[#This Row], [PROFIT]])</f>
        <v>9941030.8000000007</v>
      </c>
    </row>
    <row r="296" spans="1:24" ht="19.5" customHeight="1" x14ac:dyDescent="0.45">
      <c r="A296" t="s">
        <v>14</v>
      </c>
      <c r="B296" s="14">
        <f>_xlfn.XLOOKUP(Table1[[#This Row], [TEAM]],Sheet1!$A$12:$A$17,Sheet1!$F$12:$F$17)</f>
        <v>2</v>
      </c>
      <c r="C296" s="14">
        <f>_xlfn.XLOOKUP(Table1[[#This Row], [TEAM]],Sheet1!$A$12:$A$17,Sheet1!$G$12:$G$17)</f>
        <v>5949600</v>
      </c>
      <c r="D296" t="s">
        <v>29</v>
      </c>
      <c r="E296" s="4">
        <f>_xlfn.XLOOKUP(Table1[[#This Row], [ROOM]],Sheet1!$A$47:$A$66,Sheet1!$B$47:$B$66)</f>
        <v>236</v>
      </c>
      <c r="F296" t="s">
        <v>58</v>
      </c>
      <c r="G296" s="4">
        <f>_xlfn.XLOOKUP(Table1[[#This Row], [DISGUISE]],Sheet1!$A$21:$A$23,Sheet1!$B$21:$B$23)*Table1[[#This Row], [NUM OF MEM]]*(1+_xlfn.XLOOKUP(Table1[[#This Row], [DISGUISE]],Sheet1!$A$21:$A$23,Sheet1!$C$21:$C$23))</f>
        <v>25600</v>
      </c>
      <c r="H296" s="13" t="s">
        <v>63</v>
      </c>
      <c r="I296" s="4">
        <f>_xlfn.XLOOKUP(Table1[[#This Row], [WEAPON]],Sheet1!$A$27:$A$29,Sheet1!$B$27:$B$29)*Table1[[#This Row], [NUM OF MEM]]*(1+_xlfn.XLOOKUP(Table1[[#This Row], [WEAPON]],Sheet1!$A$27:$A$29,Sheet1!$C$27:$C$29))</f>
        <v>46000</v>
      </c>
      <c r="J296" t="s">
        <v>60</v>
      </c>
      <c r="K296" s="9">
        <f>Table1[[#This Row], [NUM OF MEM]]*Table1[[#This Row], [TOTAL TIME TAKEN]]*_xlfn.XLOOKUP(Table1[[#This Row], [EXIT]],Sheet1!$A$70:$A$71,Sheet1!$B$70:$B$71)*(1+_xlfn.XLOOKUP(Table1[[#This Row], [EXIT]],Sheet1!$A$70:$A$71,Sheet1!$C$70:$C$71))</f>
        <v>1730943.8437499993</v>
      </c>
      <c r="L296" s="13" t="s">
        <v>65</v>
      </c>
      <c r="M296" s="4">
        <f>IF(Table1[[#This Row], [EQUIPMENT]]="YES",Sheet1!$C$44*(1+Sheet1!$D$44),0)</f>
        <v>307500</v>
      </c>
      <c r="N296" s="4">
        <f>_xlfn.XLOOKUP(Table1[[#This Row], [ROOM]],Sheet1!$A$47:$A$66,Sheet1!$F$47:$F$66)</f>
        <v>18000000</v>
      </c>
      <c r="O296" s="9">
        <f>_xlfn.XLOOKUP(_xlfn.CONCAT(Table1[[#This Row], [TEAM]],Table1[[#This Row], [ROOM]]),'ROOM TIME'!$H$2:$H$121,'ROOM TIME'!$J$2:$J$121)</f>
        <v>58.668749999999982</v>
      </c>
      <c r="P296" s="9">
        <f>(INDEX(Sheet1!$X$48:$Z$67,MATCH(Table1[[#This Row], [ROOM]],Sheet1!$P$48:$P$67,0),MATCH(Table1[[#This Row], [WEAPON]],Sheet1!$X$47:$Z$47,0)))/Table1[[#This Row], [NUM OF MEM]]</f>
        <v>8.7750000000000004</v>
      </c>
      <c r="Q296" s="9">
        <f>Table1[[#This Row], [ROOM TIME]]+Table1[[#This Row], [GUARD TIME]]</f>
        <v>67.44374999999998</v>
      </c>
      <c r="R296" s="4">
        <f>Sheet1!$K$3*_xlfn.XLOOKUP(Table1[[#This Row], [DISGUISE]],Sheet1!$A$21:$A$23,Sheet1!$D$21:$D$23)</f>
        <v>69</v>
      </c>
      <c r="S296" s="9">
        <f>Table1[[#This Row], [TOTAL TIME]]-Table1[[#This Row], [TOTAL TIME TAKEN]]</f>
        <v>1.5562500000000199</v>
      </c>
      <c r="T296" t="str">
        <f>IF(Table1[[#This Row], [TIME DIFFERENCE]]&gt;=0,"PASS","FAIL")</f>
        <v>PASS</v>
      </c>
      <c r="U296" s="9">
        <f>Table1[[#This Row], [TRC]]+Table1[[#This Row], [DRC]]+Table1[[#This Row], [WRC]]+Table1[[#This Row], [ERC]]+Table1[[#This Row], [EQRC]]</f>
        <v>8059643.8437499991</v>
      </c>
      <c r="V296" s="9">
        <f>Table1[[#This Row], [TOTAL COST]]+_xlfn.XLOOKUP(Table1[[#This Row], [TEAM]],Sheet1!$A$12:$A$17,Sheet1!$I$12:$I$17)</f>
        <v>8357123.8437499991</v>
      </c>
      <c r="W296" s="9">
        <f>Table1[[#This Row], [LOOT]]-Table1[[#This Row], [TOTAL COST]]</f>
        <v>9940356.15625</v>
      </c>
      <c r="X296" s="9">
        <f>IF(Table1[[#This Row], [PASS/FAIL]]="FAIL",0,Table1[[#This Row], [PROFIT]])</f>
        <v>9940356.15625</v>
      </c>
    </row>
    <row r="297" spans="1:24" ht="19.5" customHeight="1" x14ac:dyDescent="0.45">
      <c r="A297" t="s">
        <v>15</v>
      </c>
      <c r="B297" s="14">
        <f>_xlfn.XLOOKUP(Table1[[#This Row], [TEAM]],Sheet1!$A$12:$A$17,Sheet1!$F$12:$F$17)</f>
        <v>2</v>
      </c>
      <c r="C297" s="14">
        <f>_xlfn.XLOOKUP(Table1[[#This Row], [TEAM]],Sheet1!$A$12:$A$17,Sheet1!$G$12:$G$17)</f>
        <v>5932950</v>
      </c>
      <c r="D297" t="s">
        <v>29</v>
      </c>
      <c r="E297" s="4">
        <f>_xlfn.XLOOKUP(Table1[[#This Row], [ROOM]],Sheet1!$A$47:$A$66,Sheet1!$B$47:$B$66)</f>
        <v>236</v>
      </c>
      <c r="F297" t="s">
        <v>58</v>
      </c>
      <c r="G297" s="4">
        <f>_xlfn.XLOOKUP(Table1[[#This Row], [DISGUISE]],Sheet1!$A$21:$A$23,Sheet1!$B$21:$B$23)*Table1[[#This Row], [NUM OF MEM]]*(1+_xlfn.XLOOKUP(Table1[[#This Row], [DISGUISE]],Sheet1!$A$21:$A$23,Sheet1!$C$21:$C$23))</f>
        <v>25600</v>
      </c>
      <c r="H297" s="13" t="s">
        <v>63</v>
      </c>
      <c r="I297" s="4">
        <f>_xlfn.XLOOKUP(Table1[[#This Row], [WEAPON]],Sheet1!$A$27:$A$29,Sheet1!$B$27:$B$29)*Table1[[#This Row], [NUM OF MEM]]*(1+_xlfn.XLOOKUP(Table1[[#This Row], [WEAPON]],Sheet1!$A$27:$A$29,Sheet1!$C$27:$C$29))</f>
        <v>46000</v>
      </c>
      <c r="J297" t="s">
        <v>60</v>
      </c>
      <c r="K297" s="9">
        <f>Table1[[#This Row], [NUM OF MEM]]*Table1[[#This Row], [TOTAL TIME TAKEN]]*_xlfn.XLOOKUP(Table1[[#This Row], [EXIT]],Sheet1!$A$70:$A$71,Sheet1!$B$70:$B$71)*(1+_xlfn.XLOOKUP(Table1[[#This Row], [EXIT]],Sheet1!$A$70:$A$71,Sheet1!$C$70:$C$71))</f>
        <v>1747594.0124999997</v>
      </c>
      <c r="L297" s="13" t="s">
        <v>65</v>
      </c>
      <c r="M297" s="4">
        <f>IF(Table1[[#This Row], [EQUIPMENT]]="YES",Sheet1!$C$44*(1+Sheet1!$D$44),0)</f>
        <v>307500</v>
      </c>
      <c r="N297" s="4">
        <f>_xlfn.XLOOKUP(Table1[[#This Row], [ROOM]],Sheet1!$A$47:$A$66,Sheet1!$F$47:$F$66)</f>
        <v>18000000</v>
      </c>
      <c r="O297" s="9">
        <f>_xlfn.XLOOKUP(_xlfn.CONCAT(Table1[[#This Row], [TEAM]],Table1[[#This Row], [ROOM]]),'ROOM TIME'!$H$2:$H$121,'ROOM TIME'!$J$2:$J$121)</f>
        <v>59.317499999999981</v>
      </c>
      <c r="P297" s="9">
        <f>(INDEX(Sheet1!$X$48:$Z$67,MATCH(Table1[[#This Row], [ROOM]],Sheet1!$P$48:$P$67,0),MATCH(Table1[[#This Row], [WEAPON]],Sheet1!$X$47:$Z$47,0)))/Table1[[#This Row], [NUM OF MEM]]</f>
        <v>8.7750000000000004</v>
      </c>
      <c r="Q297" s="9">
        <f>Table1[[#This Row], [ROOM TIME]]+Table1[[#This Row], [GUARD TIME]]</f>
        <v>68.092499999999987</v>
      </c>
      <c r="R297" s="4">
        <f>Sheet1!$K$3*_xlfn.XLOOKUP(Table1[[#This Row], [DISGUISE]],Sheet1!$A$21:$A$23,Sheet1!$D$21:$D$23)</f>
        <v>69</v>
      </c>
      <c r="S297" s="9">
        <f>Table1[[#This Row], [TOTAL TIME]]-Table1[[#This Row], [TOTAL TIME TAKEN]]</f>
        <v>0.90750000000001307</v>
      </c>
      <c r="T297" t="str">
        <f>IF(Table1[[#This Row], [TIME DIFFERENCE]]&gt;=0,"PASS","FAIL")</f>
        <v>PASS</v>
      </c>
      <c r="U297" s="9">
        <f>Table1[[#This Row], [TRC]]+Table1[[#This Row], [DRC]]+Table1[[#This Row], [WRC]]+Table1[[#This Row], [ERC]]+Table1[[#This Row], [EQRC]]</f>
        <v>8059644.0124999993</v>
      </c>
      <c r="V297" s="9">
        <f>Table1[[#This Row], [TOTAL COST]]+_xlfn.XLOOKUP(Table1[[#This Row], [TEAM]],Sheet1!$A$12:$A$17,Sheet1!$I$12:$I$17)</f>
        <v>8356291.5124999993</v>
      </c>
      <c r="W297" s="9">
        <f>Table1[[#This Row], [LOOT]]-Table1[[#This Row], [TOTAL COST]]</f>
        <v>9940355.9875000007</v>
      </c>
      <c r="X297" s="9">
        <f>IF(Table1[[#This Row], [PASS/FAIL]]="FAIL",0,Table1[[#This Row], [PROFIT]])</f>
        <v>9940355.9875000007</v>
      </c>
    </row>
    <row r="298" spans="1:24" ht="19.5" customHeight="1" x14ac:dyDescent="0.45">
      <c r="A298" t="s">
        <v>9</v>
      </c>
      <c r="B298" s="14">
        <f>_xlfn.XLOOKUP(Table1[[#This Row], [TEAM]],Sheet1!$A$12:$A$17,Sheet1!$F$12:$F$17)</f>
        <v>3</v>
      </c>
      <c r="C298" s="14">
        <f>_xlfn.XLOOKUP(Table1[[#This Row], [TEAM]],Sheet1!$A$12:$A$17,Sheet1!$G$12:$G$17)</f>
        <v>6238750</v>
      </c>
      <c r="D298" t="s">
        <v>24</v>
      </c>
      <c r="E298" s="4">
        <f>_xlfn.XLOOKUP(Table1[[#This Row], [ROOM]],Sheet1!$A$47:$A$66,Sheet1!$B$47:$B$66)</f>
        <v>345</v>
      </c>
      <c r="F298" t="s">
        <v>58</v>
      </c>
      <c r="G298" s="4">
        <f>_xlfn.XLOOKUP(Table1[[#This Row], [DISGUISE]],Sheet1!$A$21:$A$23,Sheet1!$B$21:$B$23)*Table1[[#This Row], [NUM OF MEM]]*(1+_xlfn.XLOOKUP(Table1[[#This Row], [DISGUISE]],Sheet1!$A$21:$A$23,Sheet1!$C$21:$C$23))</f>
        <v>38400</v>
      </c>
      <c r="H298" s="13" t="s">
        <v>63</v>
      </c>
      <c r="I298" s="4">
        <f>_xlfn.XLOOKUP(Table1[[#This Row], [WEAPON]],Sheet1!$A$27:$A$29,Sheet1!$B$27:$B$29)*Table1[[#This Row], [NUM OF MEM]]*(1+_xlfn.XLOOKUP(Table1[[#This Row], [WEAPON]],Sheet1!$A$27:$A$29,Sheet1!$C$27:$C$29))</f>
        <v>69000</v>
      </c>
      <c r="J298" t="s">
        <v>64</v>
      </c>
      <c r="K298" s="9">
        <f>Table1[[#This Row], [NUM OF MEM]]*Table1[[#This Row], [TOTAL TIME TAKEN]]*_xlfn.XLOOKUP(Table1[[#This Row], [EXIT]],Sheet1!$A$70:$A$71,Sheet1!$B$70:$B$71)*(1+_xlfn.XLOOKUP(Table1[[#This Row], [EXIT]],Sheet1!$A$70:$A$71,Sheet1!$C$70:$C$71))</f>
        <v>1715083.1999999997</v>
      </c>
      <c r="L298" s="13" t="s">
        <v>61</v>
      </c>
      <c r="M298" s="4">
        <f>IF(Table1[[#This Row], [EQUIPMENT]]="YES",Sheet1!$C$44*(1+Sheet1!$D$44),0)</f>
        <v>0</v>
      </c>
      <c r="N298" s="4">
        <f>_xlfn.XLOOKUP(Table1[[#This Row], [ROOM]],Sheet1!$A$47:$A$66,Sheet1!$F$47:$F$66)</f>
        <v>18000000</v>
      </c>
      <c r="O298" s="9">
        <f>_xlfn.XLOOKUP(_xlfn.CONCAT(Table1[[#This Row], [TEAM]],Table1[[#This Row], [ROOM]]),'ROOM TIME'!$H$2:$H$121,'ROOM TIME'!$J$2:$J$121)</f>
        <v>38.712222222222216</v>
      </c>
      <c r="P298" s="9">
        <f>(INDEX(Sheet1!$X$48:$Z$67,MATCH(Table1[[#This Row], [ROOM]],Sheet1!$P$48:$P$67,0),MATCH(Table1[[#This Row], [WEAPON]],Sheet1!$X$47:$Z$47,0)))/Table1[[#This Row], [NUM OF MEM]]</f>
        <v>5.4000000000000012</v>
      </c>
      <c r="Q298" s="9">
        <f>Table1[[#This Row], [ROOM TIME]]+Table1[[#This Row], [GUARD TIME]]</f>
        <v>44.112222222222215</v>
      </c>
      <c r="R298" s="4">
        <f>Sheet1!$K$3*_xlfn.XLOOKUP(Table1[[#This Row], [DISGUISE]],Sheet1!$A$21:$A$23,Sheet1!$D$21:$D$23)</f>
        <v>69</v>
      </c>
      <c r="S298" s="9">
        <f>Table1[[#This Row], [TOTAL TIME]]-Table1[[#This Row], [TOTAL TIME TAKEN]]</f>
        <v>24.887777777777785</v>
      </c>
      <c r="T298" t="str">
        <f>IF(Table1[[#This Row], [TIME DIFFERENCE]]&gt;=0,"PASS","FAIL")</f>
        <v>PASS</v>
      </c>
      <c r="U298" s="9">
        <f>Table1[[#This Row], [TRC]]+Table1[[#This Row], [DRC]]+Table1[[#This Row], [WRC]]+Table1[[#This Row], [ERC]]+Table1[[#This Row], [EQRC]]</f>
        <v>8061233.1999999993</v>
      </c>
      <c r="V298" s="9">
        <f>Table1[[#This Row], [TOTAL COST]]+_xlfn.XLOOKUP(Table1[[#This Row], [TEAM]],Sheet1!$A$12:$A$17,Sheet1!$I$12:$I$17)</f>
        <v>8373170.6999999993</v>
      </c>
      <c r="W298" s="9">
        <f>Table1[[#This Row], [LOOT]]-Table1[[#This Row], [TOTAL COST]]</f>
        <v>9938766.8000000007</v>
      </c>
      <c r="X298" s="9">
        <f>IF(Table1[[#This Row], [PASS/FAIL]]="FAIL",0,Table1[[#This Row], [PROFIT]])</f>
        <v>9938766.8000000007</v>
      </c>
    </row>
    <row r="299" spans="1:24" ht="19.5" customHeight="1" x14ac:dyDescent="0.45">
      <c r="A299" t="s">
        <v>9</v>
      </c>
      <c r="B299" s="14">
        <f>_xlfn.XLOOKUP(Table1[[#This Row], [TEAM]],Sheet1!$A$12:$A$17,Sheet1!$F$12:$F$17)</f>
        <v>3</v>
      </c>
      <c r="C299" s="14">
        <f>_xlfn.XLOOKUP(Table1[[#This Row], [TEAM]],Sheet1!$A$12:$A$17,Sheet1!$G$12:$G$17)</f>
        <v>6238750</v>
      </c>
      <c r="D299" t="s">
        <v>32</v>
      </c>
      <c r="E299" s="4">
        <f>_xlfn.XLOOKUP(Table1[[#This Row], [ROOM]],Sheet1!$A$47:$A$66,Sheet1!$B$47:$B$66)</f>
        <v>346</v>
      </c>
      <c r="F299" t="s">
        <v>62</v>
      </c>
      <c r="G299" s="4">
        <f>_xlfn.XLOOKUP(Table1[[#This Row], [DISGUISE]],Sheet1!$A$21:$A$23,Sheet1!$B$21:$B$23)*Table1[[#This Row], [NUM OF MEM]]*(1+_xlfn.XLOOKUP(Table1[[#This Row], [DISGUISE]],Sheet1!$A$21:$A$23,Sheet1!$C$21:$C$23))</f>
        <v>15600</v>
      </c>
      <c r="H299" s="13" t="s">
        <v>63</v>
      </c>
      <c r="I299" s="4">
        <f>_xlfn.XLOOKUP(Table1[[#This Row], [WEAPON]],Sheet1!$A$27:$A$29,Sheet1!$B$27:$B$29)*Table1[[#This Row], [NUM OF MEM]]*(1+_xlfn.XLOOKUP(Table1[[#This Row], [WEAPON]],Sheet1!$A$27:$A$29,Sheet1!$C$27:$C$29))</f>
        <v>69000</v>
      </c>
      <c r="J299" t="s">
        <v>60</v>
      </c>
      <c r="K299" s="9">
        <f>Table1[[#This Row], [NUM OF MEM]]*Table1[[#This Row], [TOTAL TIME TAKEN]]*_xlfn.XLOOKUP(Table1[[#This Row], [EXIT]],Sheet1!$A$70:$A$71,Sheet1!$B$70:$B$71)*(1+_xlfn.XLOOKUP(Table1[[#This Row], [EXIT]],Sheet1!$A$70:$A$71,Sheet1!$C$70:$C$71))</f>
        <v>1630582.9999999995</v>
      </c>
      <c r="L299" s="13" t="s">
        <v>65</v>
      </c>
      <c r="M299" s="4">
        <f>IF(Table1[[#This Row], [EQUIPMENT]]="YES",Sheet1!$C$44*(1+Sheet1!$D$44),0)</f>
        <v>307500</v>
      </c>
      <c r="N299" s="4">
        <f>_xlfn.XLOOKUP(Table1[[#This Row], [ROOM]],Sheet1!$A$47:$A$66,Sheet1!$F$47:$F$66)</f>
        <v>18200000</v>
      </c>
      <c r="O299" s="9">
        <f>_xlfn.XLOOKUP(_xlfn.CONCAT(Table1[[#This Row], [TEAM]],Table1[[#This Row], [ROOM]]),'ROOM TIME'!$H$2:$H$121,'ROOM TIME'!$J$2:$J$121)</f>
        <v>36.505555555555546</v>
      </c>
      <c r="P299" s="9">
        <f>(INDEX(Sheet1!$X$48:$Z$67,MATCH(Table1[[#This Row], [ROOM]],Sheet1!$P$48:$P$67,0),MATCH(Table1[[#This Row], [WEAPON]],Sheet1!$X$47:$Z$47,0)))/Table1[[#This Row], [NUM OF MEM]]</f>
        <v>5.8500000000000005</v>
      </c>
      <c r="Q299" s="9">
        <f>Table1[[#This Row], [ROOM TIME]]+Table1[[#This Row], [GUARD TIME]]</f>
        <v>42.355555555555547</v>
      </c>
      <c r="R299" s="4">
        <f>Sheet1!$K$3*_xlfn.XLOOKUP(Table1[[#This Row], [DISGUISE]],Sheet1!$A$21:$A$23,Sheet1!$D$21:$D$23)</f>
        <v>66</v>
      </c>
      <c r="S299" s="9">
        <f>Table1[[#This Row], [TOTAL TIME]]-Table1[[#This Row], [TOTAL TIME TAKEN]]</f>
        <v>23.644444444444453</v>
      </c>
      <c r="T299" t="str">
        <f>IF(Table1[[#This Row], [TIME DIFFERENCE]]&gt;=0,"PASS","FAIL")</f>
        <v>PASS</v>
      </c>
      <c r="U299" s="4">
        <f>Table1[[#This Row], [TRC]]+Table1[[#This Row], [DRC]]+Table1[[#This Row], [WRC]]+Table1[[#This Row], [ERC]]+Table1[[#This Row], [EQRC]]</f>
        <v>8261433</v>
      </c>
      <c r="V299" s="9">
        <f>Table1[[#This Row], [TOTAL COST]]+_xlfn.XLOOKUP(Table1[[#This Row], [TEAM]],Sheet1!$A$12:$A$17,Sheet1!$I$12:$I$17)</f>
        <v>8573370.5</v>
      </c>
      <c r="W299" s="4">
        <f>Table1[[#This Row], [LOOT]]-Table1[[#This Row], [TOTAL COST]]</f>
        <v>9938567</v>
      </c>
      <c r="X299" s="4">
        <f>IF(Table1[[#This Row], [PASS/FAIL]]="FAIL",0,Table1[[#This Row], [PROFIT]])</f>
        <v>9938567</v>
      </c>
    </row>
    <row r="300" spans="1:24" ht="19.5" customHeight="1" x14ac:dyDescent="0.45">
      <c r="A300" t="s">
        <v>9</v>
      </c>
      <c r="B300" s="14">
        <f>_xlfn.XLOOKUP(Table1[[#This Row], [TEAM]],Sheet1!$A$12:$A$17,Sheet1!$F$12:$F$17)</f>
        <v>3</v>
      </c>
      <c r="C300" s="14">
        <f>_xlfn.XLOOKUP(Table1[[#This Row], [TEAM]],Sheet1!$A$12:$A$17,Sheet1!$G$12:$G$17)</f>
        <v>6238750</v>
      </c>
      <c r="D300" t="s">
        <v>24</v>
      </c>
      <c r="E300" s="4">
        <f>_xlfn.XLOOKUP(Table1[[#This Row], [ROOM]],Sheet1!$A$47:$A$66,Sheet1!$B$47:$B$66)</f>
        <v>345</v>
      </c>
      <c r="F300" t="s">
        <v>62</v>
      </c>
      <c r="G300" s="4">
        <f>_xlfn.XLOOKUP(Table1[[#This Row], [DISGUISE]],Sheet1!$A$21:$A$23,Sheet1!$B$21:$B$23)*Table1[[#This Row], [NUM OF MEM]]*(1+_xlfn.XLOOKUP(Table1[[#This Row], [DISGUISE]],Sheet1!$A$21:$A$23,Sheet1!$C$21:$C$23))</f>
        <v>15600</v>
      </c>
      <c r="H300" s="13" t="s">
        <v>66</v>
      </c>
      <c r="I300" s="4">
        <f>_xlfn.XLOOKUP(Table1[[#This Row], [WEAPON]],Sheet1!$A$27:$A$29,Sheet1!$B$27:$B$29)*Table1[[#This Row], [NUM OF MEM]]*(1+_xlfn.XLOOKUP(Table1[[#This Row], [WEAPON]],Sheet1!$A$27:$A$29,Sheet1!$C$27:$C$29))</f>
        <v>108000</v>
      </c>
      <c r="J300" t="s">
        <v>64</v>
      </c>
      <c r="K300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1699531.2</v>
      </c>
      <c r="L300" s="13" t="s">
        <v>61</v>
      </c>
      <c r="M300" s="4">
        <f>IF(Table1[[#This Row], [EQUIPMENT]]="YES",Sheet1!$C$44*(1+Sheet1!$D$44),0)</f>
        <v>0</v>
      </c>
      <c r="N300" s="4">
        <f>_xlfn.XLOOKUP(Table1[[#This Row], [ROOM]],Sheet1!$A$47:$A$66,Sheet1!$F$47:$F$66)</f>
        <v>18000000</v>
      </c>
      <c r="O300" s="9">
        <f>_xlfn.XLOOKUP(_xlfn.CONCAT(Table1[[#This Row], [TEAM]],Table1[[#This Row], [ROOM]]),'ROOM TIME'!$H$2:$H$121,'ROOM TIME'!$J$2:$J$121)</f>
        <v>38.712222222222216</v>
      </c>
      <c r="P300" s="4">
        <f>(INDEX(Sheet1!$X$48:$Z$67,MATCH(Table1[[#This Row], [ROOM]],Sheet1!$P$48:$P$67,0),MATCH(Table1[[#This Row], [WEAPON]],Sheet1!$X$47:$Z$47,0)))/Table1[[#This Row], [NUM OF MEM]]</f>
        <v>5</v>
      </c>
      <c r="Q300" s="9">
        <f>Table1[[#This Row], [ROOM TIME]]+Table1[[#This Row], [GUARD TIME]]</f>
        <v>43.712222222222216</v>
      </c>
      <c r="R300" s="4">
        <f>Sheet1!$K$3*_xlfn.XLOOKUP(Table1[[#This Row], [DISGUISE]],Sheet1!$A$21:$A$23,Sheet1!$D$21:$D$23)</f>
        <v>66</v>
      </c>
      <c r="S300" s="9">
        <f>Table1[[#This Row], [TOTAL TIME]]-Table1[[#This Row], [TOTAL TIME TAKEN]]</f>
        <v>22.287777777777784</v>
      </c>
      <c r="T300" t="str">
        <f>IF(Table1[[#This Row], [TIME DIFFERENCE]]&gt;=0,"PASS","FAIL")</f>
        <v>PASS</v>
      </c>
      <c r="U300" s="9">
        <f>Table1[[#This Row], [TRC]]+Table1[[#This Row], [DRC]]+Table1[[#This Row], [WRC]]+Table1[[#This Row], [ERC]]+Table1[[#This Row], [EQRC]]</f>
        <v>8061881.2000000002</v>
      </c>
      <c r="V300" s="9">
        <f>Table1[[#This Row], [TOTAL COST]]+_xlfn.XLOOKUP(Table1[[#This Row], [TEAM]],Sheet1!$A$12:$A$17,Sheet1!$I$12:$I$17)</f>
        <v>8373818.7000000002</v>
      </c>
      <c r="W300" s="9">
        <f>Table1[[#This Row], [LOOT]]-Table1[[#This Row], [TOTAL COST]]</f>
        <v>9938118.8000000007</v>
      </c>
      <c r="X300" s="9">
        <f>IF(Table1[[#This Row], [PASS/FAIL]]="FAIL",0,Table1[[#This Row], [PROFIT]])</f>
        <v>9938118.8000000007</v>
      </c>
    </row>
    <row r="301" spans="1:24" ht="19.5" customHeight="1" x14ac:dyDescent="0.45">
      <c r="A301" t="s">
        <v>13</v>
      </c>
      <c r="B301" s="14">
        <f>_xlfn.XLOOKUP(Table1[[#This Row], [TEAM]],Sheet1!$A$12:$A$17,Sheet1!$F$12:$F$17)</f>
        <v>3</v>
      </c>
      <c r="C301" s="14">
        <f>_xlfn.XLOOKUP(Table1[[#This Row], [TEAM]],Sheet1!$A$12:$A$17,Sheet1!$G$12:$G$17)</f>
        <v>5930000</v>
      </c>
      <c r="D301" t="s">
        <v>21</v>
      </c>
      <c r="E301" s="4">
        <f>_xlfn.XLOOKUP(Table1[[#This Row], [ROOM]],Sheet1!$A$47:$A$66,Sheet1!$B$47:$B$66)</f>
        <v>234</v>
      </c>
      <c r="F301" t="s">
        <v>58</v>
      </c>
      <c r="G301" s="4">
        <f>_xlfn.XLOOKUP(Table1[[#This Row], [DISGUISE]],Sheet1!$A$21:$A$23,Sheet1!$B$21:$B$23)*Table1[[#This Row], [NUM OF MEM]]*(1+_xlfn.XLOOKUP(Table1[[#This Row], [DISGUISE]],Sheet1!$A$21:$A$23,Sheet1!$C$21:$C$23))</f>
        <v>38400</v>
      </c>
      <c r="H301" s="13" t="s">
        <v>66</v>
      </c>
      <c r="I301" s="4">
        <f>_xlfn.XLOOKUP(Table1[[#This Row], [WEAPON]],Sheet1!$A$27:$A$29,Sheet1!$B$27:$B$29)*Table1[[#This Row], [NUM OF MEM]]*(1+_xlfn.XLOOKUP(Table1[[#This Row], [WEAPON]],Sheet1!$A$27:$A$29,Sheet1!$C$27:$C$29))</f>
        <v>108000</v>
      </c>
      <c r="J301" t="s">
        <v>60</v>
      </c>
      <c r="K301" s="9">
        <f>Table1[[#This Row], [NUM OF MEM]]*Table1[[#This Row], [TOTAL TIME TAKEN]]*_xlfn.XLOOKUP(Table1[[#This Row], [EXIT]],Sheet1!$A$70:$A$71,Sheet1!$B$70:$B$71)*(1+_xlfn.XLOOKUP(Table1[[#This Row], [EXIT]],Sheet1!$A$70:$A$71,Sheet1!$C$70:$C$71))</f>
        <v>1885693.0999999999</v>
      </c>
      <c r="L301" s="13" t="s">
        <v>61</v>
      </c>
      <c r="M301" s="4">
        <f>IF(Table1[[#This Row], [EQUIPMENT]]="YES",Sheet1!$C$44*(1+Sheet1!$D$44),0)</f>
        <v>0</v>
      </c>
      <c r="N301" s="4">
        <f>_xlfn.XLOOKUP(Table1[[#This Row], [ROOM]],Sheet1!$A$47:$A$66,Sheet1!$F$47:$F$66)</f>
        <v>17900000</v>
      </c>
      <c r="O301" s="9">
        <f>_xlfn.XLOOKUP(_xlfn.CONCAT(Table1[[#This Row], [TEAM]],Table1[[#This Row], [ROOM]]),'ROOM TIME'!$H$2:$H$121,'ROOM TIME'!$J$2:$J$121)</f>
        <v>43.565555555555555</v>
      </c>
      <c r="P301" s="9">
        <f>(INDEX(Sheet1!$X$48:$Z$67,MATCH(Table1[[#This Row], [ROOM]],Sheet1!$P$48:$P$67,0),MATCH(Table1[[#This Row], [WEAPON]],Sheet1!$X$47:$Z$47,0)))/Table1[[#This Row], [NUM OF MEM]]</f>
        <v>5.416666666666667</v>
      </c>
      <c r="Q301" s="9">
        <f>Table1[[#This Row], [ROOM TIME]]+Table1[[#This Row], [GUARD TIME]]</f>
        <v>48.982222222222219</v>
      </c>
      <c r="R301" s="4">
        <f>Sheet1!$K$3*_xlfn.XLOOKUP(Table1[[#This Row], [DISGUISE]],Sheet1!$A$21:$A$23,Sheet1!$D$21:$D$23)</f>
        <v>69</v>
      </c>
      <c r="S301" s="9">
        <f>Table1[[#This Row], [TOTAL TIME]]-Table1[[#This Row], [TOTAL TIME TAKEN]]</f>
        <v>20.017777777777781</v>
      </c>
      <c r="T301" t="str">
        <f>IF(Table1[[#This Row], [TIME DIFFERENCE]]&gt;=0,"PASS","FAIL")</f>
        <v>PASS</v>
      </c>
      <c r="U301" s="9">
        <f>Table1[[#This Row], [TRC]]+Table1[[#This Row], [DRC]]+Table1[[#This Row], [WRC]]+Table1[[#This Row], [ERC]]+Table1[[#This Row], [EQRC]]</f>
        <v>7962093.0999999996</v>
      </c>
      <c r="V301" s="9">
        <f>Table1[[#This Row], [TOTAL COST]]+_xlfn.XLOOKUP(Table1[[#This Row], [TEAM]],Sheet1!$A$12:$A$17,Sheet1!$I$12:$I$17)</f>
        <v>8258593.0999999996</v>
      </c>
      <c r="W301" s="9">
        <f>Table1[[#This Row], [LOOT]]-Table1[[#This Row], [TOTAL COST]]</f>
        <v>9937906.9000000004</v>
      </c>
      <c r="X301" s="9">
        <f>IF(Table1[[#This Row], [PASS/FAIL]]="FAIL",0,Table1[[#This Row], [PROFIT]])</f>
        <v>9937906.9000000004</v>
      </c>
    </row>
    <row r="302" spans="1:24" ht="19.5" customHeight="1" x14ac:dyDescent="0.45">
      <c r="A302" t="s">
        <v>12</v>
      </c>
      <c r="B302" s="14">
        <f>_xlfn.XLOOKUP(Table1[[#This Row], [TEAM]],Sheet1!$A$12:$A$17,Sheet1!$F$12:$F$17)</f>
        <v>3</v>
      </c>
      <c r="C302" s="14">
        <f>_xlfn.XLOOKUP(Table1[[#This Row], [TEAM]],Sheet1!$A$12:$A$17,Sheet1!$G$12:$G$17)</f>
        <v>5988750</v>
      </c>
      <c r="D302" t="s">
        <v>21</v>
      </c>
      <c r="E302" s="4">
        <f>_xlfn.XLOOKUP(Table1[[#This Row], [ROOM]],Sheet1!$A$47:$A$66,Sheet1!$B$47:$B$66)</f>
        <v>234</v>
      </c>
      <c r="F302" t="s">
        <v>58</v>
      </c>
      <c r="G302" s="4">
        <f>_xlfn.XLOOKUP(Table1[[#This Row], [DISGUISE]],Sheet1!$A$21:$A$23,Sheet1!$B$21:$B$23)*Table1[[#This Row], [NUM OF MEM]]*(1+_xlfn.XLOOKUP(Table1[[#This Row], [DISGUISE]],Sheet1!$A$21:$A$23,Sheet1!$C$21:$C$23))</f>
        <v>38400</v>
      </c>
      <c r="H302" s="13" t="s">
        <v>59</v>
      </c>
      <c r="I302" s="4">
        <f>_xlfn.XLOOKUP(Table1[[#This Row], [WEAPON]],Sheet1!$A$27:$A$29,Sheet1!$B$27:$B$29)*Table1[[#This Row], [NUM OF MEM]]*(1+_xlfn.XLOOKUP(Table1[[#This Row], [WEAPON]],Sheet1!$A$27:$A$29,Sheet1!$C$27:$C$29))</f>
        <v>136500</v>
      </c>
      <c r="J302" t="s">
        <v>60</v>
      </c>
      <c r="K302" s="9">
        <f>Table1[[#This Row], [NUM OF MEM]]*Table1[[#This Row], [TOTAL TIME TAKEN]]*_xlfn.XLOOKUP(Table1[[#This Row], [EXIT]],Sheet1!$A$70:$A$71,Sheet1!$B$70:$B$71)*(1+_xlfn.XLOOKUP(Table1[[#This Row], [EXIT]],Sheet1!$A$70:$A$71,Sheet1!$C$70:$C$71))</f>
        <v>1799073.7249999996</v>
      </c>
      <c r="L302" s="13" t="s">
        <v>61</v>
      </c>
      <c r="M302" s="4">
        <f>IF(Table1[[#This Row], [EQUIPMENT]]="YES",Sheet1!$C$44*(1+Sheet1!$D$44),0)</f>
        <v>0</v>
      </c>
      <c r="N302" s="4">
        <f>_xlfn.XLOOKUP(Table1[[#This Row], [ROOM]],Sheet1!$A$47:$A$66,Sheet1!$F$47:$F$66)</f>
        <v>17900000</v>
      </c>
      <c r="O302" s="9">
        <f>_xlfn.XLOOKUP(_xlfn.CONCAT(Table1[[#This Row], [TEAM]],Table1[[#This Row], [ROOM]]),'ROOM TIME'!$H$2:$H$121,'ROOM TIME'!$J$2:$J$121)</f>
        <v>41.748888888888878</v>
      </c>
      <c r="P302" s="9">
        <f>(INDEX(Sheet1!$X$48:$Z$67,MATCH(Table1[[#This Row], [ROOM]],Sheet1!$P$48:$P$67,0),MATCH(Table1[[#This Row], [WEAPON]],Sheet1!$X$47:$Z$47,0)))/Table1[[#This Row], [NUM OF MEM]]</f>
        <v>4.9833333333333334</v>
      </c>
      <c r="Q302" s="9">
        <f>Table1[[#This Row], [ROOM TIME]]+Table1[[#This Row], [GUARD TIME]]</f>
        <v>46.732222222222212</v>
      </c>
      <c r="R302" s="4">
        <f>Sheet1!$K$3*_xlfn.XLOOKUP(Table1[[#This Row], [DISGUISE]],Sheet1!$A$21:$A$23,Sheet1!$D$21:$D$23)</f>
        <v>69</v>
      </c>
      <c r="S302" s="9">
        <f>Table1[[#This Row], [TOTAL TIME]]-Table1[[#This Row], [TOTAL TIME TAKEN]]</f>
        <v>22.267777777777788</v>
      </c>
      <c r="T302" t="str">
        <f>IF(Table1[[#This Row], [TIME DIFFERENCE]]&gt;=0,"PASS","FAIL")</f>
        <v>PASS</v>
      </c>
      <c r="U302" s="9">
        <f>Table1[[#This Row], [TRC]]+Table1[[#This Row], [DRC]]+Table1[[#This Row], [WRC]]+Table1[[#This Row], [ERC]]+Table1[[#This Row], [EQRC]]</f>
        <v>7962723.7249999996</v>
      </c>
      <c r="V302" s="9">
        <f>Table1[[#This Row], [TOTAL COST]]+_xlfn.XLOOKUP(Table1[[#This Row], [TEAM]],Sheet1!$A$12:$A$17,Sheet1!$I$12:$I$17)</f>
        <v>8262161.2249999996</v>
      </c>
      <c r="W302" s="9">
        <f>Table1[[#This Row], [LOOT]]-Table1[[#This Row], [TOTAL COST]]</f>
        <v>9937276.2750000004</v>
      </c>
      <c r="X302" s="9">
        <f>IF(Table1[[#This Row], [PASS/FAIL]]="FAIL",0,Table1[[#This Row], [PROFIT]])</f>
        <v>9937276.2750000004</v>
      </c>
    </row>
    <row r="303" spans="1:24" ht="19.5" customHeight="1" x14ac:dyDescent="0.45">
      <c r="A303" t="s">
        <v>12</v>
      </c>
      <c r="B303" s="14">
        <f>_xlfn.XLOOKUP(Table1[[#This Row], [TEAM]],Sheet1!$A$12:$A$17,Sheet1!$F$12:$F$17)</f>
        <v>3</v>
      </c>
      <c r="C303" s="14">
        <f>_xlfn.XLOOKUP(Table1[[#This Row], [TEAM]],Sheet1!$A$12:$A$17,Sheet1!$G$12:$G$17)</f>
        <v>5988750</v>
      </c>
      <c r="D303" t="s">
        <v>10</v>
      </c>
      <c r="E303" s="4">
        <f>_xlfn.XLOOKUP(Table1[[#This Row], [ROOM]],Sheet1!$A$47:$A$66,Sheet1!$B$47:$B$66)</f>
        <v>123</v>
      </c>
      <c r="F303" t="s">
        <v>62</v>
      </c>
      <c r="G303" s="4">
        <f>_xlfn.XLOOKUP(Table1[[#This Row], [DISGUISE]],Sheet1!$A$21:$A$23,Sheet1!$B$21:$B$23)*Table1[[#This Row], [NUM OF MEM]]*(1+_xlfn.XLOOKUP(Table1[[#This Row], [DISGUISE]],Sheet1!$A$21:$A$23,Sheet1!$C$21:$C$23))</f>
        <v>15600</v>
      </c>
      <c r="H303" s="13" t="s">
        <v>63</v>
      </c>
      <c r="I303" s="4">
        <f>_xlfn.XLOOKUP(Table1[[#This Row], [WEAPON]],Sheet1!$A$27:$A$29,Sheet1!$B$27:$B$29)*Table1[[#This Row], [NUM OF MEM]]*(1+_xlfn.XLOOKUP(Table1[[#This Row], [WEAPON]],Sheet1!$A$27:$A$29,Sheet1!$C$27:$C$29))</f>
        <v>69000</v>
      </c>
      <c r="J303" t="s">
        <v>64</v>
      </c>
      <c r="K303" s="9">
        <f>Table1[[#This Row], [NUM OF MEM]]*Table1[[#This Row], [TOTAL TIME TAKEN]]*_xlfn.XLOOKUP(Table1[[#This Row], [EXIT]],Sheet1!$A$70:$A$71,Sheet1!$B$70:$B$71)*(1+_xlfn.XLOOKUP(Table1[[#This Row], [EXIT]],Sheet1!$A$70:$A$71,Sheet1!$C$70:$C$71))</f>
        <v>1841659.1999999995</v>
      </c>
      <c r="L303" s="13" t="s">
        <v>61</v>
      </c>
      <c r="M303" s="4">
        <f>IF(Table1[[#This Row], [EQUIPMENT]]="YES",Sheet1!$C$44*(1+Sheet1!$D$44),0)</f>
        <v>0</v>
      </c>
      <c r="N303" s="4">
        <f>_xlfn.XLOOKUP(Table1[[#This Row], [ROOM]],Sheet1!$A$47:$A$66,Sheet1!$F$47:$F$66)</f>
        <v>17850000</v>
      </c>
      <c r="O303" s="9">
        <f>_xlfn.XLOOKUP(_xlfn.CONCAT(Table1[[#This Row], [TEAM]],Table1[[#This Row], [ROOM]]),'ROOM TIME'!$H$2:$H$121,'ROOM TIME'!$J$2:$J$121)</f>
        <v>41.967777777777762</v>
      </c>
      <c r="P303" s="9">
        <f>(INDEX(Sheet1!$X$48:$Z$67,MATCH(Table1[[#This Row], [ROOM]],Sheet1!$P$48:$P$67,0),MATCH(Table1[[#This Row], [WEAPON]],Sheet1!$X$47:$Z$47,0)))/Table1[[#This Row], [NUM OF MEM]]</f>
        <v>5.4000000000000012</v>
      </c>
      <c r="Q303" s="9">
        <f>Table1[[#This Row], [ROOM TIME]]+Table1[[#This Row], [GUARD TIME]]</f>
        <v>47.367777777777761</v>
      </c>
      <c r="R303" s="4">
        <f>Sheet1!$K$3*_xlfn.XLOOKUP(Table1[[#This Row], [DISGUISE]],Sheet1!$A$21:$A$23,Sheet1!$D$21:$D$23)</f>
        <v>66</v>
      </c>
      <c r="S303" s="9">
        <f>Table1[[#This Row], [TOTAL TIME]]-Table1[[#This Row], [TOTAL TIME TAKEN]]</f>
        <v>18.632222222222239</v>
      </c>
      <c r="T303" t="str">
        <f>IF(Table1[[#This Row], [TIME DIFFERENCE]]&gt;=0,"PASS","FAIL")</f>
        <v>PASS</v>
      </c>
      <c r="U303" s="9">
        <f>Table1[[#This Row], [TRC]]+Table1[[#This Row], [DRC]]+Table1[[#This Row], [WRC]]+Table1[[#This Row], [ERC]]+Table1[[#This Row], [EQRC]]</f>
        <v>7915009.1999999993</v>
      </c>
      <c r="V303" s="9">
        <f>Table1[[#This Row], [TOTAL COST]]+_xlfn.XLOOKUP(Table1[[#This Row], [TEAM]],Sheet1!$A$12:$A$17,Sheet1!$I$12:$I$17)</f>
        <v>8214446.6999999993</v>
      </c>
      <c r="W303" s="9">
        <f>Table1[[#This Row], [LOOT]]-Table1[[#This Row], [TOTAL COST]]</f>
        <v>9934990.8000000007</v>
      </c>
      <c r="X303" s="9">
        <f>IF(Table1[[#This Row], [PASS/FAIL]]="FAIL",0,Table1[[#This Row], [PROFIT]])</f>
        <v>9934990.8000000007</v>
      </c>
    </row>
    <row r="304" spans="1:24" ht="19.5" customHeight="1" x14ac:dyDescent="0.45">
      <c r="A304" t="s">
        <v>9</v>
      </c>
      <c r="B304" s="14">
        <f>_xlfn.XLOOKUP(Table1[[#This Row], [TEAM]],Sheet1!$A$12:$A$17,Sheet1!$F$12:$F$17)</f>
        <v>3</v>
      </c>
      <c r="C304" s="14">
        <f>_xlfn.XLOOKUP(Table1[[#This Row], [TEAM]],Sheet1!$A$12:$A$17,Sheet1!$G$12:$G$17)</f>
        <v>6238750</v>
      </c>
      <c r="D304" t="s">
        <v>24</v>
      </c>
      <c r="E304" s="4">
        <f>_xlfn.XLOOKUP(Table1[[#This Row], [ROOM]],Sheet1!$A$47:$A$66,Sheet1!$B$47:$B$66)</f>
        <v>345</v>
      </c>
      <c r="F304" t="s">
        <v>58</v>
      </c>
      <c r="G304" s="4">
        <f>_xlfn.XLOOKUP(Table1[[#This Row], [DISGUISE]],Sheet1!$A$21:$A$23,Sheet1!$B$21:$B$23)*Table1[[#This Row], [NUM OF MEM]]*(1+_xlfn.XLOOKUP(Table1[[#This Row], [DISGUISE]],Sheet1!$A$21:$A$23,Sheet1!$C$21:$C$23))</f>
        <v>38400</v>
      </c>
      <c r="H304" s="13" t="s">
        <v>66</v>
      </c>
      <c r="I304" s="4">
        <f>_xlfn.XLOOKUP(Table1[[#This Row], [WEAPON]],Sheet1!$A$27:$A$29,Sheet1!$B$27:$B$29)*Table1[[#This Row], [NUM OF MEM]]*(1+_xlfn.XLOOKUP(Table1[[#This Row], [WEAPON]],Sheet1!$A$27:$A$29,Sheet1!$C$27:$C$29))</f>
        <v>108000</v>
      </c>
      <c r="J304" t="s">
        <v>60</v>
      </c>
      <c r="K304" s="9">
        <f>Table1[[#This Row], [NUM OF MEM]]*Table1[[#This Row], [TOTAL TIME TAKEN]]*_xlfn.XLOOKUP(Table1[[#This Row], [EXIT]],Sheet1!$A$70:$A$71,Sheet1!$B$70:$B$71)*(1+_xlfn.XLOOKUP(Table1[[#This Row], [EXIT]],Sheet1!$A$70:$A$71,Sheet1!$C$70:$C$71))</f>
        <v>1682811.2749999999</v>
      </c>
      <c r="L304" s="13" t="s">
        <v>61</v>
      </c>
      <c r="M304" s="4">
        <f>IF(Table1[[#This Row], [EQUIPMENT]]="YES",Sheet1!$C$44*(1+Sheet1!$D$44),0)</f>
        <v>0</v>
      </c>
      <c r="N304" s="4">
        <f>_xlfn.XLOOKUP(Table1[[#This Row], [ROOM]],Sheet1!$A$47:$A$66,Sheet1!$F$47:$F$66)</f>
        <v>18000000</v>
      </c>
      <c r="O304" s="9">
        <f>_xlfn.XLOOKUP(_xlfn.CONCAT(Table1[[#This Row], [TEAM]],Table1[[#This Row], [ROOM]]),'ROOM TIME'!$H$2:$H$121,'ROOM TIME'!$J$2:$J$121)</f>
        <v>38.712222222222216</v>
      </c>
      <c r="P304" s="4">
        <f>(INDEX(Sheet1!$X$48:$Z$67,MATCH(Table1[[#This Row], [ROOM]],Sheet1!$P$48:$P$67,0),MATCH(Table1[[#This Row], [WEAPON]],Sheet1!$X$47:$Z$47,0)))/Table1[[#This Row], [NUM OF MEM]]</f>
        <v>5</v>
      </c>
      <c r="Q304" s="9">
        <f>Table1[[#This Row], [ROOM TIME]]+Table1[[#This Row], [GUARD TIME]]</f>
        <v>43.712222222222216</v>
      </c>
      <c r="R304" s="4">
        <f>Sheet1!$K$3*_xlfn.XLOOKUP(Table1[[#This Row], [DISGUISE]],Sheet1!$A$21:$A$23,Sheet1!$D$21:$D$23)</f>
        <v>69</v>
      </c>
      <c r="S304" s="9">
        <f>Table1[[#This Row], [TOTAL TIME]]-Table1[[#This Row], [TOTAL TIME TAKEN]]</f>
        <v>25.287777777777784</v>
      </c>
      <c r="T304" t="str">
        <f>IF(Table1[[#This Row], [TIME DIFFERENCE]]&gt;=0,"PASS","FAIL")</f>
        <v>PASS</v>
      </c>
      <c r="U304" s="9">
        <f>Table1[[#This Row], [TRC]]+Table1[[#This Row], [DRC]]+Table1[[#This Row], [WRC]]+Table1[[#This Row], [ERC]]+Table1[[#This Row], [EQRC]]</f>
        <v>8067961.2750000004</v>
      </c>
      <c r="V304" s="9">
        <f>Table1[[#This Row], [TOTAL COST]]+_xlfn.XLOOKUP(Table1[[#This Row], [TEAM]],Sheet1!$A$12:$A$17,Sheet1!$I$12:$I$17)</f>
        <v>8379898.7750000004</v>
      </c>
      <c r="W304" s="9">
        <f>Table1[[#This Row], [LOOT]]-Table1[[#This Row], [TOTAL COST]]</f>
        <v>9932038.7249999996</v>
      </c>
      <c r="X304" s="9">
        <f>IF(Table1[[#This Row], [PASS/FAIL]]="FAIL",0,Table1[[#This Row], [PROFIT]])</f>
        <v>9932038.7249999996</v>
      </c>
    </row>
    <row r="305" spans="1:24" ht="19.5" customHeight="1" x14ac:dyDescent="0.45">
      <c r="A305" t="s">
        <v>9</v>
      </c>
      <c r="B305" s="14">
        <f>_xlfn.XLOOKUP(Table1[[#This Row], [TEAM]],Sheet1!$A$12:$A$17,Sheet1!$F$12:$F$17)</f>
        <v>3</v>
      </c>
      <c r="C305" s="14">
        <f>_xlfn.XLOOKUP(Table1[[#This Row], [TEAM]],Sheet1!$A$12:$A$17,Sheet1!$G$12:$G$17)</f>
        <v>6238750</v>
      </c>
      <c r="D305" t="s">
        <v>19</v>
      </c>
      <c r="E305" s="4">
        <f>_xlfn.XLOOKUP(Table1[[#This Row], [ROOM]],Sheet1!$A$47:$A$66,Sheet1!$B$47:$B$66)</f>
        <v>135</v>
      </c>
      <c r="F305" t="s">
        <v>62</v>
      </c>
      <c r="G305" s="4">
        <f>_xlfn.XLOOKUP(Table1[[#This Row], [DISGUISE]],Sheet1!$A$21:$A$23,Sheet1!$B$21:$B$23)*Table1[[#This Row], [NUM OF MEM]]*(1+_xlfn.XLOOKUP(Table1[[#This Row], [DISGUISE]],Sheet1!$A$21:$A$23,Sheet1!$C$21:$C$23))</f>
        <v>15600</v>
      </c>
      <c r="H305" s="13" t="s">
        <v>63</v>
      </c>
      <c r="I305" s="4">
        <f>_xlfn.XLOOKUP(Table1[[#This Row], [WEAPON]],Sheet1!$A$27:$A$29,Sheet1!$B$27:$B$29)*Table1[[#This Row], [NUM OF MEM]]*(1+_xlfn.XLOOKUP(Table1[[#This Row], [WEAPON]],Sheet1!$A$27:$A$29,Sheet1!$C$27:$C$29))</f>
        <v>69000</v>
      </c>
      <c r="J305" t="s">
        <v>64</v>
      </c>
      <c r="K305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1695146.3999999997</v>
      </c>
      <c r="L305" s="13" t="s">
        <v>61</v>
      </c>
      <c r="M305" s="4">
        <f>IF(Table1[[#This Row], [EQUIPMENT]]="YES",Sheet1!$C$44*(1+Sheet1!$D$44),0)</f>
        <v>0</v>
      </c>
      <c r="N305" s="4">
        <f>_xlfn.XLOOKUP(Table1[[#This Row], [ROOM]],Sheet1!$A$47:$A$66,Sheet1!$F$47:$F$66)</f>
        <v>17950000</v>
      </c>
      <c r="O305" s="9">
        <f>_xlfn.XLOOKUP(_xlfn.CONCAT(Table1[[#This Row], [TEAM]],Table1[[#This Row], [ROOM]]),'ROOM TIME'!$H$2:$H$121,'ROOM TIME'!$J$2:$J$121)</f>
        <v>38.649444444444434</v>
      </c>
      <c r="P305" s="9">
        <f>(INDEX(Sheet1!$X$48:$Z$67,MATCH(Table1[[#This Row], [ROOM]],Sheet1!$P$48:$P$67,0),MATCH(Table1[[#This Row], [WEAPON]],Sheet1!$X$47:$Z$47,0)))/Table1[[#This Row], [NUM OF MEM]]</f>
        <v>4.95</v>
      </c>
      <c r="Q305" s="9">
        <f>Table1[[#This Row], [ROOM TIME]]+Table1[[#This Row], [GUARD TIME]]</f>
        <v>43.599444444444437</v>
      </c>
      <c r="R305" s="4">
        <f>Sheet1!$K$3*_xlfn.XLOOKUP(Table1[[#This Row], [DISGUISE]],Sheet1!$A$21:$A$23,Sheet1!$D$21:$D$23)</f>
        <v>66</v>
      </c>
      <c r="S305" s="9">
        <f>Table1[[#This Row], [TOTAL TIME]]-Table1[[#This Row], [TOTAL TIME TAKEN]]</f>
        <v>22.400555555555563</v>
      </c>
      <c r="T305" t="str">
        <f>IF(Table1[[#This Row], [TIME DIFFERENCE]]&gt;=0,"PASS","FAIL")</f>
        <v>PASS</v>
      </c>
      <c r="U305" s="9">
        <f>Table1[[#This Row], [TRC]]+Table1[[#This Row], [DRC]]+Table1[[#This Row], [WRC]]+Table1[[#This Row], [ERC]]+Table1[[#This Row], [EQRC]]</f>
        <v>8018496.3999999994</v>
      </c>
      <c r="V305" s="9">
        <f>Table1[[#This Row], [TOTAL COST]]+_xlfn.XLOOKUP(Table1[[#This Row], [TEAM]],Sheet1!$A$12:$A$17,Sheet1!$I$12:$I$17)</f>
        <v>8330433.8999999994</v>
      </c>
      <c r="W305" s="9">
        <f>Table1[[#This Row], [LOOT]]-Table1[[#This Row], [TOTAL COST]]</f>
        <v>9931503.6000000015</v>
      </c>
      <c r="X305" s="9">
        <f>IF(Table1[[#This Row], [PASS/FAIL]]="FAIL",0,Table1[[#This Row], [PROFIT]])</f>
        <v>9931503.6000000015</v>
      </c>
    </row>
    <row r="306" spans="1:24" ht="19.5" customHeight="1" x14ac:dyDescent="0.45">
      <c r="A306" t="s">
        <v>12</v>
      </c>
      <c r="B306" s="14">
        <f>_xlfn.XLOOKUP(Table1[[#This Row], [TEAM]],Sheet1!$A$12:$A$17,Sheet1!$F$12:$F$17)</f>
        <v>3</v>
      </c>
      <c r="C306" s="14">
        <f>_xlfn.XLOOKUP(Table1[[#This Row], [TEAM]],Sheet1!$A$12:$A$17,Sheet1!$G$12:$G$17)</f>
        <v>5988750</v>
      </c>
      <c r="D306" t="s">
        <v>21</v>
      </c>
      <c r="E306" s="4">
        <f>_xlfn.XLOOKUP(Table1[[#This Row], [ROOM]],Sheet1!$A$47:$A$66,Sheet1!$B$47:$B$66)</f>
        <v>234</v>
      </c>
      <c r="F306" t="s">
        <v>58</v>
      </c>
      <c r="G306" s="4">
        <f>_xlfn.XLOOKUP(Table1[[#This Row], [DISGUISE]],Sheet1!$A$21:$A$23,Sheet1!$B$21:$B$23)*Table1[[#This Row], [NUM OF MEM]]*(1+_xlfn.XLOOKUP(Table1[[#This Row], [DISGUISE]],Sheet1!$A$21:$A$23,Sheet1!$C$21:$C$23))</f>
        <v>38400</v>
      </c>
      <c r="H306" s="13" t="s">
        <v>66</v>
      </c>
      <c r="I306" s="4">
        <f>_xlfn.XLOOKUP(Table1[[#This Row], [WEAPON]],Sheet1!$A$27:$A$29,Sheet1!$B$27:$B$29)*Table1[[#This Row], [NUM OF MEM]]*(1+_xlfn.XLOOKUP(Table1[[#This Row], [WEAPON]],Sheet1!$A$27:$A$29,Sheet1!$C$27:$C$29))</f>
        <v>108000</v>
      </c>
      <c r="J306" t="s">
        <v>64</v>
      </c>
      <c r="K306" s="9">
        <f>Table1[[#This Row], [NUM OF MEM]]*Table1[[#This Row], [TOTAL TIME TAKEN]]*_xlfn.XLOOKUP(Table1[[#This Row], [EXIT]],Sheet1!$A$70:$A$71,Sheet1!$B$70:$B$71)*(1+_xlfn.XLOOKUP(Table1[[#This Row], [EXIT]],Sheet1!$A$70:$A$71,Sheet1!$C$70:$C$71))</f>
        <v>1833796.7999999993</v>
      </c>
      <c r="L306" s="13" t="s">
        <v>61</v>
      </c>
      <c r="M306" s="4">
        <f>IF(Table1[[#This Row], [EQUIPMENT]]="YES",Sheet1!$C$44*(1+Sheet1!$D$44),0)</f>
        <v>0</v>
      </c>
      <c r="N306" s="4">
        <f>_xlfn.XLOOKUP(Table1[[#This Row], [ROOM]],Sheet1!$A$47:$A$66,Sheet1!$F$47:$F$66)</f>
        <v>17900000</v>
      </c>
      <c r="O306" s="9">
        <f>_xlfn.XLOOKUP(_xlfn.CONCAT(Table1[[#This Row], [TEAM]],Table1[[#This Row], [ROOM]]),'ROOM TIME'!$H$2:$H$121,'ROOM TIME'!$J$2:$J$121)</f>
        <v>41.748888888888878</v>
      </c>
      <c r="P306" s="9">
        <f>(INDEX(Sheet1!$X$48:$Z$67,MATCH(Table1[[#This Row], [ROOM]],Sheet1!$P$48:$P$67,0),MATCH(Table1[[#This Row], [WEAPON]],Sheet1!$X$47:$Z$47,0)))/Table1[[#This Row], [NUM OF MEM]]</f>
        <v>5.416666666666667</v>
      </c>
      <c r="Q306" s="9">
        <f>Table1[[#This Row], [ROOM TIME]]+Table1[[#This Row], [GUARD TIME]]</f>
        <v>47.165555555555542</v>
      </c>
      <c r="R306" s="4">
        <f>Sheet1!$K$3*_xlfn.XLOOKUP(Table1[[#This Row], [DISGUISE]],Sheet1!$A$21:$A$23,Sheet1!$D$21:$D$23)</f>
        <v>69</v>
      </c>
      <c r="S306" s="9">
        <f>Table1[[#This Row], [TOTAL TIME]]-Table1[[#This Row], [TOTAL TIME TAKEN]]</f>
        <v>21.834444444444458</v>
      </c>
      <c r="T306" t="str">
        <f>IF(Table1[[#This Row], [TIME DIFFERENCE]]&gt;=0,"PASS","FAIL")</f>
        <v>PASS</v>
      </c>
      <c r="U306" s="9">
        <f>Table1[[#This Row], [TRC]]+Table1[[#This Row], [DRC]]+Table1[[#This Row], [WRC]]+Table1[[#This Row], [ERC]]+Table1[[#This Row], [EQRC]]</f>
        <v>7968946.7999999989</v>
      </c>
      <c r="V306" s="9">
        <f>Table1[[#This Row], [TOTAL COST]]+_xlfn.XLOOKUP(Table1[[#This Row], [TEAM]],Sheet1!$A$12:$A$17,Sheet1!$I$12:$I$17)</f>
        <v>8268384.2999999989</v>
      </c>
      <c r="W306" s="9">
        <f>Table1[[#This Row], [LOOT]]-Table1[[#This Row], [TOTAL COST]]</f>
        <v>9931053.2000000011</v>
      </c>
      <c r="X306" s="9">
        <f>IF(Table1[[#This Row], [PASS/FAIL]]="FAIL",0,Table1[[#This Row], [PROFIT]])</f>
        <v>9931053.2000000011</v>
      </c>
    </row>
    <row r="307" spans="1:24" ht="19.5" customHeight="1" x14ac:dyDescent="0.45">
      <c r="A307" t="s">
        <v>14</v>
      </c>
      <c r="B307" s="14">
        <f>_xlfn.XLOOKUP(Table1[[#This Row], [TEAM]],Sheet1!$A$12:$A$17,Sheet1!$F$12:$F$17)</f>
        <v>2</v>
      </c>
      <c r="C307" s="14">
        <f>_xlfn.XLOOKUP(Table1[[#This Row], [TEAM]],Sheet1!$A$12:$A$17,Sheet1!$G$12:$G$17)</f>
        <v>5949600</v>
      </c>
      <c r="D307" t="s">
        <v>29</v>
      </c>
      <c r="E307" s="4">
        <f>_xlfn.XLOOKUP(Table1[[#This Row], [ROOM]],Sheet1!$A$47:$A$66,Sheet1!$B$47:$B$66)</f>
        <v>236</v>
      </c>
      <c r="F307" t="s">
        <v>58</v>
      </c>
      <c r="G307" s="4">
        <f>_xlfn.XLOOKUP(Table1[[#This Row], [DISGUISE]],Sheet1!$A$21:$A$23,Sheet1!$B$21:$B$23)*Table1[[#This Row], [NUM OF MEM]]*(1+_xlfn.XLOOKUP(Table1[[#This Row], [DISGUISE]],Sheet1!$A$21:$A$23,Sheet1!$C$21:$C$23))</f>
        <v>25600</v>
      </c>
      <c r="H307" s="13" t="s">
        <v>66</v>
      </c>
      <c r="I307" s="4">
        <f>_xlfn.XLOOKUP(Table1[[#This Row], [WEAPON]],Sheet1!$A$27:$A$29,Sheet1!$B$27:$B$29)*Table1[[#This Row], [NUM OF MEM]]*(1+_xlfn.XLOOKUP(Table1[[#This Row], [WEAPON]],Sheet1!$A$27:$A$29,Sheet1!$C$27:$C$29))</f>
        <v>72000</v>
      </c>
      <c r="J307" t="s">
        <v>60</v>
      </c>
      <c r="K307" s="9">
        <f>Table1[[#This Row], [NUM OF MEM]]*Table1[[#This Row], [TOTAL TIME TAKEN]]*_xlfn.XLOOKUP(Table1[[#This Row], [EXIT]],Sheet1!$A$70:$A$71,Sheet1!$B$70:$B$71)*(1+_xlfn.XLOOKUP(Table1[[#This Row], [EXIT]],Sheet1!$A$70:$A$71,Sheet1!$C$70:$C$71))</f>
        <v>1714261.5937499995</v>
      </c>
      <c r="L307" s="13" t="s">
        <v>65</v>
      </c>
      <c r="M307" s="4">
        <f>IF(Table1[[#This Row], [EQUIPMENT]]="YES",Sheet1!$C$44*(1+Sheet1!$D$44),0)</f>
        <v>307500</v>
      </c>
      <c r="N307" s="4">
        <f>_xlfn.XLOOKUP(Table1[[#This Row], [ROOM]],Sheet1!$A$47:$A$66,Sheet1!$F$47:$F$66)</f>
        <v>18000000</v>
      </c>
      <c r="O307" s="9">
        <f>_xlfn.XLOOKUP(_xlfn.CONCAT(Table1[[#This Row], [TEAM]],Table1[[#This Row], [ROOM]]),'ROOM TIME'!$H$2:$H$121,'ROOM TIME'!$J$2:$J$121)</f>
        <v>58.668749999999982</v>
      </c>
      <c r="P307" s="9">
        <f>(INDEX(Sheet1!$X$48:$Z$67,MATCH(Table1[[#This Row], [ROOM]],Sheet1!$P$48:$P$67,0),MATCH(Table1[[#This Row], [WEAPON]],Sheet1!$X$47:$Z$47,0)))/Table1[[#This Row], [NUM OF MEM]]</f>
        <v>8.125</v>
      </c>
      <c r="Q307" s="9">
        <f>Table1[[#This Row], [ROOM TIME]]+Table1[[#This Row], [GUARD TIME]]</f>
        <v>66.793749999999989</v>
      </c>
      <c r="R307" s="4">
        <f>Sheet1!$K$3*_xlfn.XLOOKUP(Table1[[#This Row], [DISGUISE]],Sheet1!$A$21:$A$23,Sheet1!$D$21:$D$23)</f>
        <v>69</v>
      </c>
      <c r="S307" s="9">
        <f>Table1[[#This Row], [TOTAL TIME]]-Table1[[#This Row], [TOTAL TIME TAKEN]]</f>
        <v>2.2062500000000114</v>
      </c>
      <c r="T307" t="str">
        <f>IF(Table1[[#This Row], [TIME DIFFERENCE]]&gt;=0,"PASS","FAIL")</f>
        <v>PASS</v>
      </c>
      <c r="U307" s="9">
        <f>Table1[[#This Row], [TRC]]+Table1[[#This Row], [DRC]]+Table1[[#This Row], [WRC]]+Table1[[#This Row], [ERC]]+Table1[[#This Row], [EQRC]]</f>
        <v>8068961.59375</v>
      </c>
      <c r="V307" s="9">
        <f>Table1[[#This Row], [TOTAL COST]]+_xlfn.XLOOKUP(Table1[[#This Row], [TEAM]],Sheet1!$A$12:$A$17,Sheet1!$I$12:$I$17)</f>
        <v>8366441.59375</v>
      </c>
      <c r="W307" s="9">
        <f>Table1[[#This Row], [LOOT]]-Table1[[#This Row], [TOTAL COST]]</f>
        <v>9931038.40625</v>
      </c>
      <c r="X307" s="9">
        <f>IF(Table1[[#This Row], [PASS/FAIL]]="FAIL",0,Table1[[#This Row], [PROFIT]])</f>
        <v>9931038.40625</v>
      </c>
    </row>
    <row r="308" spans="1:24" ht="19.5" customHeight="1" x14ac:dyDescent="0.45">
      <c r="A308" t="s">
        <v>15</v>
      </c>
      <c r="B308" s="14">
        <f>_xlfn.XLOOKUP(Table1[[#This Row], [TEAM]],Sheet1!$A$12:$A$17,Sheet1!$F$12:$F$17)</f>
        <v>2</v>
      </c>
      <c r="C308" s="14">
        <f>_xlfn.XLOOKUP(Table1[[#This Row], [TEAM]],Sheet1!$A$12:$A$17,Sheet1!$G$12:$G$17)</f>
        <v>5932950</v>
      </c>
      <c r="D308" t="s">
        <v>29</v>
      </c>
      <c r="E308" s="4">
        <f>_xlfn.XLOOKUP(Table1[[#This Row], [ROOM]],Sheet1!$A$47:$A$66,Sheet1!$B$47:$B$66)</f>
        <v>236</v>
      </c>
      <c r="F308" t="s">
        <v>58</v>
      </c>
      <c r="G308" s="4">
        <f>_xlfn.XLOOKUP(Table1[[#This Row], [DISGUISE]],Sheet1!$A$21:$A$23,Sheet1!$B$21:$B$23)*Table1[[#This Row], [NUM OF MEM]]*(1+_xlfn.XLOOKUP(Table1[[#This Row], [DISGUISE]],Sheet1!$A$21:$A$23,Sheet1!$C$21:$C$23))</f>
        <v>25600</v>
      </c>
      <c r="H308" s="13" t="s">
        <v>66</v>
      </c>
      <c r="I308" s="4">
        <f>_xlfn.XLOOKUP(Table1[[#This Row], [WEAPON]],Sheet1!$A$27:$A$29,Sheet1!$B$27:$B$29)*Table1[[#This Row], [NUM OF MEM]]*(1+_xlfn.XLOOKUP(Table1[[#This Row], [WEAPON]],Sheet1!$A$27:$A$29,Sheet1!$C$27:$C$29))</f>
        <v>72000</v>
      </c>
      <c r="J308" t="s">
        <v>60</v>
      </c>
      <c r="K308" s="9">
        <f>Table1[[#This Row], [NUM OF MEM]]*Table1[[#This Row], [TOTAL TIME TAKEN]]*_xlfn.XLOOKUP(Table1[[#This Row], [EXIT]],Sheet1!$A$70:$A$71,Sheet1!$B$70:$B$71)*(1+_xlfn.XLOOKUP(Table1[[#This Row], [EXIT]],Sheet1!$A$70:$A$71,Sheet1!$C$70:$C$71))</f>
        <v>1730911.7624999997</v>
      </c>
      <c r="L308" s="13" t="s">
        <v>65</v>
      </c>
      <c r="M308" s="4">
        <f>IF(Table1[[#This Row], [EQUIPMENT]]="YES",Sheet1!$C$44*(1+Sheet1!$D$44),0)</f>
        <v>307500</v>
      </c>
      <c r="N308" s="4">
        <f>_xlfn.XLOOKUP(Table1[[#This Row], [ROOM]],Sheet1!$A$47:$A$66,Sheet1!$F$47:$F$66)</f>
        <v>18000000</v>
      </c>
      <c r="O308" s="9">
        <f>_xlfn.XLOOKUP(_xlfn.CONCAT(Table1[[#This Row], [TEAM]],Table1[[#This Row], [ROOM]]),'ROOM TIME'!$H$2:$H$121,'ROOM TIME'!$J$2:$J$121)</f>
        <v>59.317499999999981</v>
      </c>
      <c r="P308" s="9">
        <f>(INDEX(Sheet1!$X$48:$Z$67,MATCH(Table1[[#This Row], [ROOM]],Sheet1!$P$48:$P$67,0),MATCH(Table1[[#This Row], [WEAPON]],Sheet1!$X$47:$Z$47,0)))/Table1[[#This Row], [NUM OF MEM]]</f>
        <v>8.125</v>
      </c>
      <c r="Q308" s="9">
        <f>Table1[[#This Row], [ROOM TIME]]+Table1[[#This Row], [GUARD TIME]]</f>
        <v>67.442499999999981</v>
      </c>
      <c r="R308" s="4">
        <f>Sheet1!$K$3*_xlfn.XLOOKUP(Table1[[#This Row], [DISGUISE]],Sheet1!$A$21:$A$23,Sheet1!$D$21:$D$23)</f>
        <v>69</v>
      </c>
      <c r="S308" s="9">
        <f>Table1[[#This Row], [TOTAL TIME]]-Table1[[#This Row], [TOTAL TIME TAKEN]]</f>
        <v>1.5575000000000188</v>
      </c>
      <c r="T308" t="str">
        <f>IF(Table1[[#This Row], [TIME DIFFERENCE]]&gt;=0,"PASS","FAIL")</f>
        <v>PASS</v>
      </c>
      <c r="U308" s="9">
        <f>Table1[[#This Row], [TRC]]+Table1[[#This Row], [DRC]]+Table1[[#This Row], [WRC]]+Table1[[#This Row], [ERC]]+Table1[[#This Row], [EQRC]]</f>
        <v>8068961.7624999993</v>
      </c>
      <c r="V308" s="9">
        <f>Table1[[#This Row], [TOTAL COST]]+_xlfn.XLOOKUP(Table1[[#This Row], [TEAM]],Sheet1!$A$12:$A$17,Sheet1!$I$12:$I$17)</f>
        <v>8365609.2624999993</v>
      </c>
      <c r="W308" s="9">
        <f>Table1[[#This Row], [LOOT]]-Table1[[#This Row], [TOTAL COST]]</f>
        <v>9931038.2375000007</v>
      </c>
      <c r="X308" s="9">
        <f>IF(Table1[[#This Row], [PASS/FAIL]]="FAIL",0,Table1[[#This Row], [PROFIT]])</f>
        <v>9931038.2375000007</v>
      </c>
    </row>
    <row r="309" spans="1:24" ht="19.5" customHeight="1" x14ac:dyDescent="0.45">
      <c r="A309" t="s">
        <v>13</v>
      </c>
      <c r="B309" s="14">
        <f>_xlfn.XLOOKUP(Table1[[#This Row], [TEAM]],Sheet1!$A$12:$A$17,Sheet1!$F$12:$F$17)</f>
        <v>3</v>
      </c>
      <c r="C309" s="14">
        <f>_xlfn.XLOOKUP(Table1[[#This Row], [TEAM]],Sheet1!$A$12:$A$17,Sheet1!$G$12:$G$17)</f>
        <v>5930000</v>
      </c>
      <c r="D309" t="s">
        <v>21</v>
      </c>
      <c r="E309" s="4">
        <f>_xlfn.XLOOKUP(Table1[[#This Row], [ROOM]],Sheet1!$A$47:$A$66,Sheet1!$B$47:$B$66)</f>
        <v>234</v>
      </c>
      <c r="F309" t="s">
        <v>62</v>
      </c>
      <c r="G309" s="4">
        <f>_xlfn.XLOOKUP(Table1[[#This Row], [DISGUISE]],Sheet1!$A$21:$A$23,Sheet1!$B$21:$B$23)*Table1[[#This Row], [NUM OF MEM]]*(1+_xlfn.XLOOKUP(Table1[[#This Row], [DISGUISE]],Sheet1!$A$21:$A$23,Sheet1!$C$21:$C$23))</f>
        <v>15600</v>
      </c>
      <c r="H309" s="13" t="s">
        <v>59</v>
      </c>
      <c r="I309" s="4">
        <f>_xlfn.XLOOKUP(Table1[[#This Row], [WEAPON]],Sheet1!$A$27:$A$29,Sheet1!$B$27:$B$29)*Table1[[#This Row], [NUM OF MEM]]*(1+_xlfn.XLOOKUP(Table1[[#This Row], [WEAPON]],Sheet1!$A$27:$A$29,Sheet1!$C$27:$C$29))</f>
        <v>136500</v>
      </c>
      <c r="J309" t="s">
        <v>64</v>
      </c>
      <c r="K309" s="9">
        <f>Table1[[#This Row], [NUM OF MEM]]*Table1[[#This Row], [TOTAL TIME TAKEN]]*_xlfn.XLOOKUP(Table1[[#This Row], [EXIT]],Sheet1!$A$70:$A$71,Sheet1!$B$70:$B$71)*(1+_xlfn.XLOOKUP(Table1[[#This Row], [EXIT]],Sheet1!$A$70:$A$71,Sheet1!$C$70:$C$71))</f>
        <v>1887580.7999999998</v>
      </c>
      <c r="L309" s="13" t="s">
        <v>61</v>
      </c>
      <c r="M309" s="4">
        <f>IF(Table1[[#This Row], [EQUIPMENT]]="YES",Sheet1!$C$44*(1+Sheet1!$D$44),0)</f>
        <v>0</v>
      </c>
      <c r="N309" s="4">
        <f>_xlfn.XLOOKUP(Table1[[#This Row], [ROOM]],Sheet1!$A$47:$A$66,Sheet1!$F$47:$F$66)</f>
        <v>17900000</v>
      </c>
      <c r="O309" s="9">
        <f>_xlfn.XLOOKUP(_xlfn.CONCAT(Table1[[#This Row], [TEAM]],Table1[[#This Row], [ROOM]]),'ROOM TIME'!$H$2:$H$121,'ROOM TIME'!$J$2:$J$121)</f>
        <v>43.565555555555555</v>
      </c>
      <c r="P309" s="9">
        <f>(INDEX(Sheet1!$X$48:$Z$67,MATCH(Table1[[#This Row], [ROOM]],Sheet1!$P$48:$P$67,0),MATCH(Table1[[#This Row], [WEAPON]],Sheet1!$X$47:$Z$47,0)))/Table1[[#This Row], [NUM OF MEM]]</f>
        <v>4.9833333333333334</v>
      </c>
      <c r="Q309" s="9">
        <f>Table1[[#This Row], [ROOM TIME]]+Table1[[#This Row], [GUARD TIME]]</f>
        <v>48.548888888888889</v>
      </c>
      <c r="R309" s="4">
        <f>Sheet1!$K$3*_xlfn.XLOOKUP(Table1[[#This Row], [DISGUISE]],Sheet1!$A$21:$A$23,Sheet1!$D$21:$D$23)</f>
        <v>66</v>
      </c>
      <c r="S309" s="9">
        <f>Table1[[#This Row], [TOTAL TIME]]-Table1[[#This Row], [TOTAL TIME TAKEN]]</f>
        <v>17.451111111111111</v>
      </c>
      <c r="T309" t="str">
        <f>IF(Table1[[#This Row], [TIME DIFFERENCE]]&gt;=0,"PASS","FAIL")</f>
        <v>PASS</v>
      </c>
      <c r="U309" s="9">
        <f>Table1[[#This Row], [TRC]]+Table1[[#This Row], [DRC]]+Table1[[#This Row], [WRC]]+Table1[[#This Row], [ERC]]+Table1[[#This Row], [EQRC]]</f>
        <v>7969680.7999999998</v>
      </c>
      <c r="V309" s="9">
        <f>Table1[[#This Row], [TOTAL COST]]+_xlfn.XLOOKUP(Table1[[#This Row], [TEAM]],Sheet1!$A$12:$A$17,Sheet1!$I$12:$I$17)</f>
        <v>8266180.7999999998</v>
      </c>
      <c r="W309" s="9">
        <f>Table1[[#This Row], [LOOT]]-Table1[[#This Row], [TOTAL COST]]</f>
        <v>9930319.1999999993</v>
      </c>
      <c r="X309" s="9">
        <f>IF(Table1[[#This Row], [PASS/FAIL]]="FAIL",0,Table1[[#This Row], [PROFIT]])</f>
        <v>9930319.1999999993</v>
      </c>
    </row>
    <row r="310" spans="1:24" ht="19.5" customHeight="1" x14ac:dyDescent="0.45">
      <c r="A310" t="s">
        <v>12</v>
      </c>
      <c r="B310" s="14">
        <f>_xlfn.XLOOKUP(Table1[[#This Row], [TEAM]],Sheet1!$A$12:$A$17,Sheet1!$F$12:$F$17)</f>
        <v>3</v>
      </c>
      <c r="C310" s="14">
        <f>_xlfn.XLOOKUP(Table1[[#This Row], [TEAM]],Sheet1!$A$12:$A$17,Sheet1!$G$12:$G$17)</f>
        <v>5988750</v>
      </c>
      <c r="D310" t="s">
        <v>10</v>
      </c>
      <c r="E310" s="4">
        <f>_xlfn.XLOOKUP(Table1[[#This Row], [ROOM]],Sheet1!$A$47:$A$66,Sheet1!$B$47:$B$66)</f>
        <v>123</v>
      </c>
      <c r="F310" t="s">
        <v>58</v>
      </c>
      <c r="G310" s="4">
        <f>_xlfn.XLOOKUP(Table1[[#This Row], [DISGUISE]],Sheet1!$A$21:$A$23,Sheet1!$B$21:$B$23)*Table1[[#This Row], [NUM OF MEM]]*(1+_xlfn.XLOOKUP(Table1[[#This Row], [DISGUISE]],Sheet1!$A$21:$A$23,Sheet1!$C$21:$C$23))</f>
        <v>38400</v>
      </c>
      <c r="H310" s="13" t="s">
        <v>63</v>
      </c>
      <c r="I310" s="4">
        <f>_xlfn.XLOOKUP(Table1[[#This Row], [WEAPON]],Sheet1!$A$27:$A$29,Sheet1!$B$27:$B$29)*Table1[[#This Row], [NUM OF MEM]]*(1+_xlfn.XLOOKUP(Table1[[#This Row], [WEAPON]],Sheet1!$A$27:$A$29,Sheet1!$C$27:$C$29))</f>
        <v>69000</v>
      </c>
      <c r="J310" t="s">
        <v>60</v>
      </c>
      <c r="K310" s="9">
        <f>Table1[[#This Row], [NUM OF MEM]]*Table1[[#This Row], [TOTAL TIME TAKEN]]*_xlfn.XLOOKUP(Table1[[#This Row], [EXIT]],Sheet1!$A$70:$A$71,Sheet1!$B$70:$B$71)*(1+_xlfn.XLOOKUP(Table1[[#This Row], [EXIT]],Sheet1!$A$70:$A$71,Sheet1!$C$70:$C$71))</f>
        <v>1823541.0249999997</v>
      </c>
      <c r="L310" s="13" t="s">
        <v>61</v>
      </c>
      <c r="M310" s="4">
        <f>IF(Table1[[#This Row], [EQUIPMENT]]="YES",Sheet1!$C$44*(1+Sheet1!$D$44),0)</f>
        <v>0</v>
      </c>
      <c r="N310" s="4">
        <f>_xlfn.XLOOKUP(Table1[[#This Row], [ROOM]],Sheet1!$A$47:$A$66,Sheet1!$F$47:$F$66)</f>
        <v>17850000</v>
      </c>
      <c r="O310" s="9">
        <f>_xlfn.XLOOKUP(_xlfn.CONCAT(Table1[[#This Row], [TEAM]],Table1[[#This Row], [ROOM]]),'ROOM TIME'!$H$2:$H$121,'ROOM TIME'!$J$2:$J$121)</f>
        <v>41.967777777777762</v>
      </c>
      <c r="P310" s="9">
        <f>(INDEX(Sheet1!$X$48:$Z$67,MATCH(Table1[[#This Row], [ROOM]],Sheet1!$P$48:$P$67,0),MATCH(Table1[[#This Row], [WEAPON]],Sheet1!$X$47:$Z$47,0)))/Table1[[#This Row], [NUM OF MEM]]</f>
        <v>5.4000000000000012</v>
      </c>
      <c r="Q310" s="9">
        <f>Table1[[#This Row], [ROOM TIME]]+Table1[[#This Row], [GUARD TIME]]</f>
        <v>47.367777777777761</v>
      </c>
      <c r="R310" s="4">
        <f>Sheet1!$K$3*_xlfn.XLOOKUP(Table1[[#This Row], [DISGUISE]],Sheet1!$A$21:$A$23,Sheet1!$D$21:$D$23)</f>
        <v>69</v>
      </c>
      <c r="S310" s="9">
        <f>Table1[[#This Row], [TOTAL TIME]]-Table1[[#This Row], [TOTAL TIME TAKEN]]</f>
        <v>21.632222222222239</v>
      </c>
      <c r="T310" t="str">
        <f>IF(Table1[[#This Row], [TIME DIFFERENCE]]&gt;=0,"PASS","FAIL")</f>
        <v>PASS</v>
      </c>
      <c r="U310" s="9">
        <f>Table1[[#This Row], [TRC]]+Table1[[#This Row], [DRC]]+Table1[[#This Row], [WRC]]+Table1[[#This Row], [ERC]]+Table1[[#This Row], [EQRC]]</f>
        <v>7919691.0249999994</v>
      </c>
      <c r="V310" s="9">
        <f>Table1[[#This Row], [TOTAL COST]]+_xlfn.XLOOKUP(Table1[[#This Row], [TEAM]],Sheet1!$A$12:$A$17,Sheet1!$I$12:$I$17)</f>
        <v>8219128.5249999994</v>
      </c>
      <c r="W310" s="9">
        <f>Table1[[#This Row], [LOOT]]-Table1[[#This Row], [TOTAL COST]]</f>
        <v>9930308.9750000015</v>
      </c>
      <c r="X310" s="9">
        <f>IF(Table1[[#This Row], [PASS/FAIL]]="FAIL",0,Table1[[#This Row], [PROFIT]])</f>
        <v>9930308.9750000015</v>
      </c>
    </row>
    <row r="311" spans="1:24" ht="19.5" customHeight="1" x14ac:dyDescent="0.45">
      <c r="A311" t="s">
        <v>12</v>
      </c>
      <c r="B311" s="14">
        <f>_xlfn.XLOOKUP(Table1[[#This Row], [TEAM]],Sheet1!$A$12:$A$17,Sheet1!$F$12:$F$17)</f>
        <v>3</v>
      </c>
      <c r="C311" s="14">
        <f>_xlfn.XLOOKUP(Table1[[#This Row], [TEAM]],Sheet1!$A$12:$A$17,Sheet1!$G$12:$G$17)</f>
        <v>5988750</v>
      </c>
      <c r="D311" t="s">
        <v>10</v>
      </c>
      <c r="E311" s="4">
        <f>_xlfn.XLOOKUP(Table1[[#This Row], [ROOM]],Sheet1!$A$47:$A$66,Sheet1!$B$47:$B$66)</f>
        <v>123</v>
      </c>
      <c r="F311" t="s">
        <v>62</v>
      </c>
      <c r="G311" s="4">
        <f>_xlfn.XLOOKUP(Table1[[#This Row], [DISGUISE]],Sheet1!$A$21:$A$23,Sheet1!$B$21:$B$23)*Table1[[#This Row], [NUM OF MEM]]*(1+_xlfn.XLOOKUP(Table1[[#This Row], [DISGUISE]],Sheet1!$A$21:$A$23,Sheet1!$C$21:$C$23))</f>
        <v>15600</v>
      </c>
      <c r="H311" s="13" t="s">
        <v>66</v>
      </c>
      <c r="I311" s="4">
        <f>_xlfn.XLOOKUP(Table1[[#This Row], [WEAPON]],Sheet1!$A$27:$A$29,Sheet1!$B$27:$B$29)*Table1[[#This Row], [NUM OF MEM]]*(1+_xlfn.XLOOKUP(Table1[[#This Row], [WEAPON]],Sheet1!$A$27:$A$29,Sheet1!$C$27:$C$29))</f>
        <v>108000</v>
      </c>
      <c r="J311" t="s">
        <v>60</v>
      </c>
      <c r="K311" s="9">
        <f>Table1[[#This Row], [NUM OF MEM]]*Table1[[#This Row], [TOTAL TIME TAKEN]]*_xlfn.XLOOKUP(Table1[[#This Row], [EXIT]],Sheet1!$A$70:$A$71,Sheet1!$B$70:$B$71)*(1+_xlfn.XLOOKUP(Table1[[#This Row], [EXIT]],Sheet1!$A$70:$A$71,Sheet1!$C$70:$C$71))</f>
        <v>1808142.0249999992</v>
      </c>
      <c r="L311" s="13" t="s">
        <v>61</v>
      </c>
      <c r="M311" s="4">
        <f>IF(Table1[[#This Row], [EQUIPMENT]]="YES",Sheet1!$C$44*(1+Sheet1!$D$44),0)</f>
        <v>0</v>
      </c>
      <c r="N311" s="4">
        <f>_xlfn.XLOOKUP(Table1[[#This Row], [ROOM]],Sheet1!$A$47:$A$66,Sheet1!$F$47:$F$66)</f>
        <v>17850000</v>
      </c>
      <c r="O311" s="9">
        <f>_xlfn.XLOOKUP(_xlfn.CONCAT(Table1[[#This Row], [TEAM]],Table1[[#This Row], [ROOM]]),'ROOM TIME'!$H$2:$H$121,'ROOM TIME'!$J$2:$J$121)</f>
        <v>41.967777777777762</v>
      </c>
      <c r="P311" s="4">
        <f>(INDEX(Sheet1!$X$48:$Z$67,MATCH(Table1[[#This Row], [ROOM]],Sheet1!$P$48:$P$67,0),MATCH(Table1[[#This Row], [WEAPON]],Sheet1!$X$47:$Z$47,0)))/Table1[[#This Row], [NUM OF MEM]]</f>
        <v>5</v>
      </c>
      <c r="Q311" s="9">
        <f>Table1[[#This Row], [ROOM TIME]]+Table1[[#This Row], [GUARD TIME]]</f>
        <v>46.967777777777762</v>
      </c>
      <c r="R311" s="4">
        <f>Sheet1!$K$3*_xlfn.XLOOKUP(Table1[[#This Row], [DISGUISE]],Sheet1!$A$21:$A$23,Sheet1!$D$21:$D$23)</f>
        <v>66</v>
      </c>
      <c r="S311" s="9">
        <f>Table1[[#This Row], [TOTAL TIME]]-Table1[[#This Row], [TOTAL TIME TAKEN]]</f>
        <v>19.032222222222238</v>
      </c>
      <c r="T311" t="str">
        <f>IF(Table1[[#This Row], [TIME DIFFERENCE]]&gt;=0,"PASS","FAIL")</f>
        <v>PASS</v>
      </c>
      <c r="U311" s="9">
        <f>Table1[[#This Row], [TRC]]+Table1[[#This Row], [DRC]]+Table1[[#This Row], [WRC]]+Table1[[#This Row], [ERC]]+Table1[[#This Row], [EQRC]]</f>
        <v>7920492.0249999994</v>
      </c>
      <c r="V311" s="9">
        <f>Table1[[#This Row], [TOTAL COST]]+_xlfn.XLOOKUP(Table1[[#This Row], [TEAM]],Sheet1!$A$12:$A$17,Sheet1!$I$12:$I$17)</f>
        <v>8219929.5249999994</v>
      </c>
      <c r="W311" s="9">
        <f>Table1[[#This Row], [LOOT]]-Table1[[#This Row], [TOTAL COST]]</f>
        <v>9929507.9750000015</v>
      </c>
      <c r="X311" s="9">
        <f>IF(Table1[[#This Row], [PASS/FAIL]]="FAIL",0,Table1[[#This Row], [PROFIT]])</f>
        <v>9929507.9750000015</v>
      </c>
    </row>
    <row r="312" spans="1:24" ht="19.5" customHeight="1" x14ac:dyDescent="0.45">
      <c r="A312" t="s">
        <v>14</v>
      </c>
      <c r="B312" s="14">
        <f>_xlfn.XLOOKUP(Table1[[#This Row], [TEAM]],Sheet1!$A$12:$A$17,Sheet1!$F$12:$F$17)</f>
        <v>2</v>
      </c>
      <c r="C312" s="14">
        <f>_xlfn.XLOOKUP(Table1[[#This Row], [TEAM]],Sheet1!$A$12:$A$17,Sheet1!$G$12:$G$17)</f>
        <v>5949600</v>
      </c>
      <c r="D312" t="s">
        <v>29</v>
      </c>
      <c r="E312" s="4">
        <f>_xlfn.XLOOKUP(Table1[[#This Row], [ROOM]],Sheet1!$A$47:$A$66,Sheet1!$B$47:$B$66)</f>
        <v>236</v>
      </c>
      <c r="F312" t="s">
        <v>58</v>
      </c>
      <c r="G312" s="4">
        <f>_xlfn.XLOOKUP(Table1[[#This Row], [DISGUISE]],Sheet1!$A$21:$A$23,Sheet1!$B$21:$B$23)*Table1[[#This Row], [NUM OF MEM]]*(1+_xlfn.XLOOKUP(Table1[[#This Row], [DISGUISE]],Sheet1!$A$21:$A$23,Sheet1!$C$21:$C$23))</f>
        <v>25600</v>
      </c>
      <c r="H312" s="13" t="s">
        <v>59</v>
      </c>
      <c r="I312" s="4">
        <f>_xlfn.XLOOKUP(Table1[[#This Row], [WEAPON]],Sheet1!$A$27:$A$29,Sheet1!$B$27:$B$29)*Table1[[#This Row], [NUM OF MEM]]*(1+_xlfn.XLOOKUP(Table1[[#This Row], [WEAPON]],Sheet1!$A$27:$A$29,Sheet1!$C$27:$C$29))</f>
        <v>91000</v>
      </c>
      <c r="J312" t="s">
        <v>60</v>
      </c>
      <c r="K312" s="9">
        <f>Table1[[#This Row], [NUM OF MEM]]*Table1[[#This Row], [TOTAL TIME TAKEN]]*_xlfn.XLOOKUP(Table1[[#This Row], [EXIT]],Sheet1!$A$70:$A$71,Sheet1!$B$70:$B$71)*(1+_xlfn.XLOOKUP(Table1[[#This Row], [EXIT]],Sheet1!$A$70:$A$71,Sheet1!$C$70:$C$71))</f>
        <v>1697579.3437499995</v>
      </c>
      <c r="L312" s="13" t="s">
        <v>65</v>
      </c>
      <c r="M312" s="4">
        <f>IF(Table1[[#This Row], [EQUIPMENT]]="YES",Sheet1!$C$44*(1+Sheet1!$D$44),0)</f>
        <v>307500</v>
      </c>
      <c r="N312" s="4">
        <f>_xlfn.XLOOKUP(Table1[[#This Row], [ROOM]],Sheet1!$A$47:$A$66,Sheet1!$F$47:$F$66)</f>
        <v>18000000</v>
      </c>
      <c r="O312" s="9">
        <f>_xlfn.XLOOKUP(_xlfn.CONCAT(Table1[[#This Row], [TEAM]],Table1[[#This Row], [ROOM]]),'ROOM TIME'!$H$2:$H$121,'ROOM TIME'!$J$2:$J$121)</f>
        <v>58.668749999999982</v>
      </c>
      <c r="P312" s="9">
        <f>(INDEX(Sheet1!$X$48:$Z$67,MATCH(Table1[[#This Row], [ROOM]],Sheet1!$P$48:$P$67,0),MATCH(Table1[[#This Row], [WEAPON]],Sheet1!$X$47:$Z$47,0)))/Table1[[#This Row], [NUM OF MEM]]</f>
        <v>7.4749999999999996</v>
      </c>
      <c r="Q312" s="9">
        <f>Table1[[#This Row], [ROOM TIME]]+Table1[[#This Row], [GUARD TIME]]</f>
        <v>66.143749999999983</v>
      </c>
      <c r="R312" s="4">
        <f>Sheet1!$K$3*_xlfn.XLOOKUP(Table1[[#This Row], [DISGUISE]],Sheet1!$A$21:$A$23,Sheet1!$D$21:$D$23)</f>
        <v>69</v>
      </c>
      <c r="S312" s="9">
        <f>Table1[[#This Row], [TOTAL TIME]]-Table1[[#This Row], [TOTAL TIME TAKEN]]</f>
        <v>2.8562500000000171</v>
      </c>
      <c r="T312" t="str">
        <f>IF(Table1[[#This Row], [TIME DIFFERENCE]]&gt;=0,"PASS","FAIL")</f>
        <v>PASS</v>
      </c>
      <c r="U312" s="9">
        <f>Table1[[#This Row], [TRC]]+Table1[[#This Row], [DRC]]+Table1[[#This Row], [WRC]]+Table1[[#This Row], [ERC]]+Table1[[#This Row], [EQRC]]</f>
        <v>8071279.34375</v>
      </c>
      <c r="V312" s="9">
        <f>Table1[[#This Row], [TOTAL COST]]+_xlfn.XLOOKUP(Table1[[#This Row], [TEAM]],Sheet1!$A$12:$A$17,Sheet1!$I$12:$I$17)</f>
        <v>8368759.34375</v>
      </c>
      <c r="W312" s="9">
        <f>Table1[[#This Row], [LOOT]]-Table1[[#This Row], [TOTAL COST]]</f>
        <v>9928720.65625</v>
      </c>
      <c r="X312" s="9">
        <f>IF(Table1[[#This Row], [PASS/FAIL]]="FAIL",0,Table1[[#This Row], [PROFIT]])</f>
        <v>9928720.65625</v>
      </c>
    </row>
    <row r="313" spans="1:24" ht="19.5" customHeight="1" x14ac:dyDescent="0.45">
      <c r="A313" t="s">
        <v>15</v>
      </c>
      <c r="B313" s="14">
        <f>_xlfn.XLOOKUP(Table1[[#This Row], [TEAM]],Sheet1!$A$12:$A$17,Sheet1!$F$12:$F$17)</f>
        <v>2</v>
      </c>
      <c r="C313" s="14">
        <f>_xlfn.XLOOKUP(Table1[[#This Row], [TEAM]],Sheet1!$A$12:$A$17,Sheet1!$G$12:$G$17)</f>
        <v>5932950</v>
      </c>
      <c r="D313" t="s">
        <v>29</v>
      </c>
      <c r="E313" s="4">
        <f>_xlfn.XLOOKUP(Table1[[#This Row], [ROOM]],Sheet1!$A$47:$A$66,Sheet1!$B$47:$B$66)</f>
        <v>236</v>
      </c>
      <c r="F313" t="s">
        <v>58</v>
      </c>
      <c r="G313" s="4">
        <f>_xlfn.XLOOKUP(Table1[[#This Row], [DISGUISE]],Sheet1!$A$21:$A$23,Sheet1!$B$21:$B$23)*Table1[[#This Row], [NUM OF MEM]]*(1+_xlfn.XLOOKUP(Table1[[#This Row], [DISGUISE]],Sheet1!$A$21:$A$23,Sheet1!$C$21:$C$23))</f>
        <v>25600</v>
      </c>
      <c r="H313" s="13" t="s">
        <v>59</v>
      </c>
      <c r="I313" s="4">
        <f>_xlfn.XLOOKUP(Table1[[#This Row], [WEAPON]],Sheet1!$A$27:$A$29,Sheet1!$B$27:$B$29)*Table1[[#This Row], [NUM OF MEM]]*(1+_xlfn.XLOOKUP(Table1[[#This Row], [WEAPON]],Sheet1!$A$27:$A$29,Sheet1!$C$27:$C$29))</f>
        <v>91000</v>
      </c>
      <c r="J313" t="s">
        <v>60</v>
      </c>
      <c r="K313" s="9">
        <f>Table1[[#This Row], [NUM OF MEM]]*Table1[[#This Row], [TOTAL TIME TAKEN]]*_xlfn.XLOOKUP(Table1[[#This Row], [EXIT]],Sheet1!$A$70:$A$71,Sheet1!$B$70:$B$71)*(1+_xlfn.XLOOKUP(Table1[[#This Row], [EXIT]],Sheet1!$A$70:$A$71,Sheet1!$C$70:$C$71))</f>
        <v>1714229.5124999993</v>
      </c>
      <c r="L313" s="13" t="s">
        <v>65</v>
      </c>
      <c r="M313" s="4">
        <f>IF(Table1[[#This Row], [EQUIPMENT]]="YES",Sheet1!$C$44*(1+Sheet1!$D$44),0)</f>
        <v>307500</v>
      </c>
      <c r="N313" s="4">
        <f>_xlfn.XLOOKUP(Table1[[#This Row], [ROOM]],Sheet1!$A$47:$A$66,Sheet1!$F$47:$F$66)</f>
        <v>18000000</v>
      </c>
      <c r="O313" s="9">
        <f>_xlfn.XLOOKUP(_xlfn.CONCAT(Table1[[#This Row], [TEAM]],Table1[[#This Row], [ROOM]]),'ROOM TIME'!$H$2:$H$121,'ROOM TIME'!$J$2:$J$121)</f>
        <v>59.317499999999981</v>
      </c>
      <c r="P313" s="9">
        <f>(INDEX(Sheet1!$X$48:$Z$67,MATCH(Table1[[#This Row], [ROOM]],Sheet1!$P$48:$P$67,0),MATCH(Table1[[#This Row], [WEAPON]],Sheet1!$X$47:$Z$47,0)))/Table1[[#This Row], [NUM OF MEM]]</f>
        <v>7.4749999999999996</v>
      </c>
      <c r="Q313" s="9">
        <f>Table1[[#This Row], [ROOM TIME]]+Table1[[#This Row], [GUARD TIME]]</f>
        <v>66.792499999999976</v>
      </c>
      <c r="R313" s="4">
        <f>Sheet1!$K$3*_xlfn.XLOOKUP(Table1[[#This Row], [DISGUISE]],Sheet1!$A$21:$A$23,Sheet1!$D$21:$D$23)</f>
        <v>69</v>
      </c>
      <c r="S313" s="9">
        <f>Table1[[#This Row], [TOTAL TIME]]-Table1[[#This Row], [TOTAL TIME TAKEN]]</f>
        <v>2.2075000000000244</v>
      </c>
      <c r="T313" t="str">
        <f>IF(Table1[[#This Row], [TIME DIFFERENCE]]&gt;=0,"PASS","FAIL")</f>
        <v>PASS</v>
      </c>
      <c r="U313" s="9">
        <f>Table1[[#This Row], [TRC]]+Table1[[#This Row], [DRC]]+Table1[[#This Row], [WRC]]+Table1[[#This Row], [ERC]]+Table1[[#This Row], [EQRC]]</f>
        <v>8071279.5124999993</v>
      </c>
      <c r="V313" s="9">
        <f>Table1[[#This Row], [TOTAL COST]]+_xlfn.XLOOKUP(Table1[[#This Row], [TEAM]],Sheet1!$A$12:$A$17,Sheet1!$I$12:$I$17)</f>
        <v>8367927.0124999993</v>
      </c>
      <c r="W313" s="9">
        <f>Table1[[#This Row], [LOOT]]-Table1[[#This Row], [TOTAL COST]]</f>
        <v>9928720.4875000007</v>
      </c>
      <c r="X313" s="9">
        <f>IF(Table1[[#This Row], [PASS/FAIL]]="FAIL",0,Table1[[#This Row], [PROFIT]])</f>
        <v>9928720.4875000007</v>
      </c>
    </row>
    <row r="314" spans="1:24" ht="19.5" customHeight="1" x14ac:dyDescent="0.45">
      <c r="A314" t="s">
        <v>13</v>
      </c>
      <c r="B314" s="14">
        <f>_xlfn.XLOOKUP(Table1[[#This Row], [TEAM]],Sheet1!$A$12:$A$17,Sheet1!$F$12:$F$17)</f>
        <v>3</v>
      </c>
      <c r="C314" s="14">
        <f>_xlfn.XLOOKUP(Table1[[#This Row], [TEAM]],Sheet1!$A$12:$A$17,Sheet1!$G$12:$G$17)</f>
        <v>5930000</v>
      </c>
      <c r="D314" t="s">
        <v>10</v>
      </c>
      <c r="E314" s="4">
        <f>_xlfn.XLOOKUP(Table1[[#This Row], [ROOM]],Sheet1!$A$47:$A$66,Sheet1!$B$47:$B$66)</f>
        <v>123</v>
      </c>
      <c r="F314" t="s">
        <v>62</v>
      </c>
      <c r="G314" s="4">
        <f>_xlfn.XLOOKUP(Table1[[#This Row], [DISGUISE]],Sheet1!$A$21:$A$23,Sheet1!$B$21:$B$23)*Table1[[#This Row], [NUM OF MEM]]*(1+_xlfn.XLOOKUP(Table1[[#This Row], [DISGUISE]],Sheet1!$A$21:$A$23,Sheet1!$C$21:$C$23))</f>
        <v>15600</v>
      </c>
      <c r="H314" s="13" t="s">
        <v>63</v>
      </c>
      <c r="I314" s="4">
        <f>_xlfn.XLOOKUP(Table1[[#This Row], [WEAPON]],Sheet1!$A$27:$A$29,Sheet1!$B$27:$B$29)*Table1[[#This Row], [NUM OF MEM]]*(1+_xlfn.XLOOKUP(Table1[[#This Row], [WEAPON]],Sheet1!$A$27:$A$29,Sheet1!$C$27:$C$29))</f>
        <v>69000</v>
      </c>
      <c r="J314" t="s">
        <v>64</v>
      </c>
      <c r="K314" s="9">
        <f>Table1[[#This Row], [NUM OF MEM]]*Table1[[#This Row], [TOTAL TIME TAKEN]]*_xlfn.XLOOKUP(Table1[[#This Row], [EXIT]],Sheet1!$A$70:$A$71,Sheet1!$B$70:$B$71)*(1+_xlfn.XLOOKUP(Table1[[#This Row], [EXIT]],Sheet1!$A$70:$A$71,Sheet1!$C$70:$C$71))</f>
        <v>1907236.7999999993</v>
      </c>
      <c r="L314" s="13" t="s">
        <v>61</v>
      </c>
      <c r="M314" s="4">
        <f>IF(Table1[[#This Row], [EQUIPMENT]]="YES",Sheet1!$C$44*(1+Sheet1!$D$44),0)</f>
        <v>0</v>
      </c>
      <c r="N314" s="4">
        <f>_xlfn.XLOOKUP(Table1[[#This Row], [ROOM]],Sheet1!$A$47:$A$66,Sheet1!$F$47:$F$66)</f>
        <v>17850000</v>
      </c>
      <c r="O314" s="9">
        <f>_xlfn.XLOOKUP(_xlfn.CONCAT(Table1[[#This Row], [TEAM]],Table1[[#This Row], [ROOM]]),'ROOM TIME'!$H$2:$H$121,'ROOM TIME'!$J$2:$J$121)</f>
        <v>43.654444444444437</v>
      </c>
      <c r="P314" s="9">
        <f>(INDEX(Sheet1!$X$48:$Z$67,MATCH(Table1[[#This Row], [ROOM]],Sheet1!$P$48:$P$67,0),MATCH(Table1[[#This Row], [WEAPON]],Sheet1!$X$47:$Z$47,0)))/Table1[[#This Row], [NUM OF MEM]]</f>
        <v>5.4000000000000012</v>
      </c>
      <c r="Q314" s="9">
        <f>Table1[[#This Row], [ROOM TIME]]+Table1[[#This Row], [GUARD TIME]]</f>
        <v>49.054444444444435</v>
      </c>
      <c r="R314" s="4">
        <f>Sheet1!$K$3*_xlfn.XLOOKUP(Table1[[#This Row], [DISGUISE]],Sheet1!$A$21:$A$23,Sheet1!$D$21:$D$23)</f>
        <v>66</v>
      </c>
      <c r="S314" s="9">
        <f>Table1[[#This Row], [TOTAL TIME]]-Table1[[#This Row], [TOTAL TIME TAKEN]]</f>
        <v>16.945555555555565</v>
      </c>
      <c r="T314" t="str">
        <f>IF(Table1[[#This Row], [TIME DIFFERENCE]]&gt;=0,"PASS","FAIL")</f>
        <v>PASS</v>
      </c>
      <c r="U314" s="9">
        <f>Table1[[#This Row], [TRC]]+Table1[[#This Row], [DRC]]+Table1[[#This Row], [WRC]]+Table1[[#This Row], [ERC]]+Table1[[#This Row], [EQRC]]</f>
        <v>7921836.7999999989</v>
      </c>
      <c r="V314" s="9">
        <f>Table1[[#This Row], [TOTAL COST]]+_xlfn.XLOOKUP(Table1[[#This Row], [TEAM]],Sheet1!$A$12:$A$17,Sheet1!$I$12:$I$17)</f>
        <v>8218336.7999999989</v>
      </c>
      <c r="W314" s="9">
        <f>Table1[[#This Row], [LOOT]]-Table1[[#This Row], [TOTAL COST]]</f>
        <v>9928163.2000000011</v>
      </c>
      <c r="X314" s="9">
        <f>IF(Table1[[#This Row], [PASS/FAIL]]="FAIL",0,Table1[[#This Row], [PROFIT]])</f>
        <v>9928163.2000000011</v>
      </c>
    </row>
    <row r="315" spans="1:24" ht="19.5" customHeight="1" x14ac:dyDescent="0.45">
      <c r="A315" t="s">
        <v>13</v>
      </c>
      <c r="B315" s="14">
        <f>_xlfn.XLOOKUP(Table1[[#This Row], [TEAM]],Sheet1!$A$12:$A$17,Sheet1!$F$12:$F$17)</f>
        <v>3</v>
      </c>
      <c r="C315" s="14">
        <f>_xlfn.XLOOKUP(Table1[[#This Row], [TEAM]],Sheet1!$A$12:$A$17,Sheet1!$G$12:$G$17)</f>
        <v>5930000</v>
      </c>
      <c r="D315" t="s">
        <v>21</v>
      </c>
      <c r="E315" s="4">
        <f>_xlfn.XLOOKUP(Table1[[#This Row], [ROOM]],Sheet1!$A$47:$A$66,Sheet1!$B$47:$B$66)</f>
        <v>234</v>
      </c>
      <c r="F315" t="s">
        <v>58</v>
      </c>
      <c r="G315" s="4">
        <f>_xlfn.XLOOKUP(Table1[[#This Row], [DISGUISE]],Sheet1!$A$21:$A$23,Sheet1!$B$21:$B$23)*Table1[[#This Row], [NUM OF MEM]]*(1+_xlfn.XLOOKUP(Table1[[#This Row], [DISGUISE]],Sheet1!$A$21:$A$23,Sheet1!$C$21:$C$23))</f>
        <v>38400</v>
      </c>
      <c r="H315" s="13" t="s">
        <v>59</v>
      </c>
      <c r="I315" s="4">
        <f>_xlfn.XLOOKUP(Table1[[#This Row], [WEAPON]],Sheet1!$A$27:$A$29,Sheet1!$B$27:$B$29)*Table1[[#This Row], [NUM OF MEM]]*(1+_xlfn.XLOOKUP(Table1[[#This Row], [WEAPON]],Sheet1!$A$27:$A$29,Sheet1!$C$27:$C$29))</f>
        <v>136500</v>
      </c>
      <c r="J315" t="s">
        <v>60</v>
      </c>
      <c r="K315" s="9">
        <f>Table1[[#This Row], [NUM OF MEM]]*Table1[[#This Row], [TOTAL TIME TAKEN]]*_xlfn.XLOOKUP(Table1[[#This Row], [EXIT]],Sheet1!$A$70:$A$71,Sheet1!$B$70:$B$71)*(1+_xlfn.XLOOKUP(Table1[[#This Row], [EXIT]],Sheet1!$A$70:$A$71,Sheet1!$C$70:$C$71))</f>
        <v>1869010.8499999999</v>
      </c>
      <c r="L315" s="13" t="s">
        <v>61</v>
      </c>
      <c r="M315" s="4">
        <f>IF(Table1[[#This Row], [EQUIPMENT]]="YES",Sheet1!$C$44*(1+Sheet1!$D$44),0)</f>
        <v>0</v>
      </c>
      <c r="N315" s="4">
        <f>_xlfn.XLOOKUP(Table1[[#This Row], [ROOM]],Sheet1!$A$47:$A$66,Sheet1!$F$47:$F$66)</f>
        <v>17900000</v>
      </c>
      <c r="O315" s="9">
        <f>_xlfn.XLOOKUP(_xlfn.CONCAT(Table1[[#This Row], [TEAM]],Table1[[#This Row], [ROOM]]),'ROOM TIME'!$H$2:$H$121,'ROOM TIME'!$J$2:$J$121)</f>
        <v>43.565555555555555</v>
      </c>
      <c r="P315" s="9">
        <f>(INDEX(Sheet1!$X$48:$Z$67,MATCH(Table1[[#This Row], [ROOM]],Sheet1!$P$48:$P$67,0),MATCH(Table1[[#This Row], [WEAPON]],Sheet1!$X$47:$Z$47,0)))/Table1[[#This Row], [NUM OF MEM]]</f>
        <v>4.9833333333333334</v>
      </c>
      <c r="Q315" s="9">
        <f>Table1[[#This Row], [ROOM TIME]]+Table1[[#This Row], [GUARD TIME]]</f>
        <v>48.548888888888889</v>
      </c>
      <c r="R315" s="4">
        <f>Sheet1!$K$3*_xlfn.XLOOKUP(Table1[[#This Row], [DISGUISE]],Sheet1!$A$21:$A$23,Sheet1!$D$21:$D$23)</f>
        <v>69</v>
      </c>
      <c r="S315" s="9">
        <f>Table1[[#This Row], [TOTAL TIME]]-Table1[[#This Row], [TOTAL TIME TAKEN]]</f>
        <v>20.451111111111111</v>
      </c>
      <c r="T315" t="str">
        <f>IF(Table1[[#This Row], [TIME DIFFERENCE]]&gt;=0,"PASS","FAIL")</f>
        <v>PASS</v>
      </c>
      <c r="U315" s="9">
        <f>Table1[[#This Row], [TRC]]+Table1[[#This Row], [DRC]]+Table1[[#This Row], [WRC]]+Table1[[#This Row], [ERC]]+Table1[[#This Row], [EQRC]]</f>
        <v>7973910.8499999996</v>
      </c>
      <c r="V315" s="9">
        <f>Table1[[#This Row], [TOTAL COST]]+_xlfn.XLOOKUP(Table1[[#This Row], [TEAM]],Sheet1!$A$12:$A$17,Sheet1!$I$12:$I$17)</f>
        <v>8270410.8499999996</v>
      </c>
      <c r="W315" s="9">
        <f>Table1[[#This Row], [LOOT]]-Table1[[#This Row], [TOTAL COST]]</f>
        <v>9926089.1500000004</v>
      </c>
      <c r="X315" s="9">
        <f>IF(Table1[[#This Row], [PASS/FAIL]]="FAIL",0,Table1[[#This Row], [PROFIT]])</f>
        <v>9926089.1500000004</v>
      </c>
    </row>
    <row r="316" spans="1:24" ht="19.5" customHeight="1" x14ac:dyDescent="0.45">
      <c r="A316" t="s">
        <v>9</v>
      </c>
      <c r="B316" s="14">
        <f>_xlfn.XLOOKUP(Table1[[#This Row], [TEAM]],Sheet1!$A$12:$A$17,Sheet1!$F$12:$F$17)</f>
        <v>3</v>
      </c>
      <c r="C316" s="14">
        <f>_xlfn.XLOOKUP(Table1[[#This Row], [TEAM]],Sheet1!$A$12:$A$17,Sheet1!$G$12:$G$17)</f>
        <v>6238750</v>
      </c>
      <c r="D316" t="s">
        <v>19</v>
      </c>
      <c r="E316" s="4">
        <f>_xlfn.XLOOKUP(Table1[[#This Row], [ROOM]],Sheet1!$A$47:$A$66,Sheet1!$B$47:$B$66)</f>
        <v>135</v>
      </c>
      <c r="F316" t="s">
        <v>58</v>
      </c>
      <c r="G316" s="4">
        <f>_xlfn.XLOOKUP(Table1[[#This Row], [DISGUISE]],Sheet1!$A$21:$A$23,Sheet1!$B$21:$B$23)*Table1[[#This Row], [NUM OF MEM]]*(1+_xlfn.XLOOKUP(Table1[[#This Row], [DISGUISE]],Sheet1!$A$21:$A$23,Sheet1!$C$21:$C$23))</f>
        <v>38400</v>
      </c>
      <c r="H316" s="13" t="s">
        <v>63</v>
      </c>
      <c r="I316" s="4">
        <f>_xlfn.XLOOKUP(Table1[[#This Row], [WEAPON]],Sheet1!$A$27:$A$29,Sheet1!$B$27:$B$29)*Table1[[#This Row], [NUM OF MEM]]*(1+_xlfn.XLOOKUP(Table1[[#This Row], [WEAPON]],Sheet1!$A$27:$A$29,Sheet1!$C$27:$C$29))</f>
        <v>69000</v>
      </c>
      <c r="J316" t="s">
        <v>60</v>
      </c>
      <c r="K316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1678469.6124999996</v>
      </c>
      <c r="L316" s="13" t="s">
        <v>61</v>
      </c>
      <c r="M316" s="4">
        <f>IF(Table1[[#This Row], [EQUIPMENT]]="YES",Sheet1!$C$44*(1+Sheet1!$D$44),0)</f>
        <v>0</v>
      </c>
      <c r="N316" s="4">
        <f>_xlfn.XLOOKUP(Table1[[#This Row], [ROOM]],Sheet1!$A$47:$A$66,Sheet1!$F$47:$F$66)</f>
        <v>17950000</v>
      </c>
      <c r="O316" s="9">
        <f>_xlfn.XLOOKUP(_xlfn.CONCAT(Table1[[#This Row], [TEAM]],Table1[[#This Row], [ROOM]]),'ROOM TIME'!$H$2:$H$121,'ROOM TIME'!$J$2:$J$121)</f>
        <v>38.649444444444434</v>
      </c>
      <c r="P316" s="9">
        <f>(INDEX(Sheet1!$X$48:$Z$67,MATCH(Table1[[#This Row], [ROOM]],Sheet1!$P$48:$P$67,0),MATCH(Table1[[#This Row], [WEAPON]],Sheet1!$X$47:$Z$47,0)))/Table1[[#This Row], [NUM OF MEM]]</f>
        <v>4.95</v>
      </c>
      <c r="Q316" s="9">
        <f>Table1[[#This Row], [ROOM TIME]]+Table1[[#This Row], [GUARD TIME]]</f>
        <v>43.599444444444437</v>
      </c>
      <c r="R316" s="4">
        <f>Sheet1!$K$3*_xlfn.XLOOKUP(Table1[[#This Row], [DISGUISE]],Sheet1!$A$21:$A$23,Sheet1!$D$21:$D$23)</f>
        <v>69</v>
      </c>
      <c r="S316" s="9">
        <f>Table1[[#This Row], [TOTAL TIME]]-Table1[[#This Row], [TOTAL TIME TAKEN]]</f>
        <v>25.400555555555563</v>
      </c>
      <c r="T316" t="str">
        <f>IF(Table1[[#This Row], [TIME DIFFERENCE]]&gt;=0,"PASS","FAIL")</f>
        <v>PASS</v>
      </c>
      <c r="U316" s="9">
        <f>Table1[[#This Row], [TRC]]+Table1[[#This Row], [DRC]]+Table1[[#This Row], [WRC]]+Table1[[#This Row], [ERC]]+Table1[[#This Row], [EQRC]]</f>
        <v>8024619.6124999998</v>
      </c>
      <c r="V316" s="9">
        <f>Table1[[#This Row], [TOTAL COST]]+_xlfn.XLOOKUP(Table1[[#This Row], [TEAM]],Sheet1!$A$12:$A$17,Sheet1!$I$12:$I$17)</f>
        <v>8336557.1124999998</v>
      </c>
      <c r="W316" s="9">
        <f>Table1[[#This Row], [LOOT]]-Table1[[#This Row], [TOTAL COST]]</f>
        <v>9925380.3874999993</v>
      </c>
      <c r="X316" s="9">
        <f>IF(Table1[[#This Row], [PASS/FAIL]]="FAIL",0,Table1[[#This Row], [PROFIT]])</f>
        <v>9925380.3874999993</v>
      </c>
    </row>
    <row r="317" spans="1:24" ht="19.5" customHeight="1" x14ac:dyDescent="0.45">
      <c r="A317" t="s">
        <v>9</v>
      </c>
      <c r="B317" s="14">
        <f>_xlfn.XLOOKUP(Table1[[#This Row], [TEAM]],Sheet1!$A$12:$A$17,Sheet1!$F$12:$F$17)</f>
        <v>3</v>
      </c>
      <c r="C317" s="14">
        <f>_xlfn.XLOOKUP(Table1[[#This Row], [TEAM]],Sheet1!$A$12:$A$17,Sheet1!$G$12:$G$17)</f>
        <v>6238750</v>
      </c>
      <c r="D317" t="s">
        <v>24</v>
      </c>
      <c r="E317" s="4">
        <f>_xlfn.XLOOKUP(Table1[[#This Row], [ROOM]],Sheet1!$A$47:$A$66,Sheet1!$B$47:$B$66)</f>
        <v>345</v>
      </c>
      <c r="F317" t="s">
        <v>62</v>
      </c>
      <c r="G317" s="4">
        <f>_xlfn.XLOOKUP(Table1[[#This Row], [DISGUISE]],Sheet1!$A$21:$A$23,Sheet1!$B$21:$B$23)*Table1[[#This Row], [NUM OF MEM]]*(1+_xlfn.XLOOKUP(Table1[[#This Row], [DISGUISE]],Sheet1!$A$21:$A$23,Sheet1!$C$21:$C$23))</f>
        <v>15600</v>
      </c>
      <c r="H317" s="13" t="s">
        <v>59</v>
      </c>
      <c r="I317" s="4">
        <f>_xlfn.XLOOKUP(Table1[[#This Row], [WEAPON]],Sheet1!$A$27:$A$29,Sheet1!$B$27:$B$29)*Table1[[#This Row], [NUM OF MEM]]*(1+_xlfn.XLOOKUP(Table1[[#This Row], [WEAPON]],Sheet1!$A$27:$A$29,Sheet1!$C$27:$C$29))</f>
        <v>136500</v>
      </c>
      <c r="J317" t="s">
        <v>64</v>
      </c>
      <c r="K317" s="9">
        <f>Table1[[#This Row], [NUM OF MEM]]*Table1[[#This Row], [TOTAL TIME TAKEN]]*_xlfn.XLOOKUP(Table1[[#This Row], [EXIT]],Sheet1!$A$70:$A$71,Sheet1!$B$70:$B$71)*(1+_xlfn.XLOOKUP(Table1[[#This Row], [EXIT]],Sheet1!$A$70:$A$71,Sheet1!$C$70:$C$71))</f>
        <v>1683979.2</v>
      </c>
      <c r="L317" s="13" t="s">
        <v>61</v>
      </c>
      <c r="M317" s="4">
        <f>IF(Table1[[#This Row], [EQUIPMENT]]="YES",Sheet1!$C$44*(1+Sheet1!$D$44),0)</f>
        <v>0</v>
      </c>
      <c r="N317" s="4">
        <f>_xlfn.XLOOKUP(Table1[[#This Row], [ROOM]],Sheet1!$A$47:$A$66,Sheet1!$F$47:$F$66)</f>
        <v>18000000</v>
      </c>
      <c r="O317" s="9">
        <f>_xlfn.XLOOKUP(_xlfn.CONCAT(Table1[[#This Row], [TEAM]],Table1[[#This Row], [ROOM]]),'ROOM TIME'!$H$2:$H$121,'ROOM TIME'!$J$2:$J$121)</f>
        <v>38.712222222222216</v>
      </c>
      <c r="P317" s="9">
        <f>(INDEX(Sheet1!$X$48:$Z$67,MATCH(Table1[[#This Row], [ROOM]],Sheet1!$P$48:$P$67,0),MATCH(Table1[[#This Row], [WEAPON]],Sheet1!$X$47:$Z$47,0)))/Table1[[#This Row], [NUM OF MEM]]</f>
        <v>4.5999999999999996</v>
      </c>
      <c r="Q317" s="9">
        <f>Table1[[#This Row], [ROOM TIME]]+Table1[[#This Row], [GUARD TIME]]</f>
        <v>43.312222222222218</v>
      </c>
      <c r="R317" s="4">
        <f>Sheet1!$K$3*_xlfn.XLOOKUP(Table1[[#This Row], [DISGUISE]],Sheet1!$A$21:$A$23,Sheet1!$D$21:$D$23)</f>
        <v>66</v>
      </c>
      <c r="S317" s="9">
        <f>Table1[[#This Row], [TOTAL TIME]]-Table1[[#This Row], [TOTAL TIME TAKEN]]</f>
        <v>22.687777777777782</v>
      </c>
      <c r="T317" t="str">
        <f>IF(Table1[[#This Row], [TIME DIFFERENCE]]&gt;=0,"PASS","FAIL")</f>
        <v>PASS</v>
      </c>
      <c r="U317" s="9">
        <f>Table1[[#This Row], [TRC]]+Table1[[#This Row], [DRC]]+Table1[[#This Row], [WRC]]+Table1[[#This Row], [ERC]]+Table1[[#This Row], [EQRC]]</f>
        <v>8074829.2000000002</v>
      </c>
      <c r="V317" s="9">
        <f>Table1[[#This Row], [TOTAL COST]]+_xlfn.XLOOKUP(Table1[[#This Row], [TEAM]],Sheet1!$A$12:$A$17,Sheet1!$I$12:$I$17)</f>
        <v>8386766.7000000002</v>
      </c>
      <c r="W317" s="9">
        <f>Table1[[#This Row], [LOOT]]-Table1[[#This Row], [TOTAL COST]]</f>
        <v>9925170.8000000007</v>
      </c>
      <c r="X317" s="9">
        <f>IF(Table1[[#This Row], [PASS/FAIL]]="FAIL",0,Table1[[#This Row], [PROFIT]])</f>
        <v>9925170.8000000007</v>
      </c>
    </row>
    <row r="318" spans="1:24" ht="19.5" customHeight="1" x14ac:dyDescent="0.45">
      <c r="A318" t="s">
        <v>13</v>
      </c>
      <c r="B318" s="14">
        <f>_xlfn.XLOOKUP(Table1[[#This Row], [TEAM]],Sheet1!$A$12:$A$17,Sheet1!$F$12:$F$17)</f>
        <v>3</v>
      </c>
      <c r="C318" s="14">
        <f>_xlfn.XLOOKUP(Table1[[#This Row], [TEAM]],Sheet1!$A$12:$A$17,Sheet1!$G$12:$G$17)</f>
        <v>5930000</v>
      </c>
      <c r="D318" t="s">
        <v>10</v>
      </c>
      <c r="E318" s="4">
        <f>_xlfn.XLOOKUP(Table1[[#This Row], [ROOM]],Sheet1!$A$47:$A$66,Sheet1!$B$47:$B$66)</f>
        <v>123</v>
      </c>
      <c r="F318" t="s">
        <v>58</v>
      </c>
      <c r="G318" s="4">
        <f>_xlfn.XLOOKUP(Table1[[#This Row], [DISGUISE]],Sheet1!$A$21:$A$23,Sheet1!$B$21:$B$23)*Table1[[#This Row], [NUM OF MEM]]*(1+_xlfn.XLOOKUP(Table1[[#This Row], [DISGUISE]],Sheet1!$A$21:$A$23,Sheet1!$C$21:$C$23))</f>
        <v>38400</v>
      </c>
      <c r="H318" s="13" t="s">
        <v>63</v>
      </c>
      <c r="I318" s="4">
        <f>_xlfn.XLOOKUP(Table1[[#This Row], [WEAPON]],Sheet1!$A$27:$A$29,Sheet1!$B$27:$B$29)*Table1[[#This Row], [NUM OF MEM]]*(1+_xlfn.XLOOKUP(Table1[[#This Row], [WEAPON]],Sheet1!$A$27:$A$29,Sheet1!$C$27:$C$29))</f>
        <v>69000</v>
      </c>
      <c r="J318" t="s">
        <v>60</v>
      </c>
      <c r="K318" s="9">
        <f>Table1[[#This Row], [NUM OF MEM]]*Table1[[#This Row], [TOTAL TIME TAKEN]]*_xlfn.XLOOKUP(Table1[[#This Row], [EXIT]],Sheet1!$A$70:$A$71,Sheet1!$B$70:$B$71)*(1+_xlfn.XLOOKUP(Table1[[#This Row], [EXIT]],Sheet1!$A$70:$A$71,Sheet1!$C$70:$C$71))</f>
        <v>1888473.4749999996</v>
      </c>
      <c r="L318" s="13" t="s">
        <v>61</v>
      </c>
      <c r="M318" s="4">
        <f>IF(Table1[[#This Row], [EQUIPMENT]]="YES",Sheet1!$C$44*(1+Sheet1!$D$44),0)</f>
        <v>0</v>
      </c>
      <c r="N318" s="4">
        <f>_xlfn.XLOOKUP(Table1[[#This Row], [ROOM]],Sheet1!$A$47:$A$66,Sheet1!$F$47:$F$66)</f>
        <v>17850000</v>
      </c>
      <c r="O318" s="9">
        <f>_xlfn.XLOOKUP(_xlfn.CONCAT(Table1[[#This Row], [TEAM]],Table1[[#This Row], [ROOM]]),'ROOM TIME'!$H$2:$H$121,'ROOM TIME'!$J$2:$J$121)</f>
        <v>43.654444444444437</v>
      </c>
      <c r="P318" s="9">
        <f>(INDEX(Sheet1!$X$48:$Z$67,MATCH(Table1[[#This Row], [ROOM]],Sheet1!$P$48:$P$67,0),MATCH(Table1[[#This Row], [WEAPON]],Sheet1!$X$47:$Z$47,0)))/Table1[[#This Row], [NUM OF MEM]]</f>
        <v>5.4000000000000012</v>
      </c>
      <c r="Q318" s="9">
        <f>Table1[[#This Row], [ROOM TIME]]+Table1[[#This Row], [GUARD TIME]]</f>
        <v>49.054444444444435</v>
      </c>
      <c r="R318" s="4">
        <f>Sheet1!$K$3*_xlfn.XLOOKUP(Table1[[#This Row], [DISGUISE]],Sheet1!$A$21:$A$23,Sheet1!$D$21:$D$23)</f>
        <v>69</v>
      </c>
      <c r="S318" s="9">
        <f>Table1[[#This Row], [TOTAL TIME]]-Table1[[#This Row], [TOTAL TIME TAKEN]]</f>
        <v>19.945555555555565</v>
      </c>
      <c r="T318" t="str">
        <f>IF(Table1[[#This Row], [TIME DIFFERENCE]]&gt;=0,"PASS","FAIL")</f>
        <v>PASS</v>
      </c>
      <c r="U318" s="9">
        <f>Table1[[#This Row], [TRC]]+Table1[[#This Row], [DRC]]+Table1[[#This Row], [WRC]]+Table1[[#This Row], [ERC]]+Table1[[#This Row], [EQRC]]</f>
        <v>7925873.4749999996</v>
      </c>
      <c r="V318" s="9">
        <f>Table1[[#This Row], [TOTAL COST]]+_xlfn.XLOOKUP(Table1[[#This Row], [TEAM]],Sheet1!$A$12:$A$17,Sheet1!$I$12:$I$17)</f>
        <v>8222373.4749999996</v>
      </c>
      <c r="W318" s="9">
        <f>Table1[[#This Row], [LOOT]]-Table1[[#This Row], [TOTAL COST]]</f>
        <v>9924126.5250000004</v>
      </c>
      <c r="X318" s="9">
        <f>IF(Table1[[#This Row], [PASS/FAIL]]="FAIL",0,Table1[[#This Row], [PROFIT]])</f>
        <v>9924126.5250000004</v>
      </c>
    </row>
    <row r="319" spans="1:24" ht="19.5" customHeight="1" x14ac:dyDescent="0.45">
      <c r="A319" t="s">
        <v>13</v>
      </c>
      <c r="B319" s="14">
        <f>_xlfn.XLOOKUP(Table1[[#This Row], [TEAM]],Sheet1!$A$12:$A$17,Sheet1!$F$12:$F$17)</f>
        <v>3</v>
      </c>
      <c r="C319" s="14">
        <f>_xlfn.XLOOKUP(Table1[[#This Row], [TEAM]],Sheet1!$A$12:$A$17,Sheet1!$G$12:$G$17)</f>
        <v>5930000</v>
      </c>
      <c r="D319" t="s">
        <v>10</v>
      </c>
      <c r="E319" s="4">
        <f>_xlfn.XLOOKUP(Table1[[#This Row], [ROOM]],Sheet1!$A$47:$A$66,Sheet1!$B$47:$B$66)</f>
        <v>123</v>
      </c>
      <c r="F319" t="s">
        <v>62</v>
      </c>
      <c r="G319" s="4">
        <f>_xlfn.XLOOKUP(Table1[[#This Row], [DISGUISE]],Sheet1!$A$21:$A$23,Sheet1!$B$21:$B$23)*Table1[[#This Row], [NUM OF MEM]]*(1+_xlfn.XLOOKUP(Table1[[#This Row], [DISGUISE]],Sheet1!$A$21:$A$23,Sheet1!$C$21:$C$23))</f>
        <v>15600</v>
      </c>
      <c r="H319" s="13" t="s">
        <v>66</v>
      </c>
      <c r="I319" s="4">
        <f>_xlfn.XLOOKUP(Table1[[#This Row], [WEAPON]],Sheet1!$A$27:$A$29,Sheet1!$B$27:$B$29)*Table1[[#This Row], [NUM OF MEM]]*(1+_xlfn.XLOOKUP(Table1[[#This Row], [WEAPON]],Sheet1!$A$27:$A$29,Sheet1!$C$27:$C$29))</f>
        <v>108000</v>
      </c>
      <c r="J319" t="s">
        <v>60</v>
      </c>
      <c r="K319" s="9">
        <f>Table1[[#This Row], [NUM OF MEM]]*Table1[[#This Row], [TOTAL TIME TAKEN]]*_xlfn.XLOOKUP(Table1[[#This Row], [EXIT]],Sheet1!$A$70:$A$71,Sheet1!$B$70:$B$71)*(1+_xlfn.XLOOKUP(Table1[[#This Row], [EXIT]],Sheet1!$A$70:$A$71,Sheet1!$C$70:$C$71))</f>
        <v>1873074.4749999996</v>
      </c>
      <c r="L319" s="13" t="s">
        <v>61</v>
      </c>
      <c r="M319" s="4">
        <f>IF(Table1[[#This Row], [EQUIPMENT]]="YES",Sheet1!$C$44*(1+Sheet1!$D$44),0)</f>
        <v>0</v>
      </c>
      <c r="N319" s="4">
        <f>_xlfn.XLOOKUP(Table1[[#This Row], [ROOM]],Sheet1!$A$47:$A$66,Sheet1!$F$47:$F$66)</f>
        <v>17850000</v>
      </c>
      <c r="O319" s="9">
        <f>_xlfn.XLOOKUP(_xlfn.CONCAT(Table1[[#This Row], [TEAM]],Table1[[#This Row], [ROOM]]),'ROOM TIME'!$H$2:$H$121,'ROOM TIME'!$J$2:$J$121)</f>
        <v>43.654444444444437</v>
      </c>
      <c r="P319" s="4">
        <f>(INDEX(Sheet1!$X$48:$Z$67,MATCH(Table1[[#This Row], [ROOM]],Sheet1!$P$48:$P$67,0),MATCH(Table1[[#This Row], [WEAPON]],Sheet1!$X$47:$Z$47,0)))/Table1[[#This Row], [NUM OF MEM]]</f>
        <v>5</v>
      </c>
      <c r="Q319" s="9">
        <f>Table1[[#This Row], [ROOM TIME]]+Table1[[#This Row], [GUARD TIME]]</f>
        <v>48.654444444444437</v>
      </c>
      <c r="R319" s="4">
        <f>Sheet1!$K$3*_xlfn.XLOOKUP(Table1[[#This Row], [DISGUISE]],Sheet1!$A$21:$A$23,Sheet1!$D$21:$D$23)</f>
        <v>66</v>
      </c>
      <c r="S319" s="9">
        <f>Table1[[#This Row], [TOTAL TIME]]-Table1[[#This Row], [TOTAL TIME TAKEN]]</f>
        <v>17.345555555555563</v>
      </c>
      <c r="T319" t="str">
        <f>IF(Table1[[#This Row], [TIME DIFFERENCE]]&gt;=0,"PASS","FAIL")</f>
        <v>PASS</v>
      </c>
      <c r="U319" s="9">
        <f>Table1[[#This Row], [TRC]]+Table1[[#This Row], [DRC]]+Table1[[#This Row], [WRC]]+Table1[[#This Row], [ERC]]+Table1[[#This Row], [EQRC]]</f>
        <v>7926674.4749999996</v>
      </c>
      <c r="V319" s="9">
        <f>Table1[[#This Row], [TOTAL COST]]+_xlfn.XLOOKUP(Table1[[#This Row], [TEAM]],Sheet1!$A$12:$A$17,Sheet1!$I$12:$I$17)</f>
        <v>8223174.4749999996</v>
      </c>
      <c r="W319" s="9">
        <f>Table1[[#This Row], [LOOT]]-Table1[[#This Row], [TOTAL COST]]</f>
        <v>9923325.5250000004</v>
      </c>
      <c r="X319" s="9">
        <f>IF(Table1[[#This Row], [PASS/FAIL]]="FAIL",0,Table1[[#This Row], [PROFIT]])</f>
        <v>9923325.5250000004</v>
      </c>
    </row>
    <row r="320" spans="1:24" ht="19.5" customHeight="1" x14ac:dyDescent="0.45">
      <c r="A320" t="s">
        <v>9</v>
      </c>
      <c r="B320" s="14">
        <f>_xlfn.XLOOKUP(Table1[[#This Row], [TEAM]],Sheet1!$A$12:$A$17,Sheet1!$F$12:$F$17)</f>
        <v>3</v>
      </c>
      <c r="C320" s="14">
        <f>_xlfn.XLOOKUP(Table1[[#This Row], [TEAM]],Sheet1!$A$12:$A$17,Sheet1!$G$12:$G$17)</f>
        <v>6238750</v>
      </c>
      <c r="D320" t="s">
        <v>19</v>
      </c>
      <c r="E320" s="4">
        <f>_xlfn.XLOOKUP(Table1[[#This Row], [ROOM]],Sheet1!$A$47:$A$66,Sheet1!$B$47:$B$66)</f>
        <v>135</v>
      </c>
      <c r="F320" t="s">
        <v>62</v>
      </c>
      <c r="G320" s="4">
        <f>_xlfn.XLOOKUP(Table1[[#This Row], [DISGUISE]],Sheet1!$A$21:$A$23,Sheet1!$B$21:$B$23)*Table1[[#This Row], [NUM OF MEM]]*(1+_xlfn.XLOOKUP(Table1[[#This Row], [DISGUISE]],Sheet1!$A$21:$A$23,Sheet1!$C$21:$C$23))</f>
        <v>15600</v>
      </c>
      <c r="H320" s="13" t="s">
        <v>66</v>
      </c>
      <c r="I320" s="4">
        <f>_xlfn.XLOOKUP(Table1[[#This Row], [WEAPON]],Sheet1!$A$27:$A$29,Sheet1!$B$27:$B$29)*Table1[[#This Row], [NUM OF MEM]]*(1+_xlfn.XLOOKUP(Table1[[#This Row], [WEAPON]],Sheet1!$A$27:$A$29,Sheet1!$C$27:$C$29))</f>
        <v>108000</v>
      </c>
      <c r="J320" t="s">
        <v>60</v>
      </c>
      <c r="K320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1664353.8625</v>
      </c>
      <c r="L320" s="13" t="s">
        <v>61</v>
      </c>
      <c r="M320" s="4">
        <f>IF(Table1[[#This Row], [EQUIPMENT]]="YES",Sheet1!$C$44*(1+Sheet1!$D$44),0)</f>
        <v>0</v>
      </c>
      <c r="N320" s="4">
        <f>_xlfn.XLOOKUP(Table1[[#This Row], [ROOM]],Sheet1!$A$47:$A$66,Sheet1!$F$47:$F$66)</f>
        <v>17950000</v>
      </c>
      <c r="O320" s="9">
        <f>_xlfn.XLOOKUP(_xlfn.CONCAT(Table1[[#This Row], [TEAM]],Table1[[#This Row], [ROOM]]),'ROOM TIME'!$H$2:$H$121,'ROOM TIME'!$J$2:$J$121)</f>
        <v>38.649444444444434</v>
      </c>
      <c r="P320" s="9">
        <f>(INDEX(Sheet1!$X$48:$Z$67,MATCH(Table1[[#This Row], [ROOM]],Sheet1!$P$48:$P$67,0),MATCH(Table1[[#This Row], [WEAPON]],Sheet1!$X$47:$Z$47,0)))/Table1[[#This Row], [NUM OF MEM]]</f>
        <v>4.583333333333333</v>
      </c>
      <c r="Q320" s="9">
        <f>Table1[[#This Row], [ROOM TIME]]+Table1[[#This Row], [GUARD TIME]]</f>
        <v>43.23277777777777</v>
      </c>
      <c r="R320" s="4">
        <f>Sheet1!$K$3*_xlfn.XLOOKUP(Table1[[#This Row], [DISGUISE]],Sheet1!$A$21:$A$23,Sheet1!$D$21:$D$23)</f>
        <v>66</v>
      </c>
      <c r="S320" s="9">
        <f>Table1[[#This Row], [TOTAL TIME]]-Table1[[#This Row], [TOTAL TIME TAKEN]]</f>
        <v>22.76722222222223</v>
      </c>
      <c r="T320" t="str">
        <f>IF(Table1[[#This Row], [TIME DIFFERENCE]]&gt;=0,"PASS","FAIL")</f>
        <v>PASS</v>
      </c>
      <c r="U320" s="9">
        <f>Table1[[#This Row], [TRC]]+Table1[[#This Row], [DRC]]+Table1[[#This Row], [WRC]]+Table1[[#This Row], [ERC]]+Table1[[#This Row], [EQRC]]</f>
        <v>8026703.8624999998</v>
      </c>
      <c r="V320" s="9">
        <f>Table1[[#This Row], [TOTAL COST]]+_xlfn.XLOOKUP(Table1[[#This Row], [TEAM]],Sheet1!$A$12:$A$17,Sheet1!$I$12:$I$17)</f>
        <v>8338641.3624999998</v>
      </c>
      <c r="W320" s="9">
        <f>Table1[[#This Row], [LOOT]]-Table1[[#This Row], [TOTAL COST]]</f>
        <v>9923296.1374999993</v>
      </c>
      <c r="X320" s="9">
        <f>IF(Table1[[#This Row], [PASS/FAIL]]="FAIL",0,Table1[[#This Row], [PROFIT]])</f>
        <v>9923296.1374999993</v>
      </c>
    </row>
    <row r="321" spans="1:24" ht="19.5" customHeight="1" x14ac:dyDescent="0.45">
      <c r="A321" t="s">
        <v>14</v>
      </c>
      <c r="B321" s="14">
        <f>_xlfn.XLOOKUP(Table1[[#This Row], [TEAM]],Sheet1!$A$12:$A$17,Sheet1!$F$12:$F$17)</f>
        <v>2</v>
      </c>
      <c r="C321" s="14">
        <f>_xlfn.XLOOKUP(Table1[[#This Row], [TEAM]],Sheet1!$A$12:$A$17,Sheet1!$G$12:$G$17)</f>
        <v>5949600</v>
      </c>
      <c r="D321" t="s">
        <v>29</v>
      </c>
      <c r="E321" s="4">
        <f>_xlfn.XLOOKUP(Table1[[#This Row], [ROOM]],Sheet1!$A$47:$A$66,Sheet1!$B$47:$B$66)</f>
        <v>236</v>
      </c>
      <c r="F321" t="s">
        <v>58</v>
      </c>
      <c r="G321" s="4">
        <f>_xlfn.XLOOKUP(Table1[[#This Row], [DISGUISE]],Sheet1!$A$21:$A$23,Sheet1!$B$21:$B$23)*Table1[[#This Row], [NUM OF MEM]]*(1+_xlfn.XLOOKUP(Table1[[#This Row], [DISGUISE]],Sheet1!$A$21:$A$23,Sheet1!$C$21:$C$23))</f>
        <v>25600</v>
      </c>
      <c r="H321" s="13" t="s">
        <v>63</v>
      </c>
      <c r="I321" s="4">
        <f>_xlfn.XLOOKUP(Table1[[#This Row], [WEAPON]],Sheet1!$A$27:$A$29,Sheet1!$B$27:$B$29)*Table1[[#This Row], [NUM OF MEM]]*(1+_xlfn.XLOOKUP(Table1[[#This Row], [WEAPON]],Sheet1!$A$27:$A$29,Sheet1!$C$27:$C$29))</f>
        <v>46000</v>
      </c>
      <c r="J321" t="s">
        <v>64</v>
      </c>
      <c r="K321" s="9">
        <f>Table1[[#This Row], [NUM OF MEM]]*Table1[[#This Row], [TOTAL TIME TAKEN]]*_xlfn.XLOOKUP(Table1[[#This Row], [EXIT]],Sheet1!$A$70:$A$71,Sheet1!$B$70:$B$71)*(1+_xlfn.XLOOKUP(Table1[[#This Row], [EXIT]],Sheet1!$A$70:$A$71,Sheet1!$C$70:$C$71))</f>
        <v>1748141.9999999993</v>
      </c>
      <c r="L321" s="13" t="s">
        <v>65</v>
      </c>
      <c r="M321" s="4">
        <f>IF(Table1[[#This Row], [EQUIPMENT]]="YES",Sheet1!$C$44*(1+Sheet1!$D$44),0)</f>
        <v>307500</v>
      </c>
      <c r="N321" s="4">
        <f>_xlfn.XLOOKUP(Table1[[#This Row], [ROOM]],Sheet1!$A$47:$A$66,Sheet1!$F$47:$F$66)</f>
        <v>18000000</v>
      </c>
      <c r="O321" s="9">
        <f>_xlfn.XLOOKUP(_xlfn.CONCAT(Table1[[#This Row], [TEAM]],Table1[[#This Row], [ROOM]]),'ROOM TIME'!$H$2:$H$121,'ROOM TIME'!$J$2:$J$121)</f>
        <v>58.668749999999982</v>
      </c>
      <c r="P321" s="9">
        <f>(INDEX(Sheet1!$X$48:$Z$67,MATCH(Table1[[#This Row], [ROOM]],Sheet1!$P$48:$P$67,0),MATCH(Table1[[#This Row], [WEAPON]],Sheet1!$X$47:$Z$47,0)))/Table1[[#This Row], [NUM OF MEM]]</f>
        <v>8.7750000000000004</v>
      </c>
      <c r="Q321" s="9">
        <f>Table1[[#This Row], [ROOM TIME]]+Table1[[#This Row], [GUARD TIME]]</f>
        <v>67.44374999999998</v>
      </c>
      <c r="R321" s="4">
        <f>Sheet1!$K$3*_xlfn.XLOOKUP(Table1[[#This Row], [DISGUISE]],Sheet1!$A$21:$A$23,Sheet1!$D$21:$D$23)</f>
        <v>69</v>
      </c>
      <c r="S321" s="9">
        <f>Table1[[#This Row], [TOTAL TIME]]-Table1[[#This Row], [TOTAL TIME TAKEN]]</f>
        <v>1.5562500000000199</v>
      </c>
      <c r="T321" t="str">
        <f>IF(Table1[[#This Row], [TIME DIFFERENCE]]&gt;=0,"PASS","FAIL")</f>
        <v>PASS</v>
      </c>
      <c r="U321" s="9">
        <f>Table1[[#This Row], [TRC]]+Table1[[#This Row], [DRC]]+Table1[[#This Row], [WRC]]+Table1[[#This Row], [ERC]]+Table1[[#This Row], [EQRC]]</f>
        <v>8076841.9999999991</v>
      </c>
      <c r="V321" s="9">
        <f>Table1[[#This Row], [TOTAL COST]]+_xlfn.XLOOKUP(Table1[[#This Row], [TEAM]],Sheet1!$A$12:$A$17,Sheet1!$I$12:$I$17)</f>
        <v>8374321.9999999991</v>
      </c>
      <c r="W321" s="4">
        <f>Table1[[#This Row], [LOOT]]-Table1[[#This Row], [TOTAL COST]]</f>
        <v>9923158</v>
      </c>
      <c r="X321" s="4">
        <f>IF(Table1[[#This Row], [PASS/FAIL]]="FAIL",0,Table1[[#This Row], [PROFIT]])</f>
        <v>9923158</v>
      </c>
    </row>
    <row r="322" spans="1:24" ht="19.5" customHeight="1" x14ac:dyDescent="0.45">
      <c r="A322" t="s">
        <v>15</v>
      </c>
      <c r="B322" s="14">
        <f>_xlfn.XLOOKUP(Table1[[#This Row], [TEAM]],Sheet1!$A$12:$A$17,Sheet1!$F$12:$F$17)</f>
        <v>2</v>
      </c>
      <c r="C322" s="14">
        <f>_xlfn.XLOOKUP(Table1[[#This Row], [TEAM]],Sheet1!$A$12:$A$17,Sheet1!$G$12:$G$17)</f>
        <v>5932950</v>
      </c>
      <c r="D322" t="s">
        <v>29</v>
      </c>
      <c r="E322" s="4">
        <f>_xlfn.XLOOKUP(Table1[[#This Row], [ROOM]],Sheet1!$A$47:$A$66,Sheet1!$B$47:$B$66)</f>
        <v>236</v>
      </c>
      <c r="F322" t="s">
        <v>58</v>
      </c>
      <c r="G322" s="4">
        <f>_xlfn.XLOOKUP(Table1[[#This Row], [DISGUISE]],Sheet1!$A$21:$A$23,Sheet1!$B$21:$B$23)*Table1[[#This Row], [NUM OF MEM]]*(1+_xlfn.XLOOKUP(Table1[[#This Row], [DISGUISE]],Sheet1!$A$21:$A$23,Sheet1!$C$21:$C$23))</f>
        <v>25600</v>
      </c>
      <c r="H322" s="13" t="s">
        <v>63</v>
      </c>
      <c r="I322" s="4">
        <f>_xlfn.XLOOKUP(Table1[[#This Row], [WEAPON]],Sheet1!$A$27:$A$29,Sheet1!$B$27:$B$29)*Table1[[#This Row], [NUM OF MEM]]*(1+_xlfn.XLOOKUP(Table1[[#This Row], [WEAPON]],Sheet1!$A$27:$A$29,Sheet1!$C$27:$C$29))</f>
        <v>46000</v>
      </c>
      <c r="J322" t="s">
        <v>64</v>
      </c>
      <c r="K322" s="9">
        <f>Table1[[#This Row], [NUM OF MEM]]*Table1[[#This Row], [TOTAL TIME TAKEN]]*_xlfn.XLOOKUP(Table1[[#This Row], [EXIT]],Sheet1!$A$70:$A$71,Sheet1!$B$70:$B$71)*(1+_xlfn.XLOOKUP(Table1[[#This Row], [EXIT]],Sheet1!$A$70:$A$71,Sheet1!$C$70:$C$71))</f>
        <v>1764957.5999999996</v>
      </c>
      <c r="L322" s="13" t="s">
        <v>65</v>
      </c>
      <c r="M322" s="4">
        <f>IF(Table1[[#This Row], [EQUIPMENT]]="YES",Sheet1!$C$44*(1+Sheet1!$D$44),0)</f>
        <v>307500</v>
      </c>
      <c r="N322" s="4">
        <f>_xlfn.XLOOKUP(Table1[[#This Row], [ROOM]],Sheet1!$A$47:$A$66,Sheet1!$F$47:$F$66)</f>
        <v>18000000</v>
      </c>
      <c r="O322" s="9">
        <f>_xlfn.XLOOKUP(_xlfn.CONCAT(Table1[[#This Row], [TEAM]],Table1[[#This Row], [ROOM]]),'ROOM TIME'!$H$2:$H$121,'ROOM TIME'!$J$2:$J$121)</f>
        <v>59.317499999999981</v>
      </c>
      <c r="P322" s="9">
        <f>(INDEX(Sheet1!$X$48:$Z$67,MATCH(Table1[[#This Row], [ROOM]],Sheet1!$P$48:$P$67,0),MATCH(Table1[[#This Row], [WEAPON]],Sheet1!$X$47:$Z$47,0)))/Table1[[#This Row], [NUM OF MEM]]</f>
        <v>8.7750000000000004</v>
      </c>
      <c r="Q322" s="9">
        <f>Table1[[#This Row], [ROOM TIME]]+Table1[[#This Row], [GUARD TIME]]</f>
        <v>68.092499999999987</v>
      </c>
      <c r="R322" s="4">
        <f>Sheet1!$K$3*_xlfn.XLOOKUP(Table1[[#This Row], [DISGUISE]],Sheet1!$A$21:$A$23,Sheet1!$D$21:$D$23)</f>
        <v>69</v>
      </c>
      <c r="S322" s="9">
        <f>Table1[[#This Row], [TOTAL TIME]]-Table1[[#This Row], [TOTAL TIME TAKEN]]</f>
        <v>0.90750000000001307</v>
      </c>
      <c r="T322" t="str">
        <f>IF(Table1[[#This Row], [TIME DIFFERENCE]]&gt;=0,"PASS","FAIL")</f>
        <v>PASS</v>
      </c>
      <c r="U322" s="9">
        <f>Table1[[#This Row], [TRC]]+Table1[[#This Row], [DRC]]+Table1[[#This Row], [WRC]]+Table1[[#This Row], [ERC]]+Table1[[#This Row], [EQRC]]</f>
        <v>8077007.5999999996</v>
      </c>
      <c r="V322" s="9">
        <f>Table1[[#This Row], [TOTAL COST]]+_xlfn.XLOOKUP(Table1[[#This Row], [TEAM]],Sheet1!$A$12:$A$17,Sheet1!$I$12:$I$17)</f>
        <v>8373655.0999999996</v>
      </c>
      <c r="W322" s="9">
        <f>Table1[[#This Row], [LOOT]]-Table1[[#This Row], [TOTAL COST]]</f>
        <v>9922992.4000000004</v>
      </c>
      <c r="X322" s="9">
        <f>IF(Table1[[#This Row], [PASS/FAIL]]="FAIL",0,Table1[[#This Row], [PROFIT]])</f>
        <v>9922992.4000000004</v>
      </c>
    </row>
    <row r="323" spans="1:24" ht="19.5" customHeight="1" x14ac:dyDescent="0.45">
      <c r="A323" t="s">
        <v>9</v>
      </c>
      <c r="B323" s="14">
        <f>_xlfn.XLOOKUP(Table1[[#This Row], [TEAM]],Sheet1!$A$12:$A$17,Sheet1!$F$12:$F$17)</f>
        <v>3</v>
      </c>
      <c r="C323" s="14">
        <f>_xlfn.XLOOKUP(Table1[[#This Row], [TEAM]],Sheet1!$A$12:$A$17,Sheet1!$G$12:$G$17)</f>
        <v>6238750</v>
      </c>
      <c r="D323" t="s">
        <v>32</v>
      </c>
      <c r="E323" s="4">
        <f>_xlfn.XLOOKUP(Table1[[#This Row], [ROOM]],Sheet1!$A$47:$A$66,Sheet1!$B$47:$B$66)</f>
        <v>346</v>
      </c>
      <c r="F323" t="s">
        <v>62</v>
      </c>
      <c r="G323" s="4">
        <f>_xlfn.XLOOKUP(Table1[[#This Row], [DISGUISE]],Sheet1!$A$21:$A$23,Sheet1!$B$21:$B$23)*Table1[[#This Row], [NUM OF MEM]]*(1+_xlfn.XLOOKUP(Table1[[#This Row], [DISGUISE]],Sheet1!$A$21:$A$23,Sheet1!$C$21:$C$23))</f>
        <v>15600</v>
      </c>
      <c r="H323" s="13" t="s">
        <v>63</v>
      </c>
      <c r="I323" s="4">
        <f>_xlfn.XLOOKUP(Table1[[#This Row], [WEAPON]],Sheet1!$A$27:$A$29,Sheet1!$B$27:$B$29)*Table1[[#This Row], [NUM OF MEM]]*(1+_xlfn.XLOOKUP(Table1[[#This Row], [WEAPON]],Sheet1!$A$27:$A$29,Sheet1!$C$27:$C$29))</f>
        <v>69000</v>
      </c>
      <c r="J323" t="s">
        <v>64</v>
      </c>
      <c r="K323" s="9">
        <f>Table1[[#This Row], [NUM OF MEM]]*Table1[[#This Row], [TOTAL TIME TAKEN]]*_xlfn.XLOOKUP(Table1[[#This Row], [EXIT]],Sheet1!$A$70:$A$71,Sheet1!$B$70:$B$71)*(1+_xlfn.XLOOKUP(Table1[[#This Row], [EXIT]],Sheet1!$A$70:$A$71,Sheet1!$C$70:$C$71))</f>
        <v>1646783.9999999998</v>
      </c>
      <c r="L323" s="13" t="s">
        <v>65</v>
      </c>
      <c r="M323" s="4">
        <f>IF(Table1[[#This Row], [EQUIPMENT]]="YES",Sheet1!$C$44*(1+Sheet1!$D$44),0)</f>
        <v>307500</v>
      </c>
      <c r="N323" s="4">
        <f>_xlfn.XLOOKUP(Table1[[#This Row], [ROOM]],Sheet1!$A$47:$A$66,Sheet1!$F$47:$F$66)</f>
        <v>18200000</v>
      </c>
      <c r="O323" s="9">
        <f>_xlfn.XLOOKUP(_xlfn.CONCAT(Table1[[#This Row], [TEAM]],Table1[[#This Row], [ROOM]]),'ROOM TIME'!$H$2:$H$121,'ROOM TIME'!$J$2:$J$121)</f>
        <v>36.505555555555546</v>
      </c>
      <c r="P323" s="9">
        <f>(INDEX(Sheet1!$X$48:$Z$67,MATCH(Table1[[#This Row], [ROOM]],Sheet1!$P$48:$P$67,0),MATCH(Table1[[#This Row], [WEAPON]],Sheet1!$X$47:$Z$47,0)))/Table1[[#This Row], [NUM OF MEM]]</f>
        <v>5.8500000000000005</v>
      </c>
      <c r="Q323" s="9">
        <f>Table1[[#This Row], [ROOM TIME]]+Table1[[#This Row], [GUARD TIME]]</f>
        <v>42.355555555555547</v>
      </c>
      <c r="R323" s="4">
        <f>Sheet1!$K$3*_xlfn.XLOOKUP(Table1[[#This Row], [DISGUISE]],Sheet1!$A$21:$A$23,Sheet1!$D$21:$D$23)</f>
        <v>66</v>
      </c>
      <c r="S323" s="9">
        <f>Table1[[#This Row], [TOTAL TIME]]-Table1[[#This Row], [TOTAL TIME TAKEN]]</f>
        <v>23.644444444444453</v>
      </c>
      <c r="T323" t="str">
        <f>IF(Table1[[#This Row], [TIME DIFFERENCE]]&gt;=0,"PASS","FAIL")</f>
        <v>PASS</v>
      </c>
      <c r="U323" s="4">
        <f>Table1[[#This Row], [TRC]]+Table1[[#This Row], [DRC]]+Table1[[#This Row], [WRC]]+Table1[[#This Row], [ERC]]+Table1[[#This Row], [EQRC]]</f>
        <v>8277634</v>
      </c>
      <c r="V323" s="9">
        <f>Table1[[#This Row], [TOTAL COST]]+_xlfn.XLOOKUP(Table1[[#This Row], [TEAM]],Sheet1!$A$12:$A$17,Sheet1!$I$12:$I$17)</f>
        <v>8589571.5</v>
      </c>
      <c r="W323" s="4">
        <f>Table1[[#This Row], [LOOT]]-Table1[[#This Row], [TOTAL COST]]</f>
        <v>9922366</v>
      </c>
      <c r="X323" s="4">
        <f>IF(Table1[[#This Row], [PASS/FAIL]]="FAIL",0,Table1[[#This Row], [PROFIT]])</f>
        <v>9922366</v>
      </c>
    </row>
    <row r="324" spans="1:24" ht="19.5" customHeight="1" x14ac:dyDescent="0.45">
      <c r="A324" t="s">
        <v>12</v>
      </c>
      <c r="B324" s="14">
        <f>_xlfn.XLOOKUP(Table1[[#This Row], [TEAM]],Sheet1!$A$12:$A$17,Sheet1!$F$12:$F$17)</f>
        <v>3</v>
      </c>
      <c r="C324" s="14">
        <f>_xlfn.XLOOKUP(Table1[[#This Row], [TEAM]],Sheet1!$A$12:$A$17,Sheet1!$G$12:$G$17)</f>
        <v>5988750</v>
      </c>
      <c r="D324" t="s">
        <v>22</v>
      </c>
      <c r="E324" s="4">
        <f>_xlfn.XLOOKUP(Table1[[#This Row], [ROOM]],Sheet1!$A$47:$A$66,Sheet1!$B$47:$B$66)</f>
        <v>235</v>
      </c>
      <c r="F324" t="s">
        <v>62</v>
      </c>
      <c r="G324" s="4">
        <f>_xlfn.XLOOKUP(Table1[[#This Row], [DISGUISE]],Sheet1!$A$21:$A$23,Sheet1!$B$21:$B$23)*Table1[[#This Row], [NUM OF MEM]]*(1+_xlfn.XLOOKUP(Table1[[#This Row], [DISGUISE]],Sheet1!$A$21:$A$23,Sheet1!$C$21:$C$23))</f>
        <v>15600</v>
      </c>
      <c r="H324" s="13" t="s">
        <v>63</v>
      </c>
      <c r="I324" s="4">
        <f>_xlfn.XLOOKUP(Table1[[#This Row], [WEAPON]],Sheet1!$A$27:$A$29,Sheet1!$B$27:$B$29)*Table1[[#This Row], [NUM OF MEM]]*(1+_xlfn.XLOOKUP(Table1[[#This Row], [WEAPON]],Sheet1!$A$27:$A$29,Sheet1!$C$27:$C$29))</f>
        <v>69000</v>
      </c>
      <c r="J324" t="s">
        <v>60</v>
      </c>
      <c r="K324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1804762.7999999989</v>
      </c>
      <c r="L324" s="13" t="s">
        <v>61</v>
      </c>
      <c r="M324" s="4">
        <f>IF(Table1[[#This Row], [EQUIPMENT]]="YES",Sheet1!$C$44*(1+Sheet1!$D$44),0)</f>
        <v>0</v>
      </c>
      <c r="N324" s="4">
        <f>_xlfn.XLOOKUP(Table1[[#This Row], [ROOM]],Sheet1!$A$47:$A$66,Sheet1!$F$47:$F$66)</f>
        <v>17800000</v>
      </c>
      <c r="O324" s="9">
        <f>_xlfn.XLOOKUP(_xlfn.CONCAT(Table1[[#This Row], [TEAM]],Table1[[#This Row], [ROOM]]),'ROOM TIME'!$H$2:$H$121,'ROOM TIME'!$J$2:$J$121)</f>
        <v>41.479999999999983</v>
      </c>
      <c r="P324" s="9">
        <f>(INDEX(Sheet1!$X$48:$Z$67,MATCH(Table1[[#This Row], [ROOM]],Sheet1!$P$48:$P$67,0),MATCH(Table1[[#This Row], [WEAPON]],Sheet1!$X$47:$Z$47,0)))/Table1[[#This Row], [NUM OF MEM]]</f>
        <v>5.4000000000000012</v>
      </c>
      <c r="Q324" s="9">
        <f>Table1[[#This Row], [ROOM TIME]]+Table1[[#This Row], [GUARD TIME]]</f>
        <v>46.879999999999981</v>
      </c>
      <c r="R324" s="4">
        <f>Sheet1!$K$3*_xlfn.XLOOKUP(Table1[[#This Row], [DISGUISE]],Sheet1!$A$21:$A$23,Sheet1!$D$21:$D$23)</f>
        <v>66</v>
      </c>
      <c r="S324" s="9">
        <f>Table1[[#This Row], [TOTAL TIME]]-Table1[[#This Row], [TOTAL TIME TAKEN]]</f>
        <v>19.120000000000019</v>
      </c>
      <c r="T324" t="str">
        <f>IF(Table1[[#This Row], [TIME DIFFERENCE]]&gt;=0,"PASS","FAIL")</f>
        <v>PASS</v>
      </c>
      <c r="U324" s="9">
        <f>Table1[[#This Row], [TRC]]+Table1[[#This Row], [DRC]]+Table1[[#This Row], [WRC]]+Table1[[#This Row], [ERC]]+Table1[[#This Row], [EQRC]]</f>
        <v>7878112.7999999989</v>
      </c>
      <c r="V324" s="9">
        <f>Table1[[#This Row], [TOTAL COST]]+_xlfn.XLOOKUP(Table1[[#This Row], [TEAM]],Sheet1!$A$12:$A$17,Sheet1!$I$12:$I$17)</f>
        <v>8177550.2999999989</v>
      </c>
      <c r="W324" s="9">
        <f>Table1[[#This Row], [LOOT]]-Table1[[#This Row], [TOTAL COST]]</f>
        <v>9921887.2000000011</v>
      </c>
      <c r="X324" s="9">
        <f>IF(Table1[[#This Row], [PASS/FAIL]]="FAIL",0,Table1[[#This Row], [PROFIT]])</f>
        <v>9921887.2000000011</v>
      </c>
    </row>
    <row r="325" spans="1:24" ht="19.5" customHeight="1" x14ac:dyDescent="0.45">
      <c r="A325" t="s">
        <v>12</v>
      </c>
      <c r="B325" s="14">
        <f>_xlfn.XLOOKUP(Table1[[#This Row], [TEAM]],Sheet1!$A$12:$A$17,Sheet1!$F$12:$F$17)</f>
        <v>3</v>
      </c>
      <c r="C325" s="14">
        <f>_xlfn.XLOOKUP(Table1[[#This Row], [TEAM]],Sheet1!$A$12:$A$17,Sheet1!$G$12:$G$17)</f>
        <v>5988750</v>
      </c>
      <c r="D325" t="s">
        <v>21</v>
      </c>
      <c r="E325" s="4">
        <f>_xlfn.XLOOKUP(Table1[[#This Row], [ROOM]],Sheet1!$A$47:$A$66,Sheet1!$B$47:$B$66)</f>
        <v>234</v>
      </c>
      <c r="F325" t="s">
        <v>58</v>
      </c>
      <c r="G325" s="4">
        <f>_xlfn.XLOOKUP(Table1[[#This Row], [DISGUISE]],Sheet1!$A$21:$A$23,Sheet1!$B$21:$B$23)*Table1[[#This Row], [NUM OF MEM]]*(1+_xlfn.XLOOKUP(Table1[[#This Row], [DISGUISE]],Sheet1!$A$21:$A$23,Sheet1!$C$21:$C$23))</f>
        <v>38400</v>
      </c>
      <c r="H325" s="13" t="s">
        <v>59</v>
      </c>
      <c r="I325" s="4">
        <f>_xlfn.XLOOKUP(Table1[[#This Row], [WEAPON]],Sheet1!$A$27:$A$29,Sheet1!$B$27:$B$29)*Table1[[#This Row], [NUM OF MEM]]*(1+_xlfn.XLOOKUP(Table1[[#This Row], [WEAPON]],Sheet1!$A$27:$A$29,Sheet1!$C$27:$C$29))</f>
        <v>136500</v>
      </c>
      <c r="J325" t="s">
        <v>64</v>
      </c>
      <c r="K325" s="9">
        <f>Table1[[#This Row], [NUM OF MEM]]*Table1[[#This Row], [TOTAL TIME TAKEN]]*_xlfn.XLOOKUP(Table1[[#This Row], [EXIT]],Sheet1!$A$70:$A$71,Sheet1!$B$70:$B$71)*(1+_xlfn.XLOOKUP(Table1[[#This Row], [EXIT]],Sheet1!$A$70:$A$71,Sheet1!$C$70:$C$71))</f>
        <v>1816948.7999999993</v>
      </c>
      <c r="L325" s="13" t="s">
        <v>61</v>
      </c>
      <c r="M325" s="4">
        <f>IF(Table1[[#This Row], [EQUIPMENT]]="YES",Sheet1!$C$44*(1+Sheet1!$D$44),0)</f>
        <v>0</v>
      </c>
      <c r="N325" s="4">
        <f>_xlfn.XLOOKUP(Table1[[#This Row], [ROOM]],Sheet1!$A$47:$A$66,Sheet1!$F$47:$F$66)</f>
        <v>17900000</v>
      </c>
      <c r="O325" s="9">
        <f>_xlfn.XLOOKUP(_xlfn.CONCAT(Table1[[#This Row], [TEAM]],Table1[[#This Row], [ROOM]]),'ROOM TIME'!$H$2:$H$121,'ROOM TIME'!$J$2:$J$121)</f>
        <v>41.748888888888878</v>
      </c>
      <c r="P325" s="9">
        <f>(INDEX(Sheet1!$X$48:$Z$67,MATCH(Table1[[#This Row], [ROOM]],Sheet1!$P$48:$P$67,0),MATCH(Table1[[#This Row], [WEAPON]],Sheet1!$X$47:$Z$47,0)))/Table1[[#This Row], [NUM OF MEM]]</f>
        <v>4.9833333333333334</v>
      </c>
      <c r="Q325" s="9">
        <f>Table1[[#This Row], [ROOM TIME]]+Table1[[#This Row], [GUARD TIME]]</f>
        <v>46.732222222222212</v>
      </c>
      <c r="R325" s="4">
        <f>Sheet1!$K$3*_xlfn.XLOOKUP(Table1[[#This Row], [DISGUISE]],Sheet1!$A$21:$A$23,Sheet1!$D$21:$D$23)</f>
        <v>69</v>
      </c>
      <c r="S325" s="9">
        <f>Table1[[#This Row], [TOTAL TIME]]-Table1[[#This Row], [TOTAL TIME TAKEN]]</f>
        <v>22.267777777777788</v>
      </c>
      <c r="T325" t="str">
        <f>IF(Table1[[#This Row], [TIME DIFFERENCE]]&gt;=0,"PASS","FAIL")</f>
        <v>PASS</v>
      </c>
      <c r="U325" s="9">
        <f>Table1[[#This Row], [TRC]]+Table1[[#This Row], [DRC]]+Table1[[#This Row], [WRC]]+Table1[[#This Row], [ERC]]+Table1[[#This Row], [EQRC]]</f>
        <v>7980598.7999999989</v>
      </c>
      <c r="V325" s="9">
        <f>Table1[[#This Row], [TOTAL COST]]+_xlfn.XLOOKUP(Table1[[#This Row], [TEAM]],Sheet1!$A$12:$A$17,Sheet1!$I$12:$I$17)</f>
        <v>8280036.2999999989</v>
      </c>
      <c r="W325" s="9">
        <f>Table1[[#This Row], [LOOT]]-Table1[[#This Row], [TOTAL COST]]</f>
        <v>9919401.2000000011</v>
      </c>
      <c r="X325" s="9">
        <f>IF(Table1[[#This Row], [PASS/FAIL]]="FAIL",0,Table1[[#This Row], [PROFIT]])</f>
        <v>9919401.2000000011</v>
      </c>
    </row>
    <row r="326" spans="1:24" ht="19.5" customHeight="1" x14ac:dyDescent="0.45">
      <c r="A326" t="s">
        <v>13</v>
      </c>
      <c r="B326" s="14">
        <f>_xlfn.XLOOKUP(Table1[[#This Row], [TEAM]],Sheet1!$A$12:$A$17,Sheet1!$F$12:$F$17)</f>
        <v>3</v>
      </c>
      <c r="C326" s="14">
        <f>_xlfn.XLOOKUP(Table1[[#This Row], [TEAM]],Sheet1!$A$12:$A$17,Sheet1!$G$12:$G$17)</f>
        <v>5930000</v>
      </c>
      <c r="D326" t="s">
        <v>21</v>
      </c>
      <c r="E326" s="4">
        <f>_xlfn.XLOOKUP(Table1[[#This Row], [ROOM]],Sheet1!$A$47:$A$66,Sheet1!$B$47:$B$66)</f>
        <v>234</v>
      </c>
      <c r="F326" t="s">
        <v>58</v>
      </c>
      <c r="G326" s="4">
        <f>_xlfn.XLOOKUP(Table1[[#This Row], [DISGUISE]],Sheet1!$A$21:$A$23,Sheet1!$B$21:$B$23)*Table1[[#This Row], [NUM OF MEM]]*(1+_xlfn.XLOOKUP(Table1[[#This Row], [DISGUISE]],Sheet1!$A$21:$A$23,Sheet1!$C$21:$C$23))</f>
        <v>38400</v>
      </c>
      <c r="H326" s="13" t="s">
        <v>66</v>
      </c>
      <c r="I326" s="4">
        <f>_xlfn.XLOOKUP(Table1[[#This Row], [WEAPON]],Sheet1!$A$27:$A$29,Sheet1!$B$27:$B$29)*Table1[[#This Row], [NUM OF MEM]]*(1+_xlfn.XLOOKUP(Table1[[#This Row], [WEAPON]],Sheet1!$A$27:$A$29,Sheet1!$C$27:$C$29))</f>
        <v>108000</v>
      </c>
      <c r="J326" t="s">
        <v>64</v>
      </c>
      <c r="K326" s="9">
        <f>Table1[[#This Row], [NUM OF MEM]]*Table1[[#This Row], [TOTAL TIME TAKEN]]*_xlfn.XLOOKUP(Table1[[#This Row], [EXIT]],Sheet1!$A$70:$A$71,Sheet1!$B$70:$B$71)*(1+_xlfn.XLOOKUP(Table1[[#This Row], [EXIT]],Sheet1!$A$70:$A$71,Sheet1!$C$70:$C$71))</f>
        <v>1904428.7999999998</v>
      </c>
      <c r="L326" s="13" t="s">
        <v>61</v>
      </c>
      <c r="M326" s="4">
        <f>IF(Table1[[#This Row], [EQUIPMENT]]="YES",Sheet1!$C$44*(1+Sheet1!$D$44),0)</f>
        <v>0</v>
      </c>
      <c r="N326" s="4">
        <f>_xlfn.XLOOKUP(Table1[[#This Row], [ROOM]],Sheet1!$A$47:$A$66,Sheet1!$F$47:$F$66)</f>
        <v>17900000</v>
      </c>
      <c r="O326" s="9">
        <f>_xlfn.XLOOKUP(_xlfn.CONCAT(Table1[[#This Row], [TEAM]],Table1[[#This Row], [ROOM]]),'ROOM TIME'!$H$2:$H$121,'ROOM TIME'!$J$2:$J$121)</f>
        <v>43.565555555555555</v>
      </c>
      <c r="P326" s="9">
        <f>(INDEX(Sheet1!$X$48:$Z$67,MATCH(Table1[[#This Row], [ROOM]],Sheet1!$P$48:$P$67,0),MATCH(Table1[[#This Row], [WEAPON]],Sheet1!$X$47:$Z$47,0)))/Table1[[#This Row], [NUM OF MEM]]</f>
        <v>5.416666666666667</v>
      </c>
      <c r="Q326" s="9">
        <f>Table1[[#This Row], [ROOM TIME]]+Table1[[#This Row], [GUARD TIME]]</f>
        <v>48.982222222222219</v>
      </c>
      <c r="R326" s="4">
        <f>Sheet1!$K$3*_xlfn.XLOOKUP(Table1[[#This Row], [DISGUISE]],Sheet1!$A$21:$A$23,Sheet1!$D$21:$D$23)</f>
        <v>69</v>
      </c>
      <c r="S326" s="9">
        <f>Table1[[#This Row], [TOTAL TIME]]-Table1[[#This Row], [TOTAL TIME TAKEN]]</f>
        <v>20.017777777777781</v>
      </c>
      <c r="T326" t="str">
        <f>IF(Table1[[#This Row], [TIME DIFFERENCE]]&gt;=0,"PASS","FAIL")</f>
        <v>PASS</v>
      </c>
      <c r="U326" s="9">
        <f>Table1[[#This Row], [TRC]]+Table1[[#This Row], [DRC]]+Table1[[#This Row], [WRC]]+Table1[[#This Row], [ERC]]+Table1[[#This Row], [EQRC]]</f>
        <v>7980828.7999999998</v>
      </c>
      <c r="V326" s="9">
        <f>Table1[[#This Row], [TOTAL COST]]+_xlfn.XLOOKUP(Table1[[#This Row], [TEAM]],Sheet1!$A$12:$A$17,Sheet1!$I$12:$I$17)</f>
        <v>8277328.7999999998</v>
      </c>
      <c r="W326" s="9">
        <f>Table1[[#This Row], [LOOT]]-Table1[[#This Row], [TOTAL COST]]</f>
        <v>9919171.1999999993</v>
      </c>
      <c r="X326" s="9">
        <f>IF(Table1[[#This Row], [PASS/FAIL]]="FAIL",0,Table1[[#This Row], [PROFIT]])</f>
        <v>9919171.1999999993</v>
      </c>
    </row>
    <row r="327" spans="1:24" ht="19.5" customHeight="1" x14ac:dyDescent="0.45">
      <c r="A327" t="s">
        <v>9</v>
      </c>
      <c r="B327" s="14">
        <f>_xlfn.XLOOKUP(Table1[[#This Row], [TEAM]],Sheet1!$A$12:$A$17,Sheet1!$F$12:$F$17)</f>
        <v>3</v>
      </c>
      <c r="C327" s="14">
        <f>_xlfn.XLOOKUP(Table1[[#This Row], [TEAM]],Sheet1!$A$12:$A$17,Sheet1!$G$12:$G$17)</f>
        <v>6238750</v>
      </c>
      <c r="D327" t="s">
        <v>24</v>
      </c>
      <c r="E327" s="4">
        <f>_xlfn.XLOOKUP(Table1[[#This Row], [ROOM]],Sheet1!$A$47:$A$66,Sheet1!$B$47:$B$66)</f>
        <v>345</v>
      </c>
      <c r="F327" t="s">
        <v>58</v>
      </c>
      <c r="G327" s="4">
        <f>_xlfn.XLOOKUP(Table1[[#This Row], [DISGUISE]],Sheet1!$A$21:$A$23,Sheet1!$B$21:$B$23)*Table1[[#This Row], [NUM OF MEM]]*(1+_xlfn.XLOOKUP(Table1[[#This Row], [DISGUISE]],Sheet1!$A$21:$A$23,Sheet1!$C$21:$C$23))</f>
        <v>38400</v>
      </c>
      <c r="H327" s="13" t="s">
        <v>59</v>
      </c>
      <c r="I327" s="4">
        <f>_xlfn.XLOOKUP(Table1[[#This Row], [WEAPON]],Sheet1!$A$27:$A$29,Sheet1!$B$27:$B$29)*Table1[[#This Row], [NUM OF MEM]]*(1+_xlfn.XLOOKUP(Table1[[#This Row], [WEAPON]],Sheet1!$A$27:$A$29,Sheet1!$C$27:$C$29))</f>
        <v>136500</v>
      </c>
      <c r="J327" t="s">
        <v>60</v>
      </c>
      <c r="K327" s="9">
        <f>Table1[[#This Row], [NUM OF MEM]]*Table1[[#This Row], [TOTAL TIME TAKEN]]*_xlfn.XLOOKUP(Table1[[#This Row], [EXIT]],Sheet1!$A$70:$A$71,Sheet1!$B$70:$B$71)*(1+_xlfn.XLOOKUP(Table1[[#This Row], [EXIT]],Sheet1!$A$70:$A$71,Sheet1!$C$70:$C$71))</f>
        <v>1667412.2749999999</v>
      </c>
      <c r="L327" s="13" t="s">
        <v>61</v>
      </c>
      <c r="M327" s="4">
        <f>IF(Table1[[#This Row], [EQUIPMENT]]="YES",Sheet1!$C$44*(1+Sheet1!$D$44),0)</f>
        <v>0</v>
      </c>
      <c r="N327" s="4">
        <f>_xlfn.XLOOKUP(Table1[[#This Row], [ROOM]],Sheet1!$A$47:$A$66,Sheet1!$F$47:$F$66)</f>
        <v>18000000</v>
      </c>
      <c r="O327" s="9">
        <f>_xlfn.XLOOKUP(_xlfn.CONCAT(Table1[[#This Row], [TEAM]],Table1[[#This Row], [ROOM]]),'ROOM TIME'!$H$2:$H$121,'ROOM TIME'!$J$2:$J$121)</f>
        <v>38.712222222222216</v>
      </c>
      <c r="P327" s="9">
        <f>(INDEX(Sheet1!$X$48:$Z$67,MATCH(Table1[[#This Row], [ROOM]],Sheet1!$P$48:$P$67,0),MATCH(Table1[[#This Row], [WEAPON]],Sheet1!$X$47:$Z$47,0)))/Table1[[#This Row], [NUM OF MEM]]</f>
        <v>4.5999999999999996</v>
      </c>
      <c r="Q327" s="9">
        <f>Table1[[#This Row], [ROOM TIME]]+Table1[[#This Row], [GUARD TIME]]</f>
        <v>43.312222222222218</v>
      </c>
      <c r="R327" s="4">
        <f>Sheet1!$K$3*_xlfn.XLOOKUP(Table1[[#This Row], [DISGUISE]],Sheet1!$A$21:$A$23,Sheet1!$D$21:$D$23)</f>
        <v>69</v>
      </c>
      <c r="S327" s="9">
        <f>Table1[[#This Row], [TOTAL TIME]]-Table1[[#This Row], [TOTAL TIME TAKEN]]</f>
        <v>25.687777777777782</v>
      </c>
      <c r="T327" t="str">
        <f>IF(Table1[[#This Row], [TIME DIFFERENCE]]&gt;=0,"PASS","FAIL")</f>
        <v>PASS</v>
      </c>
      <c r="U327" s="9">
        <f>Table1[[#This Row], [TRC]]+Table1[[#This Row], [DRC]]+Table1[[#This Row], [WRC]]+Table1[[#This Row], [ERC]]+Table1[[#This Row], [EQRC]]</f>
        <v>8081062.2750000004</v>
      </c>
      <c r="V327" s="9">
        <f>Table1[[#This Row], [TOTAL COST]]+_xlfn.XLOOKUP(Table1[[#This Row], [TEAM]],Sheet1!$A$12:$A$17,Sheet1!$I$12:$I$17)</f>
        <v>8392999.7750000004</v>
      </c>
      <c r="W327" s="9">
        <f>Table1[[#This Row], [LOOT]]-Table1[[#This Row], [TOTAL COST]]</f>
        <v>9918937.7249999996</v>
      </c>
      <c r="X327" s="9">
        <f>IF(Table1[[#This Row], [PASS/FAIL]]="FAIL",0,Table1[[#This Row], [PROFIT]])</f>
        <v>9918937.7249999996</v>
      </c>
    </row>
    <row r="328" spans="1:24" ht="19.5" customHeight="1" x14ac:dyDescent="0.45">
      <c r="A328" t="s">
        <v>12</v>
      </c>
      <c r="B328" s="14">
        <f>_xlfn.XLOOKUP(Table1[[#This Row], [TEAM]],Sheet1!$A$12:$A$17,Sheet1!$F$12:$F$17)</f>
        <v>3</v>
      </c>
      <c r="C328" s="14">
        <f>_xlfn.XLOOKUP(Table1[[#This Row], [TEAM]],Sheet1!$A$12:$A$17,Sheet1!$G$12:$G$17)</f>
        <v>5988750</v>
      </c>
      <c r="D328" t="s">
        <v>10</v>
      </c>
      <c r="E328" s="4">
        <f>_xlfn.XLOOKUP(Table1[[#This Row], [ROOM]],Sheet1!$A$47:$A$66,Sheet1!$B$47:$B$66)</f>
        <v>123</v>
      </c>
      <c r="F328" t="s">
        <v>62</v>
      </c>
      <c r="G328" s="4">
        <f>_xlfn.XLOOKUP(Table1[[#This Row], [DISGUISE]],Sheet1!$A$21:$A$23,Sheet1!$B$21:$B$23)*Table1[[#This Row], [NUM OF MEM]]*(1+_xlfn.XLOOKUP(Table1[[#This Row], [DISGUISE]],Sheet1!$A$21:$A$23,Sheet1!$C$21:$C$23))</f>
        <v>15600</v>
      </c>
      <c r="H328" s="13" t="s">
        <v>59</v>
      </c>
      <c r="I328" s="4">
        <f>_xlfn.XLOOKUP(Table1[[#This Row], [WEAPON]],Sheet1!$A$27:$A$29,Sheet1!$B$27:$B$29)*Table1[[#This Row], [NUM OF MEM]]*(1+_xlfn.XLOOKUP(Table1[[#This Row], [WEAPON]],Sheet1!$A$27:$A$29,Sheet1!$C$27:$C$29))</f>
        <v>136500</v>
      </c>
      <c r="J328" t="s">
        <v>60</v>
      </c>
      <c r="K328" s="9">
        <f>Table1[[#This Row], [NUM OF MEM]]*Table1[[#This Row], [TOTAL TIME TAKEN]]*_xlfn.XLOOKUP(Table1[[#This Row], [EXIT]],Sheet1!$A$70:$A$71,Sheet1!$B$70:$B$71)*(1+_xlfn.XLOOKUP(Table1[[#This Row], [EXIT]],Sheet1!$A$70:$A$71,Sheet1!$C$70:$C$71))</f>
        <v>1792743.0249999992</v>
      </c>
      <c r="L328" s="13" t="s">
        <v>61</v>
      </c>
      <c r="M328" s="4">
        <f>IF(Table1[[#This Row], [EQUIPMENT]]="YES",Sheet1!$C$44*(1+Sheet1!$D$44),0)</f>
        <v>0</v>
      </c>
      <c r="N328" s="4">
        <f>_xlfn.XLOOKUP(Table1[[#This Row], [ROOM]],Sheet1!$A$47:$A$66,Sheet1!$F$47:$F$66)</f>
        <v>17850000</v>
      </c>
      <c r="O328" s="9">
        <f>_xlfn.XLOOKUP(_xlfn.CONCAT(Table1[[#This Row], [TEAM]],Table1[[#This Row], [ROOM]]),'ROOM TIME'!$H$2:$H$121,'ROOM TIME'!$J$2:$J$121)</f>
        <v>41.967777777777762</v>
      </c>
      <c r="P328" s="9">
        <f>(INDEX(Sheet1!$X$48:$Z$67,MATCH(Table1[[#This Row], [ROOM]],Sheet1!$P$48:$P$67,0),MATCH(Table1[[#This Row], [WEAPON]],Sheet1!$X$47:$Z$47,0)))/Table1[[#This Row], [NUM OF MEM]]</f>
        <v>4.5999999999999996</v>
      </c>
      <c r="Q328" s="9">
        <f>Table1[[#This Row], [ROOM TIME]]+Table1[[#This Row], [GUARD TIME]]</f>
        <v>46.567777777777764</v>
      </c>
      <c r="R328" s="4">
        <f>Sheet1!$K$3*_xlfn.XLOOKUP(Table1[[#This Row], [DISGUISE]],Sheet1!$A$21:$A$23,Sheet1!$D$21:$D$23)</f>
        <v>66</v>
      </c>
      <c r="S328" s="9">
        <f>Table1[[#This Row], [TOTAL TIME]]-Table1[[#This Row], [TOTAL TIME TAKEN]]</f>
        <v>19.432222222222236</v>
      </c>
      <c r="T328" t="str">
        <f>IF(Table1[[#This Row], [TIME DIFFERENCE]]&gt;=0,"PASS","FAIL")</f>
        <v>PASS</v>
      </c>
      <c r="U328" s="9">
        <f>Table1[[#This Row], [TRC]]+Table1[[#This Row], [DRC]]+Table1[[#This Row], [WRC]]+Table1[[#This Row], [ERC]]+Table1[[#This Row], [EQRC]]</f>
        <v>7933593.0249999994</v>
      </c>
      <c r="V328" s="9">
        <f>Table1[[#This Row], [TOTAL COST]]+_xlfn.XLOOKUP(Table1[[#This Row], [TEAM]],Sheet1!$A$12:$A$17,Sheet1!$I$12:$I$17)</f>
        <v>8233030.5249999994</v>
      </c>
      <c r="W328" s="9">
        <f>Table1[[#This Row], [LOOT]]-Table1[[#This Row], [TOTAL COST]]</f>
        <v>9916406.9750000015</v>
      </c>
      <c r="X328" s="9">
        <f>IF(Table1[[#This Row], [PASS/FAIL]]="FAIL",0,Table1[[#This Row], [PROFIT]])</f>
        <v>9916406.9750000015</v>
      </c>
    </row>
    <row r="329" spans="1:24" ht="19.5" customHeight="1" x14ac:dyDescent="0.45">
      <c r="A329" t="s">
        <v>9</v>
      </c>
      <c r="B329" s="14">
        <f>_xlfn.XLOOKUP(Table1[[#This Row], [TEAM]],Sheet1!$A$12:$A$17,Sheet1!$F$12:$F$17)</f>
        <v>3</v>
      </c>
      <c r="C329" s="14">
        <f>_xlfn.XLOOKUP(Table1[[#This Row], [TEAM]],Sheet1!$A$12:$A$17,Sheet1!$G$12:$G$17)</f>
        <v>6238750</v>
      </c>
      <c r="D329" t="s">
        <v>32</v>
      </c>
      <c r="E329" s="4">
        <f>_xlfn.XLOOKUP(Table1[[#This Row], [ROOM]],Sheet1!$A$47:$A$66,Sheet1!$B$47:$B$66)</f>
        <v>346</v>
      </c>
      <c r="F329" t="s">
        <v>62</v>
      </c>
      <c r="G329" s="4">
        <f>_xlfn.XLOOKUP(Table1[[#This Row], [DISGUISE]],Sheet1!$A$21:$A$23,Sheet1!$B$21:$B$23)*Table1[[#This Row], [NUM OF MEM]]*(1+_xlfn.XLOOKUP(Table1[[#This Row], [DISGUISE]],Sheet1!$A$21:$A$23,Sheet1!$C$21:$C$23))</f>
        <v>15600</v>
      </c>
      <c r="H329" s="13" t="s">
        <v>66</v>
      </c>
      <c r="I329" s="4">
        <f>_xlfn.XLOOKUP(Table1[[#This Row], [WEAPON]],Sheet1!$A$27:$A$29,Sheet1!$B$27:$B$29)*Table1[[#This Row], [NUM OF MEM]]*(1+_xlfn.XLOOKUP(Table1[[#This Row], [WEAPON]],Sheet1!$A$27:$A$29,Sheet1!$C$27:$C$29))</f>
        <v>108000</v>
      </c>
      <c r="J329" t="s">
        <v>60</v>
      </c>
      <c r="K329" s="9">
        <f>Table1[[#This Row], [NUM OF MEM]]*Table1[[#This Row], [TOTAL TIME TAKEN]]*_xlfn.XLOOKUP(Table1[[#This Row], [EXIT]],Sheet1!$A$70:$A$71,Sheet1!$B$70:$B$71)*(1+_xlfn.XLOOKUP(Table1[[#This Row], [EXIT]],Sheet1!$A$70:$A$71,Sheet1!$C$70:$C$71))</f>
        <v>1613900.7499999993</v>
      </c>
      <c r="L329" s="13" t="s">
        <v>65</v>
      </c>
      <c r="M329" s="4">
        <f>IF(Table1[[#This Row], [EQUIPMENT]]="YES",Sheet1!$C$44*(1+Sheet1!$D$44),0)</f>
        <v>307500</v>
      </c>
      <c r="N329" s="4">
        <f>_xlfn.XLOOKUP(Table1[[#This Row], [ROOM]],Sheet1!$A$47:$A$66,Sheet1!$F$47:$F$66)</f>
        <v>18200000</v>
      </c>
      <c r="O329" s="9">
        <f>_xlfn.XLOOKUP(_xlfn.CONCAT(Table1[[#This Row], [TEAM]],Table1[[#This Row], [ROOM]]),'ROOM TIME'!$H$2:$H$121,'ROOM TIME'!$J$2:$J$121)</f>
        <v>36.505555555555546</v>
      </c>
      <c r="P329" s="9">
        <f>(INDEX(Sheet1!$X$48:$Z$67,MATCH(Table1[[#This Row], [ROOM]],Sheet1!$P$48:$P$67,0),MATCH(Table1[[#This Row], [WEAPON]],Sheet1!$X$47:$Z$47,0)))/Table1[[#This Row], [NUM OF MEM]]</f>
        <v>5.416666666666667</v>
      </c>
      <c r="Q329" s="9">
        <f>Table1[[#This Row], [ROOM TIME]]+Table1[[#This Row], [GUARD TIME]]</f>
        <v>41.92222222222221</v>
      </c>
      <c r="R329" s="4">
        <f>Sheet1!$K$3*_xlfn.XLOOKUP(Table1[[#This Row], [DISGUISE]],Sheet1!$A$21:$A$23,Sheet1!$D$21:$D$23)</f>
        <v>66</v>
      </c>
      <c r="S329" s="9">
        <f>Table1[[#This Row], [TOTAL TIME]]-Table1[[#This Row], [TOTAL TIME TAKEN]]</f>
        <v>24.07777777777779</v>
      </c>
      <c r="T329" t="str">
        <f>IF(Table1[[#This Row], [TIME DIFFERENCE]]&gt;=0,"PASS","FAIL")</f>
        <v>PASS</v>
      </c>
      <c r="U329" s="9">
        <f>Table1[[#This Row], [TRC]]+Table1[[#This Row], [DRC]]+Table1[[#This Row], [WRC]]+Table1[[#This Row], [ERC]]+Table1[[#This Row], [EQRC]]</f>
        <v>8283750.7499999991</v>
      </c>
      <c r="V329" s="9">
        <f>Table1[[#This Row], [TOTAL COST]]+_xlfn.XLOOKUP(Table1[[#This Row], [TEAM]],Sheet1!$A$12:$A$17,Sheet1!$I$12:$I$17)</f>
        <v>8595688.25</v>
      </c>
      <c r="W329" s="9">
        <f>Table1[[#This Row], [LOOT]]-Table1[[#This Row], [TOTAL COST]]</f>
        <v>9916249.25</v>
      </c>
      <c r="X329" s="9">
        <f>IF(Table1[[#This Row], [PASS/FAIL]]="FAIL",0,Table1[[#This Row], [PROFIT]])</f>
        <v>9916249.25</v>
      </c>
    </row>
    <row r="330" spans="1:24" ht="19.5" customHeight="1" x14ac:dyDescent="0.45">
      <c r="A330" t="s">
        <v>9</v>
      </c>
      <c r="B330" s="14">
        <f>_xlfn.XLOOKUP(Table1[[#This Row], [TEAM]],Sheet1!$A$12:$A$17,Sheet1!$F$12:$F$17)</f>
        <v>3</v>
      </c>
      <c r="C330" s="14">
        <f>_xlfn.XLOOKUP(Table1[[#This Row], [TEAM]],Sheet1!$A$12:$A$17,Sheet1!$G$12:$G$17)</f>
        <v>6238750</v>
      </c>
      <c r="D330" t="s">
        <v>32</v>
      </c>
      <c r="E330" s="4">
        <f>_xlfn.XLOOKUP(Table1[[#This Row], [ROOM]],Sheet1!$A$47:$A$66,Sheet1!$B$47:$B$66)</f>
        <v>346</v>
      </c>
      <c r="F330" t="s">
        <v>58</v>
      </c>
      <c r="G330" s="4">
        <f>_xlfn.XLOOKUP(Table1[[#This Row], [DISGUISE]],Sheet1!$A$21:$A$23,Sheet1!$B$21:$B$23)*Table1[[#This Row], [NUM OF MEM]]*(1+_xlfn.XLOOKUP(Table1[[#This Row], [DISGUISE]],Sheet1!$A$21:$A$23,Sheet1!$C$21:$C$23))</f>
        <v>38400</v>
      </c>
      <c r="H330" s="13" t="s">
        <v>63</v>
      </c>
      <c r="I330" s="4">
        <f>_xlfn.XLOOKUP(Table1[[#This Row], [WEAPON]],Sheet1!$A$27:$A$29,Sheet1!$B$27:$B$29)*Table1[[#This Row], [NUM OF MEM]]*(1+_xlfn.XLOOKUP(Table1[[#This Row], [WEAPON]],Sheet1!$A$27:$A$29,Sheet1!$C$27:$C$29))</f>
        <v>69000</v>
      </c>
      <c r="J330" t="s">
        <v>60</v>
      </c>
      <c r="K330" s="9">
        <f>Table1[[#This Row], [NUM OF MEM]]*Table1[[#This Row], [TOTAL TIME TAKEN]]*_xlfn.XLOOKUP(Table1[[#This Row], [EXIT]],Sheet1!$A$70:$A$71,Sheet1!$B$70:$B$71)*(1+_xlfn.XLOOKUP(Table1[[#This Row], [EXIT]],Sheet1!$A$70:$A$71,Sheet1!$C$70:$C$71))</f>
        <v>1630582.9999999995</v>
      </c>
      <c r="L330" s="13" t="s">
        <v>65</v>
      </c>
      <c r="M330" s="4">
        <f>IF(Table1[[#This Row], [EQUIPMENT]]="YES",Sheet1!$C$44*(1+Sheet1!$D$44),0)</f>
        <v>307500</v>
      </c>
      <c r="N330" s="4">
        <f>_xlfn.XLOOKUP(Table1[[#This Row], [ROOM]],Sheet1!$A$47:$A$66,Sheet1!$F$47:$F$66)</f>
        <v>18200000</v>
      </c>
      <c r="O330" s="9">
        <f>_xlfn.XLOOKUP(_xlfn.CONCAT(Table1[[#This Row], [TEAM]],Table1[[#This Row], [ROOM]]),'ROOM TIME'!$H$2:$H$121,'ROOM TIME'!$J$2:$J$121)</f>
        <v>36.505555555555546</v>
      </c>
      <c r="P330" s="9">
        <f>(INDEX(Sheet1!$X$48:$Z$67,MATCH(Table1[[#This Row], [ROOM]],Sheet1!$P$48:$P$67,0),MATCH(Table1[[#This Row], [WEAPON]],Sheet1!$X$47:$Z$47,0)))/Table1[[#This Row], [NUM OF MEM]]</f>
        <v>5.8500000000000005</v>
      </c>
      <c r="Q330" s="9">
        <f>Table1[[#This Row], [ROOM TIME]]+Table1[[#This Row], [GUARD TIME]]</f>
        <v>42.355555555555547</v>
      </c>
      <c r="R330" s="4">
        <f>Sheet1!$K$3*_xlfn.XLOOKUP(Table1[[#This Row], [DISGUISE]],Sheet1!$A$21:$A$23,Sheet1!$D$21:$D$23)</f>
        <v>69</v>
      </c>
      <c r="S330" s="9">
        <f>Table1[[#This Row], [TOTAL TIME]]-Table1[[#This Row], [TOTAL TIME TAKEN]]</f>
        <v>26.644444444444453</v>
      </c>
      <c r="T330" t="str">
        <f>IF(Table1[[#This Row], [TIME DIFFERENCE]]&gt;=0,"PASS","FAIL")</f>
        <v>PASS</v>
      </c>
      <c r="U330" s="4">
        <f>Table1[[#This Row], [TRC]]+Table1[[#This Row], [DRC]]+Table1[[#This Row], [WRC]]+Table1[[#This Row], [ERC]]+Table1[[#This Row], [EQRC]]</f>
        <v>8284233</v>
      </c>
      <c r="V330" s="9">
        <f>Table1[[#This Row], [TOTAL COST]]+_xlfn.XLOOKUP(Table1[[#This Row], [TEAM]],Sheet1!$A$12:$A$17,Sheet1!$I$12:$I$17)</f>
        <v>8596170.5</v>
      </c>
      <c r="W330" s="4">
        <f>Table1[[#This Row], [LOOT]]-Table1[[#This Row], [TOTAL COST]]</f>
        <v>9915767</v>
      </c>
      <c r="X330" s="4">
        <f>IF(Table1[[#This Row], [PASS/FAIL]]="FAIL",0,Table1[[#This Row], [PROFIT]])</f>
        <v>9915767</v>
      </c>
    </row>
    <row r="331" spans="1:24" ht="19.5" customHeight="1" x14ac:dyDescent="0.45">
      <c r="A331" t="s">
        <v>9</v>
      </c>
      <c r="B331" s="14">
        <f>_xlfn.XLOOKUP(Table1[[#This Row], [TEAM]],Sheet1!$A$12:$A$17,Sheet1!$F$12:$F$17)</f>
        <v>3</v>
      </c>
      <c r="C331" s="14">
        <f>_xlfn.XLOOKUP(Table1[[#This Row], [TEAM]],Sheet1!$A$12:$A$17,Sheet1!$G$12:$G$17)</f>
        <v>6238750</v>
      </c>
      <c r="D331" t="s">
        <v>24</v>
      </c>
      <c r="E331" s="4">
        <f>_xlfn.XLOOKUP(Table1[[#This Row], [ROOM]],Sheet1!$A$47:$A$66,Sheet1!$B$47:$B$66)</f>
        <v>345</v>
      </c>
      <c r="F331" t="s">
        <v>58</v>
      </c>
      <c r="G331" s="4">
        <f>_xlfn.XLOOKUP(Table1[[#This Row], [DISGUISE]],Sheet1!$A$21:$A$23,Sheet1!$B$21:$B$23)*Table1[[#This Row], [NUM OF MEM]]*(1+_xlfn.XLOOKUP(Table1[[#This Row], [DISGUISE]],Sheet1!$A$21:$A$23,Sheet1!$C$21:$C$23))</f>
        <v>38400</v>
      </c>
      <c r="H331" s="13" t="s">
        <v>66</v>
      </c>
      <c r="I331" s="4">
        <f>_xlfn.XLOOKUP(Table1[[#This Row], [WEAPON]],Sheet1!$A$27:$A$29,Sheet1!$B$27:$B$29)*Table1[[#This Row], [NUM OF MEM]]*(1+_xlfn.XLOOKUP(Table1[[#This Row], [WEAPON]],Sheet1!$A$27:$A$29,Sheet1!$C$27:$C$29))</f>
        <v>108000</v>
      </c>
      <c r="J331" t="s">
        <v>64</v>
      </c>
      <c r="K331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1699531.2</v>
      </c>
      <c r="L331" s="13" t="s">
        <v>61</v>
      </c>
      <c r="M331" s="4">
        <f>IF(Table1[[#This Row], [EQUIPMENT]]="YES",Sheet1!$C$44*(1+Sheet1!$D$44),0)</f>
        <v>0</v>
      </c>
      <c r="N331" s="4">
        <f>_xlfn.XLOOKUP(Table1[[#This Row], [ROOM]],Sheet1!$A$47:$A$66,Sheet1!$F$47:$F$66)</f>
        <v>18000000</v>
      </c>
      <c r="O331" s="9">
        <f>_xlfn.XLOOKUP(_xlfn.CONCAT(Table1[[#This Row], [TEAM]],Table1[[#This Row], [ROOM]]),'ROOM TIME'!$H$2:$H$121,'ROOM TIME'!$J$2:$J$121)</f>
        <v>38.712222222222216</v>
      </c>
      <c r="P331" s="4">
        <f>(INDEX(Sheet1!$X$48:$Z$67,MATCH(Table1[[#This Row], [ROOM]],Sheet1!$P$48:$P$67,0),MATCH(Table1[[#This Row], [WEAPON]],Sheet1!$X$47:$Z$47,0)))/Table1[[#This Row], [NUM OF MEM]]</f>
        <v>5</v>
      </c>
      <c r="Q331" s="9">
        <f>Table1[[#This Row], [ROOM TIME]]+Table1[[#This Row], [GUARD TIME]]</f>
        <v>43.712222222222216</v>
      </c>
      <c r="R331" s="4">
        <f>Sheet1!$K$3*_xlfn.XLOOKUP(Table1[[#This Row], [DISGUISE]],Sheet1!$A$21:$A$23,Sheet1!$D$21:$D$23)</f>
        <v>69</v>
      </c>
      <c r="S331" s="9">
        <f>Table1[[#This Row], [TOTAL TIME]]-Table1[[#This Row], [TOTAL TIME TAKEN]]</f>
        <v>25.287777777777784</v>
      </c>
      <c r="T331" t="str">
        <f>IF(Table1[[#This Row], [TIME DIFFERENCE]]&gt;=0,"PASS","FAIL")</f>
        <v>PASS</v>
      </c>
      <c r="U331" s="9">
        <f>Table1[[#This Row], [TRC]]+Table1[[#This Row], [DRC]]+Table1[[#This Row], [WRC]]+Table1[[#This Row], [ERC]]+Table1[[#This Row], [EQRC]]</f>
        <v>8084681.2000000002</v>
      </c>
      <c r="V331" s="9">
        <f>Table1[[#This Row], [TOTAL COST]]+_xlfn.XLOOKUP(Table1[[#This Row], [TEAM]],Sheet1!$A$12:$A$17,Sheet1!$I$12:$I$17)</f>
        <v>8396618.6999999993</v>
      </c>
      <c r="W331" s="9">
        <f>Table1[[#This Row], [LOOT]]-Table1[[#This Row], [TOTAL COST]]</f>
        <v>9915318.8000000007</v>
      </c>
      <c r="X331" s="9">
        <f>IF(Table1[[#This Row], [PASS/FAIL]]="FAIL",0,Table1[[#This Row], [PROFIT]])</f>
        <v>9915318.8000000007</v>
      </c>
    </row>
    <row r="332" spans="1:24" ht="19.5" customHeight="1" x14ac:dyDescent="0.45">
      <c r="A332" t="s">
        <v>14</v>
      </c>
      <c r="B332" s="14">
        <f>_xlfn.XLOOKUP(Table1[[#This Row], [TEAM]],Sheet1!$A$12:$A$17,Sheet1!$F$12:$F$17)</f>
        <v>2</v>
      </c>
      <c r="C332" s="14">
        <f>_xlfn.XLOOKUP(Table1[[#This Row], [TEAM]],Sheet1!$A$12:$A$17,Sheet1!$G$12:$G$17)</f>
        <v>5949600</v>
      </c>
      <c r="D332" t="s">
        <v>29</v>
      </c>
      <c r="E332" s="4">
        <f>_xlfn.XLOOKUP(Table1[[#This Row], [ROOM]],Sheet1!$A$47:$A$66,Sheet1!$B$47:$B$66)</f>
        <v>236</v>
      </c>
      <c r="F332" t="s">
        <v>58</v>
      </c>
      <c r="G332" s="4">
        <f>_xlfn.XLOOKUP(Table1[[#This Row], [DISGUISE]],Sheet1!$A$21:$A$23,Sheet1!$B$21:$B$23)*Table1[[#This Row], [NUM OF MEM]]*(1+_xlfn.XLOOKUP(Table1[[#This Row], [DISGUISE]],Sheet1!$A$21:$A$23,Sheet1!$C$21:$C$23))</f>
        <v>25600</v>
      </c>
      <c r="H332" s="13" t="s">
        <v>66</v>
      </c>
      <c r="I332" s="4">
        <f>_xlfn.XLOOKUP(Table1[[#This Row], [WEAPON]],Sheet1!$A$27:$A$29,Sheet1!$B$27:$B$29)*Table1[[#This Row], [NUM OF MEM]]*(1+_xlfn.XLOOKUP(Table1[[#This Row], [WEAPON]],Sheet1!$A$27:$A$29,Sheet1!$C$27:$C$29))</f>
        <v>72000</v>
      </c>
      <c r="J332" t="s">
        <v>64</v>
      </c>
      <c r="K332" s="9">
        <f>Table1[[#This Row], [NUM OF MEM]]*Table1[[#This Row], [TOTAL TIME TAKEN]]*_xlfn.XLOOKUP(Table1[[#This Row], [EXIT]],Sheet1!$A$70:$A$71,Sheet1!$B$70:$B$71)*(1+_xlfn.XLOOKUP(Table1[[#This Row], [EXIT]],Sheet1!$A$70:$A$71,Sheet1!$C$70:$C$71))</f>
        <v>1731293.9999999998</v>
      </c>
      <c r="L332" s="13" t="s">
        <v>65</v>
      </c>
      <c r="M332" s="4">
        <f>IF(Table1[[#This Row], [EQUIPMENT]]="YES",Sheet1!$C$44*(1+Sheet1!$D$44),0)</f>
        <v>307500</v>
      </c>
      <c r="N332" s="4">
        <f>_xlfn.XLOOKUP(Table1[[#This Row], [ROOM]],Sheet1!$A$47:$A$66,Sheet1!$F$47:$F$66)</f>
        <v>18000000</v>
      </c>
      <c r="O332" s="9">
        <f>_xlfn.XLOOKUP(_xlfn.CONCAT(Table1[[#This Row], [TEAM]],Table1[[#This Row], [ROOM]]),'ROOM TIME'!$H$2:$H$121,'ROOM TIME'!$J$2:$J$121)</f>
        <v>58.668749999999982</v>
      </c>
      <c r="P332" s="9">
        <f>(INDEX(Sheet1!$X$48:$Z$67,MATCH(Table1[[#This Row], [ROOM]],Sheet1!$P$48:$P$67,0),MATCH(Table1[[#This Row], [WEAPON]],Sheet1!$X$47:$Z$47,0)))/Table1[[#This Row], [NUM OF MEM]]</f>
        <v>8.125</v>
      </c>
      <c r="Q332" s="9">
        <f>Table1[[#This Row], [ROOM TIME]]+Table1[[#This Row], [GUARD TIME]]</f>
        <v>66.793749999999989</v>
      </c>
      <c r="R332" s="4">
        <f>Sheet1!$K$3*_xlfn.XLOOKUP(Table1[[#This Row], [DISGUISE]],Sheet1!$A$21:$A$23,Sheet1!$D$21:$D$23)</f>
        <v>69</v>
      </c>
      <c r="S332" s="9">
        <f>Table1[[#This Row], [TOTAL TIME]]-Table1[[#This Row], [TOTAL TIME TAKEN]]</f>
        <v>2.2062500000000114</v>
      </c>
      <c r="T332" t="str">
        <f>IF(Table1[[#This Row], [TIME DIFFERENCE]]&gt;=0,"PASS","FAIL")</f>
        <v>PASS</v>
      </c>
      <c r="U332" s="4">
        <f>Table1[[#This Row], [TRC]]+Table1[[#This Row], [DRC]]+Table1[[#This Row], [WRC]]+Table1[[#This Row], [ERC]]+Table1[[#This Row], [EQRC]]</f>
        <v>8085994</v>
      </c>
      <c r="V332" s="4">
        <f>Table1[[#This Row], [TOTAL COST]]+_xlfn.XLOOKUP(Table1[[#This Row], [TEAM]],Sheet1!$A$12:$A$17,Sheet1!$I$12:$I$17)</f>
        <v>8383474</v>
      </c>
      <c r="W332" s="4">
        <f>Table1[[#This Row], [LOOT]]-Table1[[#This Row], [TOTAL COST]]</f>
        <v>9914006</v>
      </c>
      <c r="X332" s="4">
        <f>IF(Table1[[#This Row], [PASS/FAIL]]="FAIL",0,Table1[[#This Row], [PROFIT]])</f>
        <v>9914006</v>
      </c>
    </row>
    <row r="333" spans="1:24" ht="19.5" customHeight="1" x14ac:dyDescent="0.45">
      <c r="A333" t="s">
        <v>13</v>
      </c>
      <c r="B333" s="14">
        <f>_xlfn.XLOOKUP(Table1[[#This Row], [TEAM]],Sheet1!$A$12:$A$17,Sheet1!$F$12:$F$17)</f>
        <v>3</v>
      </c>
      <c r="C333" s="14">
        <f>_xlfn.XLOOKUP(Table1[[#This Row], [TEAM]],Sheet1!$A$12:$A$17,Sheet1!$G$12:$G$17)</f>
        <v>5930000</v>
      </c>
      <c r="D333" t="s">
        <v>22</v>
      </c>
      <c r="E333" s="4">
        <f>_xlfn.XLOOKUP(Table1[[#This Row], [ROOM]],Sheet1!$A$47:$A$66,Sheet1!$B$47:$B$66)</f>
        <v>235</v>
      </c>
      <c r="F333" t="s">
        <v>62</v>
      </c>
      <c r="G333" s="4">
        <f>_xlfn.XLOOKUP(Table1[[#This Row], [DISGUISE]],Sheet1!$A$21:$A$23,Sheet1!$B$21:$B$23)*Table1[[#This Row], [NUM OF MEM]]*(1+_xlfn.XLOOKUP(Table1[[#This Row], [DISGUISE]],Sheet1!$A$21:$A$23,Sheet1!$C$21:$C$23))</f>
        <v>15600</v>
      </c>
      <c r="H333" s="13" t="s">
        <v>63</v>
      </c>
      <c r="I333" s="4">
        <f>_xlfn.XLOOKUP(Table1[[#This Row], [WEAPON]],Sheet1!$A$27:$A$29,Sheet1!$B$27:$B$29)*Table1[[#This Row], [NUM OF MEM]]*(1+_xlfn.XLOOKUP(Table1[[#This Row], [WEAPON]],Sheet1!$A$27:$A$29,Sheet1!$C$27:$C$29))</f>
        <v>69000</v>
      </c>
      <c r="J333" t="s">
        <v>60</v>
      </c>
      <c r="K333" s="9">
        <f>Table1[[#This Row], [NUM OF MEM]]*Table1[[#This Row], [TOTAL TIME TAKEN]]*_xlfn.XLOOKUP(Table1[[#This Row], [EXIT]],Sheet1!$A$70:$A$71,Sheet1!$B$70:$B$71)*(1+_xlfn.XLOOKUP(Table1[[#This Row], [EXIT]],Sheet1!$A$70:$A$71,Sheet1!$C$70:$C$71))</f>
        <v>1871427.6374999997</v>
      </c>
      <c r="L333" s="13" t="s">
        <v>61</v>
      </c>
      <c r="M333" s="4">
        <f>IF(Table1[[#This Row], [EQUIPMENT]]="YES",Sheet1!$C$44*(1+Sheet1!$D$44),0)</f>
        <v>0</v>
      </c>
      <c r="N333" s="4">
        <f>_xlfn.XLOOKUP(Table1[[#This Row], [ROOM]],Sheet1!$A$47:$A$66,Sheet1!$F$47:$F$66)</f>
        <v>17800000</v>
      </c>
      <c r="O333" s="9">
        <f>_xlfn.XLOOKUP(_xlfn.CONCAT(Table1[[#This Row], [TEAM]],Table1[[#This Row], [ROOM]]),'ROOM TIME'!$H$2:$H$121,'ROOM TIME'!$J$2:$J$121)</f>
        <v>43.211666666666666</v>
      </c>
      <c r="P333" s="9">
        <f>(INDEX(Sheet1!$X$48:$Z$67,MATCH(Table1[[#This Row], [ROOM]],Sheet1!$P$48:$P$67,0),MATCH(Table1[[#This Row], [WEAPON]],Sheet1!$X$47:$Z$47,0)))/Table1[[#This Row], [NUM OF MEM]]</f>
        <v>5.4000000000000012</v>
      </c>
      <c r="Q333" s="9">
        <f>Table1[[#This Row], [ROOM TIME]]+Table1[[#This Row], [GUARD TIME]]</f>
        <v>48.611666666666665</v>
      </c>
      <c r="R333" s="4">
        <f>Sheet1!$K$3*_xlfn.XLOOKUP(Table1[[#This Row], [DISGUISE]],Sheet1!$A$21:$A$23,Sheet1!$D$21:$D$23)</f>
        <v>66</v>
      </c>
      <c r="S333" s="9">
        <f>Table1[[#This Row], [TOTAL TIME]]-Table1[[#This Row], [TOTAL TIME TAKEN]]</f>
        <v>17.388333333333335</v>
      </c>
      <c r="T333" t="str">
        <f>IF(Table1[[#This Row], [TIME DIFFERENCE]]&gt;=0,"PASS","FAIL")</f>
        <v>PASS</v>
      </c>
      <c r="U333" s="9">
        <f>Table1[[#This Row], [TRC]]+Table1[[#This Row], [DRC]]+Table1[[#This Row], [WRC]]+Table1[[#This Row], [ERC]]+Table1[[#This Row], [EQRC]]</f>
        <v>7886027.6374999993</v>
      </c>
      <c r="V333" s="9">
        <f>Table1[[#This Row], [TOTAL COST]]+_xlfn.XLOOKUP(Table1[[#This Row], [TEAM]],Sheet1!$A$12:$A$17,Sheet1!$I$12:$I$17)</f>
        <v>8182527.6374999993</v>
      </c>
      <c r="W333" s="9">
        <f>Table1[[#This Row], [LOOT]]-Table1[[#This Row], [TOTAL COST]]</f>
        <v>9913972.3625000007</v>
      </c>
      <c r="X333" s="9">
        <f>IF(Table1[[#This Row], [PASS/FAIL]]="FAIL",0,Table1[[#This Row], [PROFIT]])</f>
        <v>9913972.3625000007</v>
      </c>
    </row>
    <row r="334" spans="1:24" ht="19.5" customHeight="1" x14ac:dyDescent="0.45">
      <c r="A334" t="s">
        <v>15</v>
      </c>
      <c r="B334" s="14">
        <f>_xlfn.XLOOKUP(Table1[[#This Row], [TEAM]],Sheet1!$A$12:$A$17,Sheet1!$F$12:$F$17)</f>
        <v>2</v>
      </c>
      <c r="C334" s="14">
        <f>_xlfn.XLOOKUP(Table1[[#This Row], [TEAM]],Sheet1!$A$12:$A$17,Sheet1!$G$12:$G$17)</f>
        <v>5932950</v>
      </c>
      <c r="D334" t="s">
        <v>29</v>
      </c>
      <c r="E334" s="4">
        <f>_xlfn.XLOOKUP(Table1[[#This Row], [ROOM]],Sheet1!$A$47:$A$66,Sheet1!$B$47:$B$66)</f>
        <v>236</v>
      </c>
      <c r="F334" t="s">
        <v>58</v>
      </c>
      <c r="G334" s="4">
        <f>_xlfn.XLOOKUP(Table1[[#This Row], [DISGUISE]],Sheet1!$A$21:$A$23,Sheet1!$B$21:$B$23)*Table1[[#This Row], [NUM OF MEM]]*(1+_xlfn.XLOOKUP(Table1[[#This Row], [DISGUISE]],Sheet1!$A$21:$A$23,Sheet1!$C$21:$C$23))</f>
        <v>25600</v>
      </c>
      <c r="H334" s="13" t="s">
        <v>66</v>
      </c>
      <c r="I334" s="4">
        <f>_xlfn.XLOOKUP(Table1[[#This Row], [WEAPON]],Sheet1!$A$27:$A$29,Sheet1!$B$27:$B$29)*Table1[[#This Row], [NUM OF MEM]]*(1+_xlfn.XLOOKUP(Table1[[#This Row], [WEAPON]],Sheet1!$A$27:$A$29,Sheet1!$C$27:$C$29))</f>
        <v>72000</v>
      </c>
      <c r="J334" t="s">
        <v>64</v>
      </c>
      <c r="K334" s="9">
        <f>Table1[[#This Row], [NUM OF MEM]]*Table1[[#This Row], [TOTAL TIME TAKEN]]*_xlfn.XLOOKUP(Table1[[#This Row], [EXIT]],Sheet1!$A$70:$A$71,Sheet1!$B$70:$B$71)*(1+_xlfn.XLOOKUP(Table1[[#This Row], [EXIT]],Sheet1!$A$70:$A$71,Sheet1!$C$70:$C$71))</f>
        <v>1748109.5999999994</v>
      </c>
      <c r="L334" s="13" t="s">
        <v>65</v>
      </c>
      <c r="M334" s="4">
        <f>IF(Table1[[#This Row], [EQUIPMENT]]="YES",Sheet1!$C$44*(1+Sheet1!$D$44),0)</f>
        <v>307500</v>
      </c>
      <c r="N334" s="4">
        <f>_xlfn.XLOOKUP(Table1[[#This Row], [ROOM]],Sheet1!$A$47:$A$66,Sheet1!$F$47:$F$66)</f>
        <v>18000000</v>
      </c>
      <c r="O334" s="9">
        <f>_xlfn.XLOOKUP(_xlfn.CONCAT(Table1[[#This Row], [TEAM]],Table1[[#This Row], [ROOM]]),'ROOM TIME'!$H$2:$H$121,'ROOM TIME'!$J$2:$J$121)</f>
        <v>59.317499999999981</v>
      </c>
      <c r="P334" s="9">
        <f>(INDEX(Sheet1!$X$48:$Z$67,MATCH(Table1[[#This Row], [ROOM]],Sheet1!$P$48:$P$67,0),MATCH(Table1[[#This Row], [WEAPON]],Sheet1!$X$47:$Z$47,0)))/Table1[[#This Row], [NUM OF MEM]]</f>
        <v>8.125</v>
      </c>
      <c r="Q334" s="9">
        <f>Table1[[#This Row], [ROOM TIME]]+Table1[[#This Row], [GUARD TIME]]</f>
        <v>67.442499999999981</v>
      </c>
      <c r="R334" s="4">
        <f>Sheet1!$K$3*_xlfn.XLOOKUP(Table1[[#This Row], [DISGUISE]],Sheet1!$A$21:$A$23,Sheet1!$D$21:$D$23)</f>
        <v>69</v>
      </c>
      <c r="S334" s="9">
        <f>Table1[[#This Row], [TOTAL TIME]]-Table1[[#This Row], [TOTAL TIME TAKEN]]</f>
        <v>1.5575000000000188</v>
      </c>
      <c r="T334" t="str">
        <f>IF(Table1[[#This Row], [TIME DIFFERENCE]]&gt;=0,"PASS","FAIL")</f>
        <v>PASS</v>
      </c>
      <c r="U334" s="9">
        <f>Table1[[#This Row], [TRC]]+Table1[[#This Row], [DRC]]+Table1[[#This Row], [WRC]]+Table1[[#This Row], [ERC]]+Table1[[#This Row], [EQRC]]</f>
        <v>8086159.5999999996</v>
      </c>
      <c r="V334" s="9">
        <f>Table1[[#This Row], [TOTAL COST]]+_xlfn.XLOOKUP(Table1[[#This Row], [TEAM]],Sheet1!$A$12:$A$17,Sheet1!$I$12:$I$17)</f>
        <v>8382807.0999999996</v>
      </c>
      <c r="W334" s="9">
        <f>Table1[[#This Row], [LOOT]]-Table1[[#This Row], [TOTAL COST]]</f>
        <v>9913840.4000000004</v>
      </c>
      <c r="X334" s="9">
        <f>IF(Table1[[#This Row], [PASS/FAIL]]="FAIL",0,Table1[[#This Row], [PROFIT]])</f>
        <v>9913840.4000000004</v>
      </c>
    </row>
    <row r="335" spans="1:24" ht="19.5" customHeight="1" x14ac:dyDescent="0.45">
      <c r="A335" t="s">
        <v>12</v>
      </c>
      <c r="B335" s="14">
        <f>_xlfn.XLOOKUP(Table1[[#This Row], [TEAM]],Sheet1!$A$12:$A$17,Sheet1!$F$12:$F$17)</f>
        <v>3</v>
      </c>
      <c r="C335" s="14">
        <f>_xlfn.XLOOKUP(Table1[[#This Row], [TEAM]],Sheet1!$A$12:$A$17,Sheet1!$G$12:$G$17)</f>
        <v>5988750</v>
      </c>
      <c r="D335" t="s">
        <v>10</v>
      </c>
      <c r="E335" s="4">
        <f>_xlfn.XLOOKUP(Table1[[#This Row], [ROOM]],Sheet1!$A$47:$A$66,Sheet1!$B$47:$B$66)</f>
        <v>123</v>
      </c>
      <c r="F335" t="s">
        <v>58</v>
      </c>
      <c r="G335" s="4">
        <f>_xlfn.XLOOKUP(Table1[[#This Row], [DISGUISE]],Sheet1!$A$21:$A$23,Sheet1!$B$21:$B$23)*Table1[[#This Row], [NUM OF MEM]]*(1+_xlfn.XLOOKUP(Table1[[#This Row], [DISGUISE]],Sheet1!$A$21:$A$23,Sheet1!$C$21:$C$23))</f>
        <v>38400</v>
      </c>
      <c r="H335" s="13" t="s">
        <v>63</v>
      </c>
      <c r="I335" s="4">
        <f>_xlfn.XLOOKUP(Table1[[#This Row], [WEAPON]],Sheet1!$A$27:$A$29,Sheet1!$B$27:$B$29)*Table1[[#This Row], [NUM OF MEM]]*(1+_xlfn.XLOOKUP(Table1[[#This Row], [WEAPON]],Sheet1!$A$27:$A$29,Sheet1!$C$27:$C$29))</f>
        <v>69000</v>
      </c>
      <c r="J335" t="s">
        <v>64</v>
      </c>
      <c r="K335" s="9">
        <f>Table1[[#This Row], [NUM OF MEM]]*Table1[[#This Row], [TOTAL TIME TAKEN]]*_xlfn.XLOOKUP(Table1[[#This Row], [EXIT]],Sheet1!$A$70:$A$71,Sheet1!$B$70:$B$71)*(1+_xlfn.XLOOKUP(Table1[[#This Row], [EXIT]],Sheet1!$A$70:$A$71,Sheet1!$C$70:$C$71))</f>
        <v>1841659.1999999995</v>
      </c>
      <c r="L335" s="13" t="s">
        <v>61</v>
      </c>
      <c r="M335" s="4">
        <f>IF(Table1[[#This Row], [EQUIPMENT]]="YES",Sheet1!$C$44*(1+Sheet1!$D$44),0)</f>
        <v>0</v>
      </c>
      <c r="N335" s="4">
        <f>_xlfn.XLOOKUP(Table1[[#This Row], [ROOM]],Sheet1!$A$47:$A$66,Sheet1!$F$47:$F$66)</f>
        <v>17850000</v>
      </c>
      <c r="O335" s="9">
        <f>_xlfn.XLOOKUP(_xlfn.CONCAT(Table1[[#This Row], [TEAM]],Table1[[#This Row], [ROOM]]),'ROOM TIME'!$H$2:$H$121,'ROOM TIME'!$J$2:$J$121)</f>
        <v>41.967777777777762</v>
      </c>
      <c r="P335" s="9">
        <f>(INDEX(Sheet1!$X$48:$Z$67,MATCH(Table1[[#This Row], [ROOM]],Sheet1!$P$48:$P$67,0),MATCH(Table1[[#This Row], [WEAPON]],Sheet1!$X$47:$Z$47,0)))/Table1[[#This Row], [NUM OF MEM]]</f>
        <v>5.4000000000000012</v>
      </c>
      <c r="Q335" s="9">
        <f>Table1[[#This Row], [ROOM TIME]]+Table1[[#This Row], [GUARD TIME]]</f>
        <v>47.367777777777761</v>
      </c>
      <c r="R335" s="4">
        <f>Sheet1!$K$3*_xlfn.XLOOKUP(Table1[[#This Row], [DISGUISE]],Sheet1!$A$21:$A$23,Sheet1!$D$21:$D$23)</f>
        <v>69</v>
      </c>
      <c r="S335" s="9">
        <f>Table1[[#This Row], [TOTAL TIME]]-Table1[[#This Row], [TOTAL TIME TAKEN]]</f>
        <v>21.632222222222239</v>
      </c>
      <c r="T335" t="str">
        <f>IF(Table1[[#This Row], [TIME DIFFERENCE]]&gt;=0,"PASS","FAIL")</f>
        <v>PASS</v>
      </c>
      <c r="U335" s="9">
        <f>Table1[[#This Row], [TRC]]+Table1[[#This Row], [DRC]]+Table1[[#This Row], [WRC]]+Table1[[#This Row], [ERC]]+Table1[[#This Row], [EQRC]]</f>
        <v>7937809.1999999993</v>
      </c>
      <c r="V335" s="9">
        <f>Table1[[#This Row], [TOTAL COST]]+_xlfn.XLOOKUP(Table1[[#This Row], [TEAM]],Sheet1!$A$12:$A$17,Sheet1!$I$12:$I$17)</f>
        <v>8237246.6999999993</v>
      </c>
      <c r="W335" s="9">
        <f>Table1[[#This Row], [LOOT]]-Table1[[#This Row], [TOTAL COST]]</f>
        <v>9912190.8000000007</v>
      </c>
      <c r="X335" s="9">
        <f>IF(Table1[[#This Row], [PASS/FAIL]]="FAIL",0,Table1[[#This Row], [PROFIT]])</f>
        <v>9912190.8000000007</v>
      </c>
    </row>
    <row r="336" spans="1:24" ht="19.5" customHeight="1" x14ac:dyDescent="0.45">
      <c r="A336" t="s">
        <v>14</v>
      </c>
      <c r="B336" s="14">
        <f>_xlfn.XLOOKUP(Table1[[#This Row], [TEAM]],Sheet1!$A$12:$A$17,Sheet1!$F$12:$F$17)</f>
        <v>2</v>
      </c>
      <c r="C336" s="14">
        <f>_xlfn.XLOOKUP(Table1[[#This Row], [TEAM]],Sheet1!$A$12:$A$17,Sheet1!$G$12:$G$17)</f>
        <v>5949600</v>
      </c>
      <c r="D336" t="s">
        <v>29</v>
      </c>
      <c r="E336" s="4">
        <f>_xlfn.XLOOKUP(Table1[[#This Row], [ROOM]],Sheet1!$A$47:$A$66,Sheet1!$B$47:$B$66)</f>
        <v>236</v>
      </c>
      <c r="F336" t="s">
        <v>58</v>
      </c>
      <c r="G336" s="4">
        <f>_xlfn.XLOOKUP(Table1[[#This Row], [DISGUISE]],Sheet1!$A$21:$A$23,Sheet1!$B$21:$B$23)*Table1[[#This Row], [NUM OF MEM]]*(1+_xlfn.XLOOKUP(Table1[[#This Row], [DISGUISE]],Sheet1!$A$21:$A$23,Sheet1!$C$21:$C$23))</f>
        <v>25600</v>
      </c>
      <c r="H336" s="13" t="s">
        <v>59</v>
      </c>
      <c r="I336" s="4">
        <f>_xlfn.XLOOKUP(Table1[[#This Row], [WEAPON]],Sheet1!$A$27:$A$29,Sheet1!$B$27:$B$29)*Table1[[#This Row], [NUM OF MEM]]*(1+_xlfn.XLOOKUP(Table1[[#This Row], [WEAPON]],Sheet1!$A$27:$A$29,Sheet1!$C$27:$C$29))</f>
        <v>91000</v>
      </c>
      <c r="J336" t="s">
        <v>64</v>
      </c>
      <c r="K336" s="9">
        <f>Table1[[#This Row], [NUM OF MEM]]*Table1[[#This Row], [TOTAL TIME TAKEN]]*_xlfn.XLOOKUP(Table1[[#This Row], [EXIT]],Sheet1!$A$70:$A$71,Sheet1!$B$70:$B$71)*(1+_xlfn.XLOOKUP(Table1[[#This Row], [EXIT]],Sheet1!$A$70:$A$71,Sheet1!$C$70:$C$71))</f>
        <v>1714445.9999999993</v>
      </c>
      <c r="L336" s="13" t="s">
        <v>65</v>
      </c>
      <c r="M336" s="4">
        <f>IF(Table1[[#This Row], [EQUIPMENT]]="YES",Sheet1!$C$44*(1+Sheet1!$D$44),0)</f>
        <v>307500</v>
      </c>
      <c r="N336" s="4">
        <f>_xlfn.XLOOKUP(Table1[[#This Row], [ROOM]],Sheet1!$A$47:$A$66,Sheet1!$F$47:$F$66)</f>
        <v>18000000</v>
      </c>
      <c r="O336" s="9">
        <f>_xlfn.XLOOKUP(_xlfn.CONCAT(Table1[[#This Row], [TEAM]],Table1[[#This Row], [ROOM]]),'ROOM TIME'!$H$2:$H$121,'ROOM TIME'!$J$2:$J$121)</f>
        <v>58.668749999999982</v>
      </c>
      <c r="P336" s="9">
        <f>(INDEX(Sheet1!$X$48:$Z$67,MATCH(Table1[[#This Row], [ROOM]],Sheet1!$P$48:$P$67,0),MATCH(Table1[[#This Row], [WEAPON]],Sheet1!$X$47:$Z$47,0)))/Table1[[#This Row], [NUM OF MEM]]</f>
        <v>7.4749999999999996</v>
      </c>
      <c r="Q336" s="9">
        <f>Table1[[#This Row], [ROOM TIME]]+Table1[[#This Row], [GUARD TIME]]</f>
        <v>66.143749999999983</v>
      </c>
      <c r="R336" s="4">
        <f>Sheet1!$K$3*_xlfn.XLOOKUP(Table1[[#This Row], [DISGUISE]],Sheet1!$A$21:$A$23,Sheet1!$D$21:$D$23)</f>
        <v>69</v>
      </c>
      <c r="S336" s="9">
        <f>Table1[[#This Row], [TOTAL TIME]]-Table1[[#This Row], [TOTAL TIME TAKEN]]</f>
        <v>2.8562500000000171</v>
      </c>
      <c r="T336" t="str">
        <f>IF(Table1[[#This Row], [TIME DIFFERENCE]]&gt;=0,"PASS","FAIL")</f>
        <v>PASS</v>
      </c>
      <c r="U336" s="9">
        <f>Table1[[#This Row], [TRC]]+Table1[[#This Row], [DRC]]+Table1[[#This Row], [WRC]]+Table1[[#This Row], [ERC]]+Table1[[#This Row], [EQRC]]</f>
        <v>8088145.9999999991</v>
      </c>
      <c r="V336" s="9">
        <f>Table1[[#This Row], [TOTAL COST]]+_xlfn.XLOOKUP(Table1[[#This Row], [TEAM]],Sheet1!$A$12:$A$17,Sheet1!$I$12:$I$17)</f>
        <v>8385625.9999999991</v>
      </c>
      <c r="W336" s="4">
        <f>Table1[[#This Row], [LOOT]]-Table1[[#This Row], [TOTAL COST]]</f>
        <v>9911854</v>
      </c>
      <c r="X336" s="4">
        <f>IF(Table1[[#This Row], [PASS/FAIL]]="FAIL",0,Table1[[#This Row], [PROFIT]])</f>
        <v>9911854</v>
      </c>
    </row>
    <row r="337" spans="1:24" ht="19.5" customHeight="1" x14ac:dyDescent="0.45">
      <c r="A337" t="s">
        <v>15</v>
      </c>
      <c r="B337" s="14">
        <f>_xlfn.XLOOKUP(Table1[[#This Row], [TEAM]],Sheet1!$A$12:$A$17,Sheet1!$F$12:$F$17)</f>
        <v>2</v>
      </c>
      <c r="C337" s="14">
        <f>_xlfn.XLOOKUP(Table1[[#This Row], [TEAM]],Sheet1!$A$12:$A$17,Sheet1!$G$12:$G$17)</f>
        <v>5932950</v>
      </c>
      <c r="D337" t="s">
        <v>29</v>
      </c>
      <c r="E337" s="4">
        <f>_xlfn.XLOOKUP(Table1[[#This Row], [ROOM]],Sheet1!$A$47:$A$66,Sheet1!$B$47:$B$66)</f>
        <v>236</v>
      </c>
      <c r="F337" t="s">
        <v>58</v>
      </c>
      <c r="G337" s="4">
        <f>_xlfn.XLOOKUP(Table1[[#This Row], [DISGUISE]],Sheet1!$A$21:$A$23,Sheet1!$B$21:$B$23)*Table1[[#This Row], [NUM OF MEM]]*(1+_xlfn.XLOOKUP(Table1[[#This Row], [DISGUISE]],Sheet1!$A$21:$A$23,Sheet1!$C$21:$C$23))</f>
        <v>25600</v>
      </c>
      <c r="H337" s="13" t="s">
        <v>59</v>
      </c>
      <c r="I337" s="4">
        <f>_xlfn.XLOOKUP(Table1[[#This Row], [WEAPON]],Sheet1!$A$27:$A$29,Sheet1!$B$27:$B$29)*Table1[[#This Row], [NUM OF MEM]]*(1+_xlfn.XLOOKUP(Table1[[#This Row], [WEAPON]],Sheet1!$A$27:$A$29,Sheet1!$C$27:$C$29))</f>
        <v>91000</v>
      </c>
      <c r="J337" t="s">
        <v>64</v>
      </c>
      <c r="K337" s="9">
        <f>Table1[[#This Row], [NUM OF MEM]]*Table1[[#This Row], [TOTAL TIME TAKEN]]*_xlfn.XLOOKUP(Table1[[#This Row], [EXIT]],Sheet1!$A$70:$A$71,Sheet1!$B$70:$B$71)*(1+_xlfn.XLOOKUP(Table1[[#This Row], [EXIT]],Sheet1!$A$70:$A$71,Sheet1!$C$70:$C$71))</f>
        <v>1731261.5999999994</v>
      </c>
      <c r="L337" s="13" t="s">
        <v>65</v>
      </c>
      <c r="M337" s="4">
        <f>IF(Table1[[#This Row], [EQUIPMENT]]="YES",Sheet1!$C$44*(1+Sheet1!$D$44),0)</f>
        <v>307500</v>
      </c>
      <c r="N337" s="4">
        <f>_xlfn.XLOOKUP(Table1[[#This Row], [ROOM]],Sheet1!$A$47:$A$66,Sheet1!$F$47:$F$66)</f>
        <v>18000000</v>
      </c>
      <c r="O337" s="9">
        <f>_xlfn.XLOOKUP(_xlfn.CONCAT(Table1[[#This Row], [TEAM]],Table1[[#This Row], [ROOM]]),'ROOM TIME'!$H$2:$H$121,'ROOM TIME'!$J$2:$J$121)</f>
        <v>59.317499999999981</v>
      </c>
      <c r="P337" s="9">
        <f>(INDEX(Sheet1!$X$48:$Z$67,MATCH(Table1[[#This Row], [ROOM]],Sheet1!$P$48:$P$67,0),MATCH(Table1[[#This Row], [WEAPON]],Sheet1!$X$47:$Z$47,0)))/Table1[[#This Row], [NUM OF MEM]]</f>
        <v>7.4749999999999996</v>
      </c>
      <c r="Q337" s="9">
        <f>Table1[[#This Row], [ROOM TIME]]+Table1[[#This Row], [GUARD TIME]]</f>
        <v>66.792499999999976</v>
      </c>
      <c r="R337" s="4">
        <f>Sheet1!$K$3*_xlfn.XLOOKUP(Table1[[#This Row], [DISGUISE]],Sheet1!$A$21:$A$23,Sheet1!$D$21:$D$23)</f>
        <v>69</v>
      </c>
      <c r="S337" s="9">
        <f>Table1[[#This Row], [TOTAL TIME]]-Table1[[#This Row], [TOTAL TIME TAKEN]]</f>
        <v>2.2075000000000244</v>
      </c>
      <c r="T337" t="str">
        <f>IF(Table1[[#This Row], [TIME DIFFERENCE]]&gt;=0,"PASS","FAIL")</f>
        <v>PASS</v>
      </c>
      <c r="U337" s="9">
        <f>Table1[[#This Row], [TRC]]+Table1[[#This Row], [DRC]]+Table1[[#This Row], [WRC]]+Table1[[#This Row], [ERC]]+Table1[[#This Row], [EQRC]]</f>
        <v>8088311.5999999996</v>
      </c>
      <c r="V337" s="9">
        <f>Table1[[#This Row], [TOTAL COST]]+_xlfn.XLOOKUP(Table1[[#This Row], [TEAM]],Sheet1!$A$12:$A$17,Sheet1!$I$12:$I$17)</f>
        <v>8384959.0999999996</v>
      </c>
      <c r="W337" s="9">
        <f>Table1[[#This Row], [LOOT]]-Table1[[#This Row], [TOTAL COST]]</f>
        <v>9911688.4000000004</v>
      </c>
      <c r="X337" s="9">
        <f>IF(Table1[[#This Row], [PASS/FAIL]]="FAIL",0,Table1[[#This Row], [PROFIT]])</f>
        <v>9911688.4000000004</v>
      </c>
    </row>
    <row r="338" spans="1:24" ht="19.5" customHeight="1" x14ac:dyDescent="0.45">
      <c r="A338" t="s">
        <v>12</v>
      </c>
      <c r="B338" s="14">
        <f>_xlfn.XLOOKUP(Table1[[#This Row], [TEAM]],Sheet1!$A$12:$A$17,Sheet1!$F$12:$F$17)</f>
        <v>3</v>
      </c>
      <c r="C338" s="14">
        <f>_xlfn.XLOOKUP(Table1[[#This Row], [TEAM]],Sheet1!$A$12:$A$17,Sheet1!$G$12:$G$17)</f>
        <v>5988750</v>
      </c>
      <c r="D338" t="s">
        <v>10</v>
      </c>
      <c r="E338" s="4">
        <f>_xlfn.XLOOKUP(Table1[[#This Row], [ROOM]],Sheet1!$A$47:$A$66,Sheet1!$B$47:$B$66)</f>
        <v>123</v>
      </c>
      <c r="F338" t="s">
        <v>62</v>
      </c>
      <c r="G338" s="4">
        <f>_xlfn.XLOOKUP(Table1[[#This Row], [DISGUISE]],Sheet1!$A$21:$A$23,Sheet1!$B$21:$B$23)*Table1[[#This Row], [NUM OF MEM]]*(1+_xlfn.XLOOKUP(Table1[[#This Row], [DISGUISE]],Sheet1!$A$21:$A$23,Sheet1!$C$21:$C$23))</f>
        <v>15600</v>
      </c>
      <c r="H338" s="13" t="s">
        <v>66</v>
      </c>
      <c r="I338" s="4">
        <f>_xlfn.XLOOKUP(Table1[[#This Row], [WEAPON]],Sheet1!$A$27:$A$29,Sheet1!$B$27:$B$29)*Table1[[#This Row], [NUM OF MEM]]*(1+_xlfn.XLOOKUP(Table1[[#This Row], [WEAPON]],Sheet1!$A$27:$A$29,Sheet1!$C$27:$C$29))</f>
        <v>108000</v>
      </c>
      <c r="J338" t="s">
        <v>64</v>
      </c>
      <c r="K338" s="9">
        <f>Table1[[#This Row], [NUM OF MEM]]*Table1[[#This Row], [TOTAL TIME TAKEN]]*_xlfn.XLOOKUP(Table1[[#This Row], [EXIT]],Sheet1!$A$70:$A$71,Sheet1!$B$70:$B$71)*(1+_xlfn.XLOOKUP(Table1[[#This Row], [EXIT]],Sheet1!$A$70:$A$71,Sheet1!$C$70:$C$71))</f>
        <v>1826107.199999999</v>
      </c>
      <c r="L338" s="13" t="s">
        <v>61</v>
      </c>
      <c r="M338" s="4">
        <f>IF(Table1[[#This Row], [EQUIPMENT]]="YES",Sheet1!$C$44*(1+Sheet1!$D$44),0)</f>
        <v>0</v>
      </c>
      <c r="N338" s="4">
        <f>_xlfn.XLOOKUP(Table1[[#This Row], [ROOM]],Sheet1!$A$47:$A$66,Sheet1!$F$47:$F$66)</f>
        <v>17850000</v>
      </c>
      <c r="O338" s="9">
        <f>_xlfn.XLOOKUP(_xlfn.CONCAT(Table1[[#This Row], [TEAM]],Table1[[#This Row], [ROOM]]),'ROOM TIME'!$H$2:$H$121,'ROOM TIME'!$J$2:$J$121)</f>
        <v>41.967777777777762</v>
      </c>
      <c r="P338" s="4">
        <f>(INDEX(Sheet1!$X$48:$Z$67,MATCH(Table1[[#This Row], [ROOM]],Sheet1!$P$48:$P$67,0),MATCH(Table1[[#This Row], [WEAPON]],Sheet1!$X$47:$Z$47,0)))/Table1[[#This Row], [NUM OF MEM]]</f>
        <v>5</v>
      </c>
      <c r="Q338" s="9">
        <f>Table1[[#This Row], [ROOM TIME]]+Table1[[#This Row], [GUARD TIME]]</f>
        <v>46.967777777777762</v>
      </c>
      <c r="R338" s="4">
        <f>Sheet1!$K$3*_xlfn.XLOOKUP(Table1[[#This Row], [DISGUISE]],Sheet1!$A$21:$A$23,Sheet1!$D$21:$D$23)</f>
        <v>66</v>
      </c>
      <c r="S338" s="9">
        <f>Table1[[#This Row], [TOTAL TIME]]-Table1[[#This Row], [TOTAL TIME TAKEN]]</f>
        <v>19.032222222222238</v>
      </c>
      <c r="T338" t="str">
        <f>IF(Table1[[#This Row], [TIME DIFFERENCE]]&gt;=0,"PASS","FAIL")</f>
        <v>PASS</v>
      </c>
      <c r="U338" s="9">
        <f>Table1[[#This Row], [TRC]]+Table1[[#This Row], [DRC]]+Table1[[#This Row], [WRC]]+Table1[[#This Row], [ERC]]+Table1[[#This Row], [EQRC]]</f>
        <v>7938457.1999999993</v>
      </c>
      <c r="V338" s="9">
        <f>Table1[[#This Row], [TOTAL COST]]+_xlfn.XLOOKUP(Table1[[#This Row], [TEAM]],Sheet1!$A$12:$A$17,Sheet1!$I$12:$I$17)</f>
        <v>8237894.6999999993</v>
      </c>
      <c r="W338" s="9">
        <f>Table1[[#This Row], [LOOT]]-Table1[[#This Row], [TOTAL COST]]</f>
        <v>9911542.8000000007</v>
      </c>
      <c r="X338" s="9">
        <f>IF(Table1[[#This Row], [PASS/FAIL]]="FAIL",0,Table1[[#This Row], [PROFIT]])</f>
        <v>9911542.8000000007</v>
      </c>
    </row>
    <row r="339" spans="1:24" ht="19.5" customHeight="1" x14ac:dyDescent="0.45">
      <c r="A339" t="s">
        <v>13</v>
      </c>
      <c r="B339" s="14">
        <f>_xlfn.XLOOKUP(Table1[[#This Row], [TEAM]],Sheet1!$A$12:$A$17,Sheet1!$F$12:$F$17)</f>
        <v>3</v>
      </c>
      <c r="C339" s="14">
        <f>_xlfn.XLOOKUP(Table1[[#This Row], [TEAM]],Sheet1!$A$12:$A$17,Sheet1!$G$12:$G$17)</f>
        <v>5930000</v>
      </c>
      <c r="D339" t="s">
        <v>10</v>
      </c>
      <c r="E339" s="4">
        <f>_xlfn.XLOOKUP(Table1[[#This Row], [ROOM]],Sheet1!$A$47:$A$66,Sheet1!$B$47:$B$66)</f>
        <v>123</v>
      </c>
      <c r="F339" t="s">
        <v>62</v>
      </c>
      <c r="G339" s="4">
        <f>_xlfn.XLOOKUP(Table1[[#This Row], [DISGUISE]],Sheet1!$A$21:$A$23,Sheet1!$B$21:$B$23)*Table1[[#This Row], [NUM OF MEM]]*(1+_xlfn.XLOOKUP(Table1[[#This Row], [DISGUISE]],Sheet1!$A$21:$A$23,Sheet1!$C$21:$C$23))</f>
        <v>15600</v>
      </c>
      <c r="H339" s="13" t="s">
        <v>59</v>
      </c>
      <c r="I339" s="4">
        <f>_xlfn.XLOOKUP(Table1[[#This Row], [WEAPON]],Sheet1!$A$27:$A$29,Sheet1!$B$27:$B$29)*Table1[[#This Row], [NUM OF MEM]]*(1+_xlfn.XLOOKUP(Table1[[#This Row], [WEAPON]],Sheet1!$A$27:$A$29,Sheet1!$C$27:$C$29))</f>
        <v>136500</v>
      </c>
      <c r="J339" t="s">
        <v>60</v>
      </c>
      <c r="K339" s="9">
        <f>Table1[[#This Row], [NUM OF MEM]]*Table1[[#This Row], [TOTAL TIME TAKEN]]*_xlfn.XLOOKUP(Table1[[#This Row], [EXIT]],Sheet1!$A$70:$A$71,Sheet1!$B$70:$B$71)*(1+_xlfn.XLOOKUP(Table1[[#This Row], [EXIT]],Sheet1!$A$70:$A$71,Sheet1!$C$70:$C$71))</f>
        <v>1857675.4749999999</v>
      </c>
      <c r="L339" s="13" t="s">
        <v>61</v>
      </c>
      <c r="M339" s="4">
        <f>IF(Table1[[#This Row], [EQUIPMENT]]="YES",Sheet1!$C$44*(1+Sheet1!$D$44),0)</f>
        <v>0</v>
      </c>
      <c r="N339" s="4">
        <f>_xlfn.XLOOKUP(Table1[[#This Row], [ROOM]],Sheet1!$A$47:$A$66,Sheet1!$F$47:$F$66)</f>
        <v>17850000</v>
      </c>
      <c r="O339" s="9">
        <f>_xlfn.XLOOKUP(_xlfn.CONCAT(Table1[[#This Row], [TEAM]],Table1[[#This Row], [ROOM]]),'ROOM TIME'!$H$2:$H$121,'ROOM TIME'!$J$2:$J$121)</f>
        <v>43.654444444444437</v>
      </c>
      <c r="P339" s="9">
        <f>(INDEX(Sheet1!$X$48:$Z$67,MATCH(Table1[[#This Row], [ROOM]],Sheet1!$P$48:$P$67,0),MATCH(Table1[[#This Row], [WEAPON]],Sheet1!$X$47:$Z$47,0)))/Table1[[#This Row], [NUM OF MEM]]</f>
        <v>4.5999999999999996</v>
      </c>
      <c r="Q339" s="9">
        <f>Table1[[#This Row], [ROOM TIME]]+Table1[[#This Row], [GUARD TIME]]</f>
        <v>48.254444444444438</v>
      </c>
      <c r="R339" s="4">
        <f>Sheet1!$K$3*_xlfn.XLOOKUP(Table1[[#This Row], [DISGUISE]],Sheet1!$A$21:$A$23,Sheet1!$D$21:$D$23)</f>
        <v>66</v>
      </c>
      <c r="S339" s="9">
        <f>Table1[[#This Row], [TOTAL TIME]]-Table1[[#This Row], [TOTAL TIME TAKEN]]</f>
        <v>17.745555555555562</v>
      </c>
      <c r="T339" t="str">
        <f>IF(Table1[[#This Row], [TIME DIFFERENCE]]&gt;=0,"PASS","FAIL")</f>
        <v>PASS</v>
      </c>
      <c r="U339" s="9">
        <f>Table1[[#This Row], [TRC]]+Table1[[#This Row], [DRC]]+Table1[[#This Row], [WRC]]+Table1[[#This Row], [ERC]]+Table1[[#This Row], [EQRC]]</f>
        <v>7939775.4749999996</v>
      </c>
      <c r="V339" s="9">
        <f>Table1[[#This Row], [TOTAL COST]]+_xlfn.XLOOKUP(Table1[[#This Row], [TEAM]],Sheet1!$A$12:$A$17,Sheet1!$I$12:$I$17)</f>
        <v>8236275.4749999996</v>
      </c>
      <c r="W339" s="9">
        <f>Table1[[#This Row], [LOOT]]-Table1[[#This Row], [TOTAL COST]]</f>
        <v>9910224.5250000004</v>
      </c>
      <c r="X339" s="9">
        <f>IF(Table1[[#This Row], [PASS/FAIL]]="FAIL",0,Table1[[#This Row], [PROFIT]])</f>
        <v>9910224.5250000004</v>
      </c>
    </row>
    <row r="340" spans="1:24" ht="19.5" customHeight="1" x14ac:dyDescent="0.45">
      <c r="A340" t="s">
        <v>9</v>
      </c>
      <c r="B340" s="14">
        <f>_xlfn.XLOOKUP(Table1[[#This Row], [TEAM]],Sheet1!$A$12:$A$17,Sheet1!$F$12:$F$17)</f>
        <v>3</v>
      </c>
      <c r="C340" s="14">
        <f>_xlfn.XLOOKUP(Table1[[#This Row], [TEAM]],Sheet1!$A$12:$A$17,Sheet1!$G$12:$G$17)</f>
        <v>6238750</v>
      </c>
      <c r="D340" t="s">
        <v>19</v>
      </c>
      <c r="E340" s="4">
        <f>_xlfn.XLOOKUP(Table1[[#This Row], [ROOM]],Sheet1!$A$47:$A$66,Sheet1!$B$47:$B$66)</f>
        <v>135</v>
      </c>
      <c r="F340" t="s">
        <v>62</v>
      </c>
      <c r="G340" s="4">
        <f>_xlfn.XLOOKUP(Table1[[#This Row], [DISGUISE]],Sheet1!$A$21:$A$23,Sheet1!$B$21:$B$23)*Table1[[#This Row], [NUM OF MEM]]*(1+_xlfn.XLOOKUP(Table1[[#This Row], [DISGUISE]],Sheet1!$A$21:$A$23,Sheet1!$C$21:$C$23))</f>
        <v>15600</v>
      </c>
      <c r="H340" s="13" t="s">
        <v>59</v>
      </c>
      <c r="I340" s="4">
        <f>_xlfn.XLOOKUP(Table1[[#This Row], [WEAPON]],Sheet1!$A$27:$A$29,Sheet1!$B$27:$B$29)*Table1[[#This Row], [NUM OF MEM]]*(1+_xlfn.XLOOKUP(Table1[[#This Row], [WEAPON]],Sheet1!$A$27:$A$29,Sheet1!$C$27:$C$29))</f>
        <v>136500</v>
      </c>
      <c r="J340" t="s">
        <v>60</v>
      </c>
      <c r="K340" s="9">
        <f>Table1[[#This Row], [NUM OF MEM]]*Table1[[#This Row], [TOTAL TIME TAKEN]]*_xlfn.XLOOKUP(Table1[[#This Row], [EXIT]],Sheet1!$A$70:$A$71,Sheet1!$B$70:$B$71)*(1+_xlfn.XLOOKUP(Table1[[#This Row], [EXIT]],Sheet1!$A$70:$A$71,Sheet1!$C$70:$C$71))</f>
        <v>1650238.1124999996</v>
      </c>
      <c r="L340" s="13" t="s">
        <v>61</v>
      </c>
      <c r="M340" s="4">
        <f>IF(Table1[[#This Row], [EQUIPMENT]]="YES",Sheet1!$C$44*(1+Sheet1!$D$44),0)</f>
        <v>0</v>
      </c>
      <c r="N340" s="4">
        <f>_xlfn.XLOOKUP(Table1[[#This Row], [ROOM]],Sheet1!$A$47:$A$66,Sheet1!$F$47:$F$66)</f>
        <v>17950000</v>
      </c>
      <c r="O340" s="9">
        <f>_xlfn.XLOOKUP(_xlfn.CONCAT(Table1[[#This Row], [TEAM]],Table1[[#This Row], [ROOM]]),'ROOM TIME'!$H$2:$H$121,'ROOM TIME'!$J$2:$J$121)</f>
        <v>38.649444444444434</v>
      </c>
      <c r="P340" s="9">
        <f>(INDEX(Sheet1!$X$48:$Z$67,MATCH(Table1[[#This Row], [ROOM]],Sheet1!$P$48:$P$67,0),MATCH(Table1[[#This Row], [WEAPON]],Sheet1!$X$47:$Z$47,0)))/Table1[[#This Row], [NUM OF MEM]]</f>
        <v>4.2166666666666659</v>
      </c>
      <c r="Q340" s="9">
        <f>Table1[[#This Row], [ROOM TIME]]+Table1[[#This Row], [GUARD TIME]]</f>
        <v>42.866111111111103</v>
      </c>
      <c r="R340" s="4">
        <f>Sheet1!$K$3*_xlfn.XLOOKUP(Table1[[#This Row], [DISGUISE]],Sheet1!$A$21:$A$23,Sheet1!$D$21:$D$23)</f>
        <v>66</v>
      </c>
      <c r="S340" s="9">
        <f>Table1[[#This Row], [TOTAL TIME]]-Table1[[#This Row], [TOTAL TIME TAKEN]]</f>
        <v>23.133888888888897</v>
      </c>
      <c r="T340" t="str">
        <f>IF(Table1[[#This Row], [TIME DIFFERENCE]]&gt;=0,"PASS","FAIL")</f>
        <v>PASS</v>
      </c>
      <c r="U340" s="9">
        <f>Table1[[#This Row], [TRC]]+Table1[[#This Row], [DRC]]+Table1[[#This Row], [WRC]]+Table1[[#This Row], [ERC]]+Table1[[#This Row], [EQRC]]</f>
        <v>8041088.1124999998</v>
      </c>
      <c r="V340" s="9">
        <f>Table1[[#This Row], [TOTAL COST]]+_xlfn.XLOOKUP(Table1[[#This Row], [TEAM]],Sheet1!$A$12:$A$17,Sheet1!$I$12:$I$17)</f>
        <v>8353025.6124999998</v>
      </c>
      <c r="W340" s="9">
        <f>Table1[[#This Row], [LOOT]]-Table1[[#This Row], [TOTAL COST]]</f>
        <v>9908911.8874999993</v>
      </c>
      <c r="X340" s="9">
        <f>IF(Table1[[#This Row], [PASS/FAIL]]="FAIL",0,Table1[[#This Row], [PROFIT]])</f>
        <v>9908911.8874999993</v>
      </c>
    </row>
    <row r="341" spans="1:24" ht="19.5" customHeight="1" x14ac:dyDescent="0.45">
      <c r="A341" t="s">
        <v>9</v>
      </c>
      <c r="B341" s="14">
        <f>_xlfn.XLOOKUP(Table1[[#This Row], [TEAM]],Sheet1!$A$12:$A$17,Sheet1!$F$12:$F$17)</f>
        <v>3</v>
      </c>
      <c r="C341" s="14">
        <f>_xlfn.XLOOKUP(Table1[[#This Row], [TEAM]],Sheet1!$A$12:$A$17,Sheet1!$G$12:$G$17)</f>
        <v>6238750</v>
      </c>
      <c r="D341" t="s">
        <v>19</v>
      </c>
      <c r="E341" s="4">
        <f>_xlfn.XLOOKUP(Table1[[#This Row], [ROOM]],Sheet1!$A$47:$A$66,Sheet1!$B$47:$B$66)</f>
        <v>135</v>
      </c>
      <c r="F341" t="s">
        <v>58</v>
      </c>
      <c r="G341" s="4">
        <f>_xlfn.XLOOKUP(Table1[[#This Row], [DISGUISE]],Sheet1!$A$21:$A$23,Sheet1!$B$21:$B$23)*Table1[[#This Row], [NUM OF MEM]]*(1+_xlfn.XLOOKUP(Table1[[#This Row], [DISGUISE]],Sheet1!$A$21:$A$23,Sheet1!$C$21:$C$23))</f>
        <v>38400</v>
      </c>
      <c r="H341" s="13" t="s">
        <v>63</v>
      </c>
      <c r="I341" s="4">
        <f>_xlfn.XLOOKUP(Table1[[#This Row], [WEAPON]],Sheet1!$A$27:$A$29,Sheet1!$B$27:$B$29)*Table1[[#This Row], [NUM OF MEM]]*(1+_xlfn.XLOOKUP(Table1[[#This Row], [WEAPON]],Sheet1!$A$27:$A$29,Sheet1!$C$27:$C$29))</f>
        <v>69000</v>
      </c>
      <c r="J341" t="s">
        <v>64</v>
      </c>
      <c r="K341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1695146.3999999997</v>
      </c>
      <c r="L341" s="13" t="s">
        <v>61</v>
      </c>
      <c r="M341" s="4">
        <f>IF(Table1[[#This Row], [EQUIPMENT]]="YES",Sheet1!$C$44*(1+Sheet1!$D$44),0)</f>
        <v>0</v>
      </c>
      <c r="N341" s="4">
        <f>_xlfn.XLOOKUP(Table1[[#This Row], [ROOM]],Sheet1!$A$47:$A$66,Sheet1!$F$47:$F$66)</f>
        <v>17950000</v>
      </c>
      <c r="O341" s="9">
        <f>_xlfn.XLOOKUP(_xlfn.CONCAT(Table1[[#This Row], [TEAM]],Table1[[#This Row], [ROOM]]),'ROOM TIME'!$H$2:$H$121,'ROOM TIME'!$J$2:$J$121)</f>
        <v>38.649444444444434</v>
      </c>
      <c r="P341" s="9">
        <f>(INDEX(Sheet1!$X$48:$Z$67,MATCH(Table1[[#This Row], [ROOM]],Sheet1!$P$48:$P$67,0),MATCH(Table1[[#This Row], [WEAPON]],Sheet1!$X$47:$Z$47,0)))/Table1[[#This Row], [NUM OF MEM]]</f>
        <v>4.95</v>
      </c>
      <c r="Q341" s="9">
        <f>Table1[[#This Row], [ROOM TIME]]+Table1[[#This Row], [GUARD TIME]]</f>
        <v>43.599444444444437</v>
      </c>
      <c r="R341" s="4">
        <f>Sheet1!$K$3*_xlfn.XLOOKUP(Table1[[#This Row], [DISGUISE]],Sheet1!$A$21:$A$23,Sheet1!$D$21:$D$23)</f>
        <v>69</v>
      </c>
      <c r="S341" s="9">
        <f>Table1[[#This Row], [TOTAL TIME]]-Table1[[#This Row], [TOTAL TIME TAKEN]]</f>
        <v>25.400555555555563</v>
      </c>
      <c r="T341" t="str">
        <f>IF(Table1[[#This Row], [TIME DIFFERENCE]]&gt;=0,"PASS","FAIL")</f>
        <v>PASS</v>
      </c>
      <c r="U341" s="9">
        <f>Table1[[#This Row], [TRC]]+Table1[[#This Row], [DRC]]+Table1[[#This Row], [WRC]]+Table1[[#This Row], [ERC]]+Table1[[#This Row], [EQRC]]</f>
        <v>8041296.3999999994</v>
      </c>
      <c r="V341" s="9">
        <f>Table1[[#This Row], [TOTAL COST]]+_xlfn.XLOOKUP(Table1[[#This Row], [TEAM]],Sheet1!$A$12:$A$17,Sheet1!$I$12:$I$17)</f>
        <v>8353233.8999999994</v>
      </c>
      <c r="W341" s="9">
        <f>Table1[[#This Row], [LOOT]]-Table1[[#This Row], [TOTAL COST]]</f>
        <v>9908703.6000000015</v>
      </c>
      <c r="X341" s="9">
        <f>IF(Table1[[#This Row], [PASS/FAIL]]="FAIL",0,Table1[[#This Row], [PROFIT]])</f>
        <v>9908703.6000000015</v>
      </c>
    </row>
    <row r="342" spans="1:24" ht="19.5" customHeight="1" x14ac:dyDescent="0.45">
      <c r="A342" t="s">
        <v>9</v>
      </c>
      <c r="B342" s="14">
        <f>_xlfn.XLOOKUP(Table1[[#This Row], [TEAM]],Sheet1!$A$12:$A$17,Sheet1!$F$12:$F$17)</f>
        <v>3</v>
      </c>
      <c r="C342" s="14">
        <f>_xlfn.XLOOKUP(Table1[[#This Row], [TEAM]],Sheet1!$A$12:$A$17,Sheet1!$G$12:$G$17)</f>
        <v>6238750</v>
      </c>
      <c r="D342" t="s">
        <v>26</v>
      </c>
      <c r="E342" s="4">
        <f>_xlfn.XLOOKUP(Table1[[#This Row], [ROOM]],Sheet1!$A$47:$A$66,Sheet1!$B$47:$B$66)</f>
        <v>136</v>
      </c>
      <c r="F342" t="s">
        <v>62</v>
      </c>
      <c r="G342" s="4">
        <f>_xlfn.XLOOKUP(Table1[[#This Row], [DISGUISE]],Sheet1!$A$21:$A$23,Sheet1!$B$21:$B$23)*Table1[[#This Row], [NUM OF MEM]]*(1+_xlfn.XLOOKUP(Table1[[#This Row], [DISGUISE]],Sheet1!$A$21:$A$23,Sheet1!$C$21:$C$23))</f>
        <v>15600</v>
      </c>
      <c r="H342" s="13" t="s">
        <v>63</v>
      </c>
      <c r="I342" s="4">
        <f>_xlfn.XLOOKUP(Table1[[#This Row], [WEAPON]],Sheet1!$A$27:$A$29,Sheet1!$B$27:$B$29)*Table1[[#This Row], [NUM OF MEM]]*(1+_xlfn.XLOOKUP(Table1[[#This Row], [WEAPON]],Sheet1!$A$27:$A$29,Sheet1!$C$27:$C$29))</f>
        <v>69000</v>
      </c>
      <c r="J342" t="s">
        <v>60</v>
      </c>
      <c r="K342" s="9">
        <f>Table1[[#This Row], [NUM OF MEM]]*Table1[[#This Row], [TOTAL TIME TAKEN]]*_xlfn.XLOOKUP(Table1[[#This Row], [EXIT]],Sheet1!$A$70:$A$71,Sheet1!$B$70:$B$71)*(1+_xlfn.XLOOKUP(Table1[[#This Row], [EXIT]],Sheet1!$A$70:$A$71,Sheet1!$C$70:$C$71))</f>
        <v>1610842.3374999997</v>
      </c>
      <c r="L342" s="13" t="s">
        <v>65</v>
      </c>
      <c r="M342" s="4">
        <f>IF(Table1[[#This Row], [EQUIPMENT]]="YES",Sheet1!$C$44*(1+Sheet1!$D$44),0)</f>
        <v>307500</v>
      </c>
      <c r="N342" s="4">
        <f>_xlfn.XLOOKUP(Table1[[#This Row], [ROOM]],Sheet1!$A$47:$A$66,Sheet1!$F$47:$F$66)</f>
        <v>18150000</v>
      </c>
      <c r="O342" s="9">
        <f>_xlfn.XLOOKUP(_xlfn.CONCAT(Table1[[#This Row], [TEAM]],Table1[[#This Row], [ROOM]]),'ROOM TIME'!$H$2:$H$121,'ROOM TIME'!$J$2:$J$121)</f>
        <v>36.442777777777771</v>
      </c>
      <c r="P342" s="9">
        <f>(INDEX(Sheet1!$X$48:$Z$67,MATCH(Table1[[#This Row], [ROOM]],Sheet1!$P$48:$P$67,0),MATCH(Table1[[#This Row], [WEAPON]],Sheet1!$X$47:$Z$47,0)))/Table1[[#This Row], [NUM OF MEM]]</f>
        <v>5.4000000000000012</v>
      </c>
      <c r="Q342" s="9">
        <f>Table1[[#This Row], [ROOM TIME]]+Table1[[#This Row], [GUARD TIME]]</f>
        <v>41.842777777777769</v>
      </c>
      <c r="R342" s="4">
        <f>Sheet1!$K$3*_xlfn.XLOOKUP(Table1[[#This Row], [DISGUISE]],Sheet1!$A$21:$A$23,Sheet1!$D$21:$D$23)</f>
        <v>66</v>
      </c>
      <c r="S342" s="9">
        <f>Table1[[#This Row], [TOTAL TIME]]-Table1[[#This Row], [TOTAL TIME TAKEN]]</f>
        <v>24.157222222222231</v>
      </c>
      <c r="T342" t="str">
        <f>IF(Table1[[#This Row], [TIME DIFFERENCE]]&gt;=0,"PASS","FAIL")</f>
        <v>PASS</v>
      </c>
      <c r="U342" s="9">
        <f>Table1[[#This Row], [TRC]]+Table1[[#This Row], [DRC]]+Table1[[#This Row], [WRC]]+Table1[[#This Row], [ERC]]+Table1[[#This Row], [EQRC]]</f>
        <v>8241692.3374999994</v>
      </c>
      <c r="V342" s="9">
        <f>Table1[[#This Row], [TOTAL COST]]+_xlfn.XLOOKUP(Table1[[#This Row], [TEAM]],Sheet1!$A$12:$A$17,Sheet1!$I$12:$I$17)</f>
        <v>8553629.8374999985</v>
      </c>
      <c r="W342" s="9">
        <f>Table1[[#This Row], [LOOT]]-Table1[[#This Row], [TOTAL COST]]</f>
        <v>9908307.6625000015</v>
      </c>
      <c r="X342" s="9">
        <f>IF(Table1[[#This Row], [PASS/FAIL]]="FAIL",0,Table1[[#This Row], [PROFIT]])</f>
        <v>9908307.6625000015</v>
      </c>
    </row>
    <row r="343" spans="1:24" ht="19.5" customHeight="1" x14ac:dyDescent="0.45">
      <c r="A343" t="s">
        <v>13</v>
      </c>
      <c r="B343" s="14">
        <f>_xlfn.XLOOKUP(Table1[[#This Row], [TEAM]],Sheet1!$A$12:$A$17,Sheet1!$F$12:$F$17)</f>
        <v>3</v>
      </c>
      <c r="C343" s="14">
        <f>_xlfn.XLOOKUP(Table1[[#This Row], [TEAM]],Sheet1!$A$12:$A$17,Sheet1!$G$12:$G$17)</f>
        <v>5930000</v>
      </c>
      <c r="D343" t="s">
        <v>21</v>
      </c>
      <c r="E343" s="4">
        <f>_xlfn.XLOOKUP(Table1[[#This Row], [ROOM]],Sheet1!$A$47:$A$66,Sheet1!$B$47:$B$66)</f>
        <v>234</v>
      </c>
      <c r="F343" t="s">
        <v>58</v>
      </c>
      <c r="G343" s="4">
        <f>_xlfn.XLOOKUP(Table1[[#This Row], [DISGUISE]],Sheet1!$A$21:$A$23,Sheet1!$B$21:$B$23)*Table1[[#This Row], [NUM OF MEM]]*(1+_xlfn.XLOOKUP(Table1[[#This Row], [DISGUISE]],Sheet1!$A$21:$A$23,Sheet1!$C$21:$C$23))</f>
        <v>38400</v>
      </c>
      <c r="H343" s="13" t="s">
        <v>59</v>
      </c>
      <c r="I343" s="4">
        <f>_xlfn.XLOOKUP(Table1[[#This Row], [WEAPON]],Sheet1!$A$27:$A$29,Sheet1!$B$27:$B$29)*Table1[[#This Row], [NUM OF MEM]]*(1+_xlfn.XLOOKUP(Table1[[#This Row], [WEAPON]],Sheet1!$A$27:$A$29,Sheet1!$C$27:$C$29))</f>
        <v>136500</v>
      </c>
      <c r="J343" t="s">
        <v>64</v>
      </c>
      <c r="K343" s="9">
        <f>Table1[[#This Row], [NUM OF MEM]]*Table1[[#This Row], [TOTAL TIME TAKEN]]*_xlfn.XLOOKUP(Table1[[#This Row], [EXIT]],Sheet1!$A$70:$A$71,Sheet1!$B$70:$B$71)*(1+_xlfn.XLOOKUP(Table1[[#This Row], [EXIT]],Sheet1!$A$70:$A$71,Sheet1!$C$70:$C$71))</f>
        <v>1887580.7999999998</v>
      </c>
      <c r="L343" s="13" t="s">
        <v>61</v>
      </c>
      <c r="M343" s="4">
        <f>IF(Table1[[#This Row], [EQUIPMENT]]="YES",Sheet1!$C$44*(1+Sheet1!$D$44),0)</f>
        <v>0</v>
      </c>
      <c r="N343" s="4">
        <f>_xlfn.XLOOKUP(Table1[[#This Row], [ROOM]],Sheet1!$A$47:$A$66,Sheet1!$F$47:$F$66)</f>
        <v>17900000</v>
      </c>
      <c r="O343" s="9">
        <f>_xlfn.XLOOKUP(_xlfn.CONCAT(Table1[[#This Row], [TEAM]],Table1[[#This Row], [ROOM]]),'ROOM TIME'!$H$2:$H$121,'ROOM TIME'!$J$2:$J$121)</f>
        <v>43.565555555555555</v>
      </c>
      <c r="P343" s="9">
        <f>(INDEX(Sheet1!$X$48:$Z$67,MATCH(Table1[[#This Row], [ROOM]],Sheet1!$P$48:$P$67,0),MATCH(Table1[[#This Row], [WEAPON]],Sheet1!$X$47:$Z$47,0)))/Table1[[#This Row], [NUM OF MEM]]</f>
        <v>4.9833333333333334</v>
      </c>
      <c r="Q343" s="9">
        <f>Table1[[#This Row], [ROOM TIME]]+Table1[[#This Row], [GUARD TIME]]</f>
        <v>48.548888888888889</v>
      </c>
      <c r="R343" s="4">
        <f>Sheet1!$K$3*_xlfn.XLOOKUP(Table1[[#This Row], [DISGUISE]],Sheet1!$A$21:$A$23,Sheet1!$D$21:$D$23)</f>
        <v>69</v>
      </c>
      <c r="S343" s="9">
        <f>Table1[[#This Row], [TOTAL TIME]]-Table1[[#This Row], [TOTAL TIME TAKEN]]</f>
        <v>20.451111111111111</v>
      </c>
      <c r="T343" t="str">
        <f>IF(Table1[[#This Row], [TIME DIFFERENCE]]&gt;=0,"PASS","FAIL")</f>
        <v>PASS</v>
      </c>
      <c r="U343" s="9">
        <f>Table1[[#This Row], [TRC]]+Table1[[#This Row], [DRC]]+Table1[[#This Row], [WRC]]+Table1[[#This Row], [ERC]]+Table1[[#This Row], [EQRC]]</f>
        <v>7992480.7999999998</v>
      </c>
      <c r="V343" s="9">
        <f>Table1[[#This Row], [TOTAL COST]]+_xlfn.XLOOKUP(Table1[[#This Row], [TEAM]],Sheet1!$A$12:$A$17,Sheet1!$I$12:$I$17)</f>
        <v>8288980.7999999998</v>
      </c>
      <c r="W343" s="9">
        <f>Table1[[#This Row], [LOOT]]-Table1[[#This Row], [TOTAL COST]]</f>
        <v>9907519.1999999993</v>
      </c>
      <c r="X343" s="9">
        <f>IF(Table1[[#This Row], [PASS/FAIL]]="FAIL",0,Table1[[#This Row], [PROFIT]])</f>
        <v>9907519.1999999993</v>
      </c>
    </row>
    <row r="344" spans="1:24" ht="19.5" customHeight="1" x14ac:dyDescent="0.45">
      <c r="A344" t="s">
        <v>9</v>
      </c>
      <c r="B344" s="14">
        <f>_xlfn.XLOOKUP(Table1[[#This Row], [TEAM]],Sheet1!$A$12:$A$17,Sheet1!$F$12:$F$17)</f>
        <v>3</v>
      </c>
      <c r="C344" s="14">
        <f>_xlfn.XLOOKUP(Table1[[#This Row], [TEAM]],Sheet1!$A$12:$A$17,Sheet1!$G$12:$G$17)</f>
        <v>6238750</v>
      </c>
      <c r="D344" t="s">
        <v>19</v>
      </c>
      <c r="E344" s="4">
        <f>_xlfn.XLOOKUP(Table1[[#This Row], [ROOM]],Sheet1!$A$47:$A$66,Sheet1!$B$47:$B$66)</f>
        <v>135</v>
      </c>
      <c r="F344" t="s">
        <v>62</v>
      </c>
      <c r="G344" s="4">
        <f>_xlfn.XLOOKUP(Table1[[#This Row], [DISGUISE]],Sheet1!$A$21:$A$23,Sheet1!$B$21:$B$23)*Table1[[#This Row], [NUM OF MEM]]*(1+_xlfn.XLOOKUP(Table1[[#This Row], [DISGUISE]],Sheet1!$A$21:$A$23,Sheet1!$C$21:$C$23))</f>
        <v>15600</v>
      </c>
      <c r="H344" s="13" t="s">
        <v>66</v>
      </c>
      <c r="I344" s="4">
        <f>_xlfn.XLOOKUP(Table1[[#This Row], [WEAPON]],Sheet1!$A$27:$A$29,Sheet1!$B$27:$B$29)*Table1[[#This Row], [NUM OF MEM]]*(1+_xlfn.XLOOKUP(Table1[[#This Row], [WEAPON]],Sheet1!$A$27:$A$29,Sheet1!$C$27:$C$29))</f>
        <v>108000</v>
      </c>
      <c r="J344" t="s">
        <v>64</v>
      </c>
      <c r="K344" s="9">
        <f>Table1[[#This Row], [NUM OF MEM]]*Table1[[#This Row], [TOTAL TIME TAKEN]]*_xlfn.XLOOKUP(Table1[[#This Row], [EXIT]],Sheet1!$A$70:$A$71,Sheet1!$B$70:$B$71)*(1+_xlfn.XLOOKUP(Table1[[#This Row], [EXIT]],Sheet1!$A$70:$A$71,Sheet1!$C$70:$C$71))</f>
        <v>1680890.4</v>
      </c>
      <c r="L344" s="13" t="s">
        <v>61</v>
      </c>
      <c r="M344" s="4">
        <f>IF(Table1[[#This Row], [EQUIPMENT]]="YES",Sheet1!$C$44*(1+Sheet1!$D$44),0)</f>
        <v>0</v>
      </c>
      <c r="N344" s="4">
        <f>_xlfn.XLOOKUP(Table1[[#This Row], [ROOM]],Sheet1!$A$47:$A$66,Sheet1!$F$47:$F$66)</f>
        <v>17950000</v>
      </c>
      <c r="O344" s="9">
        <f>_xlfn.XLOOKUP(_xlfn.CONCAT(Table1[[#This Row], [TEAM]],Table1[[#This Row], [ROOM]]),'ROOM TIME'!$H$2:$H$121,'ROOM TIME'!$J$2:$J$121)</f>
        <v>38.649444444444434</v>
      </c>
      <c r="P344" s="9">
        <f>(INDEX(Sheet1!$X$48:$Z$67,MATCH(Table1[[#This Row], [ROOM]],Sheet1!$P$48:$P$67,0),MATCH(Table1[[#This Row], [WEAPON]],Sheet1!$X$47:$Z$47,0)))/Table1[[#This Row], [NUM OF MEM]]</f>
        <v>4.583333333333333</v>
      </c>
      <c r="Q344" s="9">
        <f>Table1[[#This Row], [ROOM TIME]]+Table1[[#This Row], [GUARD TIME]]</f>
        <v>43.23277777777777</v>
      </c>
      <c r="R344" s="4">
        <f>Sheet1!$K$3*_xlfn.XLOOKUP(Table1[[#This Row], [DISGUISE]],Sheet1!$A$21:$A$23,Sheet1!$D$21:$D$23)</f>
        <v>66</v>
      </c>
      <c r="S344" s="9">
        <f>Table1[[#This Row], [TOTAL TIME]]-Table1[[#This Row], [TOTAL TIME TAKEN]]</f>
        <v>22.76722222222223</v>
      </c>
      <c r="T344" t="str">
        <f>IF(Table1[[#This Row], [TIME DIFFERENCE]]&gt;=0,"PASS","FAIL")</f>
        <v>PASS</v>
      </c>
      <c r="U344" s="9">
        <f>Table1[[#This Row], [TRC]]+Table1[[#This Row], [DRC]]+Table1[[#This Row], [WRC]]+Table1[[#This Row], [ERC]]+Table1[[#This Row], [EQRC]]</f>
        <v>8043240.4000000004</v>
      </c>
      <c r="V344" s="9">
        <f>Table1[[#This Row], [TOTAL COST]]+_xlfn.XLOOKUP(Table1[[#This Row], [TEAM]],Sheet1!$A$12:$A$17,Sheet1!$I$12:$I$17)</f>
        <v>8355177.9000000004</v>
      </c>
      <c r="W344" s="9">
        <f>Table1[[#This Row], [LOOT]]-Table1[[#This Row], [TOTAL COST]]</f>
        <v>9906759.5999999996</v>
      </c>
      <c r="X344" s="9">
        <f>IF(Table1[[#This Row], [PASS/FAIL]]="FAIL",0,Table1[[#This Row], [PROFIT]])</f>
        <v>9906759.5999999996</v>
      </c>
    </row>
    <row r="345" spans="1:24" ht="19.5" customHeight="1" x14ac:dyDescent="0.45">
      <c r="A345" t="s">
        <v>12</v>
      </c>
      <c r="B345" s="14">
        <f>_xlfn.XLOOKUP(Table1[[#This Row], [TEAM]],Sheet1!$A$12:$A$17,Sheet1!$F$12:$F$17)</f>
        <v>3</v>
      </c>
      <c r="C345" s="14">
        <f>_xlfn.XLOOKUP(Table1[[#This Row], [TEAM]],Sheet1!$A$12:$A$17,Sheet1!$G$12:$G$17)</f>
        <v>5988750</v>
      </c>
      <c r="D345" t="s">
        <v>10</v>
      </c>
      <c r="E345" s="4">
        <f>_xlfn.XLOOKUP(Table1[[#This Row], [ROOM]],Sheet1!$A$47:$A$66,Sheet1!$B$47:$B$66)</f>
        <v>123</v>
      </c>
      <c r="F345" t="s">
        <v>58</v>
      </c>
      <c r="G345" s="4">
        <f>_xlfn.XLOOKUP(Table1[[#This Row], [DISGUISE]],Sheet1!$A$21:$A$23,Sheet1!$B$21:$B$23)*Table1[[#This Row], [NUM OF MEM]]*(1+_xlfn.XLOOKUP(Table1[[#This Row], [DISGUISE]],Sheet1!$A$21:$A$23,Sheet1!$C$21:$C$23))</f>
        <v>38400</v>
      </c>
      <c r="H345" s="13" t="s">
        <v>66</v>
      </c>
      <c r="I345" s="4">
        <f>_xlfn.XLOOKUP(Table1[[#This Row], [WEAPON]],Sheet1!$A$27:$A$29,Sheet1!$B$27:$B$29)*Table1[[#This Row], [NUM OF MEM]]*(1+_xlfn.XLOOKUP(Table1[[#This Row], [WEAPON]],Sheet1!$A$27:$A$29,Sheet1!$C$27:$C$29))</f>
        <v>108000</v>
      </c>
      <c r="J345" t="s">
        <v>60</v>
      </c>
      <c r="K345" s="9">
        <f>Table1[[#This Row], [NUM OF MEM]]*Table1[[#This Row], [TOTAL TIME TAKEN]]*_xlfn.XLOOKUP(Table1[[#This Row], [EXIT]],Sheet1!$A$70:$A$71,Sheet1!$B$70:$B$71)*(1+_xlfn.XLOOKUP(Table1[[#This Row], [EXIT]],Sheet1!$A$70:$A$71,Sheet1!$C$70:$C$71))</f>
        <v>1808142.0249999992</v>
      </c>
      <c r="L345" s="13" t="s">
        <v>61</v>
      </c>
      <c r="M345" s="4">
        <f>IF(Table1[[#This Row], [EQUIPMENT]]="YES",Sheet1!$C$44*(1+Sheet1!$D$44),0)</f>
        <v>0</v>
      </c>
      <c r="N345" s="4">
        <f>_xlfn.XLOOKUP(Table1[[#This Row], [ROOM]],Sheet1!$A$47:$A$66,Sheet1!$F$47:$F$66)</f>
        <v>17850000</v>
      </c>
      <c r="O345" s="9">
        <f>_xlfn.XLOOKUP(_xlfn.CONCAT(Table1[[#This Row], [TEAM]],Table1[[#This Row], [ROOM]]),'ROOM TIME'!$H$2:$H$121,'ROOM TIME'!$J$2:$J$121)</f>
        <v>41.967777777777762</v>
      </c>
      <c r="P345" s="4">
        <f>(INDEX(Sheet1!$X$48:$Z$67,MATCH(Table1[[#This Row], [ROOM]],Sheet1!$P$48:$P$67,0),MATCH(Table1[[#This Row], [WEAPON]],Sheet1!$X$47:$Z$47,0)))/Table1[[#This Row], [NUM OF MEM]]</f>
        <v>5</v>
      </c>
      <c r="Q345" s="9">
        <f>Table1[[#This Row], [ROOM TIME]]+Table1[[#This Row], [GUARD TIME]]</f>
        <v>46.967777777777762</v>
      </c>
      <c r="R345" s="4">
        <f>Sheet1!$K$3*_xlfn.XLOOKUP(Table1[[#This Row], [DISGUISE]],Sheet1!$A$21:$A$23,Sheet1!$D$21:$D$23)</f>
        <v>69</v>
      </c>
      <c r="S345" s="9">
        <f>Table1[[#This Row], [TOTAL TIME]]-Table1[[#This Row], [TOTAL TIME TAKEN]]</f>
        <v>22.032222222222238</v>
      </c>
      <c r="T345" t="str">
        <f>IF(Table1[[#This Row], [TIME DIFFERENCE]]&gt;=0,"PASS","FAIL")</f>
        <v>PASS</v>
      </c>
      <c r="U345" s="9">
        <f>Table1[[#This Row], [TRC]]+Table1[[#This Row], [DRC]]+Table1[[#This Row], [WRC]]+Table1[[#This Row], [ERC]]+Table1[[#This Row], [EQRC]]</f>
        <v>7943292.0249999994</v>
      </c>
      <c r="V345" s="9">
        <f>Table1[[#This Row], [TOTAL COST]]+_xlfn.XLOOKUP(Table1[[#This Row], [TEAM]],Sheet1!$A$12:$A$17,Sheet1!$I$12:$I$17)</f>
        <v>8242729.5249999994</v>
      </c>
      <c r="W345" s="9">
        <f>Table1[[#This Row], [LOOT]]-Table1[[#This Row], [TOTAL COST]]</f>
        <v>9906707.9750000015</v>
      </c>
      <c r="X345" s="9">
        <f>IF(Table1[[#This Row], [PASS/FAIL]]="FAIL",0,Table1[[#This Row], [PROFIT]])</f>
        <v>9906707.9750000015</v>
      </c>
    </row>
    <row r="346" spans="1:24" ht="19.5" customHeight="1" x14ac:dyDescent="0.45">
      <c r="A346" t="s">
        <v>13</v>
      </c>
      <c r="B346" s="14">
        <f>_xlfn.XLOOKUP(Table1[[#This Row], [TEAM]],Sheet1!$A$12:$A$17,Sheet1!$F$12:$F$17)</f>
        <v>3</v>
      </c>
      <c r="C346" s="14">
        <f>_xlfn.XLOOKUP(Table1[[#This Row], [TEAM]],Sheet1!$A$12:$A$17,Sheet1!$G$12:$G$17)</f>
        <v>5930000</v>
      </c>
      <c r="D346" t="s">
        <v>10</v>
      </c>
      <c r="E346" s="4">
        <f>_xlfn.XLOOKUP(Table1[[#This Row], [ROOM]],Sheet1!$A$47:$A$66,Sheet1!$B$47:$B$66)</f>
        <v>123</v>
      </c>
      <c r="F346" t="s">
        <v>58</v>
      </c>
      <c r="G346" s="4">
        <f>_xlfn.XLOOKUP(Table1[[#This Row], [DISGUISE]],Sheet1!$A$21:$A$23,Sheet1!$B$21:$B$23)*Table1[[#This Row], [NUM OF MEM]]*(1+_xlfn.XLOOKUP(Table1[[#This Row], [DISGUISE]],Sheet1!$A$21:$A$23,Sheet1!$C$21:$C$23))</f>
        <v>38400</v>
      </c>
      <c r="H346" s="13" t="s">
        <v>63</v>
      </c>
      <c r="I346" s="4">
        <f>_xlfn.XLOOKUP(Table1[[#This Row], [WEAPON]],Sheet1!$A$27:$A$29,Sheet1!$B$27:$B$29)*Table1[[#This Row], [NUM OF MEM]]*(1+_xlfn.XLOOKUP(Table1[[#This Row], [WEAPON]],Sheet1!$A$27:$A$29,Sheet1!$C$27:$C$29))</f>
        <v>69000</v>
      </c>
      <c r="J346" t="s">
        <v>64</v>
      </c>
      <c r="K346" s="9">
        <f>Table1[[#This Row], [NUM OF MEM]]*Table1[[#This Row], [TOTAL TIME TAKEN]]*_xlfn.XLOOKUP(Table1[[#This Row], [EXIT]],Sheet1!$A$70:$A$71,Sheet1!$B$70:$B$71)*(1+_xlfn.XLOOKUP(Table1[[#This Row], [EXIT]],Sheet1!$A$70:$A$71,Sheet1!$C$70:$C$71))</f>
        <v>1907236.7999999993</v>
      </c>
      <c r="L346" s="13" t="s">
        <v>61</v>
      </c>
      <c r="M346" s="4">
        <f>IF(Table1[[#This Row], [EQUIPMENT]]="YES",Sheet1!$C$44*(1+Sheet1!$D$44),0)</f>
        <v>0</v>
      </c>
      <c r="N346" s="4">
        <f>_xlfn.XLOOKUP(Table1[[#This Row], [ROOM]],Sheet1!$A$47:$A$66,Sheet1!$F$47:$F$66)</f>
        <v>17850000</v>
      </c>
      <c r="O346" s="9">
        <f>_xlfn.XLOOKUP(_xlfn.CONCAT(Table1[[#This Row], [TEAM]],Table1[[#This Row], [ROOM]]),'ROOM TIME'!$H$2:$H$121,'ROOM TIME'!$J$2:$J$121)</f>
        <v>43.654444444444437</v>
      </c>
      <c r="P346" s="9">
        <f>(INDEX(Sheet1!$X$48:$Z$67,MATCH(Table1[[#This Row], [ROOM]],Sheet1!$P$48:$P$67,0),MATCH(Table1[[#This Row], [WEAPON]],Sheet1!$X$47:$Z$47,0)))/Table1[[#This Row], [NUM OF MEM]]</f>
        <v>5.4000000000000012</v>
      </c>
      <c r="Q346" s="9">
        <f>Table1[[#This Row], [ROOM TIME]]+Table1[[#This Row], [GUARD TIME]]</f>
        <v>49.054444444444435</v>
      </c>
      <c r="R346" s="4">
        <f>Sheet1!$K$3*_xlfn.XLOOKUP(Table1[[#This Row], [DISGUISE]],Sheet1!$A$21:$A$23,Sheet1!$D$21:$D$23)</f>
        <v>69</v>
      </c>
      <c r="S346" s="9">
        <f>Table1[[#This Row], [TOTAL TIME]]-Table1[[#This Row], [TOTAL TIME TAKEN]]</f>
        <v>19.945555555555565</v>
      </c>
      <c r="T346" t="str">
        <f>IF(Table1[[#This Row], [TIME DIFFERENCE]]&gt;=0,"PASS","FAIL")</f>
        <v>PASS</v>
      </c>
      <c r="U346" s="9">
        <f>Table1[[#This Row], [TRC]]+Table1[[#This Row], [DRC]]+Table1[[#This Row], [WRC]]+Table1[[#This Row], [ERC]]+Table1[[#This Row], [EQRC]]</f>
        <v>7944636.7999999989</v>
      </c>
      <c r="V346" s="9">
        <f>Table1[[#This Row], [TOTAL COST]]+_xlfn.XLOOKUP(Table1[[#This Row], [TEAM]],Sheet1!$A$12:$A$17,Sheet1!$I$12:$I$17)</f>
        <v>8241136.7999999989</v>
      </c>
      <c r="W346" s="9">
        <f>Table1[[#This Row], [LOOT]]-Table1[[#This Row], [TOTAL COST]]</f>
        <v>9905363.2000000011</v>
      </c>
      <c r="X346" s="9">
        <f>IF(Table1[[#This Row], [PASS/FAIL]]="FAIL",0,Table1[[#This Row], [PROFIT]])</f>
        <v>9905363.2000000011</v>
      </c>
    </row>
    <row r="347" spans="1:24" ht="19.5" customHeight="1" x14ac:dyDescent="0.45">
      <c r="A347" t="s">
        <v>13</v>
      </c>
      <c r="B347" s="14">
        <f>_xlfn.XLOOKUP(Table1[[#This Row], [TEAM]],Sheet1!$A$12:$A$17,Sheet1!$F$12:$F$17)</f>
        <v>3</v>
      </c>
      <c r="C347" s="14">
        <f>_xlfn.XLOOKUP(Table1[[#This Row], [TEAM]],Sheet1!$A$12:$A$17,Sheet1!$G$12:$G$17)</f>
        <v>5930000</v>
      </c>
      <c r="D347" t="s">
        <v>10</v>
      </c>
      <c r="E347" s="4">
        <f>_xlfn.XLOOKUP(Table1[[#This Row], [ROOM]],Sheet1!$A$47:$A$66,Sheet1!$B$47:$B$66)</f>
        <v>123</v>
      </c>
      <c r="F347" t="s">
        <v>62</v>
      </c>
      <c r="G347" s="4">
        <f>_xlfn.XLOOKUP(Table1[[#This Row], [DISGUISE]],Sheet1!$A$21:$A$23,Sheet1!$B$21:$B$23)*Table1[[#This Row], [NUM OF MEM]]*(1+_xlfn.XLOOKUP(Table1[[#This Row], [DISGUISE]],Sheet1!$A$21:$A$23,Sheet1!$C$21:$C$23))</f>
        <v>15600</v>
      </c>
      <c r="H347" s="13" t="s">
        <v>66</v>
      </c>
      <c r="I347" s="4">
        <f>_xlfn.XLOOKUP(Table1[[#This Row], [WEAPON]],Sheet1!$A$27:$A$29,Sheet1!$B$27:$B$29)*Table1[[#This Row], [NUM OF MEM]]*(1+_xlfn.XLOOKUP(Table1[[#This Row], [WEAPON]],Sheet1!$A$27:$A$29,Sheet1!$C$27:$C$29))</f>
        <v>108000</v>
      </c>
      <c r="J347" t="s">
        <v>64</v>
      </c>
      <c r="K347" s="9">
        <f>Table1[[#This Row], [NUM OF MEM]]*Table1[[#This Row], [TOTAL TIME TAKEN]]*_xlfn.XLOOKUP(Table1[[#This Row], [EXIT]],Sheet1!$A$70:$A$71,Sheet1!$B$70:$B$71)*(1+_xlfn.XLOOKUP(Table1[[#This Row], [EXIT]],Sheet1!$A$70:$A$71,Sheet1!$C$70:$C$71))</f>
        <v>1891684.7999999996</v>
      </c>
      <c r="L347" s="13" t="s">
        <v>61</v>
      </c>
      <c r="M347" s="4">
        <f>IF(Table1[[#This Row], [EQUIPMENT]]="YES",Sheet1!$C$44*(1+Sheet1!$D$44),0)</f>
        <v>0</v>
      </c>
      <c r="N347" s="4">
        <f>_xlfn.XLOOKUP(Table1[[#This Row], [ROOM]],Sheet1!$A$47:$A$66,Sheet1!$F$47:$F$66)</f>
        <v>17850000</v>
      </c>
      <c r="O347" s="9">
        <f>_xlfn.XLOOKUP(_xlfn.CONCAT(Table1[[#This Row], [TEAM]],Table1[[#This Row], [ROOM]]),'ROOM TIME'!$H$2:$H$121,'ROOM TIME'!$J$2:$J$121)</f>
        <v>43.654444444444437</v>
      </c>
      <c r="P347" s="4">
        <f>(INDEX(Sheet1!$X$48:$Z$67,MATCH(Table1[[#This Row], [ROOM]],Sheet1!$P$48:$P$67,0),MATCH(Table1[[#This Row], [WEAPON]],Sheet1!$X$47:$Z$47,0)))/Table1[[#This Row], [NUM OF MEM]]</f>
        <v>5</v>
      </c>
      <c r="Q347" s="9">
        <f>Table1[[#This Row], [ROOM TIME]]+Table1[[#This Row], [GUARD TIME]]</f>
        <v>48.654444444444437</v>
      </c>
      <c r="R347" s="4">
        <f>Sheet1!$K$3*_xlfn.XLOOKUP(Table1[[#This Row], [DISGUISE]],Sheet1!$A$21:$A$23,Sheet1!$D$21:$D$23)</f>
        <v>66</v>
      </c>
      <c r="S347" s="9">
        <f>Table1[[#This Row], [TOTAL TIME]]-Table1[[#This Row], [TOTAL TIME TAKEN]]</f>
        <v>17.345555555555563</v>
      </c>
      <c r="T347" t="str">
        <f>IF(Table1[[#This Row], [TIME DIFFERENCE]]&gt;=0,"PASS","FAIL")</f>
        <v>PASS</v>
      </c>
      <c r="U347" s="9">
        <f>Table1[[#This Row], [TRC]]+Table1[[#This Row], [DRC]]+Table1[[#This Row], [WRC]]+Table1[[#This Row], [ERC]]+Table1[[#This Row], [EQRC]]</f>
        <v>7945284.7999999998</v>
      </c>
      <c r="V347" s="9">
        <f>Table1[[#This Row], [TOTAL COST]]+_xlfn.XLOOKUP(Table1[[#This Row], [TEAM]],Sheet1!$A$12:$A$17,Sheet1!$I$12:$I$17)</f>
        <v>8241784.7999999998</v>
      </c>
      <c r="W347" s="9">
        <f>Table1[[#This Row], [LOOT]]-Table1[[#This Row], [TOTAL COST]]</f>
        <v>9904715.1999999993</v>
      </c>
      <c r="X347" s="9">
        <f>IF(Table1[[#This Row], [PASS/FAIL]]="FAIL",0,Table1[[#This Row], [PROFIT]])</f>
        <v>9904715.1999999993</v>
      </c>
    </row>
    <row r="348" spans="1:24" ht="19.5" customHeight="1" x14ac:dyDescent="0.45">
      <c r="A348" t="s">
        <v>9</v>
      </c>
      <c r="B348" s="14">
        <f>_xlfn.XLOOKUP(Table1[[#This Row], [TEAM]],Sheet1!$A$12:$A$17,Sheet1!$F$12:$F$17)</f>
        <v>3</v>
      </c>
      <c r="C348" s="14">
        <f>_xlfn.XLOOKUP(Table1[[#This Row], [TEAM]],Sheet1!$A$12:$A$17,Sheet1!$G$12:$G$17)</f>
        <v>6238750</v>
      </c>
      <c r="D348" t="s">
        <v>32</v>
      </c>
      <c r="E348" s="4">
        <f>_xlfn.XLOOKUP(Table1[[#This Row], [ROOM]],Sheet1!$A$47:$A$66,Sheet1!$B$47:$B$66)</f>
        <v>346</v>
      </c>
      <c r="F348" t="s">
        <v>62</v>
      </c>
      <c r="G348" s="4">
        <f>_xlfn.XLOOKUP(Table1[[#This Row], [DISGUISE]],Sheet1!$A$21:$A$23,Sheet1!$B$21:$B$23)*Table1[[#This Row], [NUM OF MEM]]*(1+_xlfn.XLOOKUP(Table1[[#This Row], [DISGUISE]],Sheet1!$A$21:$A$23,Sheet1!$C$21:$C$23))</f>
        <v>15600</v>
      </c>
      <c r="H348" s="13" t="s">
        <v>59</v>
      </c>
      <c r="I348" s="4">
        <f>_xlfn.XLOOKUP(Table1[[#This Row], [WEAPON]],Sheet1!$A$27:$A$29,Sheet1!$B$27:$B$29)*Table1[[#This Row], [NUM OF MEM]]*(1+_xlfn.XLOOKUP(Table1[[#This Row], [WEAPON]],Sheet1!$A$27:$A$29,Sheet1!$C$27:$C$29))</f>
        <v>136500</v>
      </c>
      <c r="J348" t="s">
        <v>60</v>
      </c>
      <c r="K348" s="9">
        <f>Table1[[#This Row], [NUM OF MEM]]*Table1[[#This Row], [TOTAL TIME TAKEN]]*_xlfn.XLOOKUP(Table1[[#This Row], [EXIT]],Sheet1!$A$70:$A$71,Sheet1!$B$70:$B$71)*(1+_xlfn.XLOOKUP(Table1[[#This Row], [EXIT]],Sheet1!$A$70:$A$71,Sheet1!$C$70:$C$71))</f>
        <v>1597218.4999999995</v>
      </c>
      <c r="L348" s="13" t="s">
        <v>65</v>
      </c>
      <c r="M348" s="4">
        <f>IF(Table1[[#This Row], [EQUIPMENT]]="YES",Sheet1!$C$44*(1+Sheet1!$D$44),0)</f>
        <v>307500</v>
      </c>
      <c r="N348" s="4">
        <f>_xlfn.XLOOKUP(Table1[[#This Row], [ROOM]],Sheet1!$A$47:$A$66,Sheet1!$F$47:$F$66)</f>
        <v>18200000</v>
      </c>
      <c r="O348" s="9">
        <f>_xlfn.XLOOKUP(_xlfn.CONCAT(Table1[[#This Row], [TEAM]],Table1[[#This Row], [ROOM]]),'ROOM TIME'!$H$2:$H$121,'ROOM TIME'!$J$2:$J$121)</f>
        <v>36.505555555555546</v>
      </c>
      <c r="P348" s="9">
        <f>(INDEX(Sheet1!$X$48:$Z$67,MATCH(Table1[[#This Row], [ROOM]],Sheet1!$P$48:$P$67,0),MATCH(Table1[[#This Row], [WEAPON]],Sheet1!$X$47:$Z$47,0)))/Table1[[#This Row], [NUM OF MEM]]</f>
        <v>4.9833333333333334</v>
      </c>
      <c r="Q348" s="9">
        <f>Table1[[#This Row], [ROOM TIME]]+Table1[[#This Row], [GUARD TIME]]</f>
        <v>41.48888888888888</v>
      </c>
      <c r="R348" s="4">
        <f>Sheet1!$K$3*_xlfn.XLOOKUP(Table1[[#This Row], [DISGUISE]],Sheet1!$A$21:$A$23,Sheet1!$D$21:$D$23)</f>
        <v>66</v>
      </c>
      <c r="S348" s="9">
        <f>Table1[[#This Row], [TOTAL TIME]]-Table1[[#This Row], [TOTAL TIME TAKEN]]</f>
        <v>24.51111111111112</v>
      </c>
      <c r="T348" t="str">
        <f>IF(Table1[[#This Row], [TIME DIFFERENCE]]&gt;=0,"PASS","FAIL")</f>
        <v>PASS</v>
      </c>
      <c r="U348" s="9">
        <f>Table1[[#This Row], [TRC]]+Table1[[#This Row], [DRC]]+Table1[[#This Row], [WRC]]+Table1[[#This Row], [ERC]]+Table1[[#This Row], [EQRC]]</f>
        <v>8295568.5</v>
      </c>
      <c r="V348" s="4">
        <f>Table1[[#This Row], [TOTAL COST]]+_xlfn.XLOOKUP(Table1[[#This Row], [TEAM]],Sheet1!$A$12:$A$17,Sheet1!$I$12:$I$17)</f>
        <v>8607506</v>
      </c>
      <c r="W348" s="9">
        <f>Table1[[#This Row], [LOOT]]-Table1[[#This Row], [TOTAL COST]]</f>
        <v>9904431.5</v>
      </c>
      <c r="X348" s="9">
        <f>IF(Table1[[#This Row], [PASS/FAIL]]="FAIL",0,Table1[[#This Row], [PROFIT]])</f>
        <v>9904431.5</v>
      </c>
    </row>
    <row r="349" spans="1:24" ht="19.5" customHeight="1" x14ac:dyDescent="0.45">
      <c r="A349" t="s">
        <v>12</v>
      </c>
      <c r="B349" s="14">
        <f>_xlfn.XLOOKUP(Table1[[#This Row], [TEAM]],Sheet1!$A$12:$A$17,Sheet1!$F$12:$F$17)</f>
        <v>3</v>
      </c>
      <c r="C349" s="14">
        <f>_xlfn.XLOOKUP(Table1[[#This Row], [TEAM]],Sheet1!$A$12:$A$17,Sheet1!$G$12:$G$17)</f>
        <v>5988750</v>
      </c>
      <c r="D349" t="s">
        <v>22</v>
      </c>
      <c r="E349" s="4">
        <f>_xlfn.XLOOKUP(Table1[[#This Row], [ROOM]],Sheet1!$A$47:$A$66,Sheet1!$B$47:$B$66)</f>
        <v>235</v>
      </c>
      <c r="F349" t="s">
        <v>62</v>
      </c>
      <c r="G349" s="4">
        <f>_xlfn.XLOOKUP(Table1[[#This Row], [DISGUISE]],Sheet1!$A$21:$A$23,Sheet1!$B$21:$B$23)*Table1[[#This Row], [NUM OF MEM]]*(1+_xlfn.XLOOKUP(Table1[[#This Row], [DISGUISE]],Sheet1!$A$21:$A$23,Sheet1!$C$21:$C$23))</f>
        <v>15600</v>
      </c>
      <c r="H349" s="13" t="s">
        <v>63</v>
      </c>
      <c r="I349" s="4">
        <f>_xlfn.XLOOKUP(Table1[[#This Row], [WEAPON]],Sheet1!$A$27:$A$29,Sheet1!$B$27:$B$29)*Table1[[#This Row], [NUM OF MEM]]*(1+_xlfn.XLOOKUP(Table1[[#This Row], [WEAPON]],Sheet1!$A$27:$A$29,Sheet1!$C$27:$C$29))</f>
        <v>69000</v>
      </c>
      <c r="J349" t="s">
        <v>64</v>
      </c>
      <c r="K349" s="9">
        <f>Table1[[#This Row], [NUM OF MEM]]*Table1[[#This Row], [TOTAL TIME TAKEN]]*_xlfn.XLOOKUP(Table1[[#This Row], [EXIT]],Sheet1!$A$70:$A$71,Sheet1!$B$70:$B$71)*(1+_xlfn.XLOOKUP(Table1[[#This Row], [EXIT]],Sheet1!$A$70:$A$71,Sheet1!$C$70:$C$71))</f>
        <v>1822694.3999999992</v>
      </c>
      <c r="L349" s="13" t="s">
        <v>61</v>
      </c>
      <c r="M349" s="4">
        <f>IF(Table1[[#This Row], [EQUIPMENT]]="YES",Sheet1!$C$44*(1+Sheet1!$D$44),0)</f>
        <v>0</v>
      </c>
      <c r="N349" s="4">
        <f>_xlfn.XLOOKUP(Table1[[#This Row], [ROOM]],Sheet1!$A$47:$A$66,Sheet1!$F$47:$F$66)</f>
        <v>17800000</v>
      </c>
      <c r="O349" s="9">
        <f>_xlfn.XLOOKUP(_xlfn.CONCAT(Table1[[#This Row], [TEAM]],Table1[[#This Row], [ROOM]]),'ROOM TIME'!$H$2:$H$121,'ROOM TIME'!$J$2:$J$121)</f>
        <v>41.479999999999983</v>
      </c>
      <c r="P349" s="9">
        <f>(INDEX(Sheet1!$X$48:$Z$67,MATCH(Table1[[#This Row], [ROOM]],Sheet1!$P$48:$P$67,0),MATCH(Table1[[#This Row], [WEAPON]],Sheet1!$X$47:$Z$47,0)))/Table1[[#This Row], [NUM OF MEM]]</f>
        <v>5.4000000000000012</v>
      </c>
      <c r="Q349" s="9">
        <f>Table1[[#This Row], [ROOM TIME]]+Table1[[#This Row], [GUARD TIME]]</f>
        <v>46.879999999999981</v>
      </c>
      <c r="R349" s="4">
        <f>Sheet1!$K$3*_xlfn.XLOOKUP(Table1[[#This Row], [DISGUISE]],Sheet1!$A$21:$A$23,Sheet1!$D$21:$D$23)</f>
        <v>66</v>
      </c>
      <c r="S349" s="9">
        <f>Table1[[#This Row], [TOTAL TIME]]-Table1[[#This Row], [TOTAL TIME TAKEN]]</f>
        <v>19.120000000000019</v>
      </c>
      <c r="T349" t="str">
        <f>IF(Table1[[#This Row], [TIME DIFFERENCE]]&gt;=0,"PASS","FAIL")</f>
        <v>PASS</v>
      </c>
      <c r="U349" s="9">
        <f>Table1[[#This Row], [TRC]]+Table1[[#This Row], [DRC]]+Table1[[#This Row], [WRC]]+Table1[[#This Row], [ERC]]+Table1[[#This Row], [EQRC]]</f>
        <v>7896044.3999999994</v>
      </c>
      <c r="V349" s="9">
        <f>Table1[[#This Row], [TOTAL COST]]+_xlfn.XLOOKUP(Table1[[#This Row], [TEAM]],Sheet1!$A$12:$A$17,Sheet1!$I$12:$I$17)</f>
        <v>8195481.8999999994</v>
      </c>
      <c r="W349" s="9">
        <f>Table1[[#This Row], [LOOT]]-Table1[[#This Row], [TOTAL COST]]</f>
        <v>9903955.6000000015</v>
      </c>
      <c r="X349" s="9">
        <f>IF(Table1[[#This Row], [PASS/FAIL]]="FAIL",0,Table1[[#This Row], [PROFIT]])</f>
        <v>9903955.6000000015</v>
      </c>
    </row>
    <row r="350" spans="1:24" ht="19.5" customHeight="1" x14ac:dyDescent="0.45">
      <c r="A350" t="s">
        <v>9</v>
      </c>
      <c r="B350" s="14">
        <f>_xlfn.XLOOKUP(Table1[[#This Row], [TEAM]],Sheet1!$A$12:$A$17,Sheet1!$F$12:$F$17)</f>
        <v>3</v>
      </c>
      <c r="C350" s="14">
        <f>_xlfn.XLOOKUP(Table1[[#This Row], [TEAM]],Sheet1!$A$12:$A$17,Sheet1!$G$12:$G$17)</f>
        <v>6238750</v>
      </c>
      <c r="D350" t="s">
        <v>24</v>
      </c>
      <c r="E350" s="4">
        <f>_xlfn.XLOOKUP(Table1[[#This Row], [ROOM]],Sheet1!$A$47:$A$66,Sheet1!$B$47:$B$66)</f>
        <v>345</v>
      </c>
      <c r="F350" t="s">
        <v>58</v>
      </c>
      <c r="G350" s="4">
        <f>_xlfn.XLOOKUP(Table1[[#This Row], [DISGUISE]],Sheet1!$A$21:$A$23,Sheet1!$B$21:$B$23)*Table1[[#This Row], [NUM OF MEM]]*(1+_xlfn.XLOOKUP(Table1[[#This Row], [DISGUISE]],Sheet1!$A$21:$A$23,Sheet1!$C$21:$C$23))</f>
        <v>38400</v>
      </c>
      <c r="H350" s="13" t="s">
        <v>59</v>
      </c>
      <c r="I350" s="4">
        <f>_xlfn.XLOOKUP(Table1[[#This Row], [WEAPON]],Sheet1!$A$27:$A$29,Sheet1!$B$27:$B$29)*Table1[[#This Row], [NUM OF MEM]]*(1+_xlfn.XLOOKUP(Table1[[#This Row], [WEAPON]],Sheet1!$A$27:$A$29,Sheet1!$C$27:$C$29))</f>
        <v>136500</v>
      </c>
      <c r="J350" t="s">
        <v>64</v>
      </c>
      <c r="K350" s="9">
        <f>Table1[[#This Row], [NUM OF MEM]]*Table1[[#This Row], [TOTAL TIME TAKEN]]*_xlfn.XLOOKUP(Table1[[#This Row], [EXIT]],Sheet1!$A$70:$A$71,Sheet1!$B$70:$B$71)*(1+_xlfn.XLOOKUP(Table1[[#This Row], [EXIT]],Sheet1!$A$70:$A$71,Sheet1!$C$70:$C$71))</f>
        <v>1683979.2</v>
      </c>
      <c r="L350" s="13" t="s">
        <v>61</v>
      </c>
      <c r="M350" s="4">
        <f>IF(Table1[[#This Row], [EQUIPMENT]]="YES",Sheet1!$C$44*(1+Sheet1!$D$44),0)</f>
        <v>0</v>
      </c>
      <c r="N350" s="4">
        <f>_xlfn.XLOOKUP(Table1[[#This Row], [ROOM]],Sheet1!$A$47:$A$66,Sheet1!$F$47:$F$66)</f>
        <v>18000000</v>
      </c>
      <c r="O350" s="9">
        <f>_xlfn.XLOOKUP(_xlfn.CONCAT(Table1[[#This Row], [TEAM]],Table1[[#This Row], [ROOM]]),'ROOM TIME'!$H$2:$H$121,'ROOM TIME'!$J$2:$J$121)</f>
        <v>38.712222222222216</v>
      </c>
      <c r="P350" s="9">
        <f>(INDEX(Sheet1!$X$48:$Z$67,MATCH(Table1[[#This Row], [ROOM]],Sheet1!$P$48:$P$67,0),MATCH(Table1[[#This Row], [WEAPON]],Sheet1!$X$47:$Z$47,0)))/Table1[[#This Row], [NUM OF MEM]]</f>
        <v>4.5999999999999996</v>
      </c>
      <c r="Q350" s="9">
        <f>Table1[[#This Row], [ROOM TIME]]+Table1[[#This Row], [GUARD TIME]]</f>
        <v>43.312222222222218</v>
      </c>
      <c r="R350" s="4">
        <f>Sheet1!$K$3*_xlfn.XLOOKUP(Table1[[#This Row], [DISGUISE]],Sheet1!$A$21:$A$23,Sheet1!$D$21:$D$23)</f>
        <v>69</v>
      </c>
      <c r="S350" s="9">
        <f>Table1[[#This Row], [TOTAL TIME]]-Table1[[#This Row], [TOTAL TIME TAKEN]]</f>
        <v>25.687777777777782</v>
      </c>
      <c r="T350" t="str">
        <f>IF(Table1[[#This Row], [TIME DIFFERENCE]]&gt;=0,"PASS","FAIL")</f>
        <v>PASS</v>
      </c>
      <c r="U350" s="9">
        <f>Table1[[#This Row], [TRC]]+Table1[[#This Row], [DRC]]+Table1[[#This Row], [WRC]]+Table1[[#This Row], [ERC]]+Table1[[#This Row], [EQRC]]</f>
        <v>8097629.2000000002</v>
      </c>
      <c r="V350" s="9">
        <f>Table1[[#This Row], [TOTAL COST]]+_xlfn.XLOOKUP(Table1[[#This Row], [TEAM]],Sheet1!$A$12:$A$17,Sheet1!$I$12:$I$17)</f>
        <v>8409566.6999999993</v>
      </c>
      <c r="W350" s="9">
        <f>Table1[[#This Row], [LOOT]]-Table1[[#This Row], [TOTAL COST]]</f>
        <v>9902370.8000000007</v>
      </c>
      <c r="X350" s="9">
        <f>IF(Table1[[#This Row], [PASS/FAIL]]="FAIL",0,Table1[[#This Row], [PROFIT]])</f>
        <v>9902370.8000000007</v>
      </c>
    </row>
    <row r="351" spans="1:24" ht="19.5" customHeight="1" x14ac:dyDescent="0.45">
      <c r="A351" t="s">
        <v>13</v>
      </c>
      <c r="B351" s="14">
        <f>_xlfn.XLOOKUP(Table1[[#This Row], [TEAM]],Sheet1!$A$12:$A$17,Sheet1!$F$12:$F$17)</f>
        <v>3</v>
      </c>
      <c r="C351" s="14">
        <f>_xlfn.XLOOKUP(Table1[[#This Row], [TEAM]],Sheet1!$A$12:$A$17,Sheet1!$G$12:$G$17)</f>
        <v>5930000</v>
      </c>
      <c r="D351" t="s">
        <v>10</v>
      </c>
      <c r="E351" s="4">
        <f>_xlfn.XLOOKUP(Table1[[#This Row], [ROOM]],Sheet1!$A$47:$A$66,Sheet1!$B$47:$B$66)</f>
        <v>123</v>
      </c>
      <c r="F351" t="s">
        <v>58</v>
      </c>
      <c r="G351" s="4">
        <f>_xlfn.XLOOKUP(Table1[[#This Row], [DISGUISE]],Sheet1!$A$21:$A$23,Sheet1!$B$21:$B$23)*Table1[[#This Row], [NUM OF MEM]]*(1+_xlfn.XLOOKUP(Table1[[#This Row], [DISGUISE]],Sheet1!$A$21:$A$23,Sheet1!$C$21:$C$23))</f>
        <v>38400</v>
      </c>
      <c r="H351" s="13" t="s">
        <v>66</v>
      </c>
      <c r="I351" s="4">
        <f>_xlfn.XLOOKUP(Table1[[#This Row], [WEAPON]],Sheet1!$A$27:$A$29,Sheet1!$B$27:$B$29)*Table1[[#This Row], [NUM OF MEM]]*(1+_xlfn.XLOOKUP(Table1[[#This Row], [WEAPON]],Sheet1!$A$27:$A$29,Sheet1!$C$27:$C$29))</f>
        <v>108000</v>
      </c>
      <c r="J351" t="s">
        <v>60</v>
      </c>
      <c r="K351" s="9">
        <f>Table1[[#This Row], [NUM OF MEM]]*Table1[[#This Row], [TOTAL TIME TAKEN]]*_xlfn.XLOOKUP(Table1[[#This Row], [EXIT]],Sheet1!$A$70:$A$71,Sheet1!$B$70:$B$71)*(1+_xlfn.XLOOKUP(Table1[[#This Row], [EXIT]],Sheet1!$A$70:$A$71,Sheet1!$C$70:$C$71))</f>
        <v>1873074.4749999996</v>
      </c>
      <c r="L351" s="13" t="s">
        <v>61</v>
      </c>
      <c r="M351" s="4">
        <f>IF(Table1[[#This Row], [EQUIPMENT]]="YES",Sheet1!$C$44*(1+Sheet1!$D$44),0)</f>
        <v>0</v>
      </c>
      <c r="N351" s="4">
        <f>_xlfn.XLOOKUP(Table1[[#This Row], [ROOM]],Sheet1!$A$47:$A$66,Sheet1!$F$47:$F$66)</f>
        <v>17850000</v>
      </c>
      <c r="O351" s="9">
        <f>_xlfn.XLOOKUP(_xlfn.CONCAT(Table1[[#This Row], [TEAM]],Table1[[#This Row], [ROOM]]),'ROOM TIME'!$H$2:$H$121,'ROOM TIME'!$J$2:$J$121)</f>
        <v>43.654444444444437</v>
      </c>
      <c r="P351" s="4">
        <f>(INDEX(Sheet1!$X$48:$Z$67,MATCH(Table1[[#This Row], [ROOM]],Sheet1!$P$48:$P$67,0),MATCH(Table1[[#This Row], [WEAPON]],Sheet1!$X$47:$Z$47,0)))/Table1[[#This Row], [NUM OF MEM]]</f>
        <v>5</v>
      </c>
      <c r="Q351" s="9">
        <f>Table1[[#This Row], [ROOM TIME]]+Table1[[#This Row], [GUARD TIME]]</f>
        <v>48.654444444444437</v>
      </c>
      <c r="R351" s="4">
        <f>Sheet1!$K$3*_xlfn.XLOOKUP(Table1[[#This Row], [DISGUISE]],Sheet1!$A$21:$A$23,Sheet1!$D$21:$D$23)</f>
        <v>69</v>
      </c>
      <c r="S351" s="9">
        <f>Table1[[#This Row], [TOTAL TIME]]-Table1[[#This Row], [TOTAL TIME TAKEN]]</f>
        <v>20.345555555555563</v>
      </c>
      <c r="T351" t="str">
        <f>IF(Table1[[#This Row], [TIME DIFFERENCE]]&gt;=0,"PASS","FAIL")</f>
        <v>PASS</v>
      </c>
      <c r="U351" s="9">
        <f>Table1[[#This Row], [TRC]]+Table1[[#This Row], [DRC]]+Table1[[#This Row], [WRC]]+Table1[[#This Row], [ERC]]+Table1[[#This Row], [EQRC]]</f>
        <v>7949474.4749999996</v>
      </c>
      <c r="V351" s="9">
        <f>Table1[[#This Row], [TOTAL COST]]+_xlfn.XLOOKUP(Table1[[#This Row], [TEAM]],Sheet1!$A$12:$A$17,Sheet1!$I$12:$I$17)</f>
        <v>8245974.4749999996</v>
      </c>
      <c r="W351" s="9">
        <f>Table1[[#This Row], [LOOT]]-Table1[[#This Row], [TOTAL COST]]</f>
        <v>9900525.5250000004</v>
      </c>
      <c r="X351" s="9">
        <f>IF(Table1[[#This Row], [PASS/FAIL]]="FAIL",0,Table1[[#This Row], [PROFIT]])</f>
        <v>9900525.5250000004</v>
      </c>
    </row>
    <row r="352" spans="1:24" ht="19.5" customHeight="1" x14ac:dyDescent="0.45">
      <c r="A352" t="s">
        <v>9</v>
      </c>
      <c r="B352" s="14">
        <f>_xlfn.XLOOKUP(Table1[[#This Row], [TEAM]],Sheet1!$A$12:$A$17,Sheet1!$F$12:$F$17)</f>
        <v>3</v>
      </c>
      <c r="C352" s="14">
        <f>_xlfn.XLOOKUP(Table1[[#This Row], [TEAM]],Sheet1!$A$12:$A$17,Sheet1!$G$12:$G$17)</f>
        <v>6238750</v>
      </c>
      <c r="D352" t="s">
        <v>19</v>
      </c>
      <c r="E352" s="4">
        <f>_xlfn.XLOOKUP(Table1[[#This Row], [ROOM]],Sheet1!$A$47:$A$66,Sheet1!$B$47:$B$66)</f>
        <v>135</v>
      </c>
      <c r="F352" t="s">
        <v>58</v>
      </c>
      <c r="G352" s="4">
        <f>_xlfn.XLOOKUP(Table1[[#This Row], [DISGUISE]],Sheet1!$A$21:$A$23,Sheet1!$B$21:$B$23)*Table1[[#This Row], [NUM OF MEM]]*(1+_xlfn.XLOOKUP(Table1[[#This Row], [DISGUISE]],Sheet1!$A$21:$A$23,Sheet1!$C$21:$C$23))</f>
        <v>38400</v>
      </c>
      <c r="H352" s="13" t="s">
        <v>66</v>
      </c>
      <c r="I352" s="4">
        <f>_xlfn.XLOOKUP(Table1[[#This Row], [WEAPON]],Sheet1!$A$27:$A$29,Sheet1!$B$27:$B$29)*Table1[[#This Row], [NUM OF MEM]]*(1+_xlfn.XLOOKUP(Table1[[#This Row], [WEAPON]],Sheet1!$A$27:$A$29,Sheet1!$C$27:$C$29))</f>
        <v>108000</v>
      </c>
      <c r="J352" t="s">
        <v>60</v>
      </c>
      <c r="K352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1664353.8625</v>
      </c>
      <c r="L352" s="13" t="s">
        <v>61</v>
      </c>
      <c r="M352" s="4">
        <f>IF(Table1[[#This Row], [EQUIPMENT]]="YES",Sheet1!$C$44*(1+Sheet1!$D$44),0)</f>
        <v>0</v>
      </c>
      <c r="N352" s="4">
        <f>_xlfn.XLOOKUP(Table1[[#This Row], [ROOM]],Sheet1!$A$47:$A$66,Sheet1!$F$47:$F$66)</f>
        <v>17950000</v>
      </c>
      <c r="O352" s="9">
        <f>_xlfn.XLOOKUP(_xlfn.CONCAT(Table1[[#This Row], [TEAM]],Table1[[#This Row], [ROOM]]),'ROOM TIME'!$H$2:$H$121,'ROOM TIME'!$J$2:$J$121)</f>
        <v>38.649444444444434</v>
      </c>
      <c r="P352" s="9">
        <f>(INDEX(Sheet1!$X$48:$Z$67,MATCH(Table1[[#This Row], [ROOM]],Sheet1!$P$48:$P$67,0),MATCH(Table1[[#This Row], [WEAPON]],Sheet1!$X$47:$Z$47,0)))/Table1[[#This Row], [NUM OF MEM]]</f>
        <v>4.583333333333333</v>
      </c>
      <c r="Q352" s="9">
        <f>Table1[[#This Row], [ROOM TIME]]+Table1[[#This Row], [GUARD TIME]]</f>
        <v>43.23277777777777</v>
      </c>
      <c r="R352" s="4">
        <f>Sheet1!$K$3*_xlfn.XLOOKUP(Table1[[#This Row], [DISGUISE]],Sheet1!$A$21:$A$23,Sheet1!$D$21:$D$23)</f>
        <v>69</v>
      </c>
      <c r="S352" s="9">
        <f>Table1[[#This Row], [TOTAL TIME]]-Table1[[#This Row], [TOTAL TIME TAKEN]]</f>
        <v>25.76722222222223</v>
      </c>
      <c r="T352" t="str">
        <f>IF(Table1[[#This Row], [TIME DIFFERENCE]]&gt;=0,"PASS","FAIL")</f>
        <v>PASS</v>
      </c>
      <c r="U352" s="9">
        <f>Table1[[#This Row], [TRC]]+Table1[[#This Row], [DRC]]+Table1[[#This Row], [WRC]]+Table1[[#This Row], [ERC]]+Table1[[#This Row], [EQRC]]</f>
        <v>8049503.8624999998</v>
      </c>
      <c r="V352" s="9">
        <f>Table1[[#This Row], [TOTAL COST]]+_xlfn.XLOOKUP(Table1[[#This Row], [TEAM]],Sheet1!$A$12:$A$17,Sheet1!$I$12:$I$17)</f>
        <v>8361441.3624999998</v>
      </c>
      <c r="W352" s="9">
        <f>Table1[[#This Row], [LOOT]]-Table1[[#This Row], [TOTAL COST]]</f>
        <v>9900496.1374999993</v>
      </c>
      <c r="X352" s="9">
        <f>IF(Table1[[#This Row], [PASS/FAIL]]="FAIL",0,Table1[[#This Row], [PROFIT]])</f>
        <v>9900496.1374999993</v>
      </c>
    </row>
    <row r="353" spans="1:24" ht="19.5" customHeight="1" x14ac:dyDescent="0.45">
      <c r="A353" t="s">
        <v>9</v>
      </c>
      <c r="B353" s="14">
        <f>_xlfn.XLOOKUP(Table1[[#This Row], [TEAM]],Sheet1!$A$12:$A$17,Sheet1!$F$12:$F$17)</f>
        <v>3</v>
      </c>
      <c r="C353" s="14">
        <f>_xlfn.XLOOKUP(Table1[[#This Row], [TEAM]],Sheet1!$A$12:$A$17,Sheet1!$G$12:$G$17)</f>
        <v>6238750</v>
      </c>
      <c r="D353" t="s">
        <v>32</v>
      </c>
      <c r="E353" s="4">
        <f>_xlfn.XLOOKUP(Table1[[#This Row], [ROOM]],Sheet1!$A$47:$A$66,Sheet1!$B$47:$B$66)</f>
        <v>346</v>
      </c>
      <c r="F353" t="s">
        <v>62</v>
      </c>
      <c r="G353" s="4">
        <f>_xlfn.XLOOKUP(Table1[[#This Row], [DISGUISE]],Sheet1!$A$21:$A$23,Sheet1!$B$21:$B$23)*Table1[[#This Row], [NUM OF MEM]]*(1+_xlfn.XLOOKUP(Table1[[#This Row], [DISGUISE]],Sheet1!$A$21:$A$23,Sheet1!$C$21:$C$23))</f>
        <v>15600</v>
      </c>
      <c r="H353" s="13" t="s">
        <v>66</v>
      </c>
      <c r="I353" s="4">
        <f>_xlfn.XLOOKUP(Table1[[#This Row], [WEAPON]],Sheet1!$A$27:$A$29,Sheet1!$B$27:$B$29)*Table1[[#This Row], [NUM OF MEM]]*(1+_xlfn.XLOOKUP(Table1[[#This Row], [WEAPON]],Sheet1!$A$27:$A$29,Sheet1!$C$27:$C$29))</f>
        <v>108000</v>
      </c>
      <c r="J353" t="s">
        <v>64</v>
      </c>
      <c r="K353" s="9">
        <f>Table1[[#This Row], [NUM OF MEM]]*Table1[[#This Row], [TOTAL TIME TAKEN]]*_xlfn.XLOOKUP(Table1[[#This Row], [EXIT]],Sheet1!$A$70:$A$71,Sheet1!$B$70:$B$71)*(1+_xlfn.XLOOKUP(Table1[[#This Row], [EXIT]],Sheet1!$A$70:$A$71,Sheet1!$C$70:$C$71))</f>
        <v>1629935.9999999993</v>
      </c>
      <c r="L353" s="13" t="s">
        <v>65</v>
      </c>
      <c r="M353" s="4">
        <f>IF(Table1[[#This Row], [EQUIPMENT]]="YES",Sheet1!$C$44*(1+Sheet1!$D$44),0)</f>
        <v>307500</v>
      </c>
      <c r="N353" s="4">
        <f>_xlfn.XLOOKUP(Table1[[#This Row], [ROOM]],Sheet1!$A$47:$A$66,Sheet1!$F$47:$F$66)</f>
        <v>18200000</v>
      </c>
      <c r="O353" s="9">
        <f>_xlfn.XLOOKUP(_xlfn.CONCAT(Table1[[#This Row], [TEAM]],Table1[[#This Row], [ROOM]]),'ROOM TIME'!$H$2:$H$121,'ROOM TIME'!$J$2:$J$121)</f>
        <v>36.505555555555546</v>
      </c>
      <c r="P353" s="9">
        <f>(INDEX(Sheet1!$X$48:$Z$67,MATCH(Table1[[#This Row], [ROOM]],Sheet1!$P$48:$P$67,0),MATCH(Table1[[#This Row], [WEAPON]],Sheet1!$X$47:$Z$47,0)))/Table1[[#This Row], [NUM OF MEM]]</f>
        <v>5.416666666666667</v>
      </c>
      <c r="Q353" s="9">
        <f>Table1[[#This Row], [ROOM TIME]]+Table1[[#This Row], [GUARD TIME]]</f>
        <v>41.92222222222221</v>
      </c>
      <c r="R353" s="4">
        <f>Sheet1!$K$3*_xlfn.XLOOKUP(Table1[[#This Row], [DISGUISE]],Sheet1!$A$21:$A$23,Sheet1!$D$21:$D$23)</f>
        <v>66</v>
      </c>
      <c r="S353" s="9">
        <f>Table1[[#This Row], [TOTAL TIME]]-Table1[[#This Row], [TOTAL TIME TAKEN]]</f>
        <v>24.07777777777779</v>
      </c>
      <c r="T353" t="str">
        <f>IF(Table1[[#This Row], [TIME DIFFERENCE]]&gt;=0,"PASS","FAIL")</f>
        <v>PASS</v>
      </c>
      <c r="U353" s="9">
        <f>Table1[[#This Row], [TRC]]+Table1[[#This Row], [DRC]]+Table1[[#This Row], [WRC]]+Table1[[#This Row], [ERC]]+Table1[[#This Row], [EQRC]]</f>
        <v>8299785.9999999991</v>
      </c>
      <c r="V353" s="9">
        <f>Table1[[#This Row], [TOTAL COST]]+_xlfn.XLOOKUP(Table1[[#This Row], [TEAM]],Sheet1!$A$12:$A$17,Sheet1!$I$12:$I$17)</f>
        <v>8611723.5</v>
      </c>
      <c r="W353" s="4">
        <f>Table1[[#This Row], [LOOT]]-Table1[[#This Row], [TOTAL COST]]</f>
        <v>9900214</v>
      </c>
      <c r="X353" s="4">
        <f>IF(Table1[[#This Row], [PASS/FAIL]]="FAIL",0,Table1[[#This Row], [PROFIT]])</f>
        <v>9900214</v>
      </c>
    </row>
    <row r="354" spans="1:24" ht="19.5" customHeight="1" x14ac:dyDescent="0.45">
      <c r="A354" t="s">
        <v>9</v>
      </c>
      <c r="B354" s="14">
        <f>_xlfn.XLOOKUP(Table1[[#This Row], [TEAM]],Sheet1!$A$12:$A$17,Sheet1!$F$12:$F$17)</f>
        <v>3</v>
      </c>
      <c r="C354" s="14">
        <f>_xlfn.XLOOKUP(Table1[[#This Row], [TEAM]],Sheet1!$A$12:$A$17,Sheet1!$G$12:$G$17)</f>
        <v>6238750</v>
      </c>
      <c r="D354" t="s">
        <v>32</v>
      </c>
      <c r="E354" s="4">
        <f>_xlfn.XLOOKUP(Table1[[#This Row], [ROOM]],Sheet1!$A$47:$A$66,Sheet1!$B$47:$B$66)</f>
        <v>346</v>
      </c>
      <c r="F354" t="s">
        <v>58</v>
      </c>
      <c r="G354" s="4">
        <f>_xlfn.XLOOKUP(Table1[[#This Row], [DISGUISE]],Sheet1!$A$21:$A$23,Sheet1!$B$21:$B$23)*Table1[[#This Row], [NUM OF MEM]]*(1+_xlfn.XLOOKUP(Table1[[#This Row], [DISGUISE]],Sheet1!$A$21:$A$23,Sheet1!$C$21:$C$23))</f>
        <v>38400</v>
      </c>
      <c r="H354" s="13" t="s">
        <v>63</v>
      </c>
      <c r="I354" s="4">
        <f>_xlfn.XLOOKUP(Table1[[#This Row], [WEAPON]],Sheet1!$A$27:$A$29,Sheet1!$B$27:$B$29)*Table1[[#This Row], [NUM OF MEM]]*(1+_xlfn.XLOOKUP(Table1[[#This Row], [WEAPON]],Sheet1!$A$27:$A$29,Sheet1!$C$27:$C$29))</f>
        <v>69000</v>
      </c>
      <c r="J354" t="s">
        <v>64</v>
      </c>
      <c r="K354" s="9">
        <f>Table1[[#This Row], [NUM OF MEM]]*Table1[[#This Row], [TOTAL TIME TAKEN]]*_xlfn.XLOOKUP(Table1[[#This Row], [EXIT]],Sheet1!$A$70:$A$71,Sheet1!$B$70:$B$71)*(1+_xlfn.XLOOKUP(Table1[[#This Row], [EXIT]],Sheet1!$A$70:$A$71,Sheet1!$C$70:$C$71))</f>
        <v>1646783.9999999998</v>
      </c>
      <c r="L354" s="13" t="s">
        <v>65</v>
      </c>
      <c r="M354" s="4">
        <f>IF(Table1[[#This Row], [EQUIPMENT]]="YES",Sheet1!$C$44*(1+Sheet1!$D$44),0)</f>
        <v>307500</v>
      </c>
      <c r="N354" s="4">
        <f>_xlfn.XLOOKUP(Table1[[#This Row], [ROOM]],Sheet1!$A$47:$A$66,Sheet1!$F$47:$F$66)</f>
        <v>18200000</v>
      </c>
      <c r="O354" s="9">
        <f>_xlfn.XLOOKUP(_xlfn.CONCAT(Table1[[#This Row], [TEAM]],Table1[[#This Row], [ROOM]]),'ROOM TIME'!$H$2:$H$121,'ROOM TIME'!$J$2:$J$121)</f>
        <v>36.505555555555546</v>
      </c>
      <c r="P354" s="9">
        <f>(INDEX(Sheet1!$X$48:$Z$67,MATCH(Table1[[#This Row], [ROOM]],Sheet1!$P$48:$P$67,0),MATCH(Table1[[#This Row], [WEAPON]],Sheet1!$X$47:$Z$47,0)))/Table1[[#This Row], [NUM OF MEM]]</f>
        <v>5.8500000000000005</v>
      </c>
      <c r="Q354" s="9">
        <f>Table1[[#This Row], [ROOM TIME]]+Table1[[#This Row], [GUARD TIME]]</f>
        <v>42.355555555555547</v>
      </c>
      <c r="R354" s="4">
        <f>Sheet1!$K$3*_xlfn.XLOOKUP(Table1[[#This Row], [DISGUISE]],Sheet1!$A$21:$A$23,Sheet1!$D$21:$D$23)</f>
        <v>69</v>
      </c>
      <c r="S354" s="9">
        <f>Table1[[#This Row], [TOTAL TIME]]-Table1[[#This Row], [TOTAL TIME TAKEN]]</f>
        <v>26.644444444444453</v>
      </c>
      <c r="T354" t="str">
        <f>IF(Table1[[#This Row], [TIME DIFFERENCE]]&gt;=0,"PASS","FAIL")</f>
        <v>PASS</v>
      </c>
      <c r="U354" s="4">
        <f>Table1[[#This Row], [TRC]]+Table1[[#This Row], [DRC]]+Table1[[#This Row], [WRC]]+Table1[[#This Row], [ERC]]+Table1[[#This Row], [EQRC]]</f>
        <v>8300434</v>
      </c>
      <c r="V354" s="9">
        <f>Table1[[#This Row], [TOTAL COST]]+_xlfn.XLOOKUP(Table1[[#This Row], [TEAM]],Sheet1!$A$12:$A$17,Sheet1!$I$12:$I$17)</f>
        <v>8612371.5</v>
      </c>
      <c r="W354" s="4">
        <f>Table1[[#This Row], [LOOT]]-Table1[[#This Row], [TOTAL COST]]</f>
        <v>9899566</v>
      </c>
      <c r="X354" s="4">
        <f>IF(Table1[[#This Row], [PASS/FAIL]]="FAIL",0,Table1[[#This Row], [PROFIT]])</f>
        <v>9899566</v>
      </c>
    </row>
    <row r="355" spans="1:24" ht="19.5" customHeight="1" x14ac:dyDescent="0.45">
      <c r="A355" t="s">
        <v>12</v>
      </c>
      <c r="B355" s="14">
        <f>_xlfn.XLOOKUP(Table1[[#This Row], [TEAM]],Sheet1!$A$12:$A$17,Sheet1!$F$12:$F$17)</f>
        <v>3</v>
      </c>
      <c r="C355" s="14">
        <f>_xlfn.XLOOKUP(Table1[[#This Row], [TEAM]],Sheet1!$A$12:$A$17,Sheet1!$G$12:$G$17)</f>
        <v>5988750</v>
      </c>
      <c r="D355" t="s">
        <v>22</v>
      </c>
      <c r="E355" s="4">
        <f>_xlfn.XLOOKUP(Table1[[#This Row], [ROOM]],Sheet1!$A$47:$A$66,Sheet1!$B$47:$B$66)</f>
        <v>235</v>
      </c>
      <c r="F355" t="s">
        <v>58</v>
      </c>
      <c r="G355" s="4">
        <f>_xlfn.XLOOKUP(Table1[[#This Row], [DISGUISE]],Sheet1!$A$21:$A$23,Sheet1!$B$21:$B$23)*Table1[[#This Row], [NUM OF MEM]]*(1+_xlfn.XLOOKUP(Table1[[#This Row], [DISGUISE]],Sheet1!$A$21:$A$23,Sheet1!$C$21:$C$23))</f>
        <v>38400</v>
      </c>
      <c r="H355" s="13" t="s">
        <v>63</v>
      </c>
      <c r="I355" s="4">
        <f>_xlfn.XLOOKUP(Table1[[#This Row], [WEAPON]],Sheet1!$A$27:$A$29,Sheet1!$B$27:$B$29)*Table1[[#This Row], [NUM OF MEM]]*(1+_xlfn.XLOOKUP(Table1[[#This Row], [WEAPON]],Sheet1!$A$27:$A$29,Sheet1!$C$27:$C$29))</f>
        <v>69000</v>
      </c>
      <c r="J355" t="s">
        <v>60</v>
      </c>
      <c r="K355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1804762.7999999989</v>
      </c>
      <c r="L355" s="13" t="s">
        <v>61</v>
      </c>
      <c r="M355" s="4">
        <f>IF(Table1[[#This Row], [EQUIPMENT]]="YES",Sheet1!$C$44*(1+Sheet1!$D$44),0)</f>
        <v>0</v>
      </c>
      <c r="N355" s="4">
        <f>_xlfn.XLOOKUP(Table1[[#This Row], [ROOM]],Sheet1!$A$47:$A$66,Sheet1!$F$47:$F$66)</f>
        <v>17800000</v>
      </c>
      <c r="O355" s="9">
        <f>_xlfn.XLOOKUP(_xlfn.CONCAT(Table1[[#This Row], [TEAM]],Table1[[#This Row], [ROOM]]),'ROOM TIME'!$H$2:$H$121,'ROOM TIME'!$J$2:$J$121)</f>
        <v>41.479999999999983</v>
      </c>
      <c r="P355" s="9">
        <f>(INDEX(Sheet1!$X$48:$Z$67,MATCH(Table1[[#This Row], [ROOM]],Sheet1!$P$48:$P$67,0),MATCH(Table1[[#This Row], [WEAPON]],Sheet1!$X$47:$Z$47,0)))/Table1[[#This Row], [NUM OF MEM]]</f>
        <v>5.4000000000000012</v>
      </c>
      <c r="Q355" s="9">
        <f>Table1[[#This Row], [ROOM TIME]]+Table1[[#This Row], [GUARD TIME]]</f>
        <v>46.879999999999981</v>
      </c>
      <c r="R355" s="4">
        <f>Sheet1!$K$3*_xlfn.XLOOKUP(Table1[[#This Row], [DISGUISE]],Sheet1!$A$21:$A$23,Sheet1!$D$21:$D$23)</f>
        <v>69</v>
      </c>
      <c r="S355" s="9">
        <f>Table1[[#This Row], [TOTAL TIME]]-Table1[[#This Row], [TOTAL TIME TAKEN]]</f>
        <v>22.120000000000019</v>
      </c>
      <c r="T355" t="str">
        <f>IF(Table1[[#This Row], [TIME DIFFERENCE]]&gt;=0,"PASS","FAIL")</f>
        <v>PASS</v>
      </c>
      <c r="U355" s="9">
        <f>Table1[[#This Row], [TRC]]+Table1[[#This Row], [DRC]]+Table1[[#This Row], [WRC]]+Table1[[#This Row], [ERC]]+Table1[[#This Row], [EQRC]]</f>
        <v>7900912.7999999989</v>
      </c>
      <c r="V355" s="9">
        <f>Table1[[#This Row], [TOTAL COST]]+_xlfn.XLOOKUP(Table1[[#This Row], [TEAM]],Sheet1!$A$12:$A$17,Sheet1!$I$12:$I$17)</f>
        <v>8200350.2999999989</v>
      </c>
      <c r="W355" s="9">
        <f>Table1[[#This Row], [LOOT]]-Table1[[#This Row], [TOTAL COST]]</f>
        <v>9899087.2000000011</v>
      </c>
      <c r="X355" s="9">
        <f>IF(Table1[[#This Row], [PASS/FAIL]]="FAIL",0,Table1[[#This Row], [PROFIT]])</f>
        <v>9899087.2000000011</v>
      </c>
    </row>
    <row r="356" spans="1:24" ht="19.5" customHeight="1" x14ac:dyDescent="0.45">
      <c r="A356" t="s">
        <v>12</v>
      </c>
      <c r="B356" s="14">
        <f>_xlfn.XLOOKUP(Table1[[#This Row], [TEAM]],Sheet1!$A$12:$A$17,Sheet1!$F$12:$F$17)</f>
        <v>3</v>
      </c>
      <c r="C356" s="14">
        <f>_xlfn.XLOOKUP(Table1[[#This Row], [TEAM]],Sheet1!$A$12:$A$17,Sheet1!$G$12:$G$17)</f>
        <v>5988750</v>
      </c>
      <c r="D356" t="s">
        <v>10</v>
      </c>
      <c r="E356" s="4">
        <f>_xlfn.XLOOKUP(Table1[[#This Row], [ROOM]],Sheet1!$A$47:$A$66,Sheet1!$B$47:$B$66)</f>
        <v>123</v>
      </c>
      <c r="F356" t="s">
        <v>62</v>
      </c>
      <c r="G356" s="4">
        <f>_xlfn.XLOOKUP(Table1[[#This Row], [DISGUISE]],Sheet1!$A$21:$A$23,Sheet1!$B$21:$B$23)*Table1[[#This Row], [NUM OF MEM]]*(1+_xlfn.XLOOKUP(Table1[[#This Row], [DISGUISE]],Sheet1!$A$21:$A$23,Sheet1!$C$21:$C$23))</f>
        <v>15600</v>
      </c>
      <c r="H356" s="13" t="s">
        <v>59</v>
      </c>
      <c r="I356" s="4">
        <f>_xlfn.XLOOKUP(Table1[[#This Row], [WEAPON]],Sheet1!$A$27:$A$29,Sheet1!$B$27:$B$29)*Table1[[#This Row], [NUM OF MEM]]*(1+_xlfn.XLOOKUP(Table1[[#This Row], [WEAPON]],Sheet1!$A$27:$A$29,Sheet1!$C$27:$C$29))</f>
        <v>136500</v>
      </c>
      <c r="J356" t="s">
        <v>64</v>
      </c>
      <c r="K356" s="9">
        <f>Table1[[#This Row], [NUM OF MEM]]*Table1[[#This Row], [TOTAL TIME TAKEN]]*_xlfn.XLOOKUP(Table1[[#This Row], [EXIT]],Sheet1!$A$70:$A$71,Sheet1!$B$70:$B$71)*(1+_xlfn.XLOOKUP(Table1[[#This Row], [EXIT]],Sheet1!$A$70:$A$71,Sheet1!$C$70:$C$71))</f>
        <v>1810555.1999999995</v>
      </c>
      <c r="L356" s="13" t="s">
        <v>61</v>
      </c>
      <c r="M356" s="4">
        <f>IF(Table1[[#This Row], [EQUIPMENT]]="YES",Sheet1!$C$44*(1+Sheet1!$D$44),0)</f>
        <v>0</v>
      </c>
      <c r="N356" s="4">
        <f>_xlfn.XLOOKUP(Table1[[#This Row], [ROOM]],Sheet1!$A$47:$A$66,Sheet1!$F$47:$F$66)</f>
        <v>17850000</v>
      </c>
      <c r="O356" s="9">
        <f>_xlfn.XLOOKUP(_xlfn.CONCAT(Table1[[#This Row], [TEAM]],Table1[[#This Row], [ROOM]]),'ROOM TIME'!$H$2:$H$121,'ROOM TIME'!$J$2:$J$121)</f>
        <v>41.967777777777762</v>
      </c>
      <c r="P356" s="9">
        <f>(INDEX(Sheet1!$X$48:$Z$67,MATCH(Table1[[#This Row], [ROOM]],Sheet1!$P$48:$P$67,0),MATCH(Table1[[#This Row], [WEAPON]],Sheet1!$X$47:$Z$47,0)))/Table1[[#This Row], [NUM OF MEM]]</f>
        <v>4.5999999999999996</v>
      </c>
      <c r="Q356" s="9">
        <f>Table1[[#This Row], [ROOM TIME]]+Table1[[#This Row], [GUARD TIME]]</f>
        <v>46.567777777777764</v>
      </c>
      <c r="R356" s="4">
        <f>Sheet1!$K$3*_xlfn.XLOOKUP(Table1[[#This Row], [DISGUISE]],Sheet1!$A$21:$A$23,Sheet1!$D$21:$D$23)</f>
        <v>66</v>
      </c>
      <c r="S356" s="9">
        <f>Table1[[#This Row], [TOTAL TIME]]-Table1[[#This Row], [TOTAL TIME TAKEN]]</f>
        <v>19.432222222222236</v>
      </c>
      <c r="T356" t="str">
        <f>IF(Table1[[#This Row], [TIME DIFFERENCE]]&gt;=0,"PASS","FAIL")</f>
        <v>PASS</v>
      </c>
      <c r="U356" s="9">
        <f>Table1[[#This Row], [TRC]]+Table1[[#This Row], [DRC]]+Table1[[#This Row], [WRC]]+Table1[[#This Row], [ERC]]+Table1[[#This Row], [EQRC]]</f>
        <v>7951405.1999999993</v>
      </c>
      <c r="V356" s="9">
        <f>Table1[[#This Row], [TOTAL COST]]+_xlfn.XLOOKUP(Table1[[#This Row], [TEAM]],Sheet1!$A$12:$A$17,Sheet1!$I$12:$I$17)</f>
        <v>8250842.6999999993</v>
      </c>
      <c r="W356" s="9">
        <f>Table1[[#This Row], [LOOT]]-Table1[[#This Row], [TOTAL COST]]</f>
        <v>9898594.8000000007</v>
      </c>
      <c r="X356" s="9">
        <f>IF(Table1[[#This Row], [PASS/FAIL]]="FAIL",0,Table1[[#This Row], [PROFIT]])</f>
        <v>9898594.8000000007</v>
      </c>
    </row>
    <row r="357" spans="1:24" ht="19.5" customHeight="1" x14ac:dyDescent="0.45">
      <c r="A357" t="s">
        <v>12</v>
      </c>
      <c r="B357" s="14">
        <f>_xlfn.XLOOKUP(Table1[[#This Row], [TEAM]],Sheet1!$A$12:$A$17,Sheet1!$F$12:$F$17)</f>
        <v>3</v>
      </c>
      <c r="C357" s="14">
        <f>_xlfn.XLOOKUP(Table1[[#This Row], [TEAM]],Sheet1!$A$12:$A$17,Sheet1!$G$12:$G$17)</f>
        <v>5988750</v>
      </c>
      <c r="D357" t="s">
        <v>22</v>
      </c>
      <c r="E357" s="4">
        <f>_xlfn.XLOOKUP(Table1[[#This Row], [ROOM]],Sheet1!$A$47:$A$66,Sheet1!$B$47:$B$66)</f>
        <v>235</v>
      </c>
      <c r="F357" t="s">
        <v>62</v>
      </c>
      <c r="G357" s="4">
        <f>_xlfn.XLOOKUP(Table1[[#This Row], [DISGUISE]],Sheet1!$A$21:$A$23,Sheet1!$B$21:$B$23)*Table1[[#This Row], [NUM OF MEM]]*(1+_xlfn.XLOOKUP(Table1[[#This Row], [DISGUISE]],Sheet1!$A$21:$A$23,Sheet1!$C$21:$C$23))</f>
        <v>15600</v>
      </c>
      <c r="H357" s="13" t="s">
        <v>66</v>
      </c>
      <c r="I357" s="4">
        <f>_xlfn.XLOOKUP(Table1[[#This Row], [WEAPON]],Sheet1!$A$27:$A$29,Sheet1!$B$27:$B$29)*Table1[[#This Row], [NUM OF MEM]]*(1+_xlfn.XLOOKUP(Table1[[#This Row], [WEAPON]],Sheet1!$A$27:$A$29,Sheet1!$C$27:$C$29))</f>
        <v>108000</v>
      </c>
      <c r="J357" t="s">
        <v>60</v>
      </c>
      <c r="K357" s="9">
        <f>Table1[[#This Row], [NUM OF MEM]]*Table1[[#This Row], [TOTAL TIME TAKEN]]*_xlfn.XLOOKUP(Table1[[#This Row], [EXIT]],Sheet1!$A$70:$A$71,Sheet1!$B$70:$B$71)*(1+_xlfn.XLOOKUP(Table1[[#This Row], [EXIT]],Sheet1!$A$70:$A$71,Sheet1!$C$70:$C$71))</f>
        <v>1789363.7999999993</v>
      </c>
      <c r="L357" s="13" t="s">
        <v>61</v>
      </c>
      <c r="M357" s="4">
        <f>IF(Table1[[#This Row], [EQUIPMENT]]="YES",Sheet1!$C$44*(1+Sheet1!$D$44),0)</f>
        <v>0</v>
      </c>
      <c r="N357" s="4">
        <f>_xlfn.XLOOKUP(Table1[[#This Row], [ROOM]],Sheet1!$A$47:$A$66,Sheet1!$F$47:$F$66)</f>
        <v>17800000</v>
      </c>
      <c r="O357" s="9">
        <f>_xlfn.XLOOKUP(_xlfn.CONCAT(Table1[[#This Row], [TEAM]],Table1[[#This Row], [ROOM]]),'ROOM TIME'!$H$2:$H$121,'ROOM TIME'!$J$2:$J$121)</f>
        <v>41.479999999999983</v>
      </c>
      <c r="P357" s="4">
        <f>(INDEX(Sheet1!$X$48:$Z$67,MATCH(Table1[[#This Row], [ROOM]],Sheet1!$P$48:$P$67,0),MATCH(Table1[[#This Row], [WEAPON]],Sheet1!$X$47:$Z$47,0)))/Table1[[#This Row], [NUM OF MEM]]</f>
        <v>5</v>
      </c>
      <c r="Q357" s="9">
        <f>Table1[[#This Row], [ROOM TIME]]+Table1[[#This Row], [GUARD TIME]]</f>
        <v>46.479999999999983</v>
      </c>
      <c r="R357" s="4">
        <f>Sheet1!$K$3*_xlfn.XLOOKUP(Table1[[#This Row], [DISGUISE]],Sheet1!$A$21:$A$23,Sheet1!$D$21:$D$23)</f>
        <v>66</v>
      </c>
      <c r="S357" s="9">
        <f>Table1[[#This Row], [TOTAL TIME]]-Table1[[#This Row], [TOTAL TIME TAKEN]]</f>
        <v>19.520000000000017</v>
      </c>
      <c r="T357" t="str">
        <f>IF(Table1[[#This Row], [TIME DIFFERENCE]]&gt;=0,"PASS","FAIL")</f>
        <v>PASS</v>
      </c>
      <c r="U357" s="9">
        <f>Table1[[#This Row], [TRC]]+Table1[[#This Row], [DRC]]+Table1[[#This Row], [WRC]]+Table1[[#This Row], [ERC]]+Table1[[#This Row], [EQRC]]</f>
        <v>7901713.7999999989</v>
      </c>
      <c r="V357" s="9">
        <f>Table1[[#This Row], [TOTAL COST]]+_xlfn.XLOOKUP(Table1[[#This Row], [TEAM]],Sheet1!$A$12:$A$17,Sheet1!$I$12:$I$17)</f>
        <v>8201151.2999999989</v>
      </c>
      <c r="W357" s="9">
        <f>Table1[[#This Row], [LOOT]]-Table1[[#This Row], [TOTAL COST]]</f>
        <v>9898286.2000000011</v>
      </c>
      <c r="X357" s="9">
        <f>IF(Table1[[#This Row], [PASS/FAIL]]="FAIL",0,Table1[[#This Row], [PROFIT]])</f>
        <v>9898286.2000000011</v>
      </c>
    </row>
    <row r="358" spans="1:24" ht="19.5" customHeight="1" x14ac:dyDescent="0.45">
      <c r="A358" t="s">
        <v>13</v>
      </c>
      <c r="B358" s="14">
        <f>_xlfn.XLOOKUP(Table1[[#This Row], [TEAM]],Sheet1!$A$12:$A$17,Sheet1!$F$12:$F$17)</f>
        <v>3</v>
      </c>
      <c r="C358" s="14">
        <f>_xlfn.XLOOKUP(Table1[[#This Row], [TEAM]],Sheet1!$A$12:$A$17,Sheet1!$G$12:$G$17)</f>
        <v>5930000</v>
      </c>
      <c r="D358" t="s">
        <v>22</v>
      </c>
      <c r="E358" s="4">
        <f>_xlfn.XLOOKUP(Table1[[#This Row], [ROOM]],Sheet1!$A$47:$A$66,Sheet1!$B$47:$B$66)</f>
        <v>235</v>
      </c>
      <c r="F358" t="s">
        <v>62</v>
      </c>
      <c r="G358" s="4">
        <f>_xlfn.XLOOKUP(Table1[[#This Row], [DISGUISE]],Sheet1!$A$21:$A$23,Sheet1!$B$21:$B$23)*Table1[[#This Row], [NUM OF MEM]]*(1+_xlfn.XLOOKUP(Table1[[#This Row], [DISGUISE]],Sheet1!$A$21:$A$23,Sheet1!$C$21:$C$23))</f>
        <v>15600</v>
      </c>
      <c r="H358" s="13" t="s">
        <v>63</v>
      </c>
      <c r="I358" s="4">
        <f>_xlfn.XLOOKUP(Table1[[#This Row], [WEAPON]],Sheet1!$A$27:$A$29,Sheet1!$B$27:$B$29)*Table1[[#This Row], [NUM OF MEM]]*(1+_xlfn.XLOOKUP(Table1[[#This Row], [WEAPON]],Sheet1!$A$27:$A$29,Sheet1!$C$27:$C$29))</f>
        <v>69000</v>
      </c>
      <c r="J358" t="s">
        <v>64</v>
      </c>
      <c r="K358" s="9">
        <f>Table1[[#This Row], [NUM OF MEM]]*Table1[[#This Row], [TOTAL TIME TAKEN]]*_xlfn.XLOOKUP(Table1[[#This Row], [EXIT]],Sheet1!$A$70:$A$71,Sheet1!$B$70:$B$71)*(1+_xlfn.XLOOKUP(Table1[[#This Row], [EXIT]],Sheet1!$A$70:$A$71,Sheet1!$C$70:$C$71))</f>
        <v>1890021.5999999996</v>
      </c>
      <c r="L358" s="13" t="s">
        <v>61</v>
      </c>
      <c r="M358" s="4">
        <f>IF(Table1[[#This Row], [EQUIPMENT]]="YES",Sheet1!$C$44*(1+Sheet1!$D$44),0)</f>
        <v>0</v>
      </c>
      <c r="N358" s="4">
        <f>_xlfn.XLOOKUP(Table1[[#This Row], [ROOM]],Sheet1!$A$47:$A$66,Sheet1!$F$47:$F$66)</f>
        <v>17800000</v>
      </c>
      <c r="O358" s="9">
        <f>_xlfn.XLOOKUP(_xlfn.CONCAT(Table1[[#This Row], [TEAM]],Table1[[#This Row], [ROOM]]),'ROOM TIME'!$H$2:$H$121,'ROOM TIME'!$J$2:$J$121)</f>
        <v>43.211666666666666</v>
      </c>
      <c r="P358" s="9">
        <f>(INDEX(Sheet1!$X$48:$Z$67,MATCH(Table1[[#This Row], [ROOM]],Sheet1!$P$48:$P$67,0),MATCH(Table1[[#This Row], [WEAPON]],Sheet1!$X$47:$Z$47,0)))/Table1[[#This Row], [NUM OF MEM]]</f>
        <v>5.4000000000000012</v>
      </c>
      <c r="Q358" s="9">
        <f>Table1[[#This Row], [ROOM TIME]]+Table1[[#This Row], [GUARD TIME]]</f>
        <v>48.611666666666665</v>
      </c>
      <c r="R358" s="4">
        <f>Sheet1!$K$3*_xlfn.XLOOKUP(Table1[[#This Row], [DISGUISE]],Sheet1!$A$21:$A$23,Sheet1!$D$21:$D$23)</f>
        <v>66</v>
      </c>
      <c r="S358" s="9">
        <f>Table1[[#This Row], [TOTAL TIME]]-Table1[[#This Row], [TOTAL TIME TAKEN]]</f>
        <v>17.388333333333335</v>
      </c>
      <c r="T358" t="str">
        <f>IF(Table1[[#This Row], [TIME DIFFERENCE]]&gt;=0,"PASS","FAIL")</f>
        <v>PASS</v>
      </c>
      <c r="U358" s="9">
        <f>Table1[[#This Row], [TRC]]+Table1[[#This Row], [DRC]]+Table1[[#This Row], [WRC]]+Table1[[#This Row], [ERC]]+Table1[[#This Row], [EQRC]]</f>
        <v>7904621.5999999996</v>
      </c>
      <c r="V358" s="9">
        <f>Table1[[#This Row], [TOTAL COST]]+_xlfn.XLOOKUP(Table1[[#This Row], [TEAM]],Sheet1!$A$12:$A$17,Sheet1!$I$12:$I$17)</f>
        <v>8201121.5999999996</v>
      </c>
      <c r="W358" s="9">
        <f>Table1[[#This Row], [LOOT]]-Table1[[#This Row], [TOTAL COST]]</f>
        <v>9895378.4000000004</v>
      </c>
      <c r="X358" s="9">
        <f>IF(Table1[[#This Row], [PASS/FAIL]]="FAIL",0,Table1[[#This Row], [PROFIT]])</f>
        <v>9895378.4000000004</v>
      </c>
    </row>
    <row r="359" spans="1:24" ht="19.5" customHeight="1" x14ac:dyDescent="0.45">
      <c r="A359" t="s">
        <v>12</v>
      </c>
      <c r="B359" s="14">
        <f>_xlfn.XLOOKUP(Table1[[#This Row], [TEAM]],Sheet1!$A$12:$A$17,Sheet1!$F$12:$F$17)</f>
        <v>3</v>
      </c>
      <c r="C359" s="14">
        <f>_xlfn.XLOOKUP(Table1[[#This Row], [TEAM]],Sheet1!$A$12:$A$17,Sheet1!$G$12:$G$17)</f>
        <v>5988750</v>
      </c>
      <c r="D359" t="s">
        <v>10</v>
      </c>
      <c r="E359" s="4">
        <f>_xlfn.XLOOKUP(Table1[[#This Row], [ROOM]],Sheet1!$A$47:$A$66,Sheet1!$B$47:$B$66)</f>
        <v>123</v>
      </c>
      <c r="F359" t="s">
        <v>58</v>
      </c>
      <c r="G359" s="4">
        <f>_xlfn.XLOOKUP(Table1[[#This Row], [DISGUISE]],Sheet1!$A$21:$A$23,Sheet1!$B$21:$B$23)*Table1[[#This Row], [NUM OF MEM]]*(1+_xlfn.XLOOKUP(Table1[[#This Row], [DISGUISE]],Sheet1!$A$21:$A$23,Sheet1!$C$21:$C$23))</f>
        <v>38400</v>
      </c>
      <c r="H359" s="13" t="s">
        <v>59</v>
      </c>
      <c r="I359" s="4">
        <f>_xlfn.XLOOKUP(Table1[[#This Row], [WEAPON]],Sheet1!$A$27:$A$29,Sheet1!$B$27:$B$29)*Table1[[#This Row], [NUM OF MEM]]*(1+_xlfn.XLOOKUP(Table1[[#This Row], [WEAPON]],Sheet1!$A$27:$A$29,Sheet1!$C$27:$C$29))</f>
        <v>136500</v>
      </c>
      <c r="J359" t="s">
        <v>60</v>
      </c>
      <c r="K359" s="9">
        <f>Table1[[#This Row], [NUM OF MEM]]*Table1[[#This Row], [TOTAL TIME TAKEN]]*_xlfn.XLOOKUP(Table1[[#This Row], [EXIT]],Sheet1!$A$70:$A$71,Sheet1!$B$70:$B$71)*(1+_xlfn.XLOOKUP(Table1[[#This Row], [EXIT]],Sheet1!$A$70:$A$71,Sheet1!$C$70:$C$71))</f>
        <v>1792743.0249999992</v>
      </c>
      <c r="L359" s="13" t="s">
        <v>61</v>
      </c>
      <c r="M359" s="4">
        <f>IF(Table1[[#This Row], [EQUIPMENT]]="YES",Sheet1!$C$44*(1+Sheet1!$D$44),0)</f>
        <v>0</v>
      </c>
      <c r="N359" s="4">
        <f>_xlfn.XLOOKUP(Table1[[#This Row], [ROOM]],Sheet1!$A$47:$A$66,Sheet1!$F$47:$F$66)</f>
        <v>17850000</v>
      </c>
      <c r="O359" s="9">
        <f>_xlfn.XLOOKUP(_xlfn.CONCAT(Table1[[#This Row], [TEAM]],Table1[[#This Row], [ROOM]]),'ROOM TIME'!$H$2:$H$121,'ROOM TIME'!$J$2:$J$121)</f>
        <v>41.967777777777762</v>
      </c>
      <c r="P359" s="9">
        <f>(INDEX(Sheet1!$X$48:$Z$67,MATCH(Table1[[#This Row], [ROOM]],Sheet1!$P$48:$P$67,0),MATCH(Table1[[#This Row], [WEAPON]],Sheet1!$X$47:$Z$47,0)))/Table1[[#This Row], [NUM OF MEM]]</f>
        <v>4.5999999999999996</v>
      </c>
      <c r="Q359" s="9">
        <f>Table1[[#This Row], [ROOM TIME]]+Table1[[#This Row], [GUARD TIME]]</f>
        <v>46.567777777777764</v>
      </c>
      <c r="R359" s="4">
        <f>Sheet1!$K$3*_xlfn.XLOOKUP(Table1[[#This Row], [DISGUISE]],Sheet1!$A$21:$A$23,Sheet1!$D$21:$D$23)</f>
        <v>69</v>
      </c>
      <c r="S359" s="9">
        <f>Table1[[#This Row], [TOTAL TIME]]-Table1[[#This Row], [TOTAL TIME TAKEN]]</f>
        <v>22.432222222222236</v>
      </c>
      <c r="T359" t="str">
        <f>IF(Table1[[#This Row], [TIME DIFFERENCE]]&gt;=0,"PASS","FAIL")</f>
        <v>PASS</v>
      </c>
      <c r="U359" s="9">
        <f>Table1[[#This Row], [TRC]]+Table1[[#This Row], [DRC]]+Table1[[#This Row], [WRC]]+Table1[[#This Row], [ERC]]+Table1[[#This Row], [EQRC]]</f>
        <v>7956393.0249999994</v>
      </c>
      <c r="V359" s="9">
        <f>Table1[[#This Row], [TOTAL COST]]+_xlfn.XLOOKUP(Table1[[#This Row], [TEAM]],Sheet1!$A$12:$A$17,Sheet1!$I$12:$I$17)</f>
        <v>8255830.5249999994</v>
      </c>
      <c r="W359" s="9">
        <f>Table1[[#This Row], [LOOT]]-Table1[[#This Row], [TOTAL COST]]</f>
        <v>9893606.9750000015</v>
      </c>
      <c r="X359" s="9">
        <f>IF(Table1[[#This Row], [PASS/FAIL]]="FAIL",0,Table1[[#This Row], [PROFIT]])</f>
        <v>9893606.9750000015</v>
      </c>
    </row>
    <row r="360" spans="1:24" ht="19.5" customHeight="1" x14ac:dyDescent="0.45">
      <c r="A360" t="s">
        <v>9</v>
      </c>
      <c r="B360" s="14">
        <f>_xlfn.XLOOKUP(Table1[[#This Row], [TEAM]],Sheet1!$A$12:$A$17,Sheet1!$F$12:$F$17)</f>
        <v>3</v>
      </c>
      <c r="C360" s="14">
        <f>_xlfn.XLOOKUP(Table1[[#This Row], [TEAM]],Sheet1!$A$12:$A$17,Sheet1!$G$12:$G$17)</f>
        <v>6238750</v>
      </c>
      <c r="D360" t="s">
        <v>32</v>
      </c>
      <c r="E360" s="4">
        <f>_xlfn.XLOOKUP(Table1[[#This Row], [ROOM]],Sheet1!$A$47:$A$66,Sheet1!$B$47:$B$66)</f>
        <v>346</v>
      </c>
      <c r="F360" t="s">
        <v>58</v>
      </c>
      <c r="G360" s="4">
        <f>_xlfn.XLOOKUP(Table1[[#This Row], [DISGUISE]],Sheet1!$A$21:$A$23,Sheet1!$B$21:$B$23)*Table1[[#This Row], [NUM OF MEM]]*(1+_xlfn.XLOOKUP(Table1[[#This Row], [DISGUISE]],Sheet1!$A$21:$A$23,Sheet1!$C$21:$C$23))</f>
        <v>38400</v>
      </c>
      <c r="H360" s="13" t="s">
        <v>66</v>
      </c>
      <c r="I360" s="4">
        <f>_xlfn.XLOOKUP(Table1[[#This Row], [WEAPON]],Sheet1!$A$27:$A$29,Sheet1!$B$27:$B$29)*Table1[[#This Row], [NUM OF MEM]]*(1+_xlfn.XLOOKUP(Table1[[#This Row], [WEAPON]],Sheet1!$A$27:$A$29,Sheet1!$C$27:$C$29))</f>
        <v>108000</v>
      </c>
      <c r="J360" t="s">
        <v>60</v>
      </c>
      <c r="K360" s="9">
        <f>Table1[[#This Row], [NUM OF MEM]]*Table1[[#This Row], [TOTAL TIME TAKEN]]*_xlfn.XLOOKUP(Table1[[#This Row], [EXIT]],Sheet1!$A$70:$A$71,Sheet1!$B$70:$B$71)*(1+_xlfn.XLOOKUP(Table1[[#This Row], [EXIT]],Sheet1!$A$70:$A$71,Sheet1!$C$70:$C$71))</f>
        <v>1613900.7499999993</v>
      </c>
      <c r="L360" s="13" t="s">
        <v>65</v>
      </c>
      <c r="M360" s="4">
        <f>IF(Table1[[#This Row], [EQUIPMENT]]="YES",Sheet1!$C$44*(1+Sheet1!$D$44),0)</f>
        <v>307500</v>
      </c>
      <c r="N360" s="4">
        <f>_xlfn.XLOOKUP(Table1[[#This Row], [ROOM]],Sheet1!$A$47:$A$66,Sheet1!$F$47:$F$66)</f>
        <v>18200000</v>
      </c>
      <c r="O360" s="9">
        <f>_xlfn.XLOOKUP(_xlfn.CONCAT(Table1[[#This Row], [TEAM]],Table1[[#This Row], [ROOM]]),'ROOM TIME'!$H$2:$H$121,'ROOM TIME'!$J$2:$J$121)</f>
        <v>36.505555555555546</v>
      </c>
      <c r="P360" s="9">
        <f>(INDEX(Sheet1!$X$48:$Z$67,MATCH(Table1[[#This Row], [ROOM]],Sheet1!$P$48:$P$67,0),MATCH(Table1[[#This Row], [WEAPON]],Sheet1!$X$47:$Z$47,0)))/Table1[[#This Row], [NUM OF MEM]]</f>
        <v>5.416666666666667</v>
      </c>
      <c r="Q360" s="9">
        <f>Table1[[#This Row], [ROOM TIME]]+Table1[[#This Row], [GUARD TIME]]</f>
        <v>41.92222222222221</v>
      </c>
      <c r="R360" s="4">
        <f>Sheet1!$K$3*_xlfn.XLOOKUP(Table1[[#This Row], [DISGUISE]],Sheet1!$A$21:$A$23,Sheet1!$D$21:$D$23)</f>
        <v>69</v>
      </c>
      <c r="S360" s="9">
        <f>Table1[[#This Row], [TOTAL TIME]]-Table1[[#This Row], [TOTAL TIME TAKEN]]</f>
        <v>27.07777777777779</v>
      </c>
      <c r="T360" t="str">
        <f>IF(Table1[[#This Row], [TIME DIFFERENCE]]&gt;=0,"PASS","FAIL")</f>
        <v>PASS</v>
      </c>
      <c r="U360" s="9">
        <f>Table1[[#This Row], [TRC]]+Table1[[#This Row], [DRC]]+Table1[[#This Row], [WRC]]+Table1[[#This Row], [ERC]]+Table1[[#This Row], [EQRC]]</f>
        <v>8306550.7499999991</v>
      </c>
      <c r="V360" s="9">
        <f>Table1[[#This Row], [TOTAL COST]]+_xlfn.XLOOKUP(Table1[[#This Row], [TEAM]],Sheet1!$A$12:$A$17,Sheet1!$I$12:$I$17)</f>
        <v>8618488.25</v>
      </c>
      <c r="W360" s="9">
        <f>Table1[[#This Row], [LOOT]]-Table1[[#This Row], [TOTAL COST]]</f>
        <v>9893449.25</v>
      </c>
      <c r="X360" s="9">
        <f>IF(Table1[[#This Row], [PASS/FAIL]]="FAIL",0,Table1[[#This Row], [PROFIT]])</f>
        <v>9893449.25</v>
      </c>
    </row>
    <row r="361" spans="1:24" ht="19.5" customHeight="1" x14ac:dyDescent="0.45">
      <c r="A361" t="s">
        <v>9</v>
      </c>
      <c r="B361" s="14">
        <f>_xlfn.XLOOKUP(Table1[[#This Row], [TEAM]],Sheet1!$A$12:$A$17,Sheet1!$F$12:$F$17)</f>
        <v>3</v>
      </c>
      <c r="C361" s="14">
        <f>_xlfn.XLOOKUP(Table1[[#This Row], [TEAM]],Sheet1!$A$12:$A$17,Sheet1!$G$12:$G$17)</f>
        <v>6238750</v>
      </c>
      <c r="D361" t="s">
        <v>19</v>
      </c>
      <c r="E361" s="4">
        <f>_xlfn.XLOOKUP(Table1[[#This Row], [ROOM]],Sheet1!$A$47:$A$66,Sheet1!$B$47:$B$66)</f>
        <v>135</v>
      </c>
      <c r="F361" t="s">
        <v>62</v>
      </c>
      <c r="G361" s="4">
        <f>_xlfn.XLOOKUP(Table1[[#This Row], [DISGUISE]],Sheet1!$A$21:$A$23,Sheet1!$B$21:$B$23)*Table1[[#This Row], [NUM OF MEM]]*(1+_xlfn.XLOOKUP(Table1[[#This Row], [DISGUISE]],Sheet1!$A$21:$A$23,Sheet1!$C$21:$C$23))</f>
        <v>15600</v>
      </c>
      <c r="H361" s="13" t="s">
        <v>59</v>
      </c>
      <c r="I361" s="4">
        <f>_xlfn.XLOOKUP(Table1[[#This Row], [WEAPON]],Sheet1!$A$27:$A$29,Sheet1!$B$27:$B$29)*Table1[[#This Row], [NUM OF MEM]]*(1+_xlfn.XLOOKUP(Table1[[#This Row], [WEAPON]],Sheet1!$A$27:$A$29,Sheet1!$C$27:$C$29))</f>
        <v>136500</v>
      </c>
      <c r="J361" t="s">
        <v>64</v>
      </c>
      <c r="K361" s="9">
        <f>Table1[[#This Row], [NUM OF MEM]]*Table1[[#This Row], [TOTAL TIME TAKEN]]*_xlfn.XLOOKUP(Table1[[#This Row], [EXIT]],Sheet1!$A$70:$A$71,Sheet1!$B$70:$B$71)*(1+_xlfn.XLOOKUP(Table1[[#This Row], [EXIT]],Sheet1!$A$70:$A$71,Sheet1!$C$70:$C$71))</f>
        <v>1666634.3999999994</v>
      </c>
      <c r="L361" s="13" t="s">
        <v>61</v>
      </c>
      <c r="M361" s="4">
        <f>IF(Table1[[#This Row], [EQUIPMENT]]="YES",Sheet1!$C$44*(1+Sheet1!$D$44),0)</f>
        <v>0</v>
      </c>
      <c r="N361" s="4">
        <f>_xlfn.XLOOKUP(Table1[[#This Row], [ROOM]],Sheet1!$A$47:$A$66,Sheet1!$F$47:$F$66)</f>
        <v>17950000</v>
      </c>
      <c r="O361" s="9">
        <f>_xlfn.XLOOKUP(_xlfn.CONCAT(Table1[[#This Row], [TEAM]],Table1[[#This Row], [ROOM]]),'ROOM TIME'!$H$2:$H$121,'ROOM TIME'!$J$2:$J$121)</f>
        <v>38.649444444444434</v>
      </c>
      <c r="P361" s="9">
        <f>(INDEX(Sheet1!$X$48:$Z$67,MATCH(Table1[[#This Row], [ROOM]],Sheet1!$P$48:$P$67,0),MATCH(Table1[[#This Row], [WEAPON]],Sheet1!$X$47:$Z$47,0)))/Table1[[#This Row], [NUM OF MEM]]</f>
        <v>4.2166666666666659</v>
      </c>
      <c r="Q361" s="9">
        <f>Table1[[#This Row], [ROOM TIME]]+Table1[[#This Row], [GUARD TIME]]</f>
        <v>42.866111111111103</v>
      </c>
      <c r="R361" s="4">
        <f>Sheet1!$K$3*_xlfn.XLOOKUP(Table1[[#This Row], [DISGUISE]],Sheet1!$A$21:$A$23,Sheet1!$D$21:$D$23)</f>
        <v>66</v>
      </c>
      <c r="S361" s="9">
        <f>Table1[[#This Row], [TOTAL TIME]]-Table1[[#This Row], [TOTAL TIME TAKEN]]</f>
        <v>23.133888888888897</v>
      </c>
      <c r="T361" t="str">
        <f>IF(Table1[[#This Row], [TIME DIFFERENCE]]&gt;=0,"PASS","FAIL")</f>
        <v>PASS</v>
      </c>
      <c r="U361" s="9">
        <f>Table1[[#This Row], [TRC]]+Table1[[#This Row], [DRC]]+Table1[[#This Row], [WRC]]+Table1[[#This Row], [ERC]]+Table1[[#This Row], [EQRC]]</f>
        <v>8057484.3999999994</v>
      </c>
      <c r="V361" s="9">
        <f>Table1[[#This Row], [TOTAL COST]]+_xlfn.XLOOKUP(Table1[[#This Row], [TEAM]],Sheet1!$A$12:$A$17,Sheet1!$I$12:$I$17)</f>
        <v>8369421.8999999994</v>
      </c>
      <c r="W361" s="9">
        <f>Table1[[#This Row], [LOOT]]-Table1[[#This Row], [TOTAL COST]]</f>
        <v>9892515.6000000015</v>
      </c>
      <c r="X361" s="9">
        <f>IF(Table1[[#This Row], [PASS/FAIL]]="FAIL",0,Table1[[#This Row], [PROFIT]])</f>
        <v>9892515.6000000015</v>
      </c>
    </row>
    <row r="362" spans="1:24" ht="19.5" customHeight="1" x14ac:dyDescent="0.45">
      <c r="A362" t="s">
        <v>9</v>
      </c>
      <c r="B362" s="14">
        <f>_xlfn.XLOOKUP(Table1[[#This Row], [TEAM]],Sheet1!$A$12:$A$17,Sheet1!$F$12:$F$17)</f>
        <v>3</v>
      </c>
      <c r="C362" s="14">
        <f>_xlfn.XLOOKUP(Table1[[#This Row], [TEAM]],Sheet1!$A$12:$A$17,Sheet1!$G$12:$G$17)</f>
        <v>6238750</v>
      </c>
      <c r="D362" t="s">
        <v>26</v>
      </c>
      <c r="E362" s="4">
        <f>_xlfn.XLOOKUP(Table1[[#This Row], [ROOM]],Sheet1!$A$47:$A$66,Sheet1!$B$47:$B$66)</f>
        <v>136</v>
      </c>
      <c r="F362" t="s">
        <v>62</v>
      </c>
      <c r="G362" s="4">
        <f>_xlfn.XLOOKUP(Table1[[#This Row], [DISGUISE]],Sheet1!$A$21:$A$23,Sheet1!$B$21:$B$23)*Table1[[#This Row], [NUM OF MEM]]*(1+_xlfn.XLOOKUP(Table1[[#This Row], [DISGUISE]],Sheet1!$A$21:$A$23,Sheet1!$C$21:$C$23))</f>
        <v>15600</v>
      </c>
      <c r="H362" s="13" t="s">
        <v>63</v>
      </c>
      <c r="I362" s="4">
        <f>_xlfn.XLOOKUP(Table1[[#This Row], [WEAPON]],Sheet1!$A$27:$A$29,Sheet1!$B$27:$B$29)*Table1[[#This Row], [NUM OF MEM]]*(1+_xlfn.XLOOKUP(Table1[[#This Row], [WEAPON]],Sheet1!$A$27:$A$29,Sheet1!$C$27:$C$29))</f>
        <v>69000</v>
      </c>
      <c r="J362" t="s">
        <v>64</v>
      </c>
      <c r="K362" s="9">
        <f>Table1[[#This Row], [NUM OF MEM]]*Table1[[#This Row], [TOTAL TIME TAKEN]]*_xlfn.XLOOKUP(Table1[[#This Row], [EXIT]],Sheet1!$A$70:$A$71,Sheet1!$B$70:$B$71)*(1+_xlfn.XLOOKUP(Table1[[#This Row], [EXIT]],Sheet1!$A$70:$A$71,Sheet1!$C$70:$C$71))</f>
        <v>1626847.1999999997</v>
      </c>
      <c r="L362" s="13" t="s">
        <v>65</v>
      </c>
      <c r="M362" s="4">
        <f>IF(Table1[[#This Row], [EQUIPMENT]]="YES",Sheet1!$C$44*(1+Sheet1!$D$44),0)</f>
        <v>307500</v>
      </c>
      <c r="N362" s="4">
        <f>_xlfn.XLOOKUP(Table1[[#This Row], [ROOM]],Sheet1!$A$47:$A$66,Sheet1!$F$47:$F$66)</f>
        <v>18150000</v>
      </c>
      <c r="O362" s="9">
        <f>_xlfn.XLOOKUP(_xlfn.CONCAT(Table1[[#This Row], [TEAM]],Table1[[#This Row], [ROOM]]),'ROOM TIME'!$H$2:$H$121,'ROOM TIME'!$J$2:$J$121)</f>
        <v>36.442777777777771</v>
      </c>
      <c r="P362" s="9">
        <f>(INDEX(Sheet1!$X$48:$Z$67,MATCH(Table1[[#This Row], [ROOM]],Sheet1!$P$48:$P$67,0),MATCH(Table1[[#This Row], [WEAPON]],Sheet1!$X$47:$Z$47,0)))/Table1[[#This Row], [NUM OF MEM]]</f>
        <v>5.4000000000000012</v>
      </c>
      <c r="Q362" s="9">
        <f>Table1[[#This Row], [ROOM TIME]]+Table1[[#This Row], [GUARD TIME]]</f>
        <v>41.842777777777769</v>
      </c>
      <c r="R362" s="4">
        <f>Sheet1!$K$3*_xlfn.XLOOKUP(Table1[[#This Row], [DISGUISE]],Sheet1!$A$21:$A$23,Sheet1!$D$21:$D$23)</f>
        <v>66</v>
      </c>
      <c r="S362" s="9">
        <f>Table1[[#This Row], [TOTAL TIME]]-Table1[[#This Row], [TOTAL TIME TAKEN]]</f>
        <v>24.157222222222231</v>
      </c>
      <c r="T362" t="str">
        <f>IF(Table1[[#This Row], [TIME DIFFERENCE]]&gt;=0,"PASS","FAIL")</f>
        <v>PASS</v>
      </c>
      <c r="U362" s="9">
        <f>Table1[[#This Row], [TRC]]+Table1[[#This Row], [DRC]]+Table1[[#This Row], [WRC]]+Table1[[#This Row], [ERC]]+Table1[[#This Row], [EQRC]]</f>
        <v>8257697.1999999993</v>
      </c>
      <c r="V362" s="9">
        <f>Table1[[#This Row], [TOTAL COST]]+_xlfn.XLOOKUP(Table1[[#This Row], [TEAM]],Sheet1!$A$12:$A$17,Sheet1!$I$12:$I$17)</f>
        <v>8569634.6999999993</v>
      </c>
      <c r="W362" s="9">
        <f>Table1[[#This Row], [LOOT]]-Table1[[#This Row], [TOTAL COST]]</f>
        <v>9892302.8000000007</v>
      </c>
      <c r="X362" s="9">
        <f>IF(Table1[[#This Row], [PASS/FAIL]]="FAIL",0,Table1[[#This Row], [PROFIT]])</f>
        <v>9892302.8000000007</v>
      </c>
    </row>
    <row r="363" spans="1:24" ht="19.5" customHeight="1" x14ac:dyDescent="0.45">
      <c r="A363" t="s">
        <v>13</v>
      </c>
      <c r="B363" s="14">
        <f>_xlfn.XLOOKUP(Table1[[#This Row], [TEAM]],Sheet1!$A$12:$A$17,Sheet1!$F$12:$F$17)</f>
        <v>3</v>
      </c>
      <c r="C363" s="14">
        <f>_xlfn.XLOOKUP(Table1[[#This Row], [TEAM]],Sheet1!$A$12:$A$17,Sheet1!$G$12:$G$17)</f>
        <v>5930000</v>
      </c>
      <c r="D363" t="s">
        <v>10</v>
      </c>
      <c r="E363" s="4">
        <f>_xlfn.XLOOKUP(Table1[[#This Row], [ROOM]],Sheet1!$A$47:$A$66,Sheet1!$B$47:$B$66)</f>
        <v>123</v>
      </c>
      <c r="F363" t="s">
        <v>62</v>
      </c>
      <c r="G363" s="4">
        <f>_xlfn.XLOOKUP(Table1[[#This Row], [DISGUISE]],Sheet1!$A$21:$A$23,Sheet1!$B$21:$B$23)*Table1[[#This Row], [NUM OF MEM]]*(1+_xlfn.XLOOKUP(Table1[[#This Row], [DISGUISE]],Sheet1!$A$21:$A$23,Sheet1!$C$21:$C$23))</f>
        <v>15600</v>
      </c>
      <c r="H363" s="13" t="s">
        <v>59</v>
      </c>
      <c r="I363" s="4">
        <f>_xlfn.XLOOKUP(Table1[[#This Row], [WEAPON]],Sheet1!$A$27:$A$29,Sheet1!$B$27:$B$29)*Table1[[#This Row], [NUM OF MEM]]*(1+_xlfn.XLOOKUP(Table1[[#This Row], [WEAPON]],Sheet1!$A$27:$A$29,Sheet1!$C$27:$C$29))</f>
        <v>136500</v>
      </c>
      <c r="J363" t="s">
        <v>64</v>
      </c>
      <c r="K363" s="9">
        <f>Table1[[#This Row], [NUM OF MEM]]*Table1[[#This Row], [TOTAL TIME TAKEN]]*_xlfn.XLOOKUP(Table1[[#This Row], [EXIT]],Sheet1!$A$70:$A$71,Sheet1!$B$70:$B$71)*(1+_xlfn.XLOOKUP(Table1[[#This Row], [EXIT]],Sheet1!$A$70:$A$71,Sheet1!$C$70:$C$71))</f>
        <v>1876132.7999999996</v>
      </c>
      <c r="L363" s="13" t="s">
        <v>61</v>
      </c>
      <c r="M363" s="4">
        <f>IF(Table1[[#This Row], [EQUIPMENT]]="YES",Sheet1!$C$44*(1+Sheet1!$D$44),0)</f>
        <v>0</v>
      </c>
      <c r="N363" s="4">
        <f>_xlfn.XLOOKUP(Table1[[#This Row], [ROOM]],Sheet1!$A$47:$A$66,Sheet1!$F$47:$F$66)</f>
        <v>17850000</v>
      </c>
      <c r="O363" s="9">
        <f>_xlfn.XLOOKUP(_xlfn.CONCAT(Table1[[#This Row], [TEAM]],Table1[[#This Row], [ROOM]]),'ROOM TIME'!$H$2:$H$121,'ROOM TIME'!$J$2:$J$121)</f>
        <v>43.654444444444437</v>
      </c>
      <c r="P363" s="9">
        <f>(INDEX(Sheet1!$X$48:$Z$67,MATCH(Table1[[#This Row], [ROOM]],Sheet1!$P$48:$P$67,0),MATCH(Table1[[#This Row], [WEAPON]],Sheet1!$X$47:$Z$47,0)))/Table1[[#This Row], [NUM OF MEM]]</f>
        <v>4.5999999999999996</v>
      </c>
      <c r="Q363" s="9">
        <f>Table1[[#This Row], [ROOM TIME]]+Table1[[#This Row], [GUARD TIME]]</f>
        <v>48.254444444444438</v>
      </c>
      <c r="R363" s="4">
        <f>Sheet1!$K$3*_xlfn.XLOOKUP(Table1[[#This Row], [DISGUISE]],Sheet1!$A$21:$A$23,Sheet1!$D$21:$D$23)</f>
        <v>66</v>
      </c>
      <c r="S363" s="9">
        <f>Table1[[#This Row], [TOTAL TIME]]-Table1[[#This Row], [TOTAL TIME TAKEN]]</f>
        <v>17.745555555555562</v>
      </c>
      <c r="T363" t="str">
        <f>IF(Table1[[#This Row], [TIME DIFFERENCE]]&gt;=0,"PASS","FAIL")</f>
        <v>PASS</v>
      </c>
      <c r="U363" s="9">
        <f>Table1[[#This Row], [TRC]]+Table1[[#This Row], [DRC]]+Table1[[#This Row], [WRC]]+Table1[[#This Row], [ERC]]+Table1[[#This Row], [EQRC]]</f>
        <v>7958232.7999999998</v>
      </c>
      <c r="V363" s="9">
        <f>Table1[[#This Row], [TOTAL COST]]+_xlfn.XLOOKUP(Table1[[#This Row], [TEAM]],Sheet1!$A$12:$A$17,Sheet1!$I$12:$I$17)</f>
        <v>8254732.7999999998</v>
      </c>
      <c r="W363" s="9">
        <f>Table1[[#This Row], [LOOT]]-Table1[[#This Row], [TOTAL COST]]</f>
        <v>9891767.1999999993</v>
      </c>
      <c r="X363" s="9">
        <f>IF(Table1[[#This Row], [PASS/FAIL]]="FAIL",0,Table1[[#This Row], [PROFIT]])</f>
        <v>9891767.1999999993</v>
      </c>
    </row>
    <row r="364" spans="1:24" ht="19.5" customHeight="1" x14ac:dyDescent="0.45">
      <c r="A364" t="s">
        <v>13</v>
      </c>
      <c r="B364" s="14">
        <f>_xlfn.XLOOKUP(Table1[[#This Row], [TEAM]],Sheet1!$A$12:$A$17,Sheet1!$F$12:$F$17)</f>
        <v>3</v>
      </c>
      <c r="C364" s="14">
        <f>_xlfn.XLOOKUP(Table1[[#This Row], [TEAM]],Sheet1!$A$12:$A$17,Sheet1!$G$12:$G$17)</f>
        <v>5930000</v>
      </c>
      <c r="D364" t="s">
        <v>22</v>
      </c>
      <c r="E364" s="4">
        <f>_xlfn.XLOOKUP(Table1[[#This Row], [ROOM]],Sheet1!$A$47:$A$66,Sheet1!$B$47:$B$66)</f>
        <v>235</v>
      </c>
      <c r="F364" t="s">
        <v>58</v>
      </c>
      <c r="G364" s="4">
        <f>_xlfn.XLOOKUP(Table1[[#This Row], [DISGUISE]],Sheet1!$A$21:$A$23,Sheet1!$B$21:$B$23)*Table1[[#This Row], [NUM OF MEM]]*(1+_xlfn.XLOOKUP(Table1[[#This Row], [DISGUISE]],Sheet1!$A$21:$A$23,Sheet1!$C$21:$C$23))</f>
        <v>38400</v>
      </c>
      <c r="H364" s="13" t="s">
        <v>63</v>
      </c>
      <c r="I364" s="4">
        <f>_xlfn.XLOOKUP(Table1[[#This Row], [WEAPON]],Sheet1!$A$27:$A$29,Sheet1!$B$27:$B$29)*Table1[[#This Row], [NUM OF MEM]]*(1+_xlfn.XLOOKUP(Table1[[#This Row], [WEAPON]],Sheet1!$A$27:$A$29,Sheet1!$C$27:$C$29))</f>
        <v>69000</v>
      </c>
      <c r="J364" t="s">
        <v>60</v>
      </c>
      <c r="K364" s="9">
        <f>Table1[[#This Row], [NUM OF MEM]]*Table1[[#This Row], [TOTAL TIME TAKEN]]*_xlfn.XLOOKUP(Table1[[#This Row], [EXIT]],Sheet1!$A$70:$A$71,Sheet1!$B$70:$B$71)*(1+_xlfn.XLOOKUP(Table1[[#This Row], [EXIT]],Sheet1!$A$70:$A$71,Sheet1!$C$70:$C$71))</f>
        <v>1871427.6374999997</v>
      </c>
      <c r="L364" s="13" t="s">
        <v>61</v>
      </c>
      <c r="M364" s="4">
        <f>IF(Table1[[#This Row], [EQUIPMENT]]="YES",Sheet1!$C$44*(1+Sheet1!$D$44),0)</f>
        <v>0</v>
      </c>
      <c r="N364" s="4">
        <f>_xlfn.XLOOKUP(Table1[[#This Row], [ROOM]],Sheet1!$A$47:$A$66,Sheet1!$F$47:$F$66)</f>
        <v>17800000</v>
      </c>
      <c r="O364" s="9">
        <f>_xlfn.XLOOKUP(_xlfn.CONCAT(Table1[[#This Row], [TEAM]],Table1[[#This Row], [ROOM]]),'ROOM TIME'!$H$2:$H$121,'ROOM TIME'!$J$2:$J$121)</f>
        <v>43.211666666666666</v>
      </c>
      <c r="P364" s="9">
        <f>(INDEX(Sheet1!$X$48:$Z$67,MATCH(Table1[[#This Row], [ROOM]],Sheet1!$P$48:$P$67,0),MATCH(Table1[[#This Row], [WEAPON]],Sheet1!$X$47:$Z$47,0)))/Table1[[#This Row], [NUM OF MEM]]</f>
        <v>5.4000000000000012</v>
      </c>
      <c r="Q364" s="9">
        <f>Table1[[#This Row], [ROOM TIME]]+Table1[[#This Row], [GUARD TIME]]</f>
        <v>48.611666666666665</v>
      </c>
      <c r="R364" s="4">
        <f>Sheet1!$K$3*_xlfn.XLOOKUP(Table1[[#This Row], [DISGUISE]],Sheet1!$A$21:$A$23,Sheet1!$D$21:$D$23)</f>
        <v>69</v>
      </c>
      <c r="S364" s="9">
        <f>Table1[[#This Row], [TOTAL TIME]]-Table1[[#This Row], [TOTAL TIME TAKEN]]</f>
        <v>20.388333333333335</v>
      </c>
      <c r="T364" t="str">
        <f>IF(Table1[[#This Row], [TIME DIFFERENCE]]&gt;=0,"PASS","FAIL")</f>
        <v>PASS</v>
      </c>
      <c r="U364" s="9">
        <f>Table1[[#This Row], [TRC]]+Table1[[#This Row], [DRC]]+Table1[[#This Row], [WRC]]+Table1[[#This Row], [ERC]]+Table1[[#This Row], [EQRC]]</f>
        <v>7908827.6374999993</v>
      </c>
      <c r="V364" s="9">
        <f>Table1[[#This Row], [TOTAL COST]]+_xlfn.XLOOKUP(Table1[[#This Row], [TEAM]],Sheet1!$A$12:$A$17,Sheet1!$I$12:$I$17)</f>
        <v>8205327.6374999993</v>
      </c>
      <c r="W364" s="9">
        <f>Table1[[#This Row], [LOOT]]-Table1[[#This Row], [TOTAL COST]]</f>
        <v>9891172.3625000007</v>
      </c>
      <c r="X364" s="9">
        <f>IF(Table1[[#This Row], [PASS/FAIL]]="FAIL",0,Table1[[#This Row], [PROFIT]])</f>
        <v>9891172.3625000007</v>
      </c>
    </row>
    <row r="365" spans="1:24" ht="19.5" customHeight="1" x14ac:dyDescent="0.45">
      <c r="A365" t="s">
        <v>13</v>
      </c>
      <c r="B365" s="14">
        <f>_xlfn.XLOOKUP(Table1[[#This Row], [TEAM]],Sheet1!$A$12:$A$17,Sheet1!$F$12:$F$17)</f>
        <v>3</v>
      </c>
      <c r="C365" s="14">
        <f>_xlfn.XLOOKUP(Table1[[#This Row], [TEAM]],Sheet1!$A$12:$A$17,Sheet1!$G$12:$G$17)</f>
        <v>5930000</v>
      </c>
      <c r="D365" t="s">
        <v>22</v>
      </c>
      <c r="E365" s="4">
        <f>_xlfn.XLOOKUP(Table1[[#This Row], [ROOM]],Sheet1!$A$47:$A$66,Sheet1!$B$47:$B$66)</f>
        <v>235</v>
      </c>
      <c r="F365" t="s">
        <v>62</v>
      </c>
      <c r="G365" s="4">
        <f>_xlfn.XLOOKUP(Table1[[#This Row], [DISGUISE]],Sheet1!$A$21:$A$23,Sheet1!$B$21:$B$23)*Table1[[#This Row], [NUM OF MEM]]*(1+_xlfn.XLOOKUP(Table1[[#This Row], [DISGUISE]],Sheet1!$A$21:$A$23,Sheet1!$C$21:$C$23))</f>
        <v>15600</v>
      </c>
      <c r="H365" s="13" t="s">
        <v>66</v>
      </c>
      <c r="I365" s="4">
        <f>_xlfn.XLOOKUP(Table1[[#This Row], [WEAPON]],Sheet1!$A$27:$A$29,Sheet1!$B$27:$B$29)*Table1[[#This Row], [NUM OF MEM]]*(1+_xlfn.XLOOKUP(Table1[[#This Row], [WEAPON]],Sheet1!$A$27:$A$29,Sheet1!$C$27:$C$29))</f>
        <v>108000</v>
      </c>
      <c r="J365" t="s">
        <v>60</v>
      </c>
      <c r="K365" s="9">
        <f>Table1[[#This Row], [NUM OF MEM]]*Table1[[#This Row], [TOTAL TIME TAKEN]]*_xlfn.XLOOKUP(Table1[[#This Row], [EXIT]],Sheet1!$A$70:$A$71,Sheet1!$B$70:$B$71)*(1+_xlfn.XLOOKUP(Table1[[#This Row], [EXIT]],Sheet1!$A$70:$A$71,Sheet1!$C$70:$C$71))</f>
        <v>1856028.6375</v>
      </c>
      <c r="L365" s="13" t="s">
        <v>61</v>
      </c>
      <c r="M365" s="4">
        <f>IF(Table1[[#This Row], [EQUIPMENT]]="YES",Sheet1!$C$44*(1+Sheet1!$D$44),0)</f>
        <v>0</v>
      </c>
      <c r="N365" s="4">
        <f>_xlfn.XLOOKUP(Table1[[#This Row], [ROOM]],Sheet1!$A$47:$A$66,Sheet1!$F$47:$F$66)</f>
        <v>17800000</v>
      </c>
      <c r="O365" s="9">
        <f>_xlfn.XLOOKUP(_xlfn.CONCAT(Table1[[#This Row], [TEAM]],Table1[[#This Row], [ROOM]]),'ROOM TIME'!$H$2:$H$121,'ROOM TIME'!$J$2:$J$121)</f>
        <v>43.211666666666666</v>
      </c>
      <c r="P365" s="4">
        <f>(INDEX(Sheet1!$X$48:$Z$67,MATCH(Table1[[#This Row], [ROOM]],Sheet1!$P$48:$P$67,0),MATCH(Table1[[#This Row], [WEAPON]],Sheet1!$X$47:$Z$47,0)))/Table1[[#This Row], [NUM OF MEM]]</f>
        <v>5</v>
      </c>
      <c r="Q365" s="9">
        <f>Table1[[#This Row], [ROOM TIME]]+Table1[[#This Row], [GUARD TIME]]</f>
        <v>48.211666666666666</v>
      </c>
      <c r="R365" s="4">
        <f>Sheet1!$K$3*_xlfn.XLOOKUP(Table1[[#This Row], [DISGUISE]],Sheet1!$A$21:$A$23,Sheet1!$D$21:$D$23)</f>
        <v>66</v>
      </c>
      <c r="S365" s="9">
        <f>Table1[[#This Row], [TOTAL TIME]]-Table1[[#This Row], [TOTAL TIME TAKEN]]</f>
        <v>17.788333333333334</v>
      </c>
      <c r="T365" t="str">
        <f>IF(Table1[[#This Row], [TIME DIFFERENCE]]&gt;=0,"PASS","FAIL")</f>
        <v>PASS</v>
      </c>
      <c r="U365" s="9">
        <f>Table1[[#This Row], [TRC]]+Table1[[#This Row], [DRC]]+Table1[[#This Row], [WRC]]+Table1[[#This Row], [ERC]]+Table1[[#This Row], [EQRC]]</f>
        <v>7909628.6375000002</v>
      </c>
      <c r="V365" s="9">
        <f>Table1[[#This Row], [TOTAL COST]]+_xlfn.XLOOKUP(Table1[[#This Row], [TEAM]],Sheet1!$A$12:$A$17,Sheet1!$I$12:$I$17)</f>
        <v>8206128.6375000002</v>
      </c>
      <c r="W365" s="9">
        <f>Table1[[#This Row], [LOOT]]-Table1[[#This Row], [TOTAL COST]]</f>
        <v>9890371.3625000007</v>
      </c>
      <c r="X365" s="9">
        <f>IF(Table1[[#This Row], [PASS/FAIL]]="FAIL",0,Table1[[#This Row], [PROFIT]])</f>
        <v>9890371.3625000007</v>
      </c>
    </row>
    <row r="366" spans="1:24" ht="19.5" customHeight="1" x14ac:dyDescent="0.45">
      <c r="A366" t="s">
        <v>12</v>
      </c>
      <c r="B366" s="14">
        <f>_xlfn.XLOOKUP(Table1[[#This Row], [TEAM]],Sheet1!$A$12:$A$17,Sheet1!$F$12:$F$17)</f>
        <v>3</v>
      </c>
      <c r="C366" s="14">
        <f>_xlfn.XLOOKUP(Table1[[#This Row], [TEAM]],Sheet1!$A$12:$A$17,Sheet1!$G$12:$G$17)</f>
        <v>5988750</v>
      </c>
      <c r="D366" t="s">
        <v>10</v>
      </c>
      <c r="E366" s="4">
        <f>_xlfn.XLOOKUP(Table1[[#This Row], [ROOM]],Sheet1!$A$47:$A$66,Sheet1!$B$47:$B$66)</f>
        <v>123</v>
      </c>
      <c r="F366" t="s">
        <v>58</v>
      </c>
      <c r="G366" s="4">
        <f>_xlfn.XLOOKUP(Table1[[#This Row], [DISGUISE]],Sheet1!$A$21:$A$23,Sheet1!$B$21:$B$23)*Table1[[#This Row], [NUM OF MEM]]*(1+_xlfn.XLOOKUP(Table1[[#This Row], [DISGUISE]],Sheet1!$A$21:$A$23,Sheet1!$C$21:$C$23))</f>
        <v>38400</v>
      </c>
      <c r="H366" s="13" t="s">
        <v>66</v>
      </c>
      <c r="I366" s="4">
        <f>_xlfn.XLOOKUP(Table1[[#This Row], [WEAPON]],Sheet1!$A$27:$A$29,Sheet1!$B$27:$B$29)*Table1[[#This Row], [NUM OF MEM]]*(1+_xlfn.XLOOKUP(Table1[[#This Row], [WEAPON]],Sheet1!$A$27:$A$29,Sheet1!$C$27:$C$29))</f>
        <v>108000</v>
      </c>
      <c r="J366" t="s">
        <v>64</v>
      </c>
      <c r="K366" s="9">
        <f>Table1[[#This Row], [NUM OF MEM]]*Table1[[#This Row], [TOTAL TIME TAKEN]]*_xlfn.XLOOKUP(Table1[[#This Row], [EXIT]],Sheet1!$A$70:$A$71,Sheet1!$B$70:$B$71)*(1+_xlfn.XLOOKUP(Table1[[#This Row], [EXIT]],Sheet1!$A$70:$A$71,Sheet1!$C$70:$C$71))</f>
        <v>1826107.199999999</v>
      </c>
      <c r="L366" s="13" t="s">
        <v>61</v>
      </c>
      <c r="M366" s="4">
        <f>IF(Table1[[#This Row], [EQUIPMENT]]="YES",Sheet1!$C$44*(1+Sheet1!$D$44),0)</f>
        <v>0</v>
      </c>
      <c r="N366" s="4">
        <f>_xlfn.XLOOKUP(Table1[[#This Row], [ROOM]],Sheet1!$A$47:$A$66,Sheet1!$F$47:$F$66)</f>
        <v>17850000</v>
      </c>
      <c r="O366" s="9">
        <f>_xlfn.XLOOKUP(_xlfn.CONCAT(Table1[[#This Row], [TEAM]],Table1[[#This Row], [ROOM]]),'ROOM TIME'!$H$2:$H$121,'ROOM TIME'!$J$2:$J$121)</f>
        <v>41.967777777777762</v>
      </c>
      <c r="P366" s="4">
        <f>(INDEX(Sheet1!$X$48:$Z$67,MATCH(Table1[[#This Row], [ROOM]],Sheet1!$P$48:$P$67,0),MATCH(Table1[[#This Row], [WEAPON]],Sheet1!$X$47:$Z$47,0)))/Table1[[#This Row], [NUM OF MEM]]</f>
        <v>5</v>
      </c>
      <c r="Q366" s="9">
        <f>Table1[[#This Row], [ROOM TIME]]+Table1[[#This Row], [GUARD TIME]]</f>
        <v>46.967777777777762</v>
      </c>
      <c r="R366" s="4">
        <f>Sheet1!$K$3*_xlfn.XLOOKUP(Table1[[#This Row], [DISGUISE]],Sheet1!$A$21:$A$23,Sheet1!$D$21:$D$23)</f>
        <v>69</v>
      </c>
      <c r="S366" s="9">
        <f>Table1[[#This Row], [TOTAL TIME]]-Table1[[#This Row], [TOTAL TIME TAKEN]]</f>
        <v>22.032222222222238</v>
      </c>
      <c r="T366" t="str">
        <f>IF(Table1[[#This Row], [TIME DIFFERENCE]]&gt;=0,"PASS","FAIL")</f>
        <v>PASS</v>
      </c>
      <c r="U366" s="9">
        <f>Table1[[#This Row], [TRC]]+Table1[[#This Row], [DRC]]+Table1[[#This Row], [WRC]]+Table1[[#This Row], [ERC]]+Table1[[#This Row], [EQRC]]</f>
        <v>7961257.1999999993</v>
      </c>
      <c r="V366" s="9">
        <f>Table1[[#This Row], [TOTAL COST]]+_xlfn.XLOOKUP(Table1[[#This Row], [TEAM]],Sheet1!$A$12:$A$17,Sheet1!$I$12:$I$17)</f>
        <v>8260694.6999999993</v>
      </c>
      <c r="W366" s="9">
        <f>Table1[[#This Row], [LOOT]]-Table1[[#This Row], [TOTAL COST]]</f>
        <v>9888742.8000000007</v>
      </c>
      <c r="X366" s="9">
        <f>IF(Table1[[#This Row], [PASS/FAIL]]="FAIL",0,Table1[[#This Row], [PROFIT]])</f>
        <v>9888742.8000000007</v>
      </c>
    </row>
    <row r="367" spans="1:24" ht="19.5" customHeight="1" x14ac:dyDescent="0.45">
      <c r="A367" t="s">
        <v>9</v>
      </c>
      <c r="B367" s="14">
        <f>_xlfn.XLOOKUP(Table1[[#This Row], [TEAM]],Sheet1!$A$12:$A$17,Sheet1!$F$12:$F$17)</f>
        <v>3</v>
      </c>
      <c r="C367" s="14">
        <f>_xlfn.XLOOKUP(Table1[[#This Row], [TEAM]],Sheet1!$A$12:$A$17,Sheet1!$G$12:$G$17)</f>
        <v>6238750</v>
      </c>
      <c r="D367" t="s">
        <v>32</v>
      </c>
      <c r="E367" s="4">
        <f>_xlfn.XLOOKUP(Table1[[#This Row], [ROOM]],Sheet1!$A$47:$A$66,Sheet1!$B$47:$B$66)</f>
        <v>346</v>
      </c>
      <c r="F367" t="s">
        <v>62</v>
      </c>
      <c r="G367" s="4">
        <f>_xlfn.XLOOKUP(Table1[[#This Row], [DISGUISE]],Sheet1!$A$21:$A$23,Sheet1!$B$21:$B$23)*Table1[[#This Row], [NUM OF MEM]]*(1+_xlfn.XLOOKUP(Table1[[#This Row], [DISGUISE]],Sheet1!$A$21:$A$23,Sheet1!$C$21:$C$23))</f>
        <v>15600</v>
      </c>
      <c r="H367" s="13" t="s">
        <v>59</v>
      </c>
      <c r="I367" s="4">
        <f>_xlfn.XLOOKUP(Table1[[#This Row], [WEAPON]],Sheet1!$A$27:$A$29,Sheet1!$B$27:$B$29)*Table1[[#This Row], [NUM OF MEM]]*(1+_xlfn.XLOOKUP(Table1[[#This Row], [WEAPON]],Sheet1!$A$27:$A$29,Sheet1!$C$27:$C$29))</f>
        <v>136500</v>
      </c>
      <c r="J367" t="s">
        <v>64</v>
      </c>
      <c r="K367" s="9">
        <f>Table1[[#This Row], [NUM OF MEM]]*Table1[[#This Row], [TOTAL TIME TAKEN]]*_xlfn.XLOOKUP(Table1[[#This Row], [EXIT]],Sheet1!$A$70:$A$71,Sheet1!$B$70:$B$71)*(1+_xlfn.XLOOKUP(Table1[[#This Row], [EXIT]],Sheet1!$A$70:$A$71,Sheet1!$C$70:$C$71))</f>
        <v>1613087.9999999998</v>
      </c>
      <c r="L367" s="13" t="s">
        <v>65</v>
      </c>
      <c r="M367" s="4">
        <f>IF(Table1[[#This Row], [EQUIPMENT]]="YES",Sheet1!$C$44*(1+Sheet1!$D$44),0)</f>
        <v>307500</v>
      </c>
      <c r="N367" s="4">
        <f>_xlfn.XLOOKUP(Table1[[#This Row], [ROOM]],Sheet1!$A$47:$A$66,Sheet1!$F$47:$F$66)</f>
        <v>18200000</v>
      </c>
      <c r="O367" s="9">
        <f>_xlfn.XLOOKUP(_xlfn.CONCAT(Table1[[#This Row], [TEAM]],Table1[[#This Row], [ROOM]]),'ROOM TIME'!$H$2:$H$121,'ROOM TIME'!$J$2:$J$121)</f>
        <v>36.505555555555546</v>
      </c>
      <c r="P367" s="9">
        <f>(INDEX(Sheet1!$X$48:$Z$67,MATCH(Table1[[#This Row], [ROOM]],Sheet1!$P$48:$P$67,0),MATCH(Table1[[#This Row], [WEAPON]],Sheet1!$X$47:$Z$47,0)))/Table1[[#This Row], [NUM OF MEM]]</f>
        <v>4.9833333333333334</v>
      </c>
      <c r="Q367" s="9">
        <f>Table1[[#This Row], [ROOM TIME]]+Table1[[#This Row], [GUARD TIME]]</f>
        <v>41.48888888888888</v>
      </c>
      <c r="R367" s="4">
        <f>Sheet1!$K$3*_xlfn.XLOOKUP(Table1[[#This Row], [DISGUISE]],Sheet1!$A$21:$A$23,Sheet1!$D$21:$D$23)</f>
        <v>66</v>
      </c>
      <c r="S367" s="9">
        <f>Table1[[#This Row], [TOTAL TIME]]-Table1[[#This Row], [TOTAL TIME TAKEN]]</f>
        <v>24.51111111111112</v>
      </c>
      <c r="T367" t="str">
        <f>IF(Table1[[#This Row], [TIME DIFFERENCE]]&gt;=0,"PASS","FAIL")</f>
        <v>PASS</v>
      </c>
      <c r="U367" s="4">
        <f>Table1[[#This Row], [TRC]]+Table1[[#This Row], [DRC]]+Table1[[#This Row], [WRC]]+Table1[[#This Row], [ERC]]+Table1[[#This Row], [EQRC]]</f>
        <v>8311438</v>
      </c>
      <c r="V367" s="9">
        <f>Table1[[#This Row], [TOTAL COST]]+_xlfn.XLOOKUP(Table1[[#This Row], [TEAM]],Sheet1!$A$12:$A$17,Sheet1!$I$12:$I$17)</f>
        <v>8623375.5</v>
      </c>
      <c r="W367" s="4">
        <f>Table1[[#This Row], [LOOT]]-Table1[[#This Row], [TOTAL COST]]</f>
        <v>9888562</v>
      </c>
      <c r="X367" s="4">
        <f>IF(Table1[[#This Row], [PASS/FAIL]]="FAIL",0,Table1[[#This Row], [PROFIT]])</f>
        <v>9888562</v>
      </c>
    </row>
    <row r="368" spans="1:24" ht="19.5" customHeight="1" x14ac:dyDescent="0.45">
      <c r="A368" t="s">
        <v>13</v>
      </c>
      <c r="B368" s="14">
        <f>_xlfn.XLOOKUP(Table1[[#This Row], [TEAM]],Sheet1!$A$12:$A$17,Sheet1!$F$12:$F$17)</f>
        <v>3</v>
      </c>
      <c r="C368" s="14">
        <f>_xlfn.XLOOKUP(Table1[[#This Row], [TEAM]],Sheet1!$A$12:$A$17,Sheet1!$G$12:$G$17)</f>
        <v>5930000</v>
      </c>
      <c r="D368" t="s">
        <v>10</v>
      </c>
      <c r="E368" s="4">
        <f>_xlfn.XLOOKUP(Table1[[#This Row], [ROOM]],Sheet1!$A$47:$A$66,Sheet1!$B$47:$B$66)</f>
        <v>123</v>
      </c>
      <c r="F368" t="s">
        <v>58</v>
      </c>
      <c r="G368" s="4">
        <f>_xlfn.XLOOKUP(Table1[[#This Row], [DISGUISE]],Sheet1!$A$21:$A$23,Sheet1!$B$21:$B$23)*Table1[[#This Row], [NUM OF MEM]]*(1+_xlfn.XLOOKUP(Table1[[#This Row], [DISGUISE]],Sheet1!$A$21:$A$23,Sheet1!$C$21:$C$23))</f>
        <v>38400</v>
      </c>
      <c r="H368" s="13" t="s">
        <v>59</v>
      </c>
      <c r="I368" s="4">
        <f>_xlfn.XLOOKUP(Table1[[#This Row], [WEAPON]],Sheet1!$A$27:$A$29,Sheet1!$B$27:$B$29)*Table1[[#This Row], [NUM OF MEM]]*(1+_xlfn.XLOOKUP(Table1[[#This Row], [WEAPON]],Sheet1!$A$27:$A$29,Sheet1!$C$27:$C$29))</f>
        <v>136500</v>
      </c>
      <c r="J368" t="s">
        <v>60</v>
      </c>
      <c r="K368" s="9">
        <f>Table1[[#This Row], [NUM OF MEM]]*Table1[[#This Row], [TOTAL TIME TAKEN]]*_xlfn.XLOOKUP(Table1[[#This Row], [EXIT]],Sheet1!$A$70:$A$71,Sheet1!$B$70:$B$71)*(1+_xlfn.XLOOKUP(Table1[[#This Row], [EXIT]],Sheet1!$A$70:$A$71,Sheet1!$C$70:$C$71))</f>
        <v>1857675.4749999999</v>
      </c>
      <c r="L368" s="13" t="s">
        <v>61</v>
      </c>
      <c r="M368" s="4">
        <f>IF(Table1[[#This Row], [EQUIPMENT]]="YES",Sheet1!$C$44*(1+Sheet1!$D$44),0)</f>
        <v>0</v>
      </c>
      <c r="N368" s="4">
        <f>_xlfn.XLOOKUP(Table1[[#This Row], [ROOM]],Sheet1!$A$47:$A$66,Sheet1!$F$47:$F$66)</f>
        <v>17850000</v>
      </c>
      <c r="O368" s="9">
        <f>_xlfn.XLOOKUP(_xlfn.CONCAT(Table1[[#This Row], [TEAM]],Table1[[#This Row], [ROOM]]),'ROOM TIME'!$H$2:$H$121,'ROOM TIME'!$J$2:$J$121)</f>
        <v>43.654444444444437</v>
      </c>
      <c r="P368" s="9">
        <f>(INDEX(Sheet1!$X$48:$Z$67,MATCH(Table1[[#This Row], [ROOM]],Sheet1!$P$48:$P$67,0),MATCH(Table1[[#This Row], [WEAPON]],Sheet1!$X$47:$Z$47,0)))/Table1[[#This Row], [NUM OF MEM]]</f>
        <v>4.5999999999999996</v>
      </c>
      <c r="Q368" s="9">
        <f>Table1[[#This Row], [ROOM TIME]]+Table1[[#This Row], [GUARD TIME]]</f>
        <v>48.254444444444438</v>
      </c>
      <c r="R368" s="4">
        <f>Sheet1!$K$3*_xlfn.XLOOKUP(Table1[[#This Row], [DISGUISE]],Sheet1!$A$21:$A$23,Sheet1!$D$21:$D$23)</f>
        <v>69</v>
      </c>
      <c r="S368" s="9">
        <f>Table1[[#This Row], [TOTAL TIME]]-Table1[[#This Row], [TOTAL TIME TAKEN]]</f>
        <v>20.745555555555562</v>
      </c>
      <c r="T368" t="str">
        <f>IF(Table1[[#This Row], [TIME DIFFERENCE]]&gt;=0,"PASS","FAIL")</f>
        <v>PASS</v>
      </c>
      <c r="U368" s="9">
        <f>Table1[[#This Row], [TRC]]+Table1[[#This Row], [DRC]]+Table1[[#This Row], [WRC]]+Table1[[#This Row], [ERC]]+Table1[[#This Row], [EQRC]]</f>
        <v>7962575.4749999996</v>
      </c>
      <c r="V368" s="9">
        <f>Table1[[#This Row], [TOTAL COST]]+_xlfn.XLOOKUP(Table1[[#This Row], [TEAM]],Sheet1!$A$12:$A$17,Sheet1!$I$12:$I$17)</f>
        <v>8259075.4749999996</v>
      </c>
      <c r="W368" s="9">
        <f>Table1[[#This Row], [LOOT]]-Table1[[#This Row], [TOTAL COST]]</f>
        <v>9887424.5250000004</v>
      </c>
      <c r="X368" s="9">
        <f>IF(Table1[[#This Row], [PASS/FAIL]]="FAIL",0,Table1[[#This Row], [PROFIT]])</f>
        <v>9887424.5250000004</v>
      </c>
    </row>
    <row r="369" spans="1:24" ht="19.5" customHeight="1" x14ac:dyDescent="0.45">
      <c r="A369" t="s">
        <v>12</v>
      </c>
      <c r="B369" s="14">
        <f>_xlfn.XLOOKUP(Table1[[#This Row], [TEAM]],Sheet1!$A$12:$A$17,Sheet1!$F$12:$F$17)</f>
        <v>3</v>
      </c>
      <c r="C369" s="14">
        <f>_xlfn.XLOOKUP(Table1[[#This Row], [TEAM]],Sheet1!$A$12:$A$17,Sheet1!$G$12:$G$17)</f>
        <v>5988750</v>
      </c>
      <c r="D369" t="s">
        <v>29</v>
      </c>
      <c r="E369" s="4">
        <f>_xlfn.XLOOKUP(Table1[[#This Row], [ROOM]],Sheet1!$A$47:$A$66,Sheet1!$B$47:$B$66)</f>
        <v>236</v>
      </c>
      <c r="F369" t="s">
        <v>62</v>
      </c>
      <c r="G369" s="4">
        <f>_xlfn.XLOOKUP(Table1[[#This Row], [DISGUISE]],Sheet1!$A$21:$A$23,Sheet1!$B$21:$B$23)*Table1[[#This Row], [NUM OF MEM]]*(1+_xlfn.XLOOKUP(Table1[[#This Row], [DISGUISE]],Sheet1!$A$21:$A$23,Sheet1!$C$21:$C$23))</f>
        <v>15600</v>
      </c>
      <c r="H369" s="13" t="s">
        <v>63</v>
      </c>
      <c r="I369" s="4">
        <f>_xlfn.XLOOKUP(Table1[[#This Row], [WEAPON]],Sheet1!$A$27:$A$29,Sheet1!$B$27:$B$29)*Table1[[#This Row], [NUM OF MEM]]*(1+_xlfn.XLOOKUP(Table1[[#This Row], [WEAPON]],Sheet1!$A$27:$A$29,Sheet1!$C$27:$C$29))</f>
        <v>69000</v>
      </c>
      <c r="J369" t="s">
        <v>60</v>
      </c>
      <c r="K369" s="9">
        <f>Table1[[#This Row], [NUM OF MEM]]*Table1[[#This Row], [TOTAL TIME TAKEN]]*_xlfn.XLOOKUP(Table1[[#This Row], [EXIT]],Sheet1!$A$70:$A$71,Sheet1!$B$70:$B$71)*(1+_xlfn.XLOOKUP(Table1[[#This Row], [EXIT]],Sheet1!$A$70:$A$71,Sheet1!$C$70:$C$71))</f>
        <v>1732344.7249999992</v>
      </c>
      <c r="L369" s="13" t="s">
        <v>65</v>
      </c>
      <c r="M369" s="4">
        <f>IF(Table1[[#This Row], [EQUIPMENT]]="YES",Sheet1!$C$44*(1+Sheet1!$D$44),0)</f>
        <v>307500</v>
      </c>
      <c r="N369" s="4">
        <f>_xlfn.XLOOKUP(Table1[[#This Row], [ROOM]],Sheet1!$A$47:$A$66,Sheet1!$F$47:$F$66)</f>
        <v>18000000</v>
      </c>
      <c r="O369" s="9">
        <f>_xlfn.XLOOKUP(_xlfn.CONCAT(Table1[[#This Row], [TEAM]],Table1[[#This Row], [ROOM]]),'ROOM TIME'!$H$2:$H$121,'ROOM TIME'!$J$2:$J$121)</f>
        <v>39.14888888888887</v>
      </c>
      <c r="P369" s="9">
        <f>(INDEX(Sheet1!$X$48:$Z$67,MATCH(Table1[[#This Row], [ROOM]],Sheet1!$P$48:$P$67,0),MATCH(Table1[[#This Row], [WEAPON]],Sheet1!$X$47:$Z$47,0)))/Table1[[#This Row], [NUM OF MEM]]</f>
        <v>5.8500000000000005</v>
      </c>
      <c r="Q369" s="9">
        <f>Table1[[#This Row], [ROOM TIME]]+Table1[[#This Row], [GUARD TIME]]</f>
        <v>44.998888888888871</v>
      </c>
      <c r="R369" s="4">
        <f>Sheet1!$K$3*_xlfn.XLOOKUP(Table1[[#This Row], [DISGUISE]],Sheet1!$A$21:$A$23,Sheet1!$D$21:$D$23)</f>
        <v>66</v>
      </c>
      <c r="S369" s="9">
        <f>Table1[[#This Row], [TOTAL TIME]]-Table1[[#This Row], [TOTAL TIME TAKEN]]</f>
        <v>21.001111111111129</v>
      </c>
      <c r="T369" t="str">
        <f>IF(Table1[[#This Row], [TIME DIFFERENCE]]&gt;=0,"PASS","FAIL")</f>
        <v>PASS</v>
      </c>
      <c r="U369" s="9">
        <f>Table1[[#This Row], [TRC]]+Table1[[#This Row], [DRC]]+Table1[[#This Row], [WRC]]+Table1[[#This Row], [ERC]]+Table1[[#This Row], [EQRC]]</f>
        <v>8113194.7249999996</v>
      </c>
      <c r="V369" s="9">
        <f>Table1[[#This Row], [TOTAL COST]]+_xlfn.XLOOKUP(Table1[[#This Row], [TEAM]],Sheet1!$A$12:$A$17,Sheet1!$I$12:$I$17)</f>
        <v>8412632.2249999996</v>
      </c>
      <c r="W369" s="9">
        <f>Table1[[#This Row], [LOOT]]-Table1[[#This Row], [TOTAL COST]]</f>
        <v>9886805.2750000004</v>
      </c>
      <c r="X369" s="9">
        <f>IF(Table1[[#This Row], [PASS/FAIL]]="FAIL",0,Table1[[#This Row], [PROFIT]])</f>
        <v>9886805.2750000004</v>
      </c>
    </row>
    <row r="370" spans="1:24" ht="19.5" customHeight="1" x14ac:dyDescent="0.45">
      <c r="A370" t="s">
        <v>13</v>
      </c>
      <c r="B370" s="14">
        <f>_xlfn.XLOOKUP(Table1[[#This Row], [TEAM]],Sheet1!$A$12:$A$17,Sheet1!$F$12:$F$17)</f>
        <v>3</v>
      </c>
      <c r="C370" s="14">
        <f>_xlfn.XLOOKUP(Table1[[#This Row], [TEAM]],Sheet1!$A$12:$A$17,Sheet1!$G$12:$G$17)</f>
        <v>5930000</v>
      </c>
      <c r="D370" t="s">
        <v>29</v>
      </c>
      <c r="E370" s="4">
        <f>_xlfn.XLOOKUP(Table1[[#This Row], [ROOM]],Sheet1!$A$47:$A$66,Sheet1!$B$47:$B$66)</f>
        <v>236</v>
      </c>
      <c r="F370" t="s">
        <v>62</v>
      </c>
      <c r="G370" s="4">
        <f>_xlfn.XLOOKUP(Table1[[#This Row], [DISGUISE]],Sheet1!$A$21:$A$23,Sheet1!$B$21:$B$23)*Table1[[#This Row], [NUM OF MEM]]*(1+_xlfn.XLOOKUP(Table1[[#This Row], [DISGUISE]],Sheet1!$A$21:$A$23,Sheet1!$C$21:$C$23))</f>
        <v>15600</v>
      </c>
      <c r="H370" s="13" t="s">
        <v>63</v>
      </c>
      <c r="I370" s="4">
        <f>_xlfn.XLOOKUP(Table1[[#This Row], [WEAPON]],Sheet1!$A$27:$A$29,Sheet1!$B$27:$B$29)*Table1[[#This Row], [NUM OF MEM]]*(1+_xlfn.XLOOKUP(Table1[[#This Row], [WEAPON]],Sheet1!$A$27:$A$29,Sheet1!$C$27:$C$29))</f>
        <v>69000</v>
      </c>
      <c r="J370" t="s">
        <v>60</v>
      </c>
      <c r="K370" s="9">
        <f>Table1[[#This Row], [NUM OF MEM]]*Table1[[#This Row], [TOTAL TIME TAKEN]]*_xlfn.XLOOKUP(Table1[[#This Row], [EXIT]],Sheet1!$A$70:$A$71,Sheet1!$B$70:$B$71)*(1+_xlfn.XLOOKUP(Table1[[#This Row], [EXIT]],Sheet1!$A$70:$A$71,Sheet1!$C$70:$C$71))</f>
        <v>1791481.1624999999</v>
      </c>
      <c r="L370" s="13" t="s">
        <v>65</v>
      </c>
      <c r="M370" s="4">
        <f>IF(Table1[[#This Row], [EQUIPMENT]]="YES",Sheet1!$C$44*(1+Sheet1!$D$44),0)</f>
        <v>307500</v>
      </c>
      <c r="N370" s="4">
        <f>_xlfn.XLOOKUP(Table1[[#This Row], [ROOM]],Sheet1!$A$47:$A$66,Sheet1!$F$47:$F$66)</f>
        <v>18000000</v>
      </c>
      <c r="O370" s="9">
        <f>_xlfn.XLOOKUP(_xlfn.CONCAT(Table1[[#This Row], [TEAM]],Table1[[#This Row], [ROOM]]),'ROOM TIME'!$H$2:$H$121,'ROOM TIME'!$J$2:$J$121)</f>
        <v>40.684999999999995</v>
      </c>
      <c r="P370" s="9">
        <f>(INDEX(Sheet1!$X$48:$Z$67,MATCH(Table1[[#This Row], [ROOM]],Sheet1!$P$48:$P$67,0),MATCH(Table1[[#This Row], [WEAPON]],Sheet1!$X$47:$Z$47,0)))/Table1[[#This Row], [NUM OF MEM]]</f>
        <v>5.8500000000000005</v>
      </c>
      <c r="Q370" s="9">
        <f>Table1[[#This Row], [ROOM TIME]]+Table1[[#This Row], [GUARD TIME]]</f>
        <v>46.534999999999997</v>
      </c>
      <c r="R370" s="4">
        <f>Sheet1!$K$3*_xlfn.XLOOKUP(Table1[[#This Row], [DISGUISE]],Sheet1!$A$21:$A$23,Sheet1!$D$21:$D$23)</f>
        <v>66</v>
      </c>
      <c r="S370" s="9">
        <f>Table1[[#This Row], [TOTAL TIME]]-Table1[[#This Row], [TOTAL TIME TAKEN]]</f>
        <v>19.465000000000003</v>
      </c>
      <c r="T370" t="str">
        <f>IF(Table1[[#This Row], [TIME DIFFERENCE]]&gt;=0,"PASS","FAIL")</f>
        <v>PASS</v>
      </c>
      <c r="U370" s="9">
        <f>Table1[[#This Row], [TRC]]+Table1[[#This Row], [DRC]]+Table1[[#This Row], [WRC]]+Table1[[#This Row], [ERC]]+Table1[[#This Row], [EQRC]]</f>
        <v>8113581.1624999996</v>
      </c>
      <c r="V370" s="9">
        <f>Table1[[#This Row], [TOTAL COST]]+_xlfn.XLOOKUP(Table1[[#This Row], [TEAM]],Sheet1!$A$12:$A$17,Sheet1!$I$12:$I$17)</f>
        <v>8410081.1624999996</v>
      </c>
      <c r="W370" s="9">
        <f>Table1[[#This Row], [LOOT]]-Table1[[#This Row], [TOTAL COST]]</f>
        <v>9886418.8375000004</v>
      </c>
      <c r="X370" s="9">
        <f>IF(Table1[[#This Row], [PASS/FAIL]]="FAIL",0,Table1[[#This Row], [PROFIT]])</f>
        <v>9886418.8375000004</v>
      </c>
    </row>
    <row r="371" spans="1:24" ht="19.5" customHeight="1" x14ac:dyDescent="0.45">
      <c r="A371" t="s">
        <v>9</v>
      </c>
      <c r="B371" s="14">
        <f>_xlfn.XLOOKUP(Table1[[#This Row], [TEAM]],Sheet1!$A$12:$A$17,Sheet1!$F$12:$F$17)</f>
        <v>3</v>
      </c>
      <c r="C371" s="14">
        <f>_xlfn.XLOOKUP(Table1[[#This Row], [TEAM]],Sheet1!$A$12:$A$17,Sheet1!$G$12:$G$17)</f>
        <v>6238750</v>
      </c>
      <c r="D371" t="s">
        <v>19</v>
      </c>
      <c r="E371" s="4">
        <f>_xlfn.XLOOKUP(Table1[[#This Row], [ROOM]],Sheet1!$A$47:$A$66,Sheet1!$B$47:$B$66)</f>
        <v>135</v>
      </c>
      <c r="F371" t="s">
        <v>58</v>
      </c>
      <c r="G371" s="4">
        <f>_xlfn.XLOOKUP(Table1[[#This Row], [DISGUISE]],Sheet1!$A$21:$A$23,Sheet1!$B$21:$B$23)*Table1[[#This Row], [NUM OF MEM]]*(1+_xlfn.XLOOKUP(Table1[[#This Row], [DISGUISE]],Sheet1!$A$21:$A$23,Sheet1!$C$21:$C$23))</f>
        <v>38400</v>
      </c>
      <c r="H371" s="13" t="s">
        <v>59</v>
      </c>
      <c r="I371" s="4">
        <f>_xlfn.XLOOKUP(Table1[[#This Row], [WEAPON]],Sheet1!$A$27:$A$29,Sheet1!$B$27:$B$29)*Table1[[#This Row], [NUM OF MEM]]*(1+_xlfn.XLOOKUP(Table1[[#This Row], [WEAPON]],Sheet1!$A$27:$A$29,Sheet1!$C$27:$C$29))</f>
        <v>136500</v>
      </c>
      <c r="J371" t="s">
        <v>60</v>
      </c>
      <c r="K371" s="9">
        <f>Table1[[#This Row], [NUM OF MEM]]*Table1[[#This Row], [TOTAL TIME TAKEN]]*_xlfn.XLOOKUP(Table1[[#This Row], [EXIT]],Sheet1!$A$70:$A$71,Sheet1!$B$70:$B$71)*(1+_xlfn.XLOOKUP(Table1[[#This Row], [EXIT]],Sheet1!$A$70:$A$71,Sheet1!$C$70:$C$71))</f>
        <v>1650238.1124999996</v>
      </c>
      <c r="L371" s="13" t="s">
        <v>61</v>
      </c>
      <c r="M371" s="4">
        <f>IF(Table1[[#This Row], [EQUIPMENT]]="YES",Sheet1!$C$44*(1+Sheet1!$D$44),0)</f>
        <v>0</v>
      </c>
      <c r="N371" s="4">
        <f>_xlfn.XLOOKUP(Table1[[#This Row], [ROOM]],Sheet1!$A$47:$A$66,Sheet1!$F$47:$F$66)</f>
        <v>17950000</v>
      </c>
      <c r="O371" s="9">
        <f>_xlfn.XLOOKUP(_xlfn.CONCAT(Table1[[#This Row], [TEAM]],Table1[[#This Row], [ROOM]]),'ROOM TIME'!$H$2:$H$121,'ROOM TIME'!$J$2:$J$121)</f>
        <v>38.649444444444434</v>
      </c>
      <c r="P371" s="9">
        <f>(INDEX(Sheet1!$X$48:$Z$67,MATCH(Table1[[#This Row], [ROOM]],Sheet1!$P$48:$P$67,0),MATCH(Table1[[#This Row], [WEAPON]],Sheet1!$X$47:$Z$47,0)))/Table1[[#This Row], [NUM OF MEM]]</f>
        <v>4.2166666666666659</v>
      </c>
      <c r="Q371" s="9">
        <f>Table1[[#This Row], [ROOM TIME]]+Table1[[#This Row], [GUARD TIME]]</f>
        <v>42.866111111111103</v>
      </c>
      <c r="R371" s="4">
        <f>Sheet1!$K$3*_xlfn.XLOOKUP(Table1[[#This Row], [DISGUISE]],Sheet1!$A$21:$A$23,Sheet1!$D$21:$D$23)</f>
        <v>69</v>
      </c>
      <c r="S371" s="9">
        <f>Table1[[#This Row], [TOTAL TIME]]-Table1[[#This Row], [TOTAL TIME TAKEN]]</f>
        <v>26.133888888888897</v>
      </c>
      <c r="T371" t="str">
        <f>IF(Table1[[#This Row], [TIME DIFFERENCE]]&gt;=0,"PASS","FAIL")</f>
        <v>PASS</v>
      </c>
      <c r="U371" s="9">
        <f>Table1[[#This Row], [TRC]]+Table1[[#This Row], [DRC]]+Table1[[#This Row], [WRC]]+Table1[[#This Row], [ERC]]+Table1[[#This Row], [EQRC]]</f>
        <v>8063888.1124999998</v>
      </c>
      <c r="V371" s="9">
        <f>Table1[[#This Row], [TOTAL COST]]+_xlfn.XLOOKUP(Table1[[#This Row], [TEAM]],Sheet1!$A$12:$A$17,Sheet1!$I$12:$I$17)</f>
        <v>8375825.6124999998</v>
      </c>
      <c r="W371" s="9">
        <f>Table1[[#This Row], [LOOT]]-Table1[[#This Row], [TOTAL COST]]</f>
        <v>9886111.8874999993</v>
      </c>
      <c r="X371" s="9">
        <f>IF(Table1[[#This Row], [PASS/FAIL]]="FAIL",0,Table1[[#This Row], [PROFIT]])</f>
        <v>9886111.8874999993</v>
      </c>
    </row>
    <row r="372" spans="1:24" ht="19.5" customHeight="1" x14ac:dyDescent="0.45">
      <c r="A372" t="s">
        <v>9</v>
      </c>
      <c r="B372" s="14">
        <f>_xlfn.XLOOKUP(Table1[[#This Row], [TEAM]],Sheet1!$A$12:$A$17,Sheet1!$F$12:$F$17)</f>
        <v>3</v>
      </c>
      <c r="C372" s="14">
        <f>_xlfn.XLOOKUP(Table1[[#This Row], [TEAM]],Sheet1!$A$12:$A$17,Sheet1!$G$12:$G$17)</f>
        <v>6238750</v>
      </c>
      <c r="D372" t="s">
        <v>26</v>
      </c>
      <c r="E372" s="4">
        <f>_xlfn.XLOOKUP(Table1[[#This Row], [ROOM]],Sheet1!$A$47:$A$66,Sheet1!$B$47:$B$66)</f>
        <v>136</v>
      </c>
      <c r="F372" t="s">
        <v>58</v>
      </c>
      <c r="G372" s="4">
        <f>_xlfn.XLOOKUP(Table1[[#This Row], [DISGUISE]],Sheet1!$A$21:$A$23,Sheet1!$B$21:$B$23)*Table1[[#This Row], [NUM OF MEM]]*(1+_xlfn.XLOOKUP(Table1[[#This Row], [DISGUISE]],Sheet1!$A$21:$A$23,Sheet1!$C$21:$C$23))</f>
        <v>38400</v>
      </c>
      <c r="H372" s="13" t="s">
        <v>63</v>
      </c>
      <c r="I372" s="4">
        <f>_xlfn.XLOOKUP(Table1[[#This Row], [WEAPON]],Sheet1!$A$27:$A$29,Sheet1!$B$27:$B$29)*Table1[[#This Row], [NUM OF MEM]]*(1+_xlfn.XLOOKUP(Table1[[#This Row], [WEAPON]],Sheet1!$A$27:$A$29,Sheet1!$C$27:$C$29))</f>
        <v>69000</v>
      </c>
      <c r="J372" t="s">
        <v>60</v>
      </c>
      <c r="K372" s="9">
        <f>Table1[[#This Row], [NUM OF MEM]]*Table1[[#This Row], [TOTAL TIME TAKEN]]*_xlfn.XLOOKUP(Table1[[#This Row], [EXIT]],Sheet1!$A$70:$A$71,Sheet1!$B$70:$B$71)*(1+_xlfn.XLOOKUP(Table1[[#This Row], [EXIT]],Sheet1!$A$70:$A$71,Sheet1!$C$70:$C$71))</f>
        <v>1610842.3374999997</v>
      </c>
      <c r="L372" s="13" t="s">
        <v>65</v>
      </c>
      <c r="M372" s="4">
        <f>IF(Table1[[#This Row], [EQUIPMENT]]="YES",Sheet1!$C$44*(1+Sheet1!$D$44),0)</f>
        <v>307500</v>
      </c>
      <c r="N372" s="4">
        <f>_xlfn.XLOOKUP(Table1[[#This Row], [ROOM]],Sheet1!$A$47:$A$66,Sheet1!$F$47:$F$66)</f>
        <v>18150000</v>
      </c>
      <c r="O372" s="9">
        <f>_xlfn.XLOOKUP(_xlfn.CONCAT(Table1[[#This Row], [TEAM]],Table1[[#This Row], [ROOM]]),'ROOM TIME'!$H$2:$H$121,'ROOM TIME'!$J$2:$J$121)</f>
        <v>36.442777777777771</v>
      </c>
      <c r="P372" s="9">
        <f>(INDEX(Sheet1!$X$48:$Z$67,MATCH(Table1[[#This Row], [ROOM]],Sheet1!$P$48:$P$67,0),MATCH(Table1[[#This Row], [WEAPON]],Sheet1!$X$47:$Z$47,0)))/Table1[[#This Row], [NUM OF MEM]]</f>
        <v>5.4000000000000012</v>
      </c>
      <c r="Q372" s="9">
        <f>Table1[[#This Row], [ROOM TIME]]+Table1[[#This Row], [GUARD TIME]]</f>
        <v>41.842777777777769</v>
      </c>
      <c r="R372" s="4">
        <f>Sheet1!$K$3*_xlfn.XLOOKUP(Table1[[#This Row], [DISGUISE]],Sheet1!$A$21:$A$23,Sheet1!$D$21:$D$23)</f>
        <v>69</v>
      </c>
      <c r="S372" s="9">
        <f>Table1[[#This Row], [TOTAL TIME]]-Table1[[#This Row], [TOTAL TIME TAKEN]]</f>
        <v>27.157222222222231</v>
      </c>
      <c r="T372" t="str">
        <f>IF(Table1[[#This Row], [TIME DIFFERENCE]]&gt;=0,"PASS","FAIL")</f>
        <v>PASS</v>
      </c>
      <c r="U372" s="9">
        <f>Table1[[#This Row], [TRC]]+Table1[[#This Row], [DRC]]+Table1[[#This Row], [WRC]]+Table1[[#This Row], [ERC]]+Table1[[#This Row], [EQRC]]</f>
        <v>8264492.3374999994</v>
      </c>
      <c r="V372" s="9">
        <f>Table1[[#This Row], [TOTAL COST]]+_xlfn.XLOOKUP(Table1[[#This Row], [TEAM]],Sheet1!$A$12:$A$17,Sheet1!$I$12:$I$17)</f>
        <v>8576429.8374999985</v>
      </c>
      <c r="W372" s="9">
        <f>Table1[[#This Row], [LOOT]]-Table1[[#This Row], [TOTAL COST]]</f>
        <v>9885507.6625000015</v>
      </c>
      <c r="X372" s="9">
        <f>IF(Table1[[#This Row], [PASS/FAIL]]="FAIL",0,Table1[[#This Row], [PROFIT]])</f>
        <v>9885507.6625000015</v>
      </c>
    </row>
    <row r="373" spans="1:24" ht="19.5" customHeight="1" x14ac:dyDescent="0.45">
      <c r="A373" t="s">
        <v>12</v>
      </c>
      <c r="B373" s="14">
        <f>_xlfn.XLOOKUP(Table1[[#This Row], [TEAM]],Sheet1!$A$12:$A$17,Sheet1!$F$12:$F$17)</f>
        <v>3</v>
      </c>
      <c r="C373" s="14">
        <f>_xlfn.XLOOKUP(Table1[[#This Row], [TEAM]],Sheet1!$A$12:$A$17,Sheet1!$G$12:$G$17)</f>
        <v>5988750</v>
      </c>
      <c r="D373" t="s">
        <v>22</v>
      </c>
      <c r="E373" s="4">
        <f>_xlfn.XLOOKUP(Table1[[#This Row], [ROOM]],Sheet1!$A$47:$A$66,Sheet1!$B$47:$B$66)</f>
        <v>235</v>
      </c>
      <c r="F373" t="s">
        <v>62</v>
      </c>
      <c r="G373" s="4">
        <f>_xlfn.XLOOKUP(Table1[[#This Row], [DISGUISE]],Sheet1!$A$21:$A$23,Sheet1!$B$21:$B$23)*Table1[[#This Row], [NUM OF MEM]]*(1+_xlfn.XLOOKUP(Table1[[#This Row], [DISGUISE]],Sheet1!$A$21:$A$23,Sheet1!$C$21:$C$23))</f>
        <v>15600</v>
      </c>
      <c r="H373" s="13" t="s">
        <v>59</v>
      </c>
      <c r="I373" s="4">
        <f>_xlfn.XLOOKUP(Table1[[#This Row], [WEAPON]],Sheet1!$A$27:$A$29,Sheet1!$B$27:$B$29)*Table1[[#This Row], [NUM OF MEM]]*(1+_xlfn.XLOOKUP(Table1[[#This Row], [WEAPON]],Sheet1!$A$27:$A$29,Sheet1!$C$27:$C$29))</f>
        <v>136500</v>
      </c>
      <c r="J373" t="s">
        <v>60</v>
      </c>
      <c r="K373" s="9">
        <f>Table1[[#This Row], [NUM OF MEM]]*Table1[[#This Row], [TOTAL TIME TAKEN]]*_xlfn.XLOOKUP(Table1[[#This Row], [EXIT]],Sheet1!$A$70:$A$71,Sheet1!$B$70:$B$71)*(1+_xlfn.XLOOKUP(Table1[[#This Row], [EXIT]],Sheet1!$A$70:$A$71,Sheet1!$C$70:$C$71))</f>
        <v>1773964.7999999993</v>
      </c>
      <c r="L373" s="13" t="s">
        <v>61</v>
      </c>
      <c r="M373" s="4">
        <f>IF(Table1[[#This Row], [EQUIPMENT]]="YES",Sheet1!$C$44*(1+Sheet1!$D$44),0)</f>
        <v>0</v>
      </c>
      <c r="N373" s="4">
        <f>_xlfn.XLOOKUP(Table1[[#This Row], [ROOM]],Sheet1!$A$47:$A$66,Sheet1!$F$47:$F$66)</f>
        <v>17800000</v>
      </c>
      <c r="O373" s="9">
        <f>_xlfn.XLOOKUP(_xlfn.CONCAT(Table1[[#This Row], [TEAM]],Table1[[#This Row], [ROOM]]),'ROOM TIME'!$H$2:$H$121,'ROOM TIME'!$J$2:$J$121)</f>
        <v>41.479999999999983</v>
      </c>
      <c r="P373" s="9">
        <f>(INDEX(Sheet1!$X$48:$Z$67,MATCH(Table1[[#This Row], [ROOM]],Sheet1!$P$48:$P$67,0),MATCH(Table1[[#This Row], [WEAPON]],Sheet1!$X$47:$Z$47,0)))/Table1[[#This Row], [NUM OF MEM]]</f>
        <v>4.5999999999999996</v>
      </c>
      <c r="Q373" s="9">
        <f>Table1[[#This Row], [ROOM TIME]]+Table1[[#This Row], [GUARD TIME]]</f>
        <v>46.079999999999984</v>
      </c>
      <c r="R373" s="4">
        <f>Sheet1!$K$3*_xlfn.XLOOKUP(Table1[[#This Row], [DISGUISE]],Sheet1!$A$21:$A$23,Sheet1!$D$21:$D$23)</f>
        <v>66</v>
      </c>
      <c r="S373" s="9">
        <f>Table1[[#This Row], [TOTAL TIME]]-Table1[[#This Row], [TOTAL TIME TAKEN]]</f>
        <v>19.920000000000016</v>
      </c>
      <c r="T373" t="str">
        <f>IF(Table1[[#This Row], [TIME DIFFERENCE]]&gt;=0,"PASS","FAIL")</f>
        <v>PASS</v>
      </c>
      <c r="U373" s="9">
        <f>Table1[[#This Row], [TRC]]+Table1[[#This Row], [DRC]]+Table1[[#This Row], [WRC]]+Table1[[#This Row], [ERC]]+Table1[[#This Row], [EQRC]]</f>
        <v>7914814.7999999989</v>
      </c>
      <c r="V373" s="9">
        <f>Table1[[#This Row], [TOTAL COST]]+_xlfn.XLOOKUP(Table1[[#This Row], [TEAM]],Sheet1!$A$12:$A$17,Sheet1!$I$12:$I$17)</f>
        <v>8214252.2999999989</v>
      </c>
      <c r="W373" s="9">
        <f>Table1[[#This Row], [LOOT]]-Table1[[#This Row], [TOTAL COST]]</f>
        <v>9885185.2000000011</v>
      </c>
      <c r="X373" s="9">
        <f>IF(Table1[[#This Row], [PASS/FAIL]]="FAIL",0,Table1[[#This Row], [PROFIT]])</f>
        <v>9885185.2000000011</v>
      </c>
    </row>
    <row r="374" spans="1:24" ht="19.5" customHeight="1" x14ac:dyDescent="0.45">
      <c r="A374" t="s">
        <v>9</v>
      </c>
      <c r="B374" s="14">
        <f>_xlfn.XLOOKUP(Table1[[#This Row], [TEAM]],Sheet1!$A$12:$A$17,Sheet1!$F$12:$F$17)</f>
        <v>3</v>
      </c>
      <c r="C374" s="14">
        <f>_xlfn.XLOOKUP(Table1[[#This Row], [TEAM]],Sheet1!$A$12:$A$17,Sheet1!$G$12:$G$17)</f>
        <v>6238750</v>
      </c>
      <c r="D374" t="s">
        <v>26</v>
      </c>
      <c r="E374" s="4">
        <f>_xlfn.XLOOKUP(Table1[[#This Row], [ROOM]],Sheet1!$A$47:$A$66,Sheet1!$B$47:$B$66)</f>
        <v>136</v>
      </c>
      <c r="F374" t="s">
        <v>62</v>
      </c>
      <c r="G374" s="4">
        <f>_xlfn.XLOOKUP(Table1[[#This Row], [DISGUISE]],Sheet1!$A$21:$A$23,Sheet1!$B$21:$B$23)*Table1[[#This Row], [NUM OF MEM]]*(1+_xlfn.XLOOKUP(Table1[[#This Row], [DISGUISE]],Sheet1!$A$21:$A$23,Sheet1!$C$21:$C$23))</f>
        <v>15600</v>
      </c>
      <c r="H374" s="13" t="s">
        <v>66</v>
      </c>
      <c r="I374" s="4">
        <f>_xlfn.XLOOKUP(Table1[[#This Row], [WEAPON]],Sheet1!$A$27:$A$29,Sheet1!$B$27:$B$29)*Table1[[#This Row], [NUM OF MEM]]*(1+_xlfn.XLOOKUP(Table1[[#This Row], [WEAPON]],Sheet1!$A$27:$A$29,Sheet1!$C$27:$C$29))</f>
        <v>108000</v>
      </c>
      <c r="J374" t="s">
        <v>60</v>
      </c>
      <c r="K374" s="9">
        <f>Table1[[#This Row], [NUM OF MEM]]*Table1[[#This Row], [TOTAL TIME TAKEN]]*_xlfn.XLOOKUP(Table1[[#This Row], [EXIT]],Sheet1!$A$70:$A$71,Sheet1!$B$70:$B$71)*(1+_xlfn.XLOOKUP(Table1[[#This Row], [EXIT]],Sheet1!$A$70:$A$71,Sheet1!$C$70:$C$71))</f>
        <v>1595443.3374999997</v>
      </c>
      <c r="L374" s="13" t="s">
        <v>65</v>
      </c>
      <c r="M374" s="4">
        <f>IF(Table1[[#This Row], [EQUIPMENT]]="YES",Sheet1!$C$44*(1+Sheet1!$D$44),0)</f>
        <v>307500</v>
      </c>
      <c r="N374" s="4">
        <f>_xlfn.XLOOKUP(Table1[[#This Row], [ROOM]],Sheet1!$A$47:$A$66,Sheet1!$F$47:$F$66)</f>
        <v>18150000</v>
      </c>
      <c r="O374" s="9">
        <f>_xlfn.XLOOKUP(_xlfn.CONCAT(Table1[[#This Row], [TEAM]],Table1[[#This Row], [ROOM]]),'ROOM TIME'!$H$2:$H$121,'ROOM TIME'!$J$2:$J$121)</f>
        <v>36.442777777777771</v>
      </c>
      <c r="P374" s="4">
        <f>(INDEX(Sheet1!$X$48:$Z$67,MATCH(Table1[[#This Row], [ROOM]],Sheet1!$P$48:$P$67,0),MATCH(Table1[[#This Row], [WEAPON]],Sheet1!$X$47:$Z$47,0)))/Table1[[#This Row], [NUM OF MEM]]</f>
        <v>5</v>
      </c>
      <c r="Q374" s="9">
        <f>Table1[[#This Row], [ROOM TIME]]+Table1[[#This Row], [GUARD TIME]]</f>
        <v>41.442777777777771</v>
      </c>
      <c r="R374" s="4">
        <f>Sheet1!$K$3*_xlfn.XLOOKUP(Table1[[#This Row], [DISGUISE]],Sheet1!$A$21:$A$23,Sheet1!$D$21:$D$23)</f>
        <v>66</v>
      </c>
      <c r="S374" s="9">
        <f>Table1[[#This Row], [TOTAL TIME]]-Table1[[#This Row], [TOTAL TIME TAKEN]]</f>
        <v>24.557222222222229</v>
      </c>
      <c r="T374" t="str">
        <f>IF(Table1[[#This Row], [TIME DIFFERENCE]]&gt;=0,"PASS","FAIL")</f>
        <v>PASS</v>
      </c>
      <c r="U374" s="9">
        <f>Table1[[#This Row], [TRC]]+Table1[[#This Row], [DRC]]+Table1[[#This Row], [WRC]]+Table1[[#This Row], [ERC]]+Table1[[#This Row], [EQRC]]</f>
        <v>8265293.3374999994</v>
      </c>
      <c r="V374" s="9">
        <f>Table1[[#This Row], [TOTAL COST]]+_xlfn.XLOOKUP(Table1[[#This Row], [TEAM]],Sheet1!$A$12:$A$17,Sheet1!$I$12:$I$17)</f>
        <v>8577230.8374999985</v>
      </c>
      <c r="W374" s="9">
        <f>Table1[[#This Row], [LOOT]]-Table1[[#This Row], [TOTAL COST]]</f>
        <v>9884706.6625000015</v>
      </c>
      <c r="X374" s="9">
        <f>IF(Table1[[#This Row], [PASS/FAIL]]="FAIL",0,Table1[[#This Row], [PROFIT]])</f>
        <v>9884706.6625000015</v>
      </c>
    </row>
    <row r="375" spans="1:24" ht="19.5" customHeight="1" x14ac:dyDescent="0.45">
      <c r="A375" t="s">
        <v>15</v>
      </c>
      <c r="B375" s="14">
        <f>_xlfn.XLOOKUP(Table1[[#This Row], [TEAM]],Sheet1!$A$12:$A$17,Sheet1!$F$12:$F$17)</f>
        <v>2</v>
      </c>
      <c r="C375" s="14">
        <f>_xlfn.XLOOKUP(Table1[[#This Row], [TEAM]],Sheet1!$A$12:$A$17,Sheet1!$G$12:$G$17)</f>
        <v>5932950</v>
      </c>
      <c r="D375" t="s">
        <v>24</v>
      </c>
      <c r="E375" s="4">
        <f>_xlfn.XLOOKUP(Table1[[#This Row], [ROOM]],Sheet1!$A$47:$A$66,Sheet1!$B$47:$B$66)</f>
        <v>345</v>
      </c>
      <c r="F375" t="s">
        <v>58</v>
      </c>
      <c r="G375" s="4">
        <f>_xlfn.XLOOKUP(Table1[[#This Row], [DISGUISE]],Sheet1!$A$21:$A$23,Sheet1!$B$21:$B$23)*Table1[[#This Row], [NUM OF MEM]]*(1+_xlfn.XLOOKUP(Table1[[#This Row], [DISGUISE]],Sheet1!$A$21:$A$23,Sheet1!$C$21:$C$23))</f>
        <v>25600</v>
      </c>
      <c r="H375" s="13" t="s">
        <v>59</v>
      </c>
      <c r="I375" s="4">
        <f>_xlfn.XLOOKUP(Table1[[#This Row], [WEAPON]],Sheet1!$A$27:$A$29,Sheet1!$B$27:$B$29)*Table1[[#This Row], [NUM OF MEM]]*(1+_xlfn.XLOOKUP(Table1[[#This Row], [WEAPON]],Sheet1!$A$27:$A$29,Sheet1!$C$27:$C$29))</f>
        <v>91000</v>
      </c>
      <c r="J375" t="s">
        <v>60</v>
      </c>
      <c r="K375" s="9">
        <f>Table1[[#This Row], [NUM OF MEM]]*Table1[[#This Row], [TOTAL TIME TAKEN]]*_xlfn.XLOOKUP(Table1[[#This Row], [EXIT]],Sheet1!$A$70:$A$71,Sheet1!$B$70:$B$71)*(1+_xlfn.XLOOKUP(Table1[[#This Row], [EXIT]],Sheet1!$A$70:$A$71,Sheet1!$C$70:$C$71))</f>
        <v>1758854.5312499995</v>
      </c>
      <c r="L375" s="13" t="s">
        <v>65</v>
      </c>
      <c r="M375" s="4">
        <f>IF(Table1[[#This Row], [EQUIPMENT]]="YES",Sheet1!$C$44*(1+Sheet1!$D$44),0)</f>
        <v>307500</v>
      </c>
      <c r="N375" s="4">
        <f>_xlfn.XLOOKUP(Table1[[#This Row], [ROOM]],Sheet1!$A$47:$A$66,Sheet1!$F$47:$F$66)</f>
        <v>18000000</v>
      </c>
      <c r="O375" s="9">
        <f>_xlfn.XLOOKUP(_xlfn.CONCAT(Table1[[#This Row], [TEAM]],Table1[[#This Row], [ROOM]]),'ROOM TIME'!$H$2:$H$121,'ROOM TIME'!$J$2:$J$121)</f>
        <v>61.63124999999998</v>
      </c>
      <c r="P375" s="9">
        <f>(INDEX(Sheet1!$X$48:$Z$67,MATCH(Table1[[#This Row], [ROOM]],Sheet1!$P$48:$P$67,0),MATCH(Table1[[#This Row], [WEAPON]],Sheet1!$X$47:$Z$47,0)))/Table1[[#This Row], [NUM OF MEM]]</f>
        <v>6.8999999999999995</v>
      </c>
      <c r="Q375" s="9">
        <f>Table1[[#This Row], [ROOM TIME]]+Table1[[#This Row], [GUARD TIME]]</f>
        <v>68.531249999999986</v>
      </c>
      <c r="R375" s="4">
        <f>Sheet1!$K$3*_xlfn.XLOOKUP(Table1[[#This Row], [DISGUISE]],Sheet1!$A$21:$A$23,Sheet1!$D$21:$D$23)</f>
        <v>69</v>
      </c>
      <c r="S375" s="9">
        <f>Table1[[#This Row], [TOTAL TIME]]-Table1[[#This Row], [TOTAL TIME TAKEN]]</f>
        <v>0.46875000000001421</v>
      </c>
      <c r="T375" t="str">
        <f>IF(Table1[[#This Row], [TIME DIFFERENCE]]&gt;=0,"PASS","FAIL")</f>
        <v>PASS</v>
      </c>
      <c r="U375" s="9">
        <f>Table1[[#This Row], [TRC]]+Table1[[#This Row], [DRC]]+Table1[[#This Row], [WRC]]+Table1[[#This Row], [ERC]]+Table1[[#This Row], [EQRC]]</f>
        <v>8115904.53125</v>
      </c>
      <c r="V375" s="9">
        <f>Table1[[#This Row], [TOTAL COST]]+_xlfn.XLOOKUP(Table1[[#This Row], [TEAM]],Sheet1!$A$12:$A$17,Sheet1!$I$12:$I$17)</f>
        <v>8412552.03125</v>
      </c>
      <c r="W375" s="9">
        <f>Table1[[#This Row], [LOOT]]-Table1[[#This Row], [TOTAL COST]]</f>
        <v>9884095.46875</v>
      </c>
      <c r="X375" s="9">
        <f>IF(Table1[[#This Row], [PASS/FAIL]]="FAIL",0,Table1[[#This Row], [PROFIT]])</f>
        <v>9884095.46875</v>
      </c>
    </row>
    <row r="376" spans="1:24" ht="19.5" customHeight="1" x14ac:dyDescent="0.45">
      <c r="A376" t="s">
        <v>9</v>
      </c>
      <c r="B376" s="14">
        <f>_xlfn.XLOOKUP(Table1[[#This Row], [TEAM]],Sheet1!$A$12:$A$17,Sheet1!$F$12:$F$17)</f>
        <v>3</v>
      </c>
      <c r="C376" s="14">
        <f>_xlfn.XLOOKUP(Table1[[#This Row], [TEAM]],Sheet1!$A$12:$A$17,Sheet1!$G$12:$G$17)</f>
        <v>6238750</v>
      </c>
      <c r="D376" t="s">
        <v>19</v>
      </c>
      <c r="E376" s="4">
        <f>_xlfn.XLOOKUP(Table1[[#This Row], [ROOM]],Sheet1!$A$47:$A$66,Sheet1!$B$47:$B$66)</f>
        <v>135</v>
      </c>
      <c r="F376" t="s">
        <v>58</v>
      </c>
      <c r="G376" s="4">
        <f>_xlfn.XLOOKUP(Table1[[#This Row], [DISGUISE]],Sheet1!$A$21:$A$23,Sheet1!$B$21:$B$23)*Table1[[#This Row], [NUM OF MEM]]*(1+_xlfn.XLOOKUP(Table1[[#This Row], [DISGUISE]],Sheet1!$A$21:$A$23,Sheet1!$C$21:$C$23))</f>
        <v>38400</v>
      </c>
      <c r="H376" s="13" t="s">
        <v>66</v>
      </c>
      <c r="I376" s="4">
        <f>_xlfn.XLOOKUP(Table1[[#This Row], [WEAPON]],Sheet1!$A$27:$A$29,Sheet1!$B$27:$B$29)*Table1[[#This Row], [NUM OF MEM]]*(1+_xlfn.XLOOKUP(Table1[[#This Row], [WEAPON]],Sheet1!$A$27:$A$29,Sheet1!$C$27:$C$29))</f>
        <v>108000</v>
      </c>
      <c r="J376" t="s">
        <v>64</v>
      </c>
      <c r="K376" s="9">
        <f>Table1[[#This Row], [NUM OF MEM]]*Table1[[#This Row], [TOTAL TIME TAKEN]]*_xlfn.XLOOKUP(Table1[[#This Row], [EXIT]],Sheet1!$A$70:$A$71,Sheet1!$B$70:$B$71)*(1+_xlfn.XLOOKUP(Table1[[#This Row], [EXIT]],Sheet1!$A$70:$A$71,Sheet1!$C$70:$C$71))</f>
        <v>1680890.4</v>
      </c>
      <c r="L376" s="13" t="s">
        <v>61</v>
      </c>
      <c r="M376" s="4">
        <f>IF(Table1[[#This Row], [EQUIPMENT]]="YES",Sheet1!$C$44*(1+Sheet1!$D$44),0)</f>
        <v>0</v>
      </c>
      <c r="N376" s="4">
        <f>_xlfn.XLOOKUP(Table1[[#This Row], [ROOM]],Sheet1!$A$47:$A$66,Sheet1!$F$47:$F$66)</f>
        <v>17950000</v>
      </c>
      <c r="O376" s="9">
        <f>_xlfn.XLOOKUP(_xlfn.CONCAT(Table1[[#This Row], [TEAM]],Table1[[#This Row], [ROOM]]),'ROOM TIME'!$H$2:$H$121,'ROOM TIME'!$J$2:$J$121)</f>
        <v>38.649444444444434</v>
      </c>
      <c r="P376" s="9">
        <f>(INDEX(Sheet1!$X$48:$Z$67,MATCH(Table1[[#This Row], [ROOM]],Sheet1!$P$48:$P$67,0),MATCH(Table1[[#This Row], [WEAPON]],Sheet1!$X$47:$Z$47,0)))/Table1[[#This Row], [NUM OF MEM]]</f>
        <v>4.583333333333333</v>
      </c>
      <c r="Q376" s="9">
        <f>Table1[[#This Row], [ROOM TIME]]+Table1[[#This Row], [GUARD TIME]]</f>
        <v>43.23277777777777</v>
      </c>
      <c r="R376" s="4">
        <f>Sheet1!$K$3*_xlfn.XLOOKUP(Table1[[#This Row], [DISGUISE]],Sheet1!$A$21:$A$23,Sheet1!$D$21:$D$23)</f>
        <v>69</v>
      </c>
      <c r="S376" s="9">
        <f>Table1[[#This Row], [TOTAL TIME]]-Table1[[#This Row], [TOTAL TIME TAKEN]]</f>
        <v>25.76722222222223</v>
      </c>
      <c r="T376" t="str">
        <f>IF(Table1[[#This Row], [TIME DIFFERENCE]]&gt;=0,"PASS","FAIL")</f>
        <v>PASS</v>
      </c>
      <c r="U376" s="9">
        <f>Table1[[#This Row], [TRC]]+Table1[[#This Row], [DRC]]+Table1[[#This Row], [WRC]]+Table1[[#This Row], [ERC]]+Table1[[#This Row], [EQRC]]</f>
        <v>8066040.4000000004</v>
      </c>
      <c r="V376" s="9">
        <f>Table1[[#This Row], [TOTAL COST]]+_xlfn.XLOOKUP(Table1[[#This Row], [TEAM]],Sheet1!$A$12:$A$17,Sheet1!$I$12:$I$17)</f>
        <v>8377977.9000000004</v>
      </c>
      <c r="W376" s="9">
        <f>Table1[[#This Row], [LOOT]]-Table1[[#This Row], [TOTAL COST]]</f>
        <v>9883959.5999999996</v>
      </c>
      <c r="X376" s="9">
        <f>IF(Table1[[#This Row], [PASS/FAIL]]="FAIL",0,Table1[[#This Row], [PROFIT]])</f>
        <v>9883959.5999999996</v>
      </c>
    </row>
    <row r="377" spans="1:24" ht="19.5" customHeight="1" x14ac:dyDescent="0.45">
      <c r="A377" t="s">
        <v>13</v>
      </c>
      <c r="B377" s="14">
        <f>_xlfn.XLOOKUP(Table1[[#This Row], [TEAM]],Sheet1!$A$12:$A$17,Sheet1!$F$12:$F$17)</f>
        <v>3</v>
      </c>
      <c r="C377" s="14">
        <f>_xlfn.XLOOKUP(Table1[[#This Row], [TEAM]],Sheet1!$A$12:$A$17,Sheet1!$G$12:$G$17)</f>
        <v>5930000</v>
      </c>
      <c r="D377" t="s">
        <v>10</v>
      </c>
      <c r="E377" s="4">
        <f>_xlfn.XLOOKUP(Table1[[#This Row], [ROOM]],Sheet1!$A$47:$A$66,Sheet1!$B$47:$B$66)</f>
        <v>123</v>
      </c>
      <c r="F377" t="s">
        <v>58</v>
      </c>
      <c r="G377" s="4">
        <f>_xlfn.XLOOKUP(Table1[[#This Row], [DISGUISE]],Sheet1!$A$21:$A$23,Sheet1!$B$21:$B$23)*Table1[[#This Row], [NUM OF MEM]]*(1+_xlfn.XLOOKUP(Table1[[#This Row], [DISGUISE]],Sheet1!$A$21:$A$23,Sheet1!$C$21:$C$23))</f>
        <v>38400</v>
      </c>
      <c r="H377" s="13" t="s">
        <v>66</v>
      </c>
      <c r="I377" s="4">
        <f>_xlfn.XLOOKUP(Table1[[#This Row], [WEAPON]],Sheet1!$A$27:$A$29,Sheet1!$B$27:$B$29)*Table1[[#This Row], [NUM OF MEM]]*(1+_xlfn.XLOOKUP(Table1[[#This Row], [WEAPON]],Sheet1!$A$27:$A$29,Sheet1!$C$27:$C$29))</f>
        <v>108000</v>
      </c>
      <c r="J377" t="s">
        <v>64</v>
      </c>
      <c r="K377" s="9">
        <f>Table1[[#This Row], [NUM OF MEM]]*Table1[[#This Row], [TOTAL TIME TAKEN]]*_xlfn.XLOOKUP(Table1[[#This Row], [EXIT]],Sheet1!$A$70:$A$71,Sheet1!$B$70:$B$71)*(1+_xlfn.XLOOKUP(Table1[[#This Row], [EXIT]],Sheet1!$A$70:$A$71,Sheet1!$C$70:$C$71))</f>
        <v>1891684.7999999996</v>
      </c>
      <c r="L377" s="13" t="s">
        <v>61</v>
      </c>
      <c r="M377" s="4">
        <f>IF(Table1[[#This Row], [EQUIPMENT]]="YES",Sheet1!$C$44*(1+Sheet1!$D$44),0)</f>
        <v>0</v>
      </c>
      <c r="N377" s="4">
        <f>_xlfn.XLOOKUP(Table1[[#This Row], [ROOM]],Sheet1!$A$47:$A$66,Sheet1!$F$47:$F$66)</f>
        <v>17850000</v>
      </c>
      <c r="O377" s="9">
        <f>_xlfn.XLOOKUP(_xlfn.CONCAT(Table1[[#This Row], [TEAM]],Table1[[#This Row], [ROOM]]),'ROOM TIME'!$H$2:$H$121,'ROOM TIME'!$J$2:$J$121)</f>
        <v>43.654444444444437</v>
      </c>
      <c r="P377" s="4">
        <f>(INDEX(Sheet1!$X$48:$Z$67,MATCH(Table1[[#This Row], [ROOM]],Sheet1!$P$48:$P$67,0),MATCH(Table1[[#This Row], [WEAPON]],Sheet1!$X$47:$Z$47,0)))/Table1[[#This Row], [NUM OF MEM]]</f>
        <v>5</v>
      </c>
      <c r="Q377" s="9">
        <f>Table1[[#This Row], [ROOM TIME]]+Table1[[#This Row], [GUARD TIME]]</f>
        <v>48.654444444444437</v>
      </c>
      <c r="R377" s="4">
        <f>Sheet1!$K$3*_xlfn.XLOOKUP(Table1[[#This Row], [DISGUISE]],Sheet1!$A$21:$A$23,Sheet1!$D$21:$D$23)</f>
        <v>69</v>
      </c>
      <c r="S377" s="9">
        <f>Table1[[#This Row], [TOTAL TIME]]-Table1[[#This Row], [TOTAL TIME TAKEN]]</f>
        <v>20.345555555555563</v>
      </c>
      <c r="T377" t="str">
        <f>IF(Table1[[#This Row], [TIME DIFFERENCE]]&gt;=0,"PASS","FAIL")</f>
        <v>PASS</v>
      </c>
      <c r="U377" s="9">
        <f>Table1[[#This Row], [TRC]]+Table1[[#This Row], [DRC]]+Table1[[#This Row], [WRC]]+Table1[[#This Row], [ERC]]+Table1[[#This Row], [EQRC]]</f>
        <v>7968084.7999999998</v>
      </c>
      <c r="V377" s="9">
        <f>Table1[[#This Row], [TOTAL COST]]+_xlfn.XLOOKUP(Table1[[#This Row], [TEAM]],Sheet1!$A$12:$A$17,Sheet1!$I$12:$I$17)</f>
        <v>8264584.7999999998</v>
      </c>
      <c r="W377" s="9">
        <f>Table1[[#This Row], [LOOT]]-Table1[[#This Row], [TOTAL COST]]</f>
        <v>9881915.1999999993</v>
      </c>
      <c r="X377" s="9">
        <f>IF(Table1[[#This Row], [PASS/FAIL]]="FAIL",0,Table1[[#This Row], [PROFIT]])</f>
        <v>9881915.1999999993</v>
      </c>
    </row>
    <row r="378" spans="1:24" ht="19.5" customHeight="1" x14ac:dyDescent="0.45">
      <c r="A378" t="s">
        <v>9</v>
      </c>
      <c r="B378" s="14">
        <f>_xlfn.XLOOKUP(Table1[[#This Row], [TEAM]],Sheet1!$A$12:$A$17,Sheet1!$F$12:$F$17)</f>
        <v>3</v>
      </c>
      <c r="C378" s="14">
        <f>_xlfn.XLOOKUP(Table1[[#This Row], [TEAM]],Sheet1!$A$12:$A$17,Sheet1!$G$12:$G$17)</f>
        <v>6238750</v>
      </c>
      <c r="D378" t="s">
        <v>32</v>
      </c>
      <c r="E378" s="4">
        <f>_xlfn.XLOOKUP(Table1[[#This Row], [ROOM]],Sheet1!$A$47:$A$66,Sheet1!$B$47:$B$66)</f>
        <v>346</v>
      </c>
      <c r="F378" t="s">
        <v>58</v>
      </c>
      <c r="G378" s="4">
        <f>_xlfn.XLOOKUP(Table1[[#This Row], [DISGUISE]],Sheet1!$A$21:$A$23,Sheet1!$B$21:$B$23)*Table1[[#This Row], [NUM OF MEM]]*(1+_xlfn.XLOOKUP(Table1[[#This Row], [DISGUISE]],Sheet1!$A$21:$A$23,Sheet1!$C$21:$C$23))</f>
        <v>38400</v>
      </c>
      <c r="H378" s="13" t="s">
        <v>59</v>
      </c>
      <c r="I378" s="4">
        <f>_xlfn.XLOOKUP(Table1[[#This Row], [WEAPON]],Sheet1!$A$27:$A$29,Sheet1!$B$27:$B$29)*Table1[[#This Row], [NUM OF MEM]]*(1+_xlfn.XLOOKUP(Table1[[#This Row], [WEAPON]],Sheet1!$A$27:$A$29,Sheet1!$C$27:$C$29))</f>
        <v>136500</v>
      </c>
      <c r="J378" t="s">
        <v>60</v>
      </c>
      <c r="K378" s="9">
        <f>Table1[[#This Row], [NUM OF MEM]]*Table1[[#This Row], [TOTAL TIME TAKEN]]*_xlfn.XLOOKUP(Table1[[#This Row], [EXIT]],Sheet1!$A$70:$A$71,Sheet1!$B$70:$B$71)*(1+_xlfn.XLOOKUP(Table1[[#This Row], [EXIT]],Sheet1!$A$70:$A$71,Sheet1!$C$70:$C$71))</f>
        <v>1597218.4999999995</v>
      </c>
      <c r="L378" s="13" t="s">
        <v>65</v>
      </c>
      <c r="M378" s="4">
        <f>IF(Table1[[#This Row], [EQUIPMENT]]="YES",Sheet1!$C$44*(1+Sheet1!$D$44),0)</f>
        <v>307500</v>
      </c>
      <c r="N378" s="4">
        <f>_xlfn.XLOOKUP(Table1[[#This Row], [ROOM]],Sheet1!$A$47:$A$66,Sheet1!$F$47:$F$66)</f>
        <v>18200000</v>
      </c>
      <c r="O378" s="9">
        <f>_xlfn.XLOOKUP(_xlfn.CONCAT(Table1[[#This Row], [TEAM]],Table1[[#This Row], [ROOM]]),'ROOM TIME'!$H$2:$H$121,'ROOM TIME'!$J$2:$J$121)</f>
        <v>36.505555555555546</v>
      </c>
      <c r="P378" s="9">
        <f>(INDEX(Sheet1!$X$48:$Z$67,MATCH(Table1[[#This Row], [ROOM]],Sheet1!$P$48:$P$67,0),MATCH(Table1[[#This Row], [WEAPON]],Sheet1!$X$47:$Z$47,0)))/Table1[[#This Row], [NUM OF MEM]]</f>
        <v>4.9833333333333334</v>
      </c>
      <c r="Q378" s="9">
        <f>Table1[[#This Row], [ROOM TIME]]+Table1[[#This Row], [GUARD TIME]]</f>
        <v>41.48888888888888</v>
      </c>
      <c r="R378" s="4">
        <f>Sheet1!$K$3*_xlfn.XLOOKUP(Table1[[#This Row], [DISGUISE]],Sheet1!$A$21:$A$23,Sheet1!$D$21:$D$23)</f>
        <v>69</v>
      </c>
      <c r="S378" s="9">
        <f>Table1[[#This Row], [TOTAL TIME]]-Table1[[#This Row], [TOTAL TIME TAKEN]]</f>
        <v>27.51111111111112</v>
      </c>
      <c r="T378" t="str">
        <f>IF(Table1[[#This Row], [TIME DIFFERENCE]]&gt;=0,"PASS","FAIL")</f>
        <v>PASS</v>
      </c>
      <c r="U378" s="9">
        <f>Table1[[#This Row], [TRC]]+Table1[[#This Row], [DRC]]+Table1[[#This Row], [WRC]]+Table1[[#This Row], [ERC]]+Table1[[#This Row], [EQRC]]</f>
        <v>8318368.5</v>
      </c>
      <c r="V378" s="4">
        <f>Table1[[#This Row], [TOTAL COST]]+_xlfn.XLOOKUP(Table1[[#This Row], [TEAM]],Sheet1!$A$12:$A$17,Sheet1!$I$12:$I$17)</f>
        <v>8630306</v>
      </c>
      <c r="W378" s="9">
        <f>Table1[[#This Row], [LOOT]]-Table1[[#This Row], [TOTAL COST]]</f>
        <v>9881631.5</v>
      </c>
      <c r="X378" s="9">
        <f>IF(Table1[[#This Row], [PASS/FAIL]]="FAIL",0,Table1[[#This Row], [PROFIT]])</f>
        <v>9881631.5</v>
      </c>
    </row>
    <row r="379" spans="1:24" ht="19.5" customHeight="1" x14ac:dyDescent="0.45">
      <c r="A379" t="s">
        <v>12</v>
      </c>
      <c r="B379" s="14">
        <f>_xlfn.XLOOKUP(Table1[[#This Row], [TEAM]],Sheet1!$A$12:$A$17,Sheet1!$F$12:$F$17)</f>
        <v>3</v>
      </c>
      <c r="C379" s="14">
        <f>_xlfn.XLOOKUP(Table1[[#This Row], [TEAM]],Sheet1!$A$12:$A$17,Sheet1!$G$12:$G$17)</f>
        <v>5988750</v>
      </c>
      <c r="D379" t="s">
        <v>22</v>
      </c>
      <c r="E379" s="4">
        <f>_xlfn.XLOOKUP(Table1[[#This Row], [ROOM]],Sheet1!$A$47:$A$66,Sheet1!$B$47:$B$66)</f>
        <v>235</v>
      </c>
      <c r="F379" t="s">
        <v>58</v>
      </c>
      <c r="G379" s="4">
        <f>_xlfn.XLOOKUP(Table1[[#This Row], [DISGUISE]],Sheet1!$A$21:$A$23,Sheet1!$B$21:$B$23)*Table1[[#This Row], [NUM OF MEM]]*(1+_xlfn.XLOOKUP(Table1[[#This Row], [DISGUISE]],Sheet1!$A$21:$A$23,Sheet1!$C$21:$C$23))</f>
        <v>38400</v>
      </c>
      <c r="H379" s="13" t="s">
        <v>63</v>
      </c>
      <c r="I379" s="4">
        <f>_xlfn.XLOOKUP(Table1[[#This Row], [WEAPON]],Sheet1!$A$27:$A$29,Sheet1!$B$27:$B$29)*Table1[[#This Row], [NUM OF MEM]]*(1+_xlfn.XLOOKUP(Table1[[#This Row], [WEAPON]],Sheet1!$A$27:$A$29,Sheet1!$C$27:$C$29))</f>
        <v>69000</v>
      </c>
      <c r="J379" t="s">
        <v>64</v>
      </c>
      <c r="K379" s="9">
        <f>Table1[[#This Row], [NUM OF MEM]]*Table1[[#This Row], [TOTAL TIME TAKEN]]*_xlfn.XLOOKUP(Table1[[#This Row], [EXIT]],Sheet1!$A$70:$A$71,Sheet1!$B$70:$B$71)*(1+_xlfn.XLOOKUP(Table1[[#This Row], [EXIT]],Sheet1!$A$70:$A$71,Sheet1!$C$70:$C$71))</f>
        <v>1822694.3999999992</v>
      </c>
      <c r="L379" s="13" t="s">
        <v>61</v>
      </c>
      <c r="M379" s="4">
        <f>IF(Table1[[#This Row], [EQUIPMENT]]="YES",Sheet1!$C$44*(1+Sheet1!$D$44),0)</f>
        <v>0</v>
      </c>
      <c r="N379" s="4">
        <f>_xlfn.XLOOKUP(Table1[[#This Row], [ROOM]],Sheet1!$A$47:$A$66,Sheet1!$F$47:$F$66)</f>
        <v>17800000</v>
      </c>
      <c r="O379" s="9">
        <f>_xlfn.XLOOKUP(_xlfn.CONCAT(Table1[[#This Row], [TEAM]],Table1[[#This Row], [ROOM]]),'ROOM TIME'!$H$2:$H$121,'ROOM TIME'!$J$2:$J$121)</f>
        <v>41.479999999999983</v>
      </c>
      <c r="P379" s="9">
        <f>(INDEX(Sheet1!$X$48:$Z$67,MATCH(Table1[[#This Row], [ROOM]],Sheet1!$P$48:$P$67,0),MATCH(Table1[[#This Row], [WEAPON]],Sheet1!$X$47:$Z$47,0)))/Table1[[#This Row], [NUM OF MEM]]</f>
        <v>5.4000000000000012</v>
      </c>
      <c r="Q379" s="9">
        <f>Table1[[#This Row], [ROOM TIME]]+Table1[[#This Row], [GUARD TIME]]</f>
        <v>46.879999999999981</v>
      </c>
      <c r="R379" s="4">
        <f>Sheet1!$K$3*_xlfn.XLOOKUP(Table1[[#This Row], [DISGUISE]],Sheet1!$A$21:$A$23,Sheet1!$D$21:$D$23)</f>
        <v>69</v>
      </c>
      <c r="S379" s="9">
        <f>Table1[[#This Row], [TOTAL TIME]]-Table1[[#This Row], [TOTAL TIME TAKEN]]</f>
        <v>22.120000000000019</v>
      </c>
      <c r="T379" t="str">
        <f>IF(Table1[[#This Row], [TIME DIFFERENCE]]&gt;=0,"PASS","FAIL")</f>
        <v>PASS</v>
      </c>
      <c r="U379" s="9">
        <f>Table1[[#This Row], [TRC]]+Table1[[#This Row], [DRC]]+Table1[[#This Row], [WRC]]+Table1[[#This Row], [ERC]]+Table1[[#This Row], [EQRC]]</f>
        <v>7918844.3999999994</v>
      </c>
      <c r="V379" s="9">
        <f>Table1[[#This Row], [TOTAL COST]]+_xlfn.XLOOKUP(Table1[[#This Row], [TEAM]],Sheet1!$A$12:$A$17,Sheet1!$I$12:$I$17)</f>
        <v>8218281.8999999994</v>
      </c>
      <c r="W379" s="9">
        <f>Table1[[#This Row], [LOOT]]-Table1[[#This Row], [TOTAL COST]]</f>
        <v>9881155.6000000015</v>
      </c>
      <c r="X379" s="9">
        <f>IF(Table1[[#This Row], [PASS/FAIL]]="FAIL",0,Table1[[#This Row], [PROFIT]])</f>
        <v>9881155.6000000015</v>
      </c>
    </row>
    <row r="380" spans="1:24" ht="19.5" customHeight="1" x14ac:dyDescent="0.45">
      <c r="A380" t="s">
        <v>12</v>
      </c>
      <c r="B380" s="14">
        <f>_xlfn.XLOOKUP(Table1[[#This Row], [TEAM]],Sheet1!$A$12:$A$17,Sheet1!$F$12:$F$17)</f>
        <v>3</v>
      </c>
      <c r="C380" s="14">
        <f>_xlfn.XLOOKUP(Table1[[#This Row], [TEAM]],Sheet1!$A$12:$A$17,Sheet1!$G$12:$G$17)</f>
        <v>5988750</v>
      </c>
      <c r="D380" t="s">
        <v>22</v>
      </c>
      <c r="E380" s="4">
        <f>_xlfn.XLOOKUP(Table1[[#This Row], [ROOM]],Sheet1!$A$47:$A$66,Sheet1!$B$47:$B$66)</f>
        <v>235</v>
      </c>
      <c r="F380" t="s">
        <v>62</v>
      </c>
      <c r="G380" s="4">
        <f>_xlfn.XLOOKUP(Table1[[#This Row], [DISGUISE]],Sheet1!$A$21:$A$23,Sheet1!$B$21:$B$23)*Table1[[#This Row], [NUM OF MEM]]*(1+_xlfn.XLOOKUP(Table1[[#This Row], [DISGUISE]],Sheet1!$A$21:$A$23,Sheet1!$C$21:$C$23))</f>
        <v>15600</v>
      </c>
      <c r="H380" s="13" t="s">
        <v>66</v>
      </c>
      <c r="I380" s="4">
        <f>_xlfn.XLOOKUP(Table1[[#This Row], [WEAPON]],Sheet1!$A$27:$A$29,Sheet1!$B$27:$B$29)*Table1[[#This Row], [NUM OF MEM]]*(1+_xlfn.XLOOKUP(Table1[[#This Row], [WEAPON]],Sheet1!$A$27:$A$29,Sheet1!$C$27:$C$29))</f>
        <v>108000</v>
      </c>
      <c r="J380" t="s">
        <v>64</v>
      </c>
      <c r="K380" s="9">
        <f>Table1[[#This Row], [NUM OF MEM]]*Table1[[#This Row], [TOTAL TIME TAKEN]]*_xlfn.XLOOKUP(Table1[[#This Row], [EXIT]],Sheet1!$A$70:$A$71,Sheet1!$B$70:$B$71)*(1+_xlfn.XLOOKUP(Table1[[#This Row], [EXIT]],Sheet1!$A$70:$A$71,Sheet1!$C$70:$C$71))</f>
        <v>1807142.3999999992</v>
      </c>
      <c r="L380" s="13" t="s">
        <v>61</v>
      </c>
      <c r="M380" s="4">
        <f>IF(Table1[[#This Row], [EQUIPMENT]]="YES",Sheet1!$C$44*(1+Sheet1!$D$44),0)</f>
        <v>0</v>
      </c>
      <c r="N380" s="4">
        <f>_xlfn.XLOOKUP(Table1[[#This Row], [ROOM]],Sheet1!$A$47:$A$66,Sheet1!$F$47:$F$66)</f>
        <v>17800000</v>
      </c>
      <c r="O380" s="9">
        <f>_xlfn.XLOOKUP(_xlfn.CONCAT(Table1[[#This Row], [TEAM]],Table1[[#This Row], [ROOM]]),'ROOM TIME'!$H$2:$H$121,'ROOM TIME'!$J$2:$J$121)</f>
        <v>41.479999999999983</v>
      </c>
      <c r="P380" s="4">
        <f>(INDEX(Sheet1!$X$48:$Z$67,MATCH(Table1[[#This Row], [ROOM]],Sheet1!$P$48:$P$67,0),MATCH(Table1[[#This Row], [WEAPON]],Sheet1!$X$47:$Z$47,0)))/Table1[[#This Row], [NUM OF MEM]]</f>
        <v>5</v>
      </c>
      <c r="Q380" s="9">
        <f>Table1[[#This Row], [ROOM TIME]]+Table1[[#This Row], [GUARD TIME]]</f>
        <v>46.479999999999983</v>
      </c>
      <c r="R380" s="4">
        <f>Sheet1!$K$3*_xlfn.XLOOKUP(Table1[[#This Row], [DISGUISE]],Sheet1!$A$21:$A$23,Sheet1!$D$21:$D$23)</f>
        <v>66</v>
      </c>
      <c r="S380" s="9">
        <f>Table1[[#This Row], [TOTAL TIME]]-Table1[[#This Row], [TOTAL TIME TAKEN]]</f>
        <v>19.520000000000017</v>
      </c>
      <c r="T380" t="str">
        <f>IF(Table1[[#This Row], [TIME DIFFERENCE]]&gt;=0,"PASS","FAIL")</f>
        <v>PASS</v>
      </c>
      <c r="U380" s="9">
        <f>Table1[[#This Row], [TRC]]+Table1[[#This Row], [DRC]]+Table1[[#This Row], [WRC]]+Table1[[#This Row], [ERC]]+Table1[[#This Row], [EQRC]]</f>
        <v>7919492.3999999994</v>
      </c>
      <c r="V380" s="9">
        <f>Table1[[#This Row], [TOTAL COST]]+_xlfn.XLOOKUP(Table1[[#This Row], [TEAM]],Sheet1!$A$12:$A$17,Sheet1!$I$12:$I$17)</f>
        <v>8218929.8999999994</v>
      </c>
      <c r="W380" s="9">
        <f>Table1[[#This Row], [LOOT]]-Table1[[#This Row], [TOTAL COST]]</f>
        <v>9880507.6000000015</v>
      </c>
      <c r="X380" s="9">
        <f>IF(Table1[[#This Row], [PASS/FAIL]]="FAIL",0,Table1[[#This Row], [PROFIT]])</f>
        <v>9880507.6000000015</v>
      </c>
    </row>
    <row r="381" spans="1:24" ht="19.5" customHeight="1" x14ac:dyDescent="0.45">
      <c r="A381" t="s">
        <v>9</v>
      </c>
      <c r="B381" s="14">
        <f>_xlfn.XLOOKUP(Table1[[#This Row], [TEAM]],Sheet1!$A$12:$A$17,Sheet1!$F$12:$F$17)</f>
        <v>3</v>
      </c>
      <c r="C381" s="14">
        <f>_xlfn.XLOOKUP(Table1[[#This Row], [TEAM]],Sheet1!$A$12:$A$17,Sheet1!$G$12:$G$17)</f>
        <v>6238750</v>
      </c>
      <c r="D381" t="s">
        <v>32</v>
      </c>
      <c r="E381" s="4">
        <f>_xlfn.XLOOKUP(Table1[[#This Row], [ROOM]],Sheet1!$A$47:$A$66,Sheet1!$B$47:$B$66)</f>
        <v>346</v>
      </c>
      <c r="F381" t="s">
        <v>58</v>
      </c>
      <c r="G381" s="4">
        <f>_xlfn.XLOOKUP(Table1[[#This Row], [DISGUISE]],Sheet1!$A$21:$A$23,Sheet1!$B$21:$B$23)*Table1[[#This Row], [NUM OF MEM]]*(1+_xlfn.XLOOKUP(Table1[[#This Row], [DISGUISE]],Sheet1!$A$21:$A$23,Sheet1!$C$21:$C$23))</f>
        <v>38400</v>
      </c>
      <c r="H381" s="13" t="s">
        <v>66</v>
      </c>
      <c r="I381" s="4">
        <f>_xlfn.XLOOKUP(Table1[[#This Row], [WEAPON]],Sheet1!$A$27:$A$29,Sheet1!$B$27:$B$29)*Table1[[#This Row], [NUM OF MEM]]*(1+_xlfn.XLOOKUP(Table1[[#This Row], [WEAPON]],Sheet1!$A$27:$A$29,Sheet1!$C$27:$C$29))</f>
        <v>108000</v>
      </c>
      <c r="J381" t="s">
        <v>64</v>
      </c>
      <c r="K381" s="9">
        <f>Table1[[#This Row], [NUM OF MEM]]*Table1[[#This Row], [TOTAL TIME TAKEN]]*_xlfn.XLOOKUP(Table1[[#This Row], [EXIT]],Sheet1!$A$70:$A$71,Sheet1!$B$70:$B$71)*(1+_xlfn.XLOOKUP(Table1[[#This Row], [EXIT]],Sheet1!$A$70:$A$71,Sheet1!$C$70:$C$71))</f>
        <v>1629935.9999999993</v>
      </c>
      <c r="L381" s="13" t="s">
        <v>65</v>
      </c>
      <c r="M381" s="4">
        <f>IF(Table1[[#This Row], [EQUIPMENT]]="YES",Sheet1!$C$44*(1+Sheet1!$D$44),0)</f>
        <v>307500</v>
      </c>
      <c r="N381" s="4">
        <f>_xlfn.XLOOKUP(Table1[[#This Row], [ROOM]],Sheet1!$A$47:$A$66,Sheet1!$F$47:$F$66)</f>
        <v>18200000</v>
      </c>
      <c r="O381" s="9">
        <f>_xlfn.XLOOKUP(_xlfn.CONCAT(Table1[[#This Row], [TEAM]],Table1[[#This Row], [ROOM]]),'ROOM TIME'!$H$2:$H$121,'ROOM TIME'!$J$2:$J$121)</f>
        <v>36.505555555555546</v>
      </c>
      <c r="P381" s="9">
        <f>(INDEX(Sheet1!$X$48:$Z$67,MATCH(Table1[[#This Row], [ROOM]],Sheet1!$P$48:$P$67,0),MATCH(Table1[[#This Row], [WEAPON]],Sheet1!$X$47:$Z$47,0)))/Table1[[#This Row], [NUM OF MEM]]</f>
        <v>5.416666666666667</v>
      </c>
      <c r="Q381" s="9">
        <f>Table1[[#This Row], [ROOM TIME]]+Table1[[#This Row], [GUARD TIME]]</f>
        <v>41.92222222222221</v>
      </c>
      <c r="R381" s="4">
        <f>Sheet1!$K$3*_xlfn.XLOOKUP(Table1[[#This Row], [DISGUISE]],Sheet1!$A$21:$A$23,Sheet1!$D$21:$D$23)</f>
        <v>69</v>
      </c>
      <c r="S381" s="9">
        <f>Table1[[#This Row], [TOTAL TIME]]-Table1[[#This Row], [TOTAL TIME TAKEN]]</f>
        <v>27.07777777777779</v>
      </c>
      <c r="T381" t="str">
        <f>IF(Table1[[#This Row], [TIME DIFFERENCE]]&gt;=0,"PASS","FAIL")</f>
        <v>PASS</v>
      </c>
      <c r="U381" s="9">
        <f>Table1[[#This Row], [TRC]]+Table1[[#This Row], [DRC]]+Table1[[#This Row], [WRC]]+Table1[[#This Row], [ERC]]+Table1[[#This Row], [EQRC]]</f>
        <v>8322585.9999999991</v>
      </c>
      <c r="V381" s="9">
        <f>Table1[[#This Row], [TOTAL COST]]+_xlfn.XLOOKUP(Table1[[#This Row], [TEAM]],Sheet1!$A$12:$A$17,Sheet1!$I$12:$I$17)</f>
        <v>8634523.5</v>
      </c>
      <c r="W381" s="4">
        <f>Table1[[#This Row], [LOOT]]-Table1[[#This Row], [TOTAL COST]]</f>
        <v>9877414</v>
      </c>
      <c r="X381" s="4">
        <f>IF(Table1[[#This Row], [PASS/FAIL]]="FAIL",0,Table1[[#This Row], [PROFIT]])</f>
        <v>9877414</v>
      </c>
    </row>
    <row r="382" spans="1:24" ht="19.5" customHeight="1" x14ac:dyDescent="0.45">
      <c r="A382" t="s">
        <v>13</v>
      </c>
      <c r="B382" s="14">
        <f>_xlfn.XLOOKUP(Table1[[#This Row], [TEAM]],Sheet1!$A$12:$A$17,Sheet1!$F$12:$F$17)</f>
        <v>3</v>
      </c>
      <c r="C382" s="14">
        <f>_xlfn.XLOOKUP(Table1[[#This Row], [TEAM]],Sheet1!$A$12:$A$17,Sheet1!$G$12:$G$17)</f>
        <v>5930000</v>
      </c>
      <c r="D382" t="s">
        <v>22</v>
      </c>
      <c r="E382" s="4">
        <f>_xlfn.XLOOKUP(Table1[[#This Row], [ROOM]],Sheet1!$A$47:$A$66,Sheet1!$B$47:$B$66)</f>
        <v>235</v>
      </c>
      <c r="F382" t="s">
        <v>62</v>
      </c>
      <c r="G382" s="4">
        <f>_xlfn.XLOOKUP(Table1[[#This Row], [DISGUISE]],Sheet1!$A$21:$A$23,Sheet1!$B$21:$B$23)*Table1[[#This Row], [NUM OF MEM]]*(1+_xlfn.XLOOKUP(Table1[[#This Row], [DISGUISE]],Sheet1!$A$21:$A$23,Sheet1!$C$21:$C$23))</f>
        <v>15600</v>
      </c>
      <c r="H382" s="13" t="s">
        <v>59</v>
      </c>
      <c r="I382" s="4">
        <f>_xlfn.XLOOKUP(Table1[[#This Row], [WEAPON]],Sheet1!$A$27:$A$29,Sheet1!$B$27:$B$29)*Table1[[#This Row], [NUM OF MEM]]*(1+_xlfn.XLOOKUP(Table1[[#This Row], [WEAPON]],Sheet1!$A$27:$A$29,Sheet1!$C$27:$C$29))</f>
        <v>136500</v>
      </c>
      <c r="J382" t="s">
        <v>60</v>
      </c>
      <c r="K382" s="9">
        <f>Table1[[#This Row], [NUM OF MEM]]*Table1[[#This Row], [TOTAL TIME TAKEN]]*_xlfn.XLOOKUP(Table1[[#This Row], [EXIT]],Sheet1!$A$70:$A$71,Sheet1!$B$70:$B$71)*(1+_xlfn.XLOOKUP(Table1[[#This Row], [EXIT]],Sheet1!$A$70:$A$71,Sheet1!$C$70:$C$71))</f>
        <v>1840629.6375</v>
      </c>
      <c r="L382" s="13" t="s">
        <v>61</v>
      </c>
      <c r="M382" s="4">
        <f>IF(Table1[[#This Row], [EQUIPMENT]]="YES",Sheet1!$C$44*(1+Sheet1!$D$44),0)</f>
        <v>0</v>
      </c>
      <c r="N382" s="4">
        <f>_xlfn.XLOOKUP(Table1[[#This Row], [ROOM]],Sheet1!$A$47:$A$66,Sheet1!$F$47:$F$66)</f>
        <v>17800000</v>
      </c>
      <c r="O382" s="9">
        <f>_xlfn.XLOOKUP(_xlfn.CONCAT(Table1[[#This Row], [TEAM]],Table1[[#This Row], [ROOM]]),'ROOM TIME'!$H$2:$H$121,'ROOM TIME'!$J$2:$J$121)</f>
        <v>43.211666666666666</v>
      </c>
      <c r="P382" s="9">
        <f>(INDEX(Sheet1!$X$48:$Z$67,MATCH(Table1[[#This Row], [ROOM]],Sheet1!$P$48:$P$67,0),MATCH(Table1[[#This Row], [WEAPON]],Sheet1!$X$47:$Z$47,0)))/Table1[[#This Row], [NUM OF MEM]]</f>
        <v>4.5999999999999996</v>
      </c>
      <c r="Q382" s="9">
        <f>Table1[[#This Row], [ROOM TIME]]+Table1[[#This Row], [GUARD TIME]]</f>
        <v>47.811666666666667</v>
      </c>
      <c r="R382" s="4">
        <f>Sheet1!$K$3*_xlfn.XLOOKUP(Table1[[#This Row], [DISGUISE]],Sheet1!$A$21:$A$23,Sheet1!$D$21:$D$23)</f>
        <v>66</v>
      </c>
      <c r="S382" s="9">
        <f>Table1[[#This Row], [TOTAL TIME]]-Table1[[#This Row], [TOTAL TIME TAKEN]]</f>
        <v>18.188333333333333</v>
      </c>
      <c r="T382" t="str">
        <f>IF(Table1[[#This Row], [TIME DIFFERENCE]]&gt;=0,"PASS","FAIL")</f>
        <v>PASS</v>
      </c>
      <c r="U382" s="9">
        <f>Table1[[#This Row], [TRC]]+Table1[[#This Row], [DRC]]+Table1[[#This Row], [WRC]]+Table1[[#This Row], [ERC]]+Table1[[#This Row], [EQRC]]</f>
        <v>7922729.6375000002</v>
      </c>
      <c r="V382" s="9">
        <f>Table1[[#This Row], [TOTAL COST]]+_xlfn.XLOOKUP(Table1[[#This Row], [TEAM]],Sheet1!$A$12:$A$17,Sheet1!$I$12:$I$17)</f>
        <v>8219229.6375000002</v>
      </c>
      <c r="W382" s="9">
        <f>Table1[[#This Row], [LOOT]]-Table1[[#This Row], [TOTAL COST]]</f>
        <v>9877270.3625000007</v>
      </c>
      <c r="X382" s="9">
        <f>IF(Table1[[#This Row], [PASS/FAIL]]="FAIL",0,Table1[[#This Row], [PROFIT]])</f>
        <v>9877270.3625000007</v>
      </c>
    </row>
    <row r="383" spans="1:24" ht="19.5" customHeight="1" x14ac:dyDescent="0.45">
      <c r="A383" t="s">
        <v>12</v>
      </c>
      <c r="B383" s="14">
        <f>_xlfn.XLOOKUP(Table1[[#This Row], [TEAM]],Sheet1!$A$12:$A$17,Sheet1!$F$12:$F$17)</f>
        <v>3</v>
      </c>
      <c r="C383" s="14">
        <f>_xlfn.XLOOKUP(Table1[[#This Row], [TEAM]],Sheet1!$A$12:$A$17,Sheet1!$G$12:$G$17)</f>
        <v>5988750</v>
      </c>
      <c r="D383" t="s">
        <v>10</v>
      </c>
      <c r="E383" s="4">
        <f>_xlfn.XLOOKUP(Table1[[#This Row], [ROOM]],Sheet1!$A$47:$A$66,Sheet1!$B$47:$B$66)</f>
        <v>123</v>
      </c>
      <c r="F383" t="s">
        <v>58</v>
      </c>
      <c r="G383" s="4">
        <f>_xlfn.XLOOKUP(Table1[[#This Row], [DISGUISE]],Sheet1!$A$21:$A$23,Sheet1!$B$21:$B$23)*Table1[[#This Row], [NUM OF MEM]]*(1+_xlfn.XLOOKUP(Table1[[#This Row], [DISGUISE]],Sheet1!$A$21:$A$23,Sheet1!$C$21:$C$23))</f>
        <v>38400</v>
      </c>
      <c r="H383" s="13" t="s">
        <v>59</v>
      </c>
      <c r="I383" s="4">
        <f>_xlfn.XLOOKUP(Table1[[#This Row], [WEAPON]],Sheet1!$A$27:$A$29,Sheet1!$B$27:$B$29)*Table1[[#This Row], [NUM OF MEM]]*(1+_xlfn.XLOOKUP(Table1[[#This Row], [WEAPON]],Sheet1!$A$27:$A$29,Sheet1!$C$27:$C$29))</f>
        <v>136500</v>
      </c>
      <c r="J383" t="s">
        <v>64</v>
      </c>
      <c r="K383" s="9">
        <f>Table1[[#This Row], [NUM OF MEM]]*Table1[[#This Row], [TOTAL TIME TAKEN]]*_xlfn.XLOOKUP(Table1[[#This Row], [EXIT]],Sheet1!$A$70:$A$71,Sheet1!$B$70:$B$71)*(1+_xlfn.XLOOKUP(Table1[[#This Row], [EXIT]],Sheet1!$A$70:$A$71,Sheet1!$C$70:$C$71))</f>
        <v>1810555.1999999995</v>
      </c>
      <c r="L383" s="13" t="s">
        <v>61</v>
      </c>
      <c r="M383" s="4">
        <f>IF(Table1[[#This Row], [EQUIPMENT]]="YES",Sheet1!$C$44*(1+Sheet1!$D$44),0)</f>
        <v>0</v>
      </c>
      <c r="N383" s="4">
        <f>_xlfn.XLOOKUP(Table1[[#This Row], [ROOM]],Sheet1!$A$47:$A$66,Sheet1!$F$47:$F$66)</f>
        <v>17850000</v>
      </c>
      <c r="O383" s="9">
        <f>_xlfn.XLOOKUP(_xlfn.CONCAT(Table1[[#This Row], [TEAM]],Table1[[#This Row], [ROOM]]),'ROOM TIME'!$H$2:$H$121,'ROOM TIME'!$J$2:$J$121)</f>
        <v>41.967777777777762</v>
      </c>
      <c r="P383" s="9">
        <f>(INDEX(Sheet1!$X$48:$Z$67,MATCH(Table1[[#This Row], [ROOM]],Sheet1!$P$48:$P$67,0),MATCH(Table1[[#This Row], [WEAPON]],Sheet1!$X$47:$Z$47,0)))/Table1[[#This Row], [NUM OF MEM]]</f>
        <v>4.5999999999999996</v>
      </c>
      <c r="Q383" s="9">
        <f>Table1[[#This Row], [ROOM TIME]]+Table1[[#This Row], [GUARD TIME]]</f>
        <v>46.567777777777764</v>
      </c>
      <c r="R383" s="4">
        <f>Sheet1!$K$3*_xlfn.XLOOKUP(Table1[[#This Row], [DISGUISE]],Sheet1!$A$21:$A$23,Sheet1!$D$21:$D$23)</f>
        <v>69</v>
      </c>
      <c r="S383" s="9">
        <f>Table1[[#This Row], [TOTAL TIME]]-Table1[[#This Row], [TOTAL TIME TAKEN]]</f>
        <v>22.432222222222236</v>
      </c>
      <c r="T383" t="str">
        <f>IF(Table1[[#This Row], [TIME DIFFERENCE]]&gt;=0,"PASS","FAIL")</f>
        <v>PASS</v>
      </c>
      <c r="U383" s="9">
        <f>Table1[[#This Row], [TRC]]+Table1[[#This Row], [DRC]]+Table1[[#This Row], [WRC]]+Table1[[#This Row], [ERC]]+Table1[[#This Row], [EQRC]]</f>
        <v>7974205.1999999993</v>
      </c>
      <c r="V383" s="9">
        <f>Table1[[#This Row], [TOTAL COST]]+_xlfn.XLOOKUP(Table1[[#This Row], [TEAM]],Sheet1!$A$12:$A$17,Sheet1!$I$12:$I$17)</f>
        <v>8273642.6999999993</v>
      </c>
      <c r="W383" s="9">
        <f>Table1[[#This Row], [LOOT]]-Table1[[#This Row], [TOTAL COST]]</f>
        <v>9875794.8000000007</v>
      </c>
      <c r="X383" s="9">
        <f>IF(Table1[[#This Row], [PASS/FAIL]]="FAIL",0,Table1[[#This Row], [PROFIT]])</f>
        <v>9875794.8000000007</v>
      </c>
    </row>
    <row r="384" spans="1:24" ht="19.5" customHeight="1" x14ac:dyDescent="0.45">
      <c r="A384" t="s">
        <v>12</v>
      </c>
      <c r="B384" s="14">
        <f>_xlfn.XLOOKUP(Table1[[#This Row], [TEAM]],Sheet1!$A$12:$A$17,Sheet1!$F$12:$F$17)</f>
        <v>3</v>
      </c>
      <c r="C384" s="14">
        <f>_xlfn.XLOOKUP(Table1[[#This Row], [TEAM]],Sheet1!$A$12:$A$17,Sheet1!$G$12:$G$17)</f>
        <v>5988750</v>
      </c>
      <c r="D384" t="s">
        <v>22</v>
      </c>
      <c r="E384" s="4">
        <f>_xlfn.XLOOKUP(Table1[[#This Row], [ROOM]],Sheet1!$A$47:$A$66,Sheet1!$B$47:$B$66)</f>
        <v>235</v>
      </c>
      <c r="F384" t="s">
        <v>58</v>
      </c>
      <c r="G384" s="4">
        <f>_xlfn.XLOOKUP(Table1[[#This Row], [DISGUISE]],Sheet1!$A$21:$A$23,Sheet1!$B$21:$B$23)*Table1[[#This Row], [NUM OF MEM]]*(1+_xlfn.XLOOKUP(Table1[[#This Row], [DISGUISE]],Sheet1!$A$21:$A$23,Sheet1!$C$21:$C$23))</f>
        <v>38400</v>
      </c>
      <c r="H384" s="13" t="s">
        <v>66</v>
      </c>
      <c r="I384" s="4">
        <f>_xlfn.XLOOKUP(Table1[[#This Row], [WEAPON]],Sheet1!$A$27:$A$29,Sheet1!$B$27:$B$29)*Table1[[#This Row], [NUM OF MEM]]*(1+_xlfn.XLOOKUP(Table1[[#This Row], [WEAPON]],Sheet1!$A$27:$A$29,Sheet1!$C$27:$C$29))</f>
        <v>108000</v>
      </c>
      <c r="J384" t="s">
        <v>60</v>
      </c>
      <c r="K384" s="9">
        <f>Table1[[#This Row], [NUM OF MEM]]*Table1[[#This Row], [TOTAL TIME TAKEN]]*_xlfn.XLOOKUP(Table1[[#This Row], [EXIT]],Sheet1!$A$70:$A$71,Sheet1!$B$70:$B$71)*(1+_xlfn.XLOOKUP(Table1[[#This Row], [EXIT]],Sheet1!$A$70:$A$71,Sheet1!$C$70:$C$71))</f>
        <v>1789363.7999999993</v>
      </c>
      <c r="L384" s="13" t="s">
        <v>61</v>
      </c>
      <c r="M384" s="4">
        <f>IF(Table1[[#This Row], [EQUIPMENT]]="YES",Sheet1!$C$44*(1+Sheet1!$D$44),0)</f>
        <v>0</v>
      </c>
      <c r="N384" s="4">
        <f>_xlfn.XLOOKUP(Table1[[#This Row], [ROOM]],Sheet1!$A$47:$A$66,Sheet1!$F$47:$F$66)</f>
        <v>17800000</v>
      </c>
      <c r="O384" s="9">
        <f>_xlfn.XLOOKUP(_xlfn.CONCAT(Table1[[#This Row], [TEAM]],Table1[[#This Row], [ROOM]]),'ROOM TIME'!$H$2:$H$121,'ROOM TIME'!$J$2:$J$121)</f>
        <v>41.479999999999983</v>
      </c>
      <c r="P384" s="4">
        <f>(INDEX(Sheet1!$X$48:$Z$67,MATCH(Table1[[#This Row], [ROOM]],Sheet1!$P$48:$P$67,0),MATCH(Table1[[#This Row], [WEAPON]],Sheet1!$X$47:$Z$47,0)))/Table1[[#This Row], [NUM OF MEM]]</f>
        <v>5</v>
      </c>
      <c r="Q384" s="9">
        <f>Table1[[#This Row], [ROOM TIME]]+Table1[[#This Row], [GUARD TIME]]</f>
        <v>46.479999999999983</v>
      </c>
      <c r="R384" s="4">
        <f>Sheet1!$K$3*_xlfn.XLOOKUP(Table1[[#This Row], [DISGUISE]],Sheet1!$A$21:$A$23,Sheet1!$D$21:$D$23)</f>
        <v>69</v>
      </c>
      <c r="S384" s="9">
        <f>Table1[[#This Row], [TOTAL TIME]]-Table1[[#This Row], [TOTAL TIME TAKEN]]</f>
        <v>22.520000000000017</v>
      </c>
      <c r="T384" t="str">
        <f>IF(Table1[[#This Row], [TIME DIFFERENCE]]&gt;=0,"PASS","FAIL")</f>
        <v>PASS</v>
      </c>
      <c r="U384" s="9">
        <f>Table1[[#This Row], [TRC]]+Table1[[#This Row], [DRC]]+Table1[[#This Row], [WRC]]+Table1[[#This Row], [ERC]]+Table1[[#This Row], [EQRC]]</f>
        <v>7924513.7999999989</v>
      </c>
      <c r="V384" s="9">
        <f>Table1[[#This Row], [TOTAL COST]]+_xlfn.XLOOKUP(Table1[[#This Row], [TEAM]],Sheet1!$A$12:$A$17,Sheet1!$I$12:$I$17)</f>
        <v>8223951.2999999989</v>
      </c>
      <c r="W384" s="9">
        <f>Table1[[#This Row], [LOOT]]-Table1[[#This Row], [TOTAL COST]]</f>
        <v>9875486.2000000011</v>
      </c>
      <c r="X384" s="9">
        <f>IF(Table1[[#This Row], [PASS/FAIL]]="FAIL",0,Table1[[#This Row], [PROFIT]])</f>
        <v>9875486.2000000011</v>
      </c>
    </row>
    <row r="385" spans="1:24" ht="19.5" customHeight="1" x14ac:dyDescent="0.45">
      <c r="A385" t="s">
        <v>13</v>
      </c>
      <c r="B385" s="14">
        <f>_xlfn.XLOOKUP(Table1[[#This Row], [TEAM]],Sheet1!$A$12:$A$17,Sheet1!$F$12:$F$17)</f>
        <v>3</v>
      </c>
      <c r="C385" s="14">
        <f>_xlfn.XLOOKUP(Table1[[#This Row], [TEAM]],Sheet1!$A$12:$A$17,Sheet1!$G$12:$G$17)</f>
        <v>5930000</v>
      </c>
      <c r="D385" t="s">
        <v>22</v>
      </c>
      <c r="E385" s="4">
        <f>_xlfn.XLOOKUP(Table1[[#This Row], [ROOM]],Sheet1!$A$47:$A$66,Sheet1!$B$47:$B$66)</f>
        <v>235</v>
      </c>
      <c r="F385" t="s">
        <v>58</v>
      </c>
      <c r="G385" s="4">
        <f>_xlfn.XLOOKUP(Table1[[#This Row], [DISGUISE]],Sheet1!$A$21:$A$23,Sheet1!$B$21:$B$23)*Table1[[#This Row], [NUM OF MEM]]*(1+_xlfn.XLOOKUP(Table1[[#This Row], [DISGUISE]],Sheet1!$A$21:$A$23,Sheet1!$C$21:$C$23))</f>
        <v>38400</v>
      </c>
      <c r="H385" s="13" t="s">
        <v>63</v>
      </c>
      <c r="I385" s="4">
        <f>_xlfn.XLOOKUP(Table1[[#This Row], [WEAPON]],Sheet1!$A$27:$A$29,Sheet1!$B$27:$B$29)*Table1[[#This Row], [NUM OF MEM]]*(1+_xlfn.XLOOKUP(Table1[[#This Row], [WEAPON]],Sheet1!$A$27:$A$29,Sheet1!$C$27:$C$29))</f>
        <v>69000</v>
      </c>
      <c r="J385" t="s">
        <v>64</v>
      </c>
      <c r="K385" s="9">
        <f>Table1[[#This Row], [NUM OF MEM]]*Table1[[#This Row], [TOTAL TIME TAKEN]]*_xlfn.XLOOKUP(Table1[[#This Row], [EXIT]],Sheet1!$A$70:$A$71,Sheet1!$B$70:$B$71)*(1+_xlfn.XLOOKUP(Table1[[#This Row], [EXIT]],Sheet1!$A$70:$A$71,Sheet1!$C$70:$C$71))</f>
        <v>1890021.5999999996</v>
      </c>
      <c r="L385" s="13" t="s">
        <v>61</v>
      </c>
      <c r="M385" s="4">
        <f>IF(Table1[[#This Row], [EQUIPMENT]]="YES",Sheet1!$C$44*(1+Sheet1!$D$44),0)</f>
        <v>0</v>
      </c>
      <c r="N385" s="4">
        <f>_xlfn.XLOOKUP(Table1[[#This Row], [ROOM]],Sheet1!$A$47:$A$66,Sheet1!$F$47:$F$66)</f>
        <v>17800000</v>
      </c>
      <c r="O385" s="9">
        <f>_xlfn.XLOOKUP(_xlfn.CONCAT(Table1[[#This Row], [TEAM]],Table1[[#This Row], [ROOM]]),'ROOM TIME'!$H$2:$H$121,'ROOM TIME'!$J$2:$J$121)</f>
        <v>43.211666666666666</v>
      </c>
      <c r="P385" s="9">
        <f>(INDEX(Sheet1!$X$48:$Z$67,MATCH(Table1[[#This Row], [ROOM]],Sheet1!$P$48:$P$67,0),MATCH(Table1[[#This Row], [WEAPON]],Sheet1!$X$47:$Z$47,0)))/Table1[[#This Row], [NUM OF MEM]]</f>
        <v>5.4000000000000012</v>
      </c>
      <c r="Q385" s="9">
        <f>Table1[[#This Row], [ROOM TIME]]+Table1[[#This Row], [GUARD TIME]]</f>
        <v>48.611666666666665</v>
      </c>
      <c r="R385" s="4">
        <f>Sheet1!$K$3*_xlfn.XLOOKUP(Table1[[#This Row], [DISGUISE]],Sheet1!$A$21:$A$23,Sheet1!$D$21:$D$23)</f>
        <v>69</v>
      </c>
      <c r="S385" s="9">
        <f>Table1[[#This Row], [TOTAL TIME]]-Table1[[#This Row], [TOTAL TIME TAKEN]]</f>
        <v>20.388333333333335</v>
      </c>
      <c r="T385" t="str">
        <f>IF(Table1[[#This Row], [TIME DIFFERENCE]]&gt;=0,"PASS","FAIL")</f>
        <v>PASS</v>
      </c>
      <c r="U385" s="9">
        <f>Table1[[#This Row], [TRC]]+Table1[[#This Row], [DRC]]+Table1[[#This Row], [WRC]]+Table1[[#This Row], [ERC]]+Table1[[#This Row], [EQRC]]</f>
        <v>7927421.5999999996</v>
      </c>
      <c r="V385" s="9">
        <f>Table1[[#This Row], [TOTAL COST]]+_xlfn.XLOOKUP(Table1[[#This Row], [TEAM]],Sheet1!$A$12:$A$17,Sheet1!$I$12:$I$17)</f>
        <v>8223921.5999999996</v>
      </c>
      <c r="W385" s="9">
        <f>Table1[[#This Row], [LOOT]]-Table1[[#This Row], [TOTAL COST]]</f>
        <v>9872578.4000000004</v>
      </c>
      <c r="X385" s="9">
        <f>IF(Table1[[#This Row], [PASS/FAIL]]="FAIL",0,Table1[[#This Row], [PROFIT]])</f>
        <v>9872578.4000000004</v>
      </c>
    </row>
    <row r="386" spans="1:24" ht="19.5" customHeight="1" x14ac:dyDescent="0.45">
      <c r="A386" t="s">
        <v>13</v>
      </c>
      <c r="B386" s="14">
        <f>_xlfn.XLOOKUP(Table1[[#This Row], [TEAM]],Sheet1!$A$12:$A$17,Sheet1!$F$12:$F$17)</f>
        <v>3</v>
      </c>
      <c r="C386" s="14">
        <f>_xlfn.XLOOKUP(Table1[[#This Row], [TEAM]],Sheet1!$A$12:$A$17,Sheet1!$G$12:$G$17)</f>
        <v>5930000</v>
      </c>
      <c r="D386" t="s">
        <v>22</v>
      </c>
      <c r="E386" s="4">
        <f>_xlfn.XLOOKUP(Table1[[#This Row], [ROOM]],Sheet1!$A$47:$A$66,Sheet1!$B$47:$B$66)</f>
        <v>235</v>
      </c>
      <c r="F386" t="s">
        <v>62</v>
      </c>
      <c r="G386" s="4">
        <f>_xlfn.XLOOKUP(Table1[[#This Row], [DISGUISE]],Sheet1!$A$21:$A$23,Sheet1!$B$21:$B$23)*Table1[[#This Row], [NUM OF MEM]]*(1+_xlfn.XLOOKUP(Table1[[#This Row], [DISGUISE]],Sheet1!$A$21:$A$23,Sheet1!$C$21:$C$23))</f>
        <v>15600</v>
      </c>
      <c r="H386" s="13" t="s">
        <v>66</v>
      </c>
      <c r="I386" s="4">
        <f>_xlfn.XLOOKUP(Table1[[#This Row], [WEAPON]],Sheet1!$A$27:$A$29,Sheet1!$B$27:$B$29)*Table1[[#This Row], [NUM OF MEM]]*(1+_xlfn.XLOOKUP(Table1[[#This Row], [WEAPON]],Sheet1!$A$27:$A$29,Sheet1!$C$27:$C$29))</f>
        <v>108000</v>
      </c>
      <c r="J386" t="s">
        <v>64</v>
      </c>
      <c r="K386" s="9">
        <f>Table1[[#This Row], [NUM OF MEM]]*Table1[[#This Row], [TOTAL TIME TAKEN]]*_xlfn.XLOOKUP(Table1[[#This Row], [EXIT]],Sheet1!$A$70:$A$71,Sheet1!$B$70:$B$71)*(1+_xlfn.XLOOKUP(Table1[[#This Row], [EXIT]],Sheet1!$A$70:$A$71,Sheet1!$C$70:$C$71))</f>
        <v>1874469.5999999999</v>
      </c>
      <c r="L386" s="13" t="s">
        <v>61</v>
      </c>
      <c r="M386" s="4">
        <f>IF(Table1[[#This Row], [EQUIPMENT]]="YES",Sheet1!$C$44*(1+Sheet1!$D$44),0)</f>
        <v>0</v>
      </c>
      <c r="N386" s="4">
        <f>_xlfn.XLOOKUP(Table1[[#This Row], [ROOM]],Sheet1!$A$47:$A$66,Sheet1!$F$47:$F$66)</f>
        <v>17800000</v>
      </c>
      <c r="O386" s="9">
        <f>_xlfn.XLOOKUP(_xlfn.CONCAT(Table1[[#This Row], [TEAM]],Table1[[#This Row], [ROOM]]),'ROOM TIME'!$H$2:$H$121,'ROOM TIME'!$J$2:$J$121)</f>
        <v>43.211666666666666</v>
      </c>
      <c r="P386" s="4">
        <f>(INDEX(Sheet1!$X$48:$Z$67,MATCH(Table1[[#This Row], [ROOM]],Sheet1!$P$48:$P$67,0),MATCH(Table1[[#This Row], [WEAPON]],Sheet1!$X$47:$Z$47,0)))/Table1[[#This Row], [NUM OF MEM]]</f>
        <v>5</v>
      </c>
      <c r="Q386" s="9">
        <f>Table1[[#This Row], [ROOM TIME]]+Table1[[#This Row], [GUARD TIME]]</f>
        <v>48.211666666666666</v>
      </c>
      <c r="R386" s="4">
        <f>Sheet1!$K$3*_xlfn.XLOOKUP(Table1[[#This Row], [DISGUISE]],Sheet1!$A$21:$A$23,Sheet1!$D$21:$D$23)</f>
        <v>66</v>
      </c>
      <c r="S386" s="9">
        <f>Table1[[#This Row], [TOTAL TIME]]-Table1[[#This Row], [TOTAL TIME TAKEN]]</f>
        <v>17.788333333333334</v>
      </c>
      <c r="T386" t="str">
        <f>IF(Table1[[#This Row], [TIME DIFFERENCE]]&gt;=0,"PASS","FAIL")</f>
        <v>PASS</v>
      </c>
      <c r="U386" s="9">
        <f>Table1[[#This Row], [TRC]]+Table1[[#This Row], [DRC]]+Table1[[#This Row], [WRC]]+Table1[[#This Row], [ERC]]+Table1[[#This Row], [EQRC]]</f>
        <v>7928069.5999999996</v>
      </c>
      <c r="V386" s="9">
        <f>Table1[[#This Row], [TOTAL COST]]+_xlfn.XLOOKUP(Table1[[#This Row], [TEAM]],Sheet1!$A$12:$A$17,Sheet1!$I$12:$I$17)</f>
        <v>8224569.5999999996</v>
      </c>
      <c r="W386" s="9">
        <f>Table1[[#This Row], [LOOT]]-Table1[[#This Row], [TOTAL COST]]</f>
        <v>9871930.4000000004</v>
      </c>
      <c r="X386" s="9">
        <f>IF(Table1[[#This Row], [PASS/FAIL]]="FAIL",0,Table1[[#This Row], [PROFIT]])</f>
        <v>9871930.4000000004</v>
      </c>
    </row>
    <row r="387" spans="1:24" ht="19.5" customHeight="1" x14ac:dyDescent="0.45">
      <c r="A387" t="s">
        <v>9</v>
      </c>
      <c r="B387" s="14">
        <f>_xlfn.XLOOKUP(Table1[[#This Row], [TEAM]],Sheet1!$A$12:$A$17,Sheet1!$F$12:$F$17)</f>
        <v>3</v>
      </c>
      <c r="C387" s="14">
        <f>_xlfn.XLOOKUP(Table1[[#This Row], [TEAM]],Sheet1!$A$12:$A$17,Sheet1!$G$12:$G$17)</f>
        <v>6238750</v>
      </c>
      <c r="D387" t="s">
        <v>26</v>
      </c>
      <c r="E387" s="4">
        <f>_xlfn.XLOOKUP(Table1[[#This Row], [ROOM]],Sheet1!$A$47:$A$66,Sheet1!$B$47:$B$66)</f>
        <v>136</v>
      </c>
      <c r="F387" t="s">
        <v>62</v>
      </c>
      <c r="G387" s="4">
        <f>_xlfn.XLOOKUP(Table1[[#This Row], [DISGUISE]],Sheet1!$A$21:$A$23,Sheet1!$B$21:$B$23)*Table1[[#This Row], [NUM OF MEM]]*(1+_xlfn.XLOOKUP(Table1[[#This Row], [DISGUISE]],Sheet1!$A$21:$A$23,Sheet1!$C$21:$C$23))</f>
        <v>15600</v>
      </c>
      <c r="H387" s="13" t="s">
        <v>59</v>
      </c>
      <c r="I387" s="4">
        <f>_xlfn.XLOOKUP(Table1[[#This Row], [WEAPON]],Sheet1!$A$27:$A$29,Sheet1!$B$27:$B$29)*Table1[[#This Row], [NUM OF MEM]]*(1+_xlfn.XLOOKUP(Table1[[#This Row], [WEAPON]],Sheet1!$A$27:$A$29,Sheet1!$C$27:$C$29))</f>
        <v>136500</v>
      </c>
      <c r="J387" t="s">
        <v>60</v>
      </c>
      <c r="K387" s="9">
        <f>Table1[[#This Row], [NUM OF MEM]]*Table1[[#This Row], [TOTAL TIME TAKEN]]*_xlfn.XLOOKUP(Table1[[#This Row], [EXIT]],Sheet1!$A$70:$A$71,Sheet1!$B$70:$B$71)*(1+_xlfn.XLOOKUP(Table1[[#This Row], [EXIT]],Sheet1!$A$70:$A$71,Sheet1!$C$70:$C$71))</f>
        <v>1580044.3374999997</v>
      </c>
      <c r="L387" s="13" t="s">
        <v>65</v>
      </c>
      <c r="M387" s="4">
        <f>IF(Table1[[#This Row], [EQUIPMENT]]="YES",Sheet1!$C$44*(1+Sheet1!$D$44),0)</f>
        <v>307500</v>
      </c>
      <c r="N387" s="4">
        <f>_xlfn.XLOOKUP(Table1[[#This Row], [ROOM]],Sheet1!$A$47:$A$66,Sheet1!$F$47:$F$66)</f>
        <v>18150000</v>
      </c>
      <c r="O387" s="9">
        <f>_xlfn.XLOOKUP(_xlfn.CONCAT(Table1[[#This Row], [TEAM]],Table1[[#This Row], [ROOM]]),'ROOM TIME'!$H$2:$H$121,'ROOM TIME'!$J$2:$J$121)</f>
        <v>36.442777777777771</v>
      </c>
      <c r="P387" s="9">
        <f>(INDEX(Sheet1!$X$48:$Z$67,MATCH(Table1[[#This Row], [ROOM]],Sheet1!$P$48:$P$67,0),MATCH(Table1[[#This Row], [WEAPON]],Sheet1!$X$47:$Z$47,0)))/Table1[[#This Row], [NUM OF MEM]]</f>
        <v>4.5999999999999996</v>
      </c>
      <c r="Q387" s="9">
        <f>Table1[[#This Row], [ROOM TIME]]+Table1[[#This Row], [GUARD TIME]]</f>
        <v>41.042777777777772</v>
      </c>
      <c r="R387" s="4">
        <f>Sheet1!$K$3*_xlfn.XLOOKUP(Table1[[#This Row], [DISGUISE]],Sheet1!$A$21:$A$23,Sheet1!$D$21:$D$23)</f>
        <v>66</v>
      </c>
      <c r="S387" s="9">
        <f>Table1[[#This Row], [TOTAL TIME]]-Table1[[#This Row], [TOTAL TIME TAKEN]]</f>
        <v>24.957222222222228</v>
      </c>
      <c r="T387" t="str">
        <f>IF(Table1[[#This Row], [TIME DIFFERENCE]]&gt;=0,"PASS","FAIL")</f>
        <v>PASS</v>
      </c>
      <c r="U387" s="9">
        <f>Table1[[#This Row], [TRC]]+Table1[[#This Row], [DRC]]+Table1[[#This Row], [WRC]]+Table1[[#This Row], [ERC]]+Table1[[#This Row], [EQRC]]</f>
        <v>8278394.3374999994</v>
      </c>
      <c r="V387" s="9">
        <f>Table1[[#This Row], [TOTAL COST]]+_xlfn.XLOOKUP(Table1[[#This Row], [TEAM]],Sheet1!$A$12:$A$17,Sheet1!$I$12:$I$17)</f>
        <v>8590331.8374999985</v>
      </c>
      <c r="W387" s="9">
        <f>Table1[[#This Row], [LOOT]]-Table1[[#This Row], [TOTAL COST]]</f>
        <v>9871605.6625000015</v>
      </c>
      <c r="X387" s="9">
        <f>IF(Table1[[#This Row], [PASS/FAIL]]="FAIL",0,Table1[[#This Row], [PROFIT]])</f>
        <v>9871605.6625000015</v>
      </c>
    </row>
    <row r="388" spans="1:24" ht="19.5" customHeight="1" x14ac:dyDescent="0.45">
      <c r="A388" t="s">
        <v>9</v>
      </c>
      <c r="B388" s="14">
        <f>_xlfn.XLOOKUP(Table1[[#This Row], [TEAM]],Sheet1!$A$12:$A$17,Sheet1!$F$12:$F$17)</f>
        <v>3</v>
      </c>
      <c r="C388" s="14">
        <f>_xlfn.XLOOKUP(Table1[[#This Row], [TEAM]],Sheet1!$A$12:$A$17,Sheet1!$G$12:$G$17)</f>
        <v>6238750</v>
      </c>
      <c r="D388" t="s">
        <v>19</v>
      </c>
      <c r="E388" s="4">
        <f>_xlfn.XLOOKUP(Table1[[#This Row], [ROOM]],Sheet1!$A$47:$A$66,Sheet1!$B$47:$B$66)</f>
        <v>135</v>
      </c>
      <c r="F388" t="s">
        <v>58</v>
      </c>
      <c r="G388" s="4">
        <f>_xlfn.XLOOKUP(Table1[[#This Row], [DISGUISE]],Sheet1!$A$21:$A$23,Sheet1!$B$21:$B$23)*Table1[[#This Row], [NUM OF MEM]]*(1+_xlfn.XLOOKUP(Table1[[#This Row], [DISGUISE]],Sheet1!$A$21:$A$23,Sheet1!$C$21:$C$23))</f>
        <v>38400</v>
      </c>
      <c r="H388" s="13" t="s">
        <v>59</v>
      </c>
      <c r="I388" s="4">
        <f>_xlfn.XLOOKUP(Table1[[#This Row], [WEAPON]],Sheet1!$A$27:$A$29,Sheet1!$B$27:$B$29)*Table1[[#This Row], [NUM OF MEM]]*(1+_xlfn.XLOOKUP(Table1[[#This Row], [WEAPON]],Sheet1!$A$27:$A$29,Sheet1!$C$27:$C$29))</f>
        <v>136500</v>
      </c>
      <c r="J388" t="s">
        <v>64</v>
      </c>
      <c r="K388" s="9">
        <f>Table1[[#This Row], [NUM OF MEM]]*Table1[[#This Row], [TOTAL TIME TAKEN]]*_xlfn.XLOOKUP(Table1[[#This Row], [EXIT]],Sheet1!$A$70:$A$71,Sheet1!$B$70:$B$71)*(1+_xlfn.XLOOKUP(Table1[[#This Row], [EXIT]],Sheet1!$A$70:$A$71,Sheet1!$C$70:$C$71))</f>
        <v>1666634.3999999994</v>
      </c>
      <c r="L388" s="13" t="s">
        <v>61</v>
      </c>
      <c r="M388" s="4">
        <f>IF(Table1[[#This Row], [EQUIPMENT]]="YES",Sheet1!$C$44*(1+Sheet1!$D$44),0)</f>
        <v>0</v>
      </c>
      <c r="N388" s="4">
        <f>_xlfn.XLOOKUP(Table1[[#This Row], [ROOM]],Sheet1!$A$47:$A$66,Sheet1!$F$47:$F$66)</f>
        <v>17950000</v>
      </c>
      <c r="O388" s="9">
        <f>_xlfn.XLOOKUP(_xlfn.CONCAT(Table1[[#This Row], [TEAM]],Table1[[#This Row], [ROOM]]),'ROOM TIME'!$H$2:$H$121,'ROOM TIME'!$J$2:$J$121)</f>
        <v>38.649444444444434</v>
      </c>
      <c r="P388" s="9">
        <f>(INDEX(Sheet1!$X$48:$Z$67,MATCH(Table1[[#This Row], [ROOM]],Sheet1!$P$48:$P$67,0),MATCH(Table1[[#This Row], [WEAPON]],Sheet1!$X$47:$Z$47,0)))/Table1[[#This Row], [NUM OF MEM]]</f>
        <v>4.2166666666666659</v>
      </c>
      <c r="Q388" s="9">
        <f>Table1[[#This Row], [ROOM TIME]]+Table1[[#This Row], [GUARD TIME]]</f>
        <v>42.866111111111103</v>
      </c>
      <c r="R388" s="4">
        <f>Sheet1!$K$3*_xlfn.XLOOKUP(Table1[[#This Row], [DISGUISE]],Sheet1!$A$21:$A$23,Sheet1!$D$21:$D$23)</f>
        <v>69</v>
      </c>
      <c r="S388" s="9">
        <f>Table1[[#This Row], [TOTAL TIME]]-Table1[[#This Row], [TOTAL TIME TAKEN]]</f>
        <v>26.133888888888897</v>
      </c>
      <c r="T388" t="str">
        <f>IF(Table1[[#This Row], [TIME DIFFERENCE]]&gt;=0,"PASS","FAIL")</f>
        <v>PASS</v>
      </c>
      <c r="U388" s="9">
        <f>Table1[[#This Row], [TRC]]+Table1[[#This Row], [DRC]]+Table1[[#This Row], [WRC]]+Table1[[#This Row], [ERC]]+Table1[[#This Row], [EQRC]]</f>
        <v>8080284.3999999994</v>
      </c>
      <c r="V388" s="9">
        <f>Table1[[#This Row], [TOTAL COST]]+_xlfn.XLOOKUP(Table1[[#This Row], [TEAM]],Sheet1!$A$12:$A$17,Sheet1!$I$12:$I$17)</f>
        <v>8392221.8999999985</v>
      </c>
      <c r="W388" s="9">
        <f>Table1[[#This Row], [LOOT]]-Table1[[#This Row], [TOTAL COST]]</f>
        <v>9869715.6000000015</v>
      </c>
      <c r="X388" s="9">
        <f>IF(Table1[[#This Row], [PASS/FAIL]]="FAIL",0,Table1[[#This Row], [PROFIT]])</f>
        <v>9869715.6000000015</v>
      </c>
    </row>
    <row r="389" spans="1:24" ht="19.5" customHeight="1" x14ac:dyDescent="0.45">
      <c r="A389" t="s">
        <v>12</v>
      </c>
      <c r="B389" s="14">
        <f>_xlfn.XLOOKUP(Table1[[#This Row], [TEAM]],Sheet1!$A$12:$A$17,Sheet1!$F$12:$F$17)</f>
        <v>3</v>
      </c>
      <c r="C389" s="14">
        <f>_xlfn.XLOOKUP(Table1[[#This Row], [TEAM]],Sheet1!$A$12:$A$17,Sheet1!$G$12:$G$17)</f>
        <v>5988750</v>
      </c>
      <c r="D389" t="s">
        <v>29</v>
      </c>
      <c r="E389" s="4">
        <f>_xlfn.XLOOKUP(Table1[[#This Row], [ROOM]],Sheet1!$A$47:$A$66,Sheet1!$B$47:$B$66)</f>
        <v>236</v>
      </c>
      <c r="F389" t="s">
        <v>62</v>
      </c>
      <c r="G389" s="4">
        <f>_xlfn.XLOOKUP(Table1[[#This Row], [DISGUISE]],Sheet1!$A$21:$A$23,Sheet1!$B$21:$B$23)*Table1[[#This Row], [NUM OF MEM]]*(1+_xlfn.XLOOKUP(Table1[[#This Row], [DISGUISE]],Sheet1!$A$21:$A$23,Sheet1!$C$21:$C$23))</f>
        <v>15600</v>
      </c>
      <c r="H389" s="13" t="s">
        <v>63</v>
      </c>
      <c r="I389" s="4">
        <f>_xlfn.XLOOKUP(Table1[[#This Row], [WEAPON]],Sheet1!$A$27:$A$29,Sheet1!$B$27:$B$29)*Table1[[#This Row], [NUM OF MEM]]*(1+_xlfn.XLOOKUP(Table1[[#This Row], [WEAPON]],Sheet1!$A$27:$A$29,Sheet1!$C$27:$C$29))</f>
        <v>69000</v>
      </c>
      <c r="J389" t="s">
        <v>64</v>
      </c>
      <c r="K389" s="9">
        <f>Table1[[#This Row], [NUM OF MEM]]*Table1[[#This Row], [TOTAL TIME TAKEN]]*_xlfn.XLOOKUP(Table1[[#This Row], [EXIT]],Sheet1!$A$70:$A$71,Sheet1!$B$70:$B$71)*(1+_xlfn.XLOOKUP(Table1[[#This Row], [EXIT]],Sheet1!$A$70:$A$71,Sheet1!$C$70:$C$71))</f>
        <v>1749556.7999999993</v>
      </c>
      <c r="L389" s="13" t="s">
        <v>65</v>
      </c>
      <c r="M389" s="4">
        <f>IF(Table1[[#This Row], [EQUIPMENT]]="YES",Sheet1!$C$44*(1+Sheet1!$D$44),0)</f>
        <v>307500</v>
      </c>
      <c r="N389" s="4">
        <f>_xlfn.XLOOKUP(Table1[[#This Row], [ROOM]],Sheet1!$A$47:$A$66,Sheet1!$F$47:$F$66)</f>
        <v>18000000</v>
      </c>
      <c r="O389" s="9">
        <f>_xlfn.XLOOKUP(_xlfn.CONCAT(Table1[[#This Row], [TEAM]],Table1[[#This Row], [ROOM]]),'ROOM TIME'!$H$2:$H$121,'ROOM TIME'!$J$2:$J$121)</f>
        <v>39.14888888888887</v>
      </c>
      <c r="P389" s="9">
        <f>(INDEX(Sheet1!$X$48:$Z$67,MATCH(Table1[[#This Row], [ROOM]],Sheet1!$P$48:$P$67,0),MATCH(Table1[[#This Row], [WEAPON]],Sheet1!$X$47:$Z$47,0)))/Table1[[#This Row], [NUM OF MEM]]</f>
        <v>5.8500000000000005</v>
      </c>
      <c r="Q389" s="9">
        <f>Table1[[#This Row], [ROOM TIME]]+Table1[[#This Row], [GUARD TIME]]</f>
        <v>44.998888888888871</v>
      </c>
      <c r="R389" s="4">
        <f>Sheet1!$K$3*_xlfn.XLOOKUP(Table1[[#This Row], [DISGUISE]],Sheet1!$A$21:$A$23,Sheet1!$D$21:$D$23)</f>
        <v>66</v>
      </c>
      <c r="S389" s="9">
        <f>Table1[[#This Row], [TOTAL TIME]]-Table1[[#This Row], [TOTAL TIME TAKEN]]</f>
        <v>21.001111111111129</v>
      </c>
      <c r="T389" t="str">
        <f>IF(Table1[[#This Row], [TIME DIFFERENCE]]&gt;=0,"PASS","FAIL")</f>
        <v>PASS</v>
      </c>
      <c r="U389" s="9">
        <f>Table1[[#This Row], [TRC]]+Table1[[#This Row], [DRC]]+Table1[[#This Row], [WRC]]+Table1[[#This Row], [ERC]]+Table1[[#This Row], [EQRC]]</f>
        <v>8130406.7999999989</v>
      </c>
      <c r="V389" s="9">
        <f>Table1[[#This Row], [TOTAL COST]]+_xlfn.XLOOKUP(Table1[[#This Row], [TEAM]],Sheet1!$A$12:$A$17,Sheet1!$I$12:$I$17)</f>
        <v>8429844.2999999989</v>
      </c>
      <c r="W389" s="9">
        <f>Table1[[#This Row], [LOOT]]-Table1[[#This Row], [TOTAL COST]]</f>
        <v>9869593.2000000011</v>
      </c>
      <c r="X389" s="9">
        <f>IF(Table1[[#This Row], [PASS/FAIL]]="FAIL",0,Table1[[#This Row], [PROFIT]])</f>
        <v>9869593.2000000011</v>
      </c>
    </row>
    <row r="390" spans="1:24" ht="19.5" customHeight="1" x14ac:dyDescent="0.45">
      <c r="A390" t="s">
        <v>9</v>
      </c>
      <c r="B390" s="14">
        <f>_xlfn.XLOOKUP(Table1[[#This Row], [TEAM]],Sheet1!$A$12:$A$17,Sheet1!$F$12:$F$17)</f>
        <v>3</v>
      </c>
      <c r="C390" s="14">
        <f>_xlfn.XLOOKUP(Table1[[#This Row], [TEAM]],Sheet1!$A$12:$A$17,Sheet1!$G$12:$G$17)</f>
        <v>6238750</v>
      </c>
      <c r="D390" t="s">
        <v>33</v>
      </c>
      <c r="E390" s="4">
        <f>_xlfn.XLOOKUP(Table1[[#This Row], [ROOM]],Sheet1!$A$47:$A$66,Sheet1!$B$47:$B$66)</f>
        <v>356</v>
      </c>
      <c r="F390" t="s">
        <v>62</v>
      </c>
      <c r="G390" s="4">
        <f>_xlfn.XLOOKUP(Table1[[#This Row], [DISGUISE]],Sheet1!$A$21:$A$23,Sheet1!$B$21:$B$23)*Table1[[#This Row], [NUM OF MEM]]*(1+_xlfn.XLOOKUP(Table1[[#This Row], [DISGUISE]],Sheet1!$A$21:$A$23,Sheet1!$C$21:$C$23))</f>
        <v>15600</v>
      </c>
      <c r="H390" s="13" t="s">
        <v>63</v>
      </c>
      <c r="I390" s="4">
        <f>_xlfn.XLOOKUP(Table1[[#This Row], [WEAPON]],Sheet1!$A$27:$A$29,Sheet1!$B$27:$B$29)*Table1[[#This Row], [NUM OF MEM]]*(1+_xlfn.XLOOKUP(Table1[[#This Row], [WEAPON]],Sheet1!$A$27:$A$29,Sheet1!$C$27:$C$29))</f>
        <v>69000</v>
      </c>
      <c r="J390" t="s">
        <v>60</v>
      </c>
      <c r="K390" s="9">
        <f>Table1[[#This Row], [NUM OF MEM]]*Table1[[#This Row], [TOTAL TIME TAKEN]]*_xlfn.XLOOKUP(Table1[[#This Row], [EXIT]],Sheet1!$A$70:$A$71,Sheet1!$B$70:$B$71)*(1+_xlfn.XLOOKUP(Table1[[#This Row], [EXIT]],Sheet1!$A$70:$A$71,Sheet1!$C$70:$C$71))</f>
        <v>1599613.8999999992</v>
      </c>
      <c r="L390" s="13" t="s">
        <v>65</v>
      </c>
      <c r="M390" s="4">
        <f>IF(Table1[[#This Row], [EQUIPMENT]]="YES",Sheet1!$C$44*(1+Sheet1!$D$44),0)</f>
        <v>307500</v>
      </c>
      <c r="N390" s="4">
        <f>_xlfn.XLOOKUP(Table1[[#This Row], [ROOM]],Sheet1!$A$47:$A$66,Sheet1!$F$47:$F$66)</f>
        <v>18100000</v>
      </c>
      <c r="O390" s="9">
        <f>_xlfn.XLOOKUP(_xlfn.CONCAT(Table1[[#This Row], [TEAM]],Table1[[#This Row], [ROOM]]),'ROOM TIME'!$H$2:$H$121,'ROOM TIME'!$J$2:$J$121)</f>
        <v>36.151111111111099</v>
      </c>
      <c r="P390" s="9">
        <f>(INDEX(Sheet1!$X$48:$Z$67,MATCH(Table1[[#This Row], [ROOM]],Sheet1!$P$48:$P$67,0),MATCH(Table1[[#This Row], [WEAPON]],Sheet1!$X$47:$Z$47,0)))/Table1[[#This Row], [NUM OF MEM]]</f>
        <v>5.4000000000000012</v>
      </c>
      <c r="Q390" s="9">
        <f>Table1[[#This Row], [ROOM TIME]]+Table1[[#This Row], [GUARD TIME]]</f>
        <v>41.551111111111098</v>
      </c>
      <c r="R390" s="4">
        <f>Sheet1!$K$3*_xlfn.XLOOKUP(Table1[[#This Row], [DISGUISE]],Sheet1!$A$21:$A$23,Sheet1!$D$21:$D$23)</f>
        <v>66</v>
      </c>
      <c r="S390" s="9">
        <f>Table1[[#This Row], [TOTAL TIME]]-Table1[[#This Row], [TOTAL TIME TAKEN]]</f>
        <v>24.448888888888902</v>
      </c>
      <c r="T390" t="str">
        <f>IF(Table1[[#This Row], [TIME DIFFERENCE]]&gt;=0,"PASS","FAIL")</f>
        <v>PASS</v>
      </c>
      <c r="U390" s="9">
        <f>Table1[[#This Row], [TRC]]+Table1[[#This Row], [DRC]]+Table1[[#This Row], [WRC]]+Table1[[#This Row], [ERC]]+Table1[[#This Row], [EQRC]]</f>
        <v>8230463.8999999994</v>
      </c>
      <c r="V390" s="9">
        <f>Table1[[#This Row], [TOTAL COST]]+_xlfn.XLOOKUP(Table1[[#This Row], [TEAM]],Sheet1!$A$12:$A$17,Sheet1!$I$12:$I$17)</f>
        <v>8542401.3999999985</v>
      </c>
      <c r="W390" s="9">
        <f>Table1[[#This Row], [LOOT]]-Table1[[#This Row], [TOTAL COST]]</f>
        <v>9869536.1000000015</v>
      </c>
      <c r="X390" s="9">
        <f>IF(Table1[[#This Row], [PASS/FAIL]]="FAIL",0,Table1[[#This Row], [PROFIT]])</f>
        <v>9869536.1000000015</v>
      </c>
    </row>
    <row r="391" spans="1:24" ht="19.5" customHeight="1" x14ac:dyDescent="0.45">
      <c r="A391" t="s">
        <v>9</v>
      </c>
      <c r="B391" s="14">
        <f>_xlfn.XLOOKUP(Table1[[#This Row], [TEAM]],Sheet1!$A$12:$A$17,Sheet1!$F$12:$F$17)</f>
        <v>3</v>
      </c>
      <c r="C391" s="14">
        <f>_xlfn.XLOOKUP(Table1[[#This Row], [TEAM]],Sheet1!$A$12:$A$17,Sheet1!$G$12:$G$17)</f>
        <v>6238750</v>
      </c>
      <c r="D391" t="s">
        <v>26</v>
      </c>
      <c r="E391" s="4">
        <f>_xlfn.XLOOKUP(Table1[[#This Row], [ROOM]],Sheet1!$A$47:$A$66,Sheet1!$B$47:$B$66)</f>
        <v>136</v>
      </c>
      <c r="F391" t="s">
        <v>58</v>
      </c>
      <c r="G391" s="4">
        <f>_xlfn.XLOOKUP(Table1[[#This Row], [DISGUISE]],Sheet1!$A$21:$A$23,Sheet1!$B$21:$B$23)*Table1[[#This Row], [NUM OF MEM]]*(1+_xlfn.XLOOKUP(Table1[[#This Row], [DISGUISE]],Sheet1!$A$21:$A$23,Sheet1!$C$21:$C$23))</f>
        <v>38400</v>
      </c>
      <c r="H391" s="13" t="s">
        <v>63</v>
      </c>
      <c r="I391" s="4">
        <f>_xlfn.XLOOKUP(Table1[[#This Row], [WEAPON]],Sheet1!$A$27:$A$29,Sheet1!$B$27:$B$29)*Table1[[#This Row], [NUM OF MEM]]*(1+_xlfn.XLOOKUP(Table1[[#This Row], [WEAPON]],Sheet1!$A$27:$A$29,Sheet1!$C$27:$C$29))</f>
        <v>69000</v>
      </c>
      <c r="J391" t="s">
        <v>64</v>
      </c>
      <c r="K391" s="9">
        <f>Table1[[#This Row], [NUM OF MEM]]*Table1[[#This Row], [TOTAL TIME TAKEN]]*_xlfn.XLOOKUP(Table1[[#This Row], [EXIT]],Sheet1!$A$70:$A$71,Sheet1!$B$70:$B$71)*(1+_xlfn.XLOOKUP(Table1[[#This Row], [EXIT]],Sheet1!$A$70:$A$71,Sheet1!$C$70:$C$71))</f>
        <v>1626847.1999999997</v>
      </c>
      <c r="L391" s="13" t="s">
        <v>65</v>
      </c>
      <c r="M391" s="4">
        <f>IF(Table1[[#This Row], [EQUIPMENT]]="YES",Sheet1!$C$44*(1+Sheet1!$D$44),0)</f>
        <v>307500</v>
      </c>
      <c r="N391" s="4">
        <f>_xlfn.XLOOKUP(Table1[[#This Row], [ROOM]],Sheet1!$A$47:$A$66,Sheet1!$F$47:$F$66)</f>
        <v>18150000</v>
      </c>
      <c r="O391" s="9">
        <f>_xlfn.XLOOKUP(_xlfn.CONCAT(Table1[[#This Row], [TEAM]],Table1[[#This Row], [ROOM]]),'ROOM TIME'!$H$2:$H$121,'ROOM TIME'!$J$2:$J$121)</f>
        <v>36.442777777777771</v>
      </c>
      <c r="P391" s="9">
        <f>(INDEX(Sheet1!$X$48:$Z$67,MATCH(Table1[[#This Row], [ROOM]],Sheet1!$P$48:$P$67,0),MATCH(Table1[[#This Row], [WEAPON]],Sheet1!$X$47:$Z$47,0)))/Table1[[#This Row], [NUM OF MEM]]</f>
        <v>5.4000000000000012</v>
      </c>
      <c r="Q391" s="9">
        <f>Table1[[#This Row], [ROOM TIME]]+Table1[[#This Row], [GUARD TIME]]</f>
        <v>41.842777777777769</v>
      </c>
      <c r="R391" s="4">
        <f>Sheet1!$K$3*_xlfn.XLOOKUP(Table1[[#This Row], [DISGUISE]],Sheet1!$A$21:$A$23,Sheet1!$D$21:$D$23)</f>
        <v>69</v>
      </c>
      <c r="S391" s="9">
        <f>Table1[[#This Row], [TOTAL TIME]]-Table1[[#This Row], [TOTAL TIME TAKEN]]</f>
        <v>27.157222222222231</v>
      </c>
      <c r="T391" t="str">
        <f>IF(Table1[[#This Row], [TIME DIFFERENCE]]&gt;=0,"PASS","FAIL")</f>
        <v>PASS</v>
      </c>
      <c r="U391" s="9">
        <f>Table1[[#This Row], [TRC]]+Table1[[#This Row], [DRC]]+Table1[[#This Row], [WRC]]+Table1[[#This Row], [ERC]]+Table1[[#This Row], [EQRC]]</f>
        <v>8280497.1999999993</v>
      </c>
      <c r="V391" s="9">
        <f>Table1[[#This Row], [TOTAL COST]]+_xlfn.XLOOKUP(Table1[[#This Row], [TEAM]],Sheet1!$A$12:$A$17,Sheet1!$I$12:$I$17)</f>
        <v>8592434.6999999993</v>
      </c>
      <c r="W391" s="9">
        <f>Table1[[#This Row], [LOOT]]-Table1[[#This Row], [TOTAL COST]]</f>
        <v>9869502.8000000007</v>
      </c>
      <c r="X391" s="9">
        <f>IF(Table1[[#This Row], [PASS/FAIL]]="FAIL",0,Table1[[#This Row], [PROFIT]])</f>
        <v>9869502.8000000007</v>
      </c>
    </row>
    <row r="392" spans="1:24" ht="19.5" customHeight="1" x14ac:dyDescent="0.45">
      <c r="A392" t="s">
        <v>13</v>
      </c>
      <c r="B392" s="14">
        <f>_xlfn.XLOOKUP(Table1[[#This Row], [TEAM]],Sheet1!$A$12:$A$17,Sheet1!$F$12:$F$17)</f>
        <v>3</v>
      </c>
      <c r="C392" s="14">
        <f>_xlfn.XLOOKUP(Table1[[#This Row], [TEAM]],Sheet1!$A$12:$A$17,Sheet1!$G$12:$G$17)</f>
        <v>5930000</v>
      </c>
      <c r="D392" t="s">
        <v>10</v>
      </c>
      <c r="E392" s="4">
        <f>_xlfn.XLOOKUP(Table1[[#This Row], [ROOM]],Sheet1!$A$47:$A$66,Sheet1!$B$47:$B$66)</f>
        <v>123</v>
      </c>
      <c r="F392" t="s">
        <v>58</v>
      </c>
      <c r="G392" s="4">
        <f>_xlfn.XLOOKUP(Table1[[#This Row], [DISGUISE]],Sheet1!$A$21:$A$23,Sheet1!$B$21:$B$23)*Table1[[#This Row], [NUM OF MEM]]*(1+_xlfn.XLOOKUP(Table1[[#This Row], [DISGUISE]],Sheet1!$A$21:$A$23,Sheet1!$C$21:$C$23))</f>
        <v>38400</v>
      </c>
      <c r="H392" s="13" t="s">
        <v>59</v>
      </c>
      <c r="I392" s="4">
        <f>_xlfn.XLOOKUP(Table1[[#This Row], [WEAPON]],Sheet1!$A$27:$A$29,Sheet1!$B$27:$B$29)*Table1[[#This Row], [NUM OF MEM]]*(1+_xlfn.XLOOKUP(Table1[[#This Row], [WEAPON]],Sheet1!$A$27:$A$29,Sheet1!$C$27:$C$29))</f>
        <v>136500</v>
      </c>
      <c r="J392" t="s">
        <v>64</v>
      </c>
      <c r="K392" s="9">
        <f>Table1[[#This Row], [NUM OF MEM]]*Table1[[#This Row], [TOTAL TIME TAKEN]]*_xlfn.XLOOKUP(Table1[[#This Row], [EXIT]],Sheet1!$A$70:$A$71,Sheet1!$B$70:$B$71)*(1+_xlfn.XLOOKUP(Table1[[#This Row], [EXIT]],Sheet1!$A$70:$A$71,Sheet1!$C$70:$C$71))</f>
        <v>1876132.7999999996</v>
      </c>
      <c r="L392" s="13" t="s">
        <v>61</v>
      </c>
      <c r="M392" s="4">
        <f>IF(Table1[[#This Row], [EQUIPMENT]]="YES",Sheet1!$C$44*(1+Sheet1!$D$44),0)</f>
        <v>0</v>
      </c>
      <c r="N392" s="4">
        <f>_xlfn.XLOOKUP(Table1[[#This Row], [ROOM]],Sheet1!$A$47:$A$66,Sheet1!$F$47:$F$66)</f>
        <v>17850000</v>
      </c>
      <c r="O392" s="9">
        <f>_xlfn.XLOOKUP(_xlfn.CONCAT(Table1[[#This Row], [TEAM]],Table1[[#This Row], [ROOM]]),'ROOM TIME'!$H$2:$H$121,'ROOM TIME'!$J$2:$J$121)</f>
        <v>43.654444444444437</v>
      </c>
      <c r="P392" s="9">
        <f>(INDEX(Sheet1!$X$48:$Z$67,MATCH(Table1[[#This Row], [ROOM]],Sheet1!$P$48:$P$67,0),MATCH(Table1[[#This Row], [WEAPON]],Sheet1!$X$47:$Z$47,0)))/Table1[[#This Row], [NUM OF MEM]]</f>
        <v>4.5999999999999996</v>
      </c>
      <c r="Q392" s="9">
        <f>Table1[[#This Row], [ROOM TIME]]+Table1[[#This Row], [GUARD TIME]]</f>
        <v>48.254444444444438</v>
      </c>
      <c r="R392" s="4">
        <f>Sheet1!$K$3*_xlfn.XLOOKUP(Table1[[#This Row], [DISGUISE]],Sheet1!$A$21:$A$23,Sheet1!$D$21:$D$23)</f>
        <v>69</v>
      </c>
      <c r="S392" s="9">
        <f>Table1[[#This Row], [TOTAL TIME]]-Table1[[#This Row], [TOTAL TIME TAKEN]]</f>
        <v>20.745555555555562</v>
      </c>
      <c r="T392" t="str">
        <f>IF(Table1[[#This Row], [TIME DIFFERENCE]]&gt;=0,"PASS","FAIL")</f>
        <v>PASS</v>
      </c>
      <c r="U392" s="9">
        <f>Table1[[#This Row], [TRC]]+Table1[[#This Row], [DRC]]+Table1[[#This Row], [WRC]]+Table1[[#This Row], [ERC]]+Table1[[#This Row], [EQRC]]</f>
        <v>7981032.7999999998</v>
      </c>
      <c r="V392" s="9">
        <f>Table1[[#This Row], [TOTAL COST]]+_xlfn.XLOOKUP(Table1[[#This Row], [TEAM]],Sheet1!$A$12:$A$17,Sheet1!$I$12:$I$17)</f>
        <v>8277532.7999999998</v>
      </c>
      <c r="W392" s="9">
        <f>Table1[[#This Row], [LOOT]]-Table1[[#This Row], [TOTAL COST]]</f>
        <v>9868967.1999999993</v>
      </c>
      <c r="X392" s="9">
        <f>IF(Table1[[#This Row], [PASS/FAIL]]="FAIL",0,Table1[[#This Row], [PROFIT]])</f>
        <v>9868967.1999999993</v>
      </c>
    </row>
    <row r="393" spans="1:24" ht="19.5" customHeight="1" x14ac:dyDescent="0.45">
      <c r="A393" t="s">
        <v>9</v>
      </c>
      <c r="B393" s="14">
        <f>_xlfn.XLOOKUP(Table1[[#This Row], [TEAM]],Sheet1!$A$12:$A$17,Sheet1!$F$12:$F$17)</f>
        <v>3</v>
      </c>
      <c r="C393" s="14">
        <f>_xlfn.XLOOKUP(Table1[[#This Row], [TEAM]],Sheet1!$A$12:$A$17,Sheet1!$G$12:$G$17)</f>
        <v>6238750</v>
      </c>
      <c r="D393" t="s">
        <v>26</v>
      </c>
      <c r="E393" s="4">
        <f>_xlfn.XLOOKUP(Table1[[#This Row], [ROOM]],Sheet1!$A$47:$A$66,Sheet1!$B$47:$B$66)</f>
        <v>136</v>
      </c>
      <c r="F393" t="s">
        <v>62</v>
      </c>
      <c r="G393" s="4">
        <f>_xlfn.XLOOKUP(Table1[[#This Row], [DISGUISE]],Sheet1!$A$21:$A$23,Sheet1!$B$21:$B$23)*Table1[[#This Row], [NUM OF MEM]]*(1+_xlfn.XLOOKUP(Table1[[#This Row], [DISGUISE]],Sheet1!$A$21:$A$23,Sheet1!$C$21:$C$23))</f>
        <v>15600</v>
      </c>
      <c r="H393" s="13" t="s">
        <v>66</v>
      </c>
      <c r="I393" s="4">
        <f>_xlfn.XLOOKUP(Table1[[#This Row], [WEAPON]],Sheet1!$A$27:$A$29,Sheet1!$B$27:$B$29)*Table1[[#This Row], [NUM OF MEM]]*(1+_xlfn.XLOOKUP(Table1[[#This Row], [WEAPON]],Sheet1!$A$27:$A$29,Sheet1!$C$27:$C$29))</f>
        <v>108000</v>
      </c>
      <c r="J393" t="s">
        <v>64</v>
      </c>
      <c r="K393" s="9">
        <f>Table1[[#This Row], [NUM OF MEM]]*Table1[[#This Row], [TOTAL TIME TAKEN]]*_xlfn.XLOOKUP(Table1[[#This Row], [EXIT]],Sheet1!$A$70:$A$71,Sheet1!$B$70:$B$71)*(1+_xlfn.XLOOKUP(Table1[[#This Row], [EXIT]],Sheet1!$A$70:$A$71,Sheet1!$C$70:$C$71))</f>
        <v>1611295.1999999997</v>
      </c>
      <c r="L393" s="13" t="s">
        <v>65</v>
      </c>
      <c r="M393" s="4">
        <f>IF(Table1[[#This Row], [EQUIPMENT]]="YES",Sheet1!$C$44*(1+Sheet1!$D$44),0)</f>
        <v>307500</v>
      </c>
      <c r="N393" s="4">
        <f>_xlfn.XLOOKUP(Table1[[#This Row], [ROOM]],Sheet1!$A$47:$A$66,Sheet1!$F$47:$F$66)</f>
        <v>18150000</v>
      </c>
      <c r="O393" s="9">
        <f>_xlfn.XLOOKUP(_xlfn.CONCAT(Table1[[#This Row], [TEAM]],Table1[[#This Row], [ROOM]]),'ROOM TIME'!$H$2:$H$121,'ROOM TIME'!$J$2:$J$121)</f>
        <v>36.442777777777771</v>
      </c>
      <c r="P393" s="4">
        <f>(INDEX(Sheet1!$X$48:$Z$67,MATCH(Table1[[#This Row], [ROOM]],Sheet1!$P$48:$P$67,0),MATCH(Table1[[#This Row], [WEAPON]],Sheet1!$X$47:$Z$47,0)))/Table1[[#This Row], [NUM OF MEM]]</f>
        <v>5</v>
      </c>
      <c r="Q393" s="9">
        <f>Table1[[#This Row], [ROOM TIME]]+Table1[[#This Row], [GUARD TIME]]</f>
        <v>41.442777777777771</v>
      </c>
      <c r="R393" s="4">
        <f>Sheet1!$K$3*_xlfn.XLOOKUP(Table1[[#This Row], [DISGUISE]],Sheet1!$A$21:$A$23,Sheet1!$D$21:$D$23)</f>
        <v>66</v>
      </c>
      <c r="S393" s="9">
        <f>Table1[[#This Row], [TOTAL TIME]]-Table1[[#This Row], [TOTAL TIME TAKEN]]</f>
        <v>24.557222222222229</v>
      </c>
      <c r="T393" t="str">
        <f>IF(Table1[[#This Row], [TIME DIFFERENCE]]&gt;=0,"PASS","FAIL")</f>
        <v>PASS</v>
      </c>
      <c r="U393" s="9">
        <f>Table1[[#This Row], [TRC]]+Table1[[#This Row], [DRC]]+Table1[[#This Row], [WRC]]+Table1[[#This Row], [ERC]]+Table1[[#This Row], [EQRC]]</f>
        <v>8281145.1999999993</v>
      </c>
      <c r="V393" s="9">
        <f>Table1[[#This Row], [TOTAL COST]]+_xlfn.XLOOKUP(Table1[[#This Row], [TEAM]],Sheet1!$A$12:$A$17,Sheet1!$I$12:$I$17)</f>
        <v>8593082.6999999993</v>
      </c>
      <c r="W393" s="9">
        <f>Table1[[#This Row], [LOOT]]-Table1[[#This Row], [TOTAL COST]]</f>
        <v>9868854.8000000007</v>
      </c>
      <c r="X393" s="9">
        <f>IF(Table1[[#This Row], [PASS/FAIL]]="FAIL",0,Table1[[#This Row], [PROFIT]])</f>
        <v>9868854.8000000007</v>
      </c>
    </row>
    <row r="394" spans="1:24" ht="19.5" customHeight="1" x14ac:dyDescent="0.45">
      <c r="A394" t="s">
        <v>13</v>
      </c>
      <c r="B394" s="14">
        <f>_xlfn.XLOOKUP(Table1[[#This Row], [TEAM]],Sheet1!$A$12:$A$17,Sheet1!$F$12:$F$17)</f>
        <v>3</v>
      </c>
      <c r="C394" s="14">
        <f>_xlfn.XLOOKUP(Table1[[#This Row], [TEAM]],Sheet1!$A$12:$A$17,Sheet1!$G$12:$G$17)</f>
        <v>5930000</v>
      </c>
      <c r="D394" t="s">
        <v>29</v>
      </c>
      <c r="E394" s="4">
        <f>_xlfn.XLOOKUP(Table1[[#This Row], [ROOM]],Sheet1!$A$47:$A$66,Sheet1!$B$47:$B$66)</f>
        <v>236</v>
      </c>
      <c r="F394" t="s">
        <v>62</v>
      </c>
      <c r="G394" s="4">
        <f>_xlfn.XLOOKUP(Table1[[#This Row], [DISGUISE]],Sheet1!$A$21:$A$23,Sheet1!$B$21:$B$23)*Table1[[#This Row], [NUM OF MEM]]*(1+_xlfn.XLOOKUP(Table1[[#This Row], [DISGUISE]],Sheet1!$A$21:$A$23,Sheet1!$C$21:$C$23))</f>
        <v>15600</v>
      </c>
      <c r="H394" s="13" t="s">
        <v>63</v>
      </c>
      <c r="I394" s="4">
        <f>_xlfn.XLOOKUP(Table1[[#This Row], [WEAPON]],Sheet1!$A$27:$A$29,Sheet1!$B$27:$B$29)*Table1[[#This Row], [NUM OF MEM]]*(1+_xlfn.XLOOKUP(Table1[[#This Row], [WEAPON]],Sheet1!$A$27:$A$29,Sheet1!$C$27:$C$29))</f>
        <v>69000</v>
      </c>
      <c r="J394" t="s">
        <v>64</v>
      </c>
      <c r="K394" s="9">
        <f>Table1[[#This Row], [NUM OF MEM]]*Table1[[#This Row], [TOTAL TIME TAKEN]]*_xlfn.XLOOKUP(Table1[[#This Row], [EXIT]],Sheet1!$A$70:$A$71,Sheet1!$B$70:$B$71)*(1+_xlfn.XLOOKUP(Table1[[#This Row], [EXIT]],Sheet1!$A$70:$A$71,Sheet1!$C$70:$C$71))</f>
        <v>1809280.8</v>
      </c>
      <c r="L394" s="13" t="s">
        <v>65</v>
      </c>
      <c r="M394" s="4">
        <f>IF(Table1[[#This Row], [EQUIPMENT]]="YES",Sheet1!$C$44*(1+Sheet1!$D$44),0)</f>
        <v>307500</v>
      </c>
      <c r="N394" s="4">
        <f>_xlfn.XLOOKUP(Table1[[#This Row], [ROOM]],Sheet1!$A$47:$A$66,Sheet1!$F$47:$F$66)</f>
        <v>18000000</v>
      </c>
      <c r="O394" s="9">
        <f>_xlfn.XLOOKUP(_xlfn.CONCAT(Table1[[#This Row], [TEAM]],Table1[[#This Row], [ROOM]]),'ROOM TIME'!$H$2:$H$121,'ROOM TIME'!$J$2:$J$121)</f>
        <v>40.684999999999995</v>
      </c>
      <c r="P394" s="9">
        <f>(INDEX(Sheet1!$X$48:$Z$67,MATCH(Table1[[#This Row], [ROOM]],Sheet1!$P$48:$P$67,0),MATCH(Table1[[#This Row], [WEAPON]],Sheet1!$X$47:$Z$47,0)))/Table1[[#This Row], [NUM OF MEM]]</f>
        <v>5.8500000000000005</v>
      </c>
      <c r="Q394" s="9">
        <f>Table1[[#This Row], [ROOM TIME]]+Table1[[#This Row], [GUARD TIME]]</f>
        <v>46.534999999999997</v>
      </c>
      <c r="R394" s="4">
        <f>Sheet1!$K$3*_xlfn.XLOOKUP(Table1[[#This Row], [DISGUISE]],Sheet1!$A$21:$A$23,Sheet1!$D$21:$D$23)</f>
        <v>66</v>
      </c>
      <c r="S394" s="9">
        <f>Table1[[#This Row], [TOTAL TIME]]-Table1[[#This Row], [TOTAL TIME TAKEN]]</f>
        <v>19.465000000000003</v>
      </c>
      <c r="T394" t="str">
        <f>IF(Table1[[#This Row], [TIME DIFFERENCE]]&gt;=0,"PASS","FAIL")</f>
        <v>PASS</v>
      </c>
      <c r="U394" s="9">
        <f>Table1[[#This Row], [TRC]]+Table1[[#This Row], [DRC]]+Table1[[#This Row], [WRC]]+Table1[[#This Row], [ERC]]+Table1[[#This Row], [EQRC]]</f>
        <v>8131380.7999999998</v>
      </c>
      <c r="V394" s="9">
        <f>Table1[[#This Row], [TOTAL COST]]+_xlfn.XLOOKUP(Table1[[#This Row], [TEAM]],Sheet1!$A$12:$A$17,Sheet1!$I$12:$I$17)</f>
        <v>8427880.8000000007</v>
      </c>
      <c r="W394" s="9">
        <f>Table1[[#This Row], [LOOT]]-Table1[[#This Row], [TOTAL COST]]</f>
        <v>9868619.1999999993</v>
      </c>
      <c r="X394" s="9">
        <f>IF(Table1[[#This Row], [PASS/FAIL]]="FAIL",0,Table1[[#This Row], [PROFIT]])</f>
        <v>9868619.1999999993</v>
      </c>
    </row>
    <row r="395" spans="1:24" ht="19.5" customHeight="1" x14ac:dyDescent="0.45">
      <c r="A395" t="s">
        <v>13</v>
      </c>
      <c r="B395" s="14">
        <f>_xlfn.XLOOKUP(Table1[[#This Row], [TEAM]],Sheet1!$A$12:$A$17,Sheet1!$F$12:$F$17)</f>
        <v>3</v>
      </c>
      <c r="C395" s="14">
        <f>_xlfn.XLOOKUP(Table1[[#This Row], [TEAM]],Sheet1!$A$12:$A$17,Sheet1!$G$12:$G$17)</f>
        <v>5930000</v>
      </c>
      <c r="D395" t="s">
        <v>22</v>
      </c>
      <c r="E395" s="4">
        <f>_xlfn.XLOOKUP(Table1[[#This Row], [ROOM]],Sheet1!$A$47:$A$66,Sheet1!$B$47:$B$66)</f>
        <v>235</v>
      </c>
      <c r="F395" t="s">
        <v>58</v>
      </c>
      <c r="G395" s="4">
        <f>_xlfn.XLOOKUP(Table1[[#This Row], [DISGUISE]],Sheet1!$A$21:$A$23,Sheet1!$B$21:$B$23)*Table1[[#This Row], [NUM OF MEM]]*(1+_xlfn.XLOOKUP(Table1[[#This Row], [DISGUISE]],Sheet1!$A$21:$A$23,Sheet1!$C$21:$C$23))</f>
        <v>38400</v>
      </c>
      <c r="H395" s="13" t="s">
        <v>66</v>
      </c>
      <c r="I395" s="4">
        <f>_xlfn.XLOOKUP(Table1[[#This Row], [WEAPON]],Sheet1!$A$27:$A$29,Sheet1!$B$27:$B$29)*Table1[[#This Row], [NUM OF MEM]]*(1+_xlfn.XLOOKUP(Table1[[#This Row], [WEAPON]],Sheet1!$A$27:$A$29,Sheet1!$C$27:$C$29))</f>
        <v>108000</v>
      </c>
      <c r="J395" t="s">
        <v>60</v>
      </c>
      <c r="K395" s="9">
        <f>Table1[[#This Row], [NUM OF MEM]]*Table1[[#This Row], [TOTAL TIME TAKEN]]*_xlfn.XLOOKUP(Table1[[#This Row], [EXIT]],Sheet1!$A$70:$A$71,Sheet1!$B$70:$B$71)*(1+_xlfn.XLOOKUP(Table1[[#This Row], [EXIT]],Sheet1!$A$70:$A$71,Sheet1!$C$70:$C$71))</f>
        <v>1856028.6375</v>
      </c>
      <c r="L395" s="13" t="s">
        <v>61</v>
      </c>
      <c r="M395" s="4">
        <f>IF(Table1[[#This Row], [EQUIPMENT]]="YES",Sheet1!$C$44*(1+Sheet1!$D$44),0)</f>
        <v>0</v>
      </c>
      <c r="N395" s="4">
        <f>_xlfn.XLOOKUP(Table1[[#This Row], [ROOM]],Sheet1!$A$47:$A$66,Sheet1!$F$47:$F$66)</f>
        <v>17800000</v>
      </c>
      <c r="O395" s="9">
        <f>_xlfn.XLOOKUP(_xlfn.CONCAT(Table1[[#This Row], [TEAM]],Table1[[#This Row], [ROOM]]),'ROOM TIME'!$H$2:$H$121,'ROOM TIME'!$J$2:$J$121)</f>
        <v>43.211666666666666</v>
      </c>
      <c r="P395" s="4">
        <f>(INDEX(Sheet1!$X$48:$Z$67,MATCH(Table1[[#This Row], [ROOM]],Sheet1!$P$48:$P$67,0),MATCH(Table1[[#This Row], [WEAPON]],Sheet1!$X$47:$Z$47,0)))/Table1[[#This Row], [NUM OF MEM]]</f>
        <v>5</v>
      </c>
      <c r="Q395" s="9">
        <f>Table1[[#This Row], [ROOM TIME]]+Table1[[#This Row], [GUARD TIME]]</f>
        <v>48.211666666666666</v>
      </c>
      <c r="R395" s="4">
        <f>Sheet1!$K$3*_xlfn.XLOOKUP(Table1[[#This Row], [DISGUISE]],Sheet1!$A$21:$A$23,Sheet1!$D$21:$D$23)</f>
        <v>69</v>
      </c>
      <c r="S395" s="9">
        <f>Table1[[#This Row], [TOTAL TIME]]-Table1[[#This Row], [TOTAL TIME TAKEN]]</f>
        <v>20.788333333333334</v>
      </c>
      <c r="T395" t="str">
        <f>IF(Table1[[#This Row], [TIME DIFFERENCE]]&gt;=0,"PASS","FAIL")</f>
        <v>PASS</v>
      </c>
      <c r="U395" s="9">
        <f>Table1[[#This Row], [TRC]]+Table1[[#This Row], [DRC]]+Table1[[#This Row], [WRC]]+Table1[[#This Row], [ERC]]+Table1[[#This Row], [EQRC]]</f>
        <v>7932428.6375000002</v>
      </c>
      <c r="V395" s="9">
        <f>Table1[[#This Row], [TOTAL COST]]+_xlfn.XLOOKUP(Table1[[#This Row], [TEAM]],Sheet1!$A$12:$A$17,Sheet1!$I$12:$I$17)</f>
        <v>8228928.6375000002</v>
      </c>
      <c r="W395" s="9">
        <f>Table1[[#This Row], [LOOT]]-Table1[[#This Row], [TOTAL COST]]</f>
        <v>9867571.3625000007</v>
      </c>
      <c r="X395" s="9">
        <f>IF(Table1[[#This Row], [PASS/FAIL]]="FAIL",0,Table1[[#This Row], [PROFIT]])</f>
        <v>9867571.3625000007</v>
      </c>
    </row>
    <row r="396" spans="1:24" ht="19.5" customHeight="1" x14ac:dyDescent="0.45">
      <c r="A396" t="s">
        <v>12</v>
      </c>
      <c r="B396" s="14">
        <f>_xlfn.XLOOKUP(Table1[[#This Row], [TEAM]],Sheet1!$A$12:$A$17,Sheet1!$F$12:$F$17)</f>
        <v>3</v>
      </c>
      <c r="C396" s="14">
        <f>_xlfn.XLOOKUP(Table1[[#This Row], [TEAM]],Sheet1!$A$12:$A$17,Sheet1!$G$12:$G$17)</f>
        <v>5988750</v>
      </c>
      <c r="D396" t="s">
        <v>22</v>
      </c>
      <c r="E396" s="4">
        <f>_xlfn.XLOOKUP(Table1[[#This Row], [ROOM]],Sheet1!$A$47:$A$66,Sheet1!$B$47:$B$66)</f>
        <v>235</v>
      </c>
      <c r="F396" t="s">
        <v>62</v>
      </c>
      <c r="G396" s="4">
        <f>_xlfn.XLOOKUP(Table1[[#This Row], [DISGUISE]],Sheet1!$A$21:$A$23,Sheet1!$B$21:$B$23)*Table1[[#This Row], [NUM OF MEM]]*(1+_xlfn.XLOOKUP(Table1[[#This Row], [DISGUISE]],Sheet1!$A$21:$A$23,Sheet1!$C$21:$C$23))</f>
        <v>15600</v>
      </c>
      <c r="H396" s="13" t="s">
        <v>59</v>
      </c>
      <c r="I396" s="4">
        <f>_xlfn.XLOOKUP(Table1[[#This Row], [WEAPON]],Sheet1!$A$27:$A$29,Sheet1!$B$27:$B$29)*Table1[[#This Row], [NUM OF MEM]]*(1+_xlfn.XLOOKUP(Table1[[#This Row], [WEAPON]],Sheet1!$A$27:$A$29,Sheet1!$C$27:$C$29))</f>
        <v>136500</v>
      </c>
      <c r="J396" t="s">
        <v>64</v>
      </c>
      <c r="K396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1791590.3999999994</v>
      </c>
      <c r="L396" s="13" t="s">
        <v>61</v>
      </c>
      <c r="M396" s="4">
        <f>IF(Table1[[#This Row], [EQUIPMENT]]="YES",Sheet1!$C$44*(1+Sheet1!$D$44),0)</f>
        <v>0</v>
      </c>
      <c r="N396" s="4">
        <f>_xlfn.XLOOKUP(Table1[[#This Row], [ROOM]],Sheet1!$A$47:$A$66,Sheet1!$F$47:$F$66)</f>
        <v>17800000</v>
      </c>
      <c r="O396" s="9">
        <f>_xlfn.XLOOKUP(_xlfn.CONCAT(Table1[[#This Row], [TEAM]],Table1[[#This Row], [ROOM]]),'ROOM TIME'!$H$2:$H$121,'ROOM TIME'!$J$2:$J$121)</f>
        <v>41.479999999999983</v>
      </c>
      <c r="P396" s="9">
        <f>(INDEX(Sheet1!$X$48:$Z$67,MATCH(Table1[[#This Row], [ROOM]],Sheet1!$P$48:$P$67,0),MATCH(Table1[[#This Row], [WEAPON]],Sheet1!$X$47:$Z$47,0)))/Table1[[#This Row], [NUM OF MEM]]</f>
        <v>4.5999999999999996</v>
      </c>
      <c r="Q396" s="9">
        <f>Table1[[#This Row], [ROOM TIME]]+Table1[[#This Row], [GUARD TIME]]</f>
        <v>46.079999999999984</v>
      </c>
      <c r="R396" s="4">
        <f>Sheet1!$K$3*_xlfn.XLOOKUP(Table1[[#This Row], [DISGUISE]],Sheet1!$A$21:$A$23,Sheet1!$D$21:$D$23)</f>
        <v>66</v>
      </c>
      <c r="S396" s="9">
        <f>Table1[[#This Row], [TOTAL TIME]]-Table1[[#This Row], [TOTAL TIME TAKEN]]</f>
        <v>19.920000000000016</v>
      </c>
      <c r="T396" t="str">
        <f>IF(Table1[[#This Row], [TIME DIFFERENCE]]&gt;=0,"PASS","FAIL")</f>
        <v>PASS</v>
      </c>
      <c r="U396" s="9">
        <f>Table1[[#This Row], [TRC]]+Table1[[#This Row], [DRC]]+Table1[[#This Row], [WRC]]+Table1[[#This Row], [ERC]]+Table1[[#This Row], [EQRC]]</f>
        <v>7932440.3999999994</v>
      </c>
      <c r="V396" s="9">
        <f>Table1[[#This Row], [TOTAL COST]]+_xlfn.XLOOKUP(Table1[[#This Row], [TEAM]],Sheet1!$A$12:$A$17,Sheet1!$I$12:$I$17)</f>
        <v>8231877.8999999994</v>
      </c>
      <c r="W396" s="9">
        <f>Table1[[#This Row], [LOOT]]-Table1[[#This Row], [TOTAL COST]]</f>
        <v>9867559.6000000015</v>
      </c>
      <c r="X396" s="9">
        <f>IF(Table1[[#This Row], [PASS/FAIL]]="FAIL",0,Table1[[#This Row], [PROFIT]])</f>
        <v>9867559.6000000015</v>
      </c>
    </row>
    <row r="397" spans="1:24" ht="19.5" customHeight="1" x14ac:dyDescent="0.45">
      <c r="A397" t="s">
        <v>12</v>
      </c>
      <c r="B397" s="14">
        <f>_xlfn.XLOOKUP(Table1[[#This Row], [TEAM]],Sheet1!$A$12:$A$17,Sheet1!$F$12:$F$17)</f>
        <v>3</v>
      </c>
      <c r="C397" s="14">
        <f>_xlfn.XLOOKUP(Table1[[#This Row], [TEAM]],Sheet1!$A$12:$A$17,Sheet1!$G$12:$G$17)</f>
        <v>5988750</v>
      </c>
      <c r="D397" t="s">
        <v>18</v>
      </c>
      <c r="E397" s="4">
        <f>_xlfn.XLOOKUP(Table1[[#This Row], [ROOM]],Sheet1!$A$47:$A$66,Sheet1!$B$47:$B$66)</f>
        <v>134</v>
      </c>
      <c r="F397" t="s">
        <v>62</v>
      </c>
      <c r="G397" s="4">
        <f>_xlfn.XLOOKUP(Table1[[#This Row], [DISGUISE]],Sheet1!$A$21:$A$23,Sheet1!$B$21:$B$23)*Table1[[#This Row], [NUM OF MEM]]*(1+_xlfn.XLOOKUP(Table1[[#This Row], [DISGUISE]],Sheet1!$A$21:$A$23,Sheet1!$C$21:$C$23))</f>
        <v>15600</v>
      </c>
      <c r="H397" s="13" t="s">
        <v>63</v>
      </c>
      <c r="I397" s="4">
        <f>_xlfn.XLOOKUP(Table1[[#This Row], [WEAPON]],Sheet1!$A$27:$A$29,Sheet1!$B$27:$B$29)*Table1[[#This Row], [NUM OF MEM]]*(1+_xlfn.XLOOKUP(Table1[[#This Row], [WEAPON]],Sheet1!$A$27:$A$29,Sheet1!$C$27:$C$29))</f>
        <v>69000</v>
      </c>
      <c r="J397" t="s">
        <v>60</v>
      </c>
      <c r="K397" s="9">
        <f>Table1[[#This Row], [NUM OF MEM]]*Table1[[#This Row], [TOTAL TIME TAKEN]]*_xlfn.XLOOKUP(Table1[[#This Row], [EXIT]],Sheet1!$A$70:$A$71,Sheet1!$B$70:$B$71)*(1+_xlfn.XLOOKUP(Table1[[#This Row], [EXIT]],Sheet1!$A$70:$A$71,Sheet1!$C$70:$C$71))</f>
        <v>1802410.1749999996</v>
      </c>
      <c r="L397" s="13" t="s">
        <v>65</v>
      </c>
      <c r="M397" s="4">
        <f>IF(Table1[[#This Row], [EQUIPMENT]]="YES",Sheet1!$C$44*(1+Sheet1!$D$44),0)</f>
        <v>307500</v>
      </c>
      <c r="N397" s="4">
        <f>_xlfn.XLOOKUP(Table1[[#This Row], [ROOM]],Sheet1!$A$47:$A$66,Sheet1!$F$47:$F$66)</f>
        <v>18050000</v>
      </c>
      <c r="O397" s="9">
        <f>_xlfn.XLOOKUP(_xlfn.CONCAT(Table1[[#This Row], [TEAM]],Table1[[#This Row], [ROOM]]),'ROOM TIME'!$H$2:$H$121,'ROOM TIME'!$J$2:$J$121)</f>
        <v>41.41888888888888</v>
      </c>
      <c r="P397" s="9">
        <f>(INDEX(Sheet1!$X$48:$Z$67,MATCH(Table1[[#This Row], [ROOM]],Sheet1!$P$48:$P$67,0),MATCH(Table1[[#This Row], [WEAPON]],Sheet1!$X$47:$Z$47,0)))/Table1[[#This Row], [NUM OF MEM]]</f>
        <v>5.4000000000000012</v>
      </c>
      <c r="Q397" s="9">
        <f>Table1[[#This Row], [ROOM TIME]]+Table1[[#This Row], [GUARD TIME]]</f>
        <v>46.818888888888878</v>
      </c>
      <c r="R397" s="4">
        <f>Sheet1!$K$3*_xlfn.XLOOKUP(Table1[[#This Row], [DISGUISE]],Sheet1!$A$21:$A$23,Sheet1!$D$21:$D$23)</f>
        <v>66</v>
      </c>
      <c r="S397" s="9">
        <f>Table1[[#This Row], [TOTAL TIME]]-Table1[[#This Row], [TOTAL TIME TAKEN]]</f>
        <v>19.181111111111122</v>
      </c>
      <c r="T397" t="str">
        <f>IF(Table1[[#This Row], [TIME DIFFERENCE]]&gt;=0,"PASS","FAIL")</f>
        <v>PASS</v>
      </c>
      <c r="U397" s="9">
        <f>Table1[[#This Row], [TRC]]+Table1[[#This Row], [DRC]]+Table1[[#This Row], [WRC]]+Table1[[#This Row], [ERC]]+Table1[[#This Row], [EQRC]]</f>
        <v>8183260.1749999998</v>
      </c>
      <c r="V397" s="9">
        <f>Table1[[#This Row], [TOTAL COST]]+_xlfn.XLOOKUP(Table1[[#This Row], [TEAM]],Sheet1!$A$12:$A$17,Sheet1!$I$12:$I$17)</f>
        <v>8482697.6750000007</v>
      </c>
      <c r="W397" s="9">
        <f>Table1[[#This Row], [LOOT]]-Table1[[#This Row], [TOTAL COST]]</f>
        <v>9866739.8249999993</v>
      </c>
      <c r="X397" s="9">
        <f>IF(Table1[[#This Row], [PASS/FAIL]]="FAIL",0,Table1[[#This Row], [PROFIT]])</f>
        <v>9866739.8249999993</v>
      </c>
    </row>
    <row r="398" spans="1:24" ht="19.5" customHeight="1" x14ac:dyDescent="0.45">
      <c r="A398" t="s">
        <v>15</v>
      </c>
      <c r="B398" s="14">
        <f>_xlfn.XLOOKUP(Table1[[#This Row], [TEAM]],Sheet1!$A$12:$A$17,Sheet1!$F$12:$F$17)</f>
        <v>2</v>
      </c>
      <c r="C398" s="14">
        <f>_xlfn.XLOOKUP(Table1[[#This Row], [TEAM]],Sheet1!$A$12:$A$17,Sheet1!$G$12:$G$17)</f>
        <v>5932950</v>
      </c>
      <c r="D398" t="s">
        <v>24</v>
      </c>
      <c r="E398" s="4">
        <f>_xlfn.XLOOKUP(Table1[[#This Row], [ROOM]],Sheet1!$A$47:$A$66,Sheet1!$B$47:$B$66)</f>
        <v>345</v>
      </c>
      <c r="F398" t="s">
        <v>58</v>
      </c>
      <c r="G398" s="4">
        <f>_xlfn.XLOOKUP(Table1[[#This Row], [DISGUISE]],Sheet1!$A$21:$A$23,Sheet1!$B$21:$B$23)*Table1[[#This Row], [NUM OF MEM]]*(1+_xlfn.XLOOKUP(Table1[[#This Row], [DISGUISE]],Sheet1!$A$21:$A$23,Sheet1!$C$21:$C$23))</f>
        <v>25600</v>
      </c>
      <c r="H398" s="13" t="s">
        <v>59</v>
      </c>
      <c r="I398" s="4">
        <f>_xlfn.XLOOKUP(Table1[[#This Row], [WEAPON]],Sheet1!$A$27:$A$29,Sheet1!$B$27:$B$29)*Table1[[#This Row], [NUM OF MEM]]*(1+_xlfn.XLOOKUP(Table1[[#This Row], [WEAPON]],Sheet1!$A$27:$A$29,Sheet1!$C$27:$C$29))</f>
        <v>91000</v>
      </c>
      <c r="J398" t="s">
        <v>64</v>
      </c>
      <c r="K398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1776329.9999999998</v>
      </c>
      <c r="L398" s="13" t="s">
        <v>65</v>
      </c>
      <c r="M398" s="4">
        <f>IF(Table1[[#This Row], [EQUIPMENT]]="YES",Sheet1!$C$44*(1+Sheet1!$D$44),0)</f>
        <v>307500</v>
      </c>
      <c r="N398" s="4">
        <f>_xlfn.XLOOKUP(Table1[[#This Row], [ROOM]],Sheet1!$A$47:$A$66,Sheet1!$F$47:$F$66)</f>
        <v>18000000</v>
      </c>
      <c r="O398" s="9">
        <f>_xlfn.XLOOKUP(_xlfn.CONCAT(Table1[[#This Row], [TEAM]],Table1[[#This Row], [ROOM]]),'ROOM TIME'!$H$2:$H$121,'ROOM TIME'!$J$2:$J$121)</f>
        <v>61.63124999999998</v>
      </c>
      <c r="P398" s="9">
        <f>(INDEX(Sheet1!$X$48:$Z$67,MATCH(Table1[[#This Row], [ROOM]],Sheet1!$P$48:$P$67,0),MATCH(Table1[[#This Row], [WEAPON]],Sheet1!$X$47:$Z$47,0)))/Table1[[#This Row], [NUM OF MEM]]</f>
        <v>6.8999999999999995</v>
      </c>
      <c r="Q398" s="9">
        <f>Table1[[#This Row], [ROOM TIME]]+Table1[[#This Row], [GUARD TIME]]</f>
        <v>68.531249999999986</v>
      </c>
      <c r="R398" s="4">
        <f>Sheet1!$K$3*_xlfn.XLOOKUP(Table1[[#This Row], [DISGUISE]],Sheet1!$A$21:$A$23,Sheet1!$D$21:$D$23)</f>
        <v>69</v>
      </c>
      <c r="S398" s="9">
        <f>Table1[[#This Row], [TOTAL TIME]]-Table1[[#This Row], [TOTAL TIME TAKEN]]</f>
        <v>0.46875000000001421</v>
      </c>
      <c r="T398" t="str">
        <f>IF(Table1[[#This Row], [TIME DIFFERENCE]]&gt;=0,"PASS","FAIL")</f>
        <v>PASS</v>
      </c>
      <c r="U398" s="4">
        <f>Table1[[#This Row], [TRC]]+Table1[[#This Row], [DRC]]+Table1[[#This Row], [WRC]]+Table1[[#This Row], [ERC]]+Table1[[#This Row], [EQRC]]</f>
        <v>8133380</v>
      </c>
      <c r="V398" s="9">
        <f>Table1[[#This Row], [TOTAL COST]]+_xlfn.XLOOKUP(Table1[[#This Row], [TEAM]],Sheet1!$A$12:$A$17,Sheet1!$I$12:$I$17)</f>
        <v>8430027.5</v>
      </c>
      <c r="W398" s="4">
        <f>Table1[[#This Row], [LOOT]]-Table1[[#This Row], [TOTAL COST]]</f>
        <v>9866620</v>
      </c>
      <c r="X398" s="4">
        <f>IF(Table1[[#This Row], [PASS/FAIL]]="FAIL",0,Table1[[#This Row], [PROFIT]])</f>
        <v>9866620</v>
      </c>
    </row>
    <row r="399" spans="1:24" ht="19.5" customHeight="1" x14ac:dyDescent="0.45">
      <c r="A399" t="s">
        <v>9</v>
      </c>
      <c r="B399" s="14">
        <f>_xlfn.XLOOKUP(Table1[[#This Row], [TEAM]],Sheet1!$A$12:$A$17,Sheet1!$F$12:$F$17)</f>
        <v>3</v>
      </c>
      <c r="C399" s="14">
        <f>_xlfn.XLOOKUP(Table1[[#This Row], [TEAM]],Sheet1!$A$12:$A$17,Sheet1!$G$12:$G$17)</f>
        <v>6238750</v>
      </c>
      <c r="D399" t="s">
        <v>32</v>
      </c>
      <c r="E399" s="4">
        <f>_xlfn.XLOOKUP(Table1[[#This Row], [ROOM]],Sheet1!$A$47:$A$66,Sheet1!$B$47:$B$66)</f>
        <v>346</v>
      </c>
      <c r="F399" t="s">
        <v>58</v>
      </c>
      <c r="G399" s="4">
        <f>_xlfn.XLOOKUP(Table1[[#This Row], [DISGUISE]],Sheet1!$A$21:$A$23,Sheet1!$B$21:$B$23)*Table1[[#This Row], [NUM OF MEM]]*(1+_xlfn.XLOOKUP(Table1[[#This Row], [DISGUISE]],Sheet1!$A$21:$A$23,Sheet1!$C$21:$C$23))</f>
        <v>38400</v>
      </c>
      <c r="H399" s="13" t="s">
        <v>59</v>
      </c>
      <c r="I399" s="4">
        <f>_xlfn.XLOOKUP(Table1[[#This Row], [WEAPON]],Sheet1!$A$27:$A$29,Sheet1!$B$27:$B$29)*Table1[[#This Row], [NUM OF MEM]]*(1+_xlfn.XLOOKUP(Table1[[#This Row], [WEAPON]],Sheet1!$A$27:$A$29,Sheet1!$C$27:$C$29))</f>
        <v>136500</v>
      </c>
      <c r="J399" t="s">
        <v>64</v>
      </c>
      <c r="K399" s="9">
        <f>Table1[[#This Row], [NUM OF MEM]]*Table1[[#This Row], [TOTAL TIME TAKEN]]*_xlfn.XLOOKUP(Table1[[#This Row], [EXIT]],Sheet1!$A$70:$A$71,Sheet1!$B$70:$B$71)*(1+_xlfn.XLOOKUP(Table1[[#This Row], [EXIT]],Sheet1!$A$70:$A$71,Sheet1!$C$70:$C$71))</f>
        <v>1613087.9999999998</v>
      </c>
      <c r="L399" s="13" t="s">
        <v>65</v>
      </c>
      <c r="M399" s="4">
        <f>IF(Table1[[#This Row], [EQUIPMENT]]="YES",Sheet1!$C$44*(1+Sheet1!$D$44),0)</f>
        <v>307500</v>
      </c>
      <c r="N399" s="4">
        <f>_xlfn.XLOOKUP(Table1[[#This Row], [ROOM]],Sheet1!$A$47:$A$66,Sheet1!$F$47:$F$66)</f>
        <v>18200000</v>
      </c>
      <c r="O399" s="9">
        <f>_xlfn.XLOOKUP(_xlfn.CONCAT(Table1[[#This Row], [TEAM]],Table1[[#This Row], [ROOM]]),'ROOM TIME'!$H$2:$H$121,'ROOM TIME'!$J$2:$J$121)</f>
        <v>36.505555555555546</v>
      </c>
      <c r="P399" s="9">
        <f>(INDEX(Sheet1!$X$48:$Z$67,MATCH(Table1[[#This Row], [ROOM]],Sheet1!$P$48:$P$67,0),MATCH(Table1[[#This Row], [WEAPON]],Sheet1!$X$47:$Z$47,0)))/Table1[[#This Row], [NUM OF MEM]]</f>
        <v>4.9833333333333334</v>
      </c>
      <c r="Q399" s="9">
        <f>Table1[[#This Row], [ROOM TIME]]+Table1[[#This Row], [GUARD TIME]]</f>
        <v>41.48888888888888</v>
      </c>
      <c r="R399" s="4">
        <f>Sheet1!$K$3*_xlfn.XLOOKUP(Table1[[#This Row], [DISGUISE]],Sheet1!$A$21:$A$23,Sheet1!$D$21:$D$23)</f>
        <v>69</v>
      </c>
      <c r="S399" s="9">
        <f>Table1[[#This Row], [TOTAL TIME]]-Table1[[#This Row], [TOTAL TIME TAKEN]]</f>
        <v>27.51111111111112</v>
      </c>
      <c r="T399" t="str">
        <f>IF(Table1[[#This Row], [TIME DIFFERENCE]]&gt;=0,"PASS","FAIL")</f>
        <v>PASS</v>
      </c>
      <c r="U399" s="4">
        <f>Table1[[#This Row], [TRC]]+Table1[[#This Row], [DRC]]+Table1[[#This Row], [WRC]]+Table1[[#This Row], [ERC]]+Table1[[#This Row], [EQRC]]</f>
        <v>8334238</v>
      </c>
      <c r="V399" s="9">
        <f>Table1[[#This Row], [TOTAL COST]]+_xlfn.XLOOKUP(Table1[[#This Row], [TEAM]],Sheet1!$A$12:$A$17,Sheet1!$I$12:$I$17)</f>
        <v>8646175.5</v>
      </c>
      <c r="W399" s="4">
        <f>Table1[[#This Row], [LOOT]]-Table1[[#This Row], [TOTAL COST]]</f>
        <v>9865762</v>
      </c>
      <c r="X399" s="4">
        <f>IF(Table1[[#This Row], [PASS/FAIL]]="FAIL",0,Table1[[#This Row], [PROFIT]])</f>
        <v>9865762</v>
      </c>
    </row>
    <row r="400" spans="1:24" ht="19.5" customHeight="1" x14ac:dyDescent="0.45">
      <c r="A400" t="s">
        <v>14</v>
      </c>
      <c r="B400" s="14">
        <f>_xlfn.XLOOKUP(Table1[[#This Row], [TEAM]],Sheet1!$A$12:$A$17,Sheet1!$F$12:$F$17)</f>
        <v>2</v>
      </c>
      <c r="C400" s="14">
        <f>_xlfn.XLOOKUP(Table1[[#This Row], [TEAM]],Sheet1!$A$12:$A$17,Sheet1!$G$12:$G$17)</f>
        <v>5949600</v>
      </c>
      <c r="D400" t="s">
        <v>24</v>
      </c>
      <c r="E400" s="4">
        <f>_xlfn.XLOOKUP(Table1[[#This Row], [ROOM]],Sheet1!$A$47:$A$66,Sheet1!$B$47:$B$66)</f>
        <v>345</v>
      </c>
      <c r="F400" t="s">
        <v>58</v>
      </c>
      <c r="G400" s="4">
        <f>_xlfn.XLOOKUP(Table1[[#This Row], [DISGUISE]],Sheet1!$A$21:$A$23,Sheet1!$B$21:$B$23)*Table1[[#This Row], [NUM OF MEM]]*(1+_xlfn.XLOOKUP(Table1[[#This Row], [DISGUISE]],Sheet1!$A$21:$A$23,Sheet1!$C$21:$C$23))</f>
        <v>25600</v>
      </c>
      <c r="H400" s="13" t="s">
        <v>59</v>
      </c>
      <c r="I400" s="4">
        <f>_xlfn.XLOOKUP(Table1[[#This Row], [WEAPON]],Sheet1!$A$27:$A$29,Sheet1!$B$27:$B$29)*Table1[[#This Row], [NUM OF MEM]]*(1+_xlfn.XLOOKUP(Table1[[#This Row], [WEAPON]],Sheet1!$A$27:$A$29,Sheet1!$C$27:$C$29))</f>
        <v>91000</v>
      </c>
      <c r="J400" t="s">
        <v>60</v>
      </c>
      <c r="K400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1760907.7312499997</v>
      </c>
      <c r="L400" s="13" t="s">
        <v>65</v>
      </c>
      <c r="M400" s="4">
        <f>IF(Table1[[#This Row], [EQUIPMENT]]="YES",Sheet1!$C$44*(1+Sheet1!$D$44),0)</f>
        <v>307500</v>
      </c>
      <c r="N400" s="4">
        <f>_xlfn.XLOOKUP(Table1[[#This Row], [ROOM]],Sheet1!$A$47:$A$66,Sheet1!$F$47:$F$66)</f>
        <v>18000000</v>
      </c>
      <c r="O400" s="9">
        <f>_xlfn.XLOOKUP(_xlfn.CONCAT(Table1[[#This Row], [TEAM]],Table1[[#This Row], [ROOM]]),'ROOM TIME'!$H$2:$H$121,'ROOM TIME'!$J$2:$J$121)</f>
        <v>61.711249999999986</v>
      </c>
      <c r="P400" s="9">
        <f>(INDEX(Sheet1!$X$48:$Z$67,MATCH(Table1[[#This Row], [ROOM]],Sheet1!$P$48:$P$67,0),MATCH(Table1[[#This Row], [WEAPON]],Sheet1!$X$47:$Z$47,0)))/Table1[[#This Row], [NUM OF MEM]]</f>
        <v>6.8999999999999995</v>
      </c>
      <c r="Q400" s="9">
        <f>Table1[[#This Row], [ROOM TIME]]+Table1[[#This Row], [GUARD TIME]]</f>
        <v>68.611249999999984</v>
      </c>
      <c r="R400" s="4">
        <f>Sheet1!$K$3*_xlfn.XLOOKUP(Table1[[#This Row], [DISGUISE]],Sheet1!$A$21:$A$23,Sheet1!$D$21:$D$23)</f>
        <v>69</v>
      </c>
      <c r="S400" s="9">
        <f>Table1[[#This Row], [TOTAL TIME]]-Table1[[#This Row], [TOTAL TIME TAKEN]]</f>
        <v>0.38875000000001592</v>
      </c>
      <c r="T400" t="str">
        <f>IF(Table1[[#This Row], [TIME DIFFERENCE]]&gt;=0,"PASS","FAIL")</f>
        <v>PASS</v>
      </c>
      <c r="U400" s="9">
        <f>Table1[[#This Row], [TRC]]+Table1[[#This Row], [DRC]]+Table1[[#This Row], [WRC]]+Table1[[#This Row], [ERC]]+Table1[[#This Row], [EQRC]]</f>
        <v>8134607.7312499993</v>
      </c>
      <c r="V400" s="9">
        <f>Table1[[#This Row], [TOTAL COST]]+_xlfn.XLOOKUP(Table1[[#This Row], [TEAM]],Sheet1!$A$12:$A$17,Sheet1!$I$12:$I$17)</f>
        <v>8432087.7312499993</v>
      </c>
      <c r="W400" s="9">
        <f>Table1[[#This Row], [LOOT]]-Table1[[#This Row], [TOTAL COST]]</f>
        <v>9865392.2687500007</v>
      </c>
      <c r="X400" s="9">
        <f>IF(Table1[[#This Row], [PASS/FAIL]]="FAIL",0,Table1[[#This Row], [PROFIT]])</f>
        <v>9865392.2687500007</v>
      </c>
    </row>
    <row r="401" spans="1:24" ht="19.5" customHeight="1" x14ac:dyDescent="0.45">
      <c r="A401" t="s">
        <v>12</v>
      </c>
      <c r="B401" s="14">
        <f>_xlfn.XLOOKUP(Table1[[#This Row], [TEAM]],Sheet1!$A$12:$A$17,Sheet1!$F$12:$F$17)</f>
        <v>3</v>
      </c>
      <c r="C401" s="14">
        <f>_xlfn.XLOOKUP(Table1[[#This Row], [TEAM]],Sheet1!$A$12:$A$17,Sheet1!$G$12:$G$17)</f>
        <v>5988750</v>
      </c>
      <c r="D401" t="s">
        <v>29</v>
      </c>
      <c r="E401" s="4">
        <f>_xlfn.XLOOKUP(Table1[[#This Row], [ROOM]],Sheet1!$A$47:$A$66,Sheet1!$B$47:$B$66)</f>
        <v>236</v>
      </c>
      <c r="F401" t="s">
        <v>62</v>
      </c>
      <c r="G401" s="4">
        <f>_xlfn.XLOOKUP(Table1[[#This Row], [DISGUISE]],Sheet1!$A$21:$A$23,Sheet1!$B$21:$B$23)*Table1[[#This Row], [NUM OF MEM]]*(1+_xlfn.XLOOKUP(Table1[[#This Row], [DISGUISE]],Sheet1!$A$21:$A$23,Sheet1!$C$21:$C$23))</f>
        <v>15600</v>
      </c>
      <c r="H401" s="13" t="s">
        <v>66</v>
      </c>
      <c r="I401" s="4">
        <f>_xlfn.XLOOKUP(Table1[[#This Row], [WEAPON]],Sheet1!$A$27:$A$29,Sheet1!$B$27:$B$29)*Table1[[#This Row], [NUM OF MEM]]*(1+_xlfn.XLOOKUP(Table1[[#This Row], [WEAPON]],Sheet1!$A$27:$A$29,Sheet1!$C$27:$C$29))</f>
        <v>108000</v>
      </c>
      <c r="J401" t="s">
        <v>60</v>
      </c>
      <c r="K401" s="9">
        <f>Table1[[#This Row], [NUM OF MEM]]*Table1[[#This Row], [TOTAL TIME TAKEN]]*_xlfn.XLOOKUP(Table1[[#This Row], [EXIT]],Sheet1!$A$70:$A$71,Sheet1!$B$70:$B$71)*(1+_xlfn.XLOOKUP(Table1[[#This Row], [EXIT]],Sheet1!$A$70:$A$71,Sheet1!$C$70:$C$71))</f>
        <v>1715662.4749999992</v>
      </c>
      <c r="L401" s="13" t="s">
        <v>65</v>
      </c>
      <c r="M401" s="4">
        <f>IF(Table1[[#This Row], [EQUIPMENT]]="YES",Sheet1!$C$44*(1+Sheet1!$D$44),0)</f>
        <v>307500</v>
      </c>
      <c r="N401" s="4">
        <f>_xlfn.XLOOKUP(Table1[[#This Row], [ROOM]],Sheet1!$A$47:$A$66,Sheet1!$F$47:$F$66)</f>
        <v>18000000</v>
      </c>
      <c r="O401" s="9">
        <f>_xlfn.XLOOKUP(_xlfn.CONCAT(Table1[[#This Row], [TEAM]],Table1[[#This Row], [ROOM]]),'ROOM TIME'!$H$2:$H$121,'ROOM TIME'!$J$2:$J$121)</f>
        <v>39.14888888888887</v>
      </c>
      <c r="P401" s="9">
        <f>(INDEX(Sheet1!$X$48:$Z$67,MATCH(Table1[[#This Row], [ROOM]],Sheet1!$P$48:$P$67,0),MATCH(Table1[[#This Row], [WEAPON]],Sheet1!$X$47:$Z$47,0)))/Table1[[#This Row], [NUM OF MEM]]</f>
        <v>5.416666666666667</v>
      </c>
      <c r="Q401" s="9">
        <f>Table1[[#This Row], [ROOM TIME]]+Table1[[#This Row], [GUARD TIME]]</f>
        <v>44.565555555555534</v>
      </c>
      <c r="R401" s="4">
        <f>Sheet1!$K$3*_xlfn.XLOOKUP(Table1[[#This Row], [DISGUISE]],Sheet1!$A$21:$A$23,Sheet1!$D$21:$D$23)</f>
        <v>66</v>
      </c>
      <c r="S401" s="9">
        <f>Table1[[#This Row], [TOTAL TIME]]-Table1[[#This Row], [TOTAL TIME TAKEN]]</f>
        <v>21.434444444444466</v>
      </c>
      <c r="T401" t="str">
        <f>IF(Table1[[#This Row], [TIME DIFFERENCE]]&gt;=0,"PASS","FAIL")</f>
        <v>PASS</v>
      </c>
      <c r="U401" s="9">
        <f>Table1[[#This Row], [TRC]]+Table1[[#This Row], [DRC]]+Table1[[#This Row], [WRC]]+Table1[[#This Row], [ERC]]+Table1[[#This Row], [EQRC]]</f>
        <v>8135512.4749999996</v>
      </c>
      <c r="V401" s="9">
        <f>Table1[[#This Row], [TOTAL COST]]+_xlfn.XLOOKUP(Table1[[#This Row], [TEAM]],Sheet1!$A$12:$A$17,Sheet1!$I$12:$I$17)</f>
        <v>8434949.9749999996</v>
      </c>
      <c r="W401" s="9">
        <f>Table1[[#This Row], [LOOT]]-Table1[[#This Row], [TOTAL COST]]</f>
        <v>9864487.5250000004</v>
      </c>
      <c r="X401" s="9">
        <f>IF(Table1[[#This Row], [PASS/FAIL]]="FAIL",0,Table1[[#This Row], [PROFIT]])</f>
        <v>9864487.5250000004</v>
      </c>
    </row>
    <row r="402" spans="1:24" ht="19.5" customHeight="1" x14ac:dyDescent="0.45">
      <c r="A402" t="s">
        <v>13</v>
      </c>
      <c r="B402" s="14">
        <f>_xlfn.XLOOKUP(Table1[[#This Row], [TEAM]],Sheet1!$A$12:$A$17,Sheet1!$F$12:$F$17)</f>
        <v>3</v>
      </c>
      <c r="C402" s="14">
        <f>_xlfn.XLOOKUP(Table1[[#This Row], [TEAM]],Sheet1!$A$12:$A$17,Sheet1!$G$12:$G$17)</f>
        <v>5930000</v>
      </c>
      <c r="D402" t="s">
        <v>29</v>
      </c>
      <c r="E402" s="4">
        <f>_xlfn.XLOOKUP(Table1[[#This Row], [ROOM]],Sheet1!$A$47:$A$66,Sheet1!$B$47:$B$66)</f>
        <v>236</v>
      </c>
      <c r="F402" t="s">
        <v>62</v>
      </c>
      <c r="G402" s="4">
        <f>_xlfn.XLOOKUP(Table1[[#This Row], [DISGUISE]],Sheet1!$A$21:$A$23,Sheet1!$B$21:$B$23)*Table1[[#This Row], [NUM OF MEM]]*(1+_xlfn.XLOOKUP(Table1[[#This Row], [DISGUISE]],Sheet1!$A$21:$A$23,Sheet1!$C$21:$C$23))</f>
        <v>15600</v>
      </c>
      <c r="H402" s="13" t="s">
        <v>66</v>
      </c>
      <c r="I402" s="4">
        <f>_xlfn.XLOOKUP(Table1[[#This Row], [WEAPON]],Sheet1!$A$27:$A$29,Sheet1!$B$27:$B$29)*Table1[[#This Row], [NUM OF MEM]]*(1+_xlfn.XLOOKUP(Table1[[#This Row], [WEAPON]],Sheet1!$A$27:$A$29,Sheet1!$C$27:$C$29))</f>
        <v>108000</v>
      </c>
      <c r="J402" t="s">
        <v>60</v>
      </c>
      <c r="K402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1774798.9124999996</v>
      </c>
      <c r="L402" s="13" t="s">
        <v>65</v>
      </c>
      <c r="M402" s="4">
        <f>IF(Table1[[#This Row], [EQUIPMENT]]="YES",Sheet1!$C$44*(1+Sheet1!$D$44),0)</f>
        <v>307500</v>
      </c>
      <c r="N402" s="4">
        <f>_xlfn.XLOOKUP(Table1[[#This Row], [ROOM]],Sheet1!$A$47:$A$66,Sheet1!$F$47:$F$66)</f>
        <v>18000000</v>
      </c>
      <c r="O402" s="9">
        <f>_xlfn.XLOOKUP(_xlfn.CONCAT(Table1[[#This Row], [TEAM]],Table1[[#This Row], [ROOM]]),'ROOM TIME'!$H$2:$H$121,'ROOM TIME'!$J$2:$J$121)</f>
        <v>40.684999999999995</v>
      </c>
      <c r="P402" s="9">
        <f>(INDEX(Sheet1!$X$48:$Z$67,MATCH(Table1[[#This Row], [ROOM]],Sheet1!$P$48:$P$67,0),MATCH(Table1[[#This Row], [WEAPON]],Sheet1!$X$47:$Z$47,0)))/Table1[[#This Row], [NUM OF MEM]]</f>
        <v>5.416666666666667</v>
      </c>
      <c r="Q402" s="9">
        <f>Table1[[#This Row], [ROOM TIME]]+Table1[[#This Row], [GUARD TIME]]</f>
        <v>46.101666666666659</v>
      </c>
      <c r="R402" s="4">
        <f>Sheet1!$K$3*_xlfn.XLOOKUP(Table1[[#This Row], [DISGUISE]],Sheet1!$A$21:$A$23,Sheet1!$D$21:$D$23)</f>
        <v>66</v>
      </c>
      <c r="S402" s="9">
        <f>Table1[[#This Row], [TOTAL TIME]]-Table1[[#This Row], [TOTAL TIME TAKEN]]</f>
        <v>19.898333333333341</v>
      </c>
      <c r="T402" t="str">
        <f>IF(Table1[[#This Row], [TIME DIFFERENCE]]&gt;=0,"PASS","FAIL")</f>
        <v>PASS</v>
      </c>
      <c r="U402" s="9">
        <f>Table1[[#This Row], [TRC]]+Table1[[#This Row], [DRC]]+Table1[[#This Row], [WRC]]+Table1[[#This Row], [ERC]]+Table1[[#This Row], [EQRC]]</f>
        <v>8135898.9124999996</v>
      </c>
      <c r="V402" s="9">
        <f>Table1[[#This Row], [TOTAL COST]]+_xlfn.XLOOKUP(Table1[[#This Row], [TEAM]],Sheet1!$A$12:$A$17,Sheet1!$I$12:$I$17)</f>
        <v>8432398.9124999996</v>
      </c>
      <c r="W402" s="9">
        <f>Table1[[#This Row], [LOOT]]-Table1[[#This Row], [TOTAL COST]]</f>
        <v>9864101.0875000004</v>
      </c>
      <c r="X402" s="9">
        <f>IF(Table1[[#This Row], [PASS/FAIL]]="FAIL",0,Table1[[#This Row], [PROFIT]])</f>
        <v>9864101.0875000004</v>
      </c>
    </row>
    <row r="403" spans="1:24" ht="19.5" customHeight="1" x14ac:dyDescent="0.45">
      <c r="A403" t="s">
        <v>12</v>
      </c>
      <c r="B403" s="14">
        <f>_xlfn.XLOOKUP(Table1[[#This Row], [TEAM]],Sheet1!$A$12:$A$17,Sheet1!$F$12:$F$17)</f>
        <v>3</v>
      </c>
      <c r="C403" s="14">
        <f>_xlfn.XLOOKUP(Table1[[#This Row], [TEAM]],Sheet1!$A$12:$A$17,Sheet1!$G$12:$G$17)</f>
        <v>5988750</v>
      </c>
      <c r="D403" t="s">
        <v>29</v>
      </c>
      <c r="E403" s="4">
        <f>_xlfn.XLOOKUP(Table1[[#This Row], [ROOM]],Sheet1!$A$47:$A$66,Sheet1!$B$47:$B$66)</f>
        <v>236</v>
      </c>
      <c r="F403" t="s">
        <v>58</v>
      </c>
      <c r="G403" s="4">
        <f>_xlfn.XLOOKUP(Table1[[#This Row], [DISGUISE]],Sheet1!$A$21:$A$23,Sheet1!$B$21:$B$23)*Table1[[#This Row], [NUM OF MEM]]*(1+_xlfn.XLOOKUP(Table1[[#This Row], [DISGUISE]],Sheet1!$A$21:$A$23,Sheet1!$C$21:$C$23))</f>
        <v>38400</v>
      </c>
      <c r="H403" s="13" t="s">
        <v>63</v>
      </c>
      <c r="I403" s="4">
        <f>_xlfn.XLOOKUP(Table1[[#This Row], [WEAPON]],Sheet1!$A$27:$A$29,Sheet1!$B$27:$B$29)*Table1[[#This Row], [NUM OF MEM]]*(1+_xlfn.XLOOKUP(Table1[[#This Row], [WEAPON]],Sheet1!$A$27:$A$29,Sheet1!$C$27:$C$29))</f>
        <v>69000</v>
      </c>
      <c r="J403" t="s">
        <v>60</v>
      </c>
      <c r="K403" s="9">
        <f>Table1[[#This Row], [NUM OF MEM]]*Table1[[#This Row], [TOTAL TIME TAKEN]]*_xlfn.XLOOKUP(Table1[[#This Row], [EXIT]],Sheet1!$A$70:$A$71,Sheet1!$B$70:$B$71)*(1+_xlfn.XLOOKUP(Table1[[#This Row], [EXIT]],Sheet1!$A$70:$A$71,Sheet1!$C$70:$C$71))</f>
        <v>1732344.7249999992</v>
      </c>
      <c r="L403" s="13" t="s">
        <v>65</v>
      </c>
      <c r="M403" s="4">
        <f>IF(Table1[[#This Row], [EQUIPMENT]]="YES",Sheet1!$C$44*(1+Sheet1!$D$44),0)</f>
        <v>307500</v>
      </c>
      <c r="N403" s="4">
        <f>_xlfn.XLOOKUP(Table1[[#This Row], [ROOM]],Sheet1!$A$47:$A$66,Sheet1!$F$47:$F$66)</f>
        <v>18000000</v>
      </c>
      <c r="O403" s="9">
        <f>_xlfn.XLOOKUP(_xlfn.CONCAT(Table1[[#This Row], [TEAM]],Table1[[#This Row], [ROOM]]),'ROOM TIME'!$H$2:$H$121,'ROOM TIME'!$J$2:$J$121)</f>
        <v>39.14888888888887</v>
      </c>
      <c r="P403" s="9">
        <f>(INDEX(Sheet1!$X$48:$Z$67,MATCH(Table1[[#This Row], [ROOM]],Sheet1!$P$48:$P$67,0),MATCH(Table1[[#This Row], [WEAPON]],Sheet1!$X$47:$Z$47,0)))/Table1[[#This Row], [NUM OF MEM]]</f>
        <v>5.8500000000000005</v>
      </c>
      <c r="Q403" s="9">
        <f>Table1[[#This Row], [ROOM TIME]]+Table1[[#This Row], [GUARD TIME]]</f>
        <v>44.998888888888871</v>
      </c>
      <c r="R403" s="4">
        <f>Sheet1!$K$3*_xlfn.XLOOKUP(Table1[[#This Row], [DISGUISE]],Sheet1!$A$21:$A$23,Sheet1!$D$21:$D$23)</f>
        <v>69</v>
      </c>
      <c r="S403" s="9">
        <f>Table1[[#This Row], [TOTAL TIME]]-Table1[[#This Row], [TOTAL TIME TAKEN]]</f>
        <v>24.001111111111129</v>
      </c>
      <c r="T403" t="str">
        <f>IF(Table1[[#This Row], [TIME DIFFERENCE]]&gt;=0,"PASS","FAIL")</f>
        <v>PASS</v>
      </c>
      <c r="U403" s="9">
        <f>Table1[[#This Row], [TRC]]+Table1[[#This Row], [DRC]]+Table1[[#This Row], [WRC]]+Table1[[#This Row], [ERC]]+Table1[[#This Row], [EQRC]]</f>
        <v>8135994.7249999996</v>
      </c>
      <c r="V403" s="9">
        <f>Table1[[#This Row], [TOTAL COST]]+_xlfn.XLOOKUP(Table1[[#This Row], [TEAM]],Sheet1!$A$12:$A$17,Sheet1!$I$12:$I$17)</f>
        <v>8435432.2249999996</v>
      </c>
      <c r="W403" s="9">
        <f>Table1[[#This Row], [LOOT]]-Table1[[#This Row], [TOTAL COST]]</f>
        <v>9864005.2750000004</v>
      </c>
      <c r="X403" s="9">
        <f>IF(Table1[[#This Row], [PASS/FAIL]]="FAIL",0,Table1[[#This Row], [PROFIT]])</f>
        <v>9864005.2750000004</v>
      </c>
    </row>
    <row r="404" spans="1:24" ht="19.5" customHeight="1" x14ac:dyDescent="0.45">
      <c r="A404" t="s">
        <v>13</v>
      </c>
      <c r="B404" s="14">
        <f>_xlfn.XLOOKUP(Table1[[#This Row], [TEAM]],Sheet1!$A$12:$A$17,Sheet1!$F$12:$F$17)</f>
        <v>3</v>
      </c>
      <c r="C404" s="14">
        <f>_xlfn.XLOOKUP(Table1[[#This Row], [TEAM]],Sheet1!$A$12:$A$17,Sheet1!$G$12:$G$17)</f>
        <v>5930000</v>
      </c>
      <c r="D404" t="s">
        <v>29</v>
      </c>
      <c r="E404" s="4">
        <f>_xlfn.XLOOKUP(Table1[[#This Row], [ROOM]],Sheet1!$A$47:$A$66,Sheet1!$B$47:$B$66)</f>
        <v>236</v>
      </c>
      <c r="F404" t="s">
        <v>58</v>
      </c>
      <c r="G404" s="4">
        <f>_xlfn.XLOOKUP(Table1[[#This Row], [DISGUISE]],Sheet1!$A$21:$A$23,Sheet1!$B$21:$B$23)*Table1[[#This Row], [NUM OF MEM]]*(1+_xlfn.XLOOKUP(Table1[[#This Row], [DISGUISE]],Sheet1!$A$21:$A$23,Sheet1!$C$21:$C$23))</f>
        <v>38400</v>
      </c>
      <c r="H404" s="13" t="s">
        <v>63</v>
      </c>
      <c r="I404" s="4">
        <f>_xlfn.XLOOKUP(Table1[[#This Row], [WEAPON]],Sheet1!$A$27:$A$29,Sheet1!$B$27:$B$29)*Table1[[#This Row], [NUM OF MEM]]*(1+_xlfn.XLOOKUP(Table1[[#This Row], [WEAPON]],Sheet1!$A$27:$A$29,Sheet1!$C$27:$C$29))</f>
        <v>69000</v>
      </c>
      <c r="J404" t="s">
        <v>60</v>
      </c>
      <c r="K404" s="9">
        <f>Table1[[#This Row], [NUM OF MEM]]*Table1[[#This Row], [TOTAL TIME TAKEN]]*_xlfn.XLOOKUP(Table1[[#This Row], [EXIT]],Sheet1!$A$70:$A$71,Sheet1!$B$70:$B$71)*(1+_xlfn.XLOOKUP(Table1[[#This Row], [EXIT]],Sheet1!$A$70:$A$71,Sheet1!$C$70:$C$71))</f>
        <v>1791481.1624999999</v>
      </c>
      <c r="L404" s="13" t="s">
        <v>65</v>
      </c>
      <c r="M404" s="4">
        <f>IF(Table1[[#This Row], [EQUIPMENT]]="YES",Sheet1!$C$44*(1+Sheet1!$D$44),0)</f>
        <v>307500</v>
      </c>
      <c r="N404" s="4">
        <f>_xlfn.XLOOKUP(Table1[[#This Row], [ROOM]],Sheet1!$A$47:$A$66,Sheet1!$F$47:$F$66)</f>
        <v>18000000</v>
      </c>
      <c r="O404" s="9">
        <f>_xlfn.XLOOKUP(_xlfn.CONCAT(Table1[[#This Row], [TEAM]],Table1[[#This Row], [ROOM]]),'ROOM TIME'!$H$2:$H$121,'ROOM TIME'!$J$2:$J$121)</f>
        <v>40.684999999999995</v>
      </c>
      <c r="P404" s="9">
        <f>(INDEX(Sheet1!$X$48:$Z$67,MATCH(Table1[[#This Row], [ROOM]],Sheet1!$P$48:$P$67,0),MATCH(Table1[[#This Row], [WEAPON]],Sheet1!$X$47:$Z$47,0)))/Table1[[#This Row], [NUM OF MEM]]</f>
        <v>5.8500000000000005</v>
      </c>
      <c r="Q404" s="9">
        <f>Table1[[#This Row], [ROOM TIME]]+Table1[[#This Row], [GUARD TIME]]</f>
        <v>46.534999999999997</v>
      </c>
      <c r="R404" s="4">
        <f>Sheet1!$K$3*_xlfn.XLOOKUP(Table1[[#This Row], [DISGUISE]],Sheet1!$A$21:$A$23,Sheet1!$D$21:$D$23)</f>
        <v>69</v>
      </c>
      <c r="S404" s="9">
        <f>Table1[[#This Row], [TOTAL TIME]]-Table1[[#This Row], [TOTAL TIME TAKEN]]</f>
        <v>22.465000000000003</v>
      </c>
      <c r="T404" t="str">
        <f>IF(Table1[[#This Row], [TIME DIFFERENCE]]&gt;=0,"PASS","FAIL")</f>
        <v>PASS</v>
      </c>
      <c r="U404" s="9">
        <f>Table1[[#This Row], [TRC]]+Table1[[#This Row], [DRC]]+Table1[[#This Row], [WRC]]+Table1[[#This Row], [ERC]]+Table1[[#This Row], [EQRC]]</f>
        <v>8136381.1624999996</v>
      </c>
      <c r="V404" s="9">
        <f>Table1[[#This Row], [TOTAL COST]]+_xlfn.XLOOKUP(Table1[[#This Row], [TEAM]],Sheet1!$A$12:$A$17,Sheet1!$I$12:$I$17)</f>
        <v>8432881.1624999996</v>
      </c>
      <c r="W404" s="9">
        <f>Table1[[#This Row], [LOOT]]-Table1[[#This Row], [TOTAL COST]]</f>
        <v>9863618.8375000004</v>
      </c>
      <c r="X404" s="9">
        <f>IF(Table1[[#This Row], [PASS/FAIL]]="FAIL",0,Table1[[#This Row], [PROFIT]])</f>
        <v>9863618.8375000004</v>
      </c>
    </row>
    <row r="405" spans="1:24" ht="19.5" customHeight="1" x14ac:dyDescent="0.45">
      <c r="A405" t="s">
        <v>13</v>
      </c>
      <c r="B405" s="14">
        <f>_xlfn.XLOOKUP(Table1[[#This Row], [TEAM]],Sheet1!$A$12:$A$17,Sheet1!$F$12:$F$17)</f>
        <v>3</v>
      </c>
      <c r="C405" s="14">
        <f>_xlfn.XLOOKUP(Table1[[#This Row], [TEAM]],Sheet1!$A$12:$A$17,Sheet1!$G$12:$G$17)</f>
        <v>5930000</v>
      </c>
      <c r="D405" t="s">
        <v>18</v>
      </c>
      <c r="E405" s="4">
        <f>_xlfn.XLOOKUP(Table1[[#This Row], [ROOM]],Sheet1!$A$47:$A$66,Sheet1!$B$47:$B$66)</f>
        <v>134</v>
      </c>
      <c r="F405" t="s">
        <v>62</v>
      </c>
      <c r="G405" s="4">
        <f>_xlfn.XLOOKUP(Table1[[#This Row], [DISGUISE]],Sheet1!$A$21:$A$23,Sheet1!$B$21:$B$23)*Table1[[#This Row], [NUM OF MEM]]*(1+_xlfn.XLOOKUP(Table1[[#This Row], [DISGUISE]],Sheet1!$A$21:$A$23,Sheet1!$C$21:$C$23))</f>
        <v>15600</v>
      </c>
      <c r="H405" s="13" t="s">
        <v>63</v>
      </c>
      <c r="I405" s="4">
        <f>_xlfn.XLOOKUP(Table1[[#This Row], [WEAPON]],Sheet1!$A$27:$A$29,Sheet1!$B$27:$B$29)*Table1[[#This Row], [NUM OF MEM]]*(1+_xlfn.XLOOKUP(Table1[[#This Row], [WEAPON]],Sheet1!$A$27:$A$29,Sheet1!$C$27:$C$29))</f>
        <v>69000</v>
      </c>
      <c r="J405" t="s">
        <v>60</v>
      </c>
      <c r="K405" s="9">
        <f>Table1[[#This Row], [NUM OF MEM]]*Table1[[#This Row], [TOTAL TIME TAKEN]]*_xlfn.XLOOKUP(Table1[[#This Row], [EXIT]],Sheet1!$A$70:$A$71,Sheet1!$B$70:$B$71)*(1+_xlfn.XLOOKUP(Table1[[#This Row], [EXIT]],Sheet1!$A$70:$A$71,Sheet1!$C$70:$C$71))</f>
        <v>1864455.3124999995</v>
      </c>
      <c r="L405" s="13" t="s">
        <v>65</v>
      </c>
      <c r="M405" s="4">
        <f>IF(Table1[[#This Row], [EQUIPMENT]]="YES",Sheet1!$C$44*(1+Sheet1!$D$44),0)</f>
        <v>307500</v>
      </c>
      <c r="N405" s="4">
        <f>_xlfn.XLOOKUP(Table1[[#This Row], [ROOM]],Sheet1!$A$47:$A$66,Sheet1!$F$47:$F$66)</f>
        <v>18050000</v>
      </c>
      <c r="O405" s="9">
        <f>_xlfn.XLOOKUP(_xlfn.CONCAT(Table1[[#This Row], [TEAM]],Table1[[#This Row], [ROOM]]),'ROOM TIME'!$H$2:$H$121,'ROOM TIME'!$J$2:$J$121)</f>
        <v>43.030555555555544</v>
      </c>
      <c r="P405" s="9">
        <f>(INDEX(Sheet1!$X$48:$Z$67,MATCH(Table1[[#This Row], [ROOM]],Sheet1!$P$48:$P$67,0),MATCH(Table1[[#This Row], [WEAPON]],Sheet1!$X$47:$Z$47,0)))/Table1[[#This Row], [NUM OF MEM]]</f>
        <v>5.4000000000000012</v>
      </c>
      <c r="Q405" s="9">
        <f>Table1[[#This Row], [ROOM TIME]]+Table1[[#This Row], [GUARD TIME]]</f>
        <v>48.430555555555543</v>
      </c>
      <c r="R405" s="4">
        <f>Sheet1!$K$3*_xlfn.XLOOKUP(Table1[[#This Row], [DISGUISE]],Sheet1!$A$21:$A$23,Sheet1!$D$21:$D$23)</f>
        <v>66</v>
      </c>
      <c r="S405" s="9">
        <f>Table1[[#This Row], [TOTAL TIME]]-Table1[[#This Row], [TOTAL TIME TAKEN]]</f>
        <v>17.569444444444457</v>
      </c>
      <c r="T405" t="str">
        <f>IF(Table1[[#This Row], [TIME DIFFERENCE]]&gt;=0,"PASS","FAIL")</f>
        <v>PASS</v>
      </c>
      <c r="U405" s="9">
        <f>Table1[[#This Row], [TRC]]+Table1[[#This Row], [DRC]]+Table1[[#This Row], [WRC]]+Table1[[#This Row], [ERC]]+Table1[[#This Row], [EQRC]]</f>
        <v>8186555.3125</v>
      </c>
      <c r="V405" s="9">
        <f>Table1[[#This Row], [TOTAL COST]]+_xlfn.XLOOKUP(Table1[[#This Row], [TEAM]],Sheet1!$A$12:$A$17,Sheet1!$I$12:$I$17)</f>
        <v>8483055.3125</v>
      </c>
      <c r="W405" s="9">
        <f>Table1[[#This Row], [LOOT]]-Table1[[#This Row], [TOTAL COST]]</f>
        <v>9863444.6875</v>
      </c>
      <c r="X405" s="9">
        <f>IF(Table1[[#This Row], [PASS/FAIL]]="FAIL",0,Table1[[#This Row], [PROFIT]])</f>
        <v>9863444.6875</v>
      </c>
    </row>
    <row r="406" spans="1:24" ht="19.5" customHeight="1" x14ac:dyDescent="0.45">
      <c r="A406" t="s">
        <v>12</v>
      </c>
      <c r="B406" s="14">
        <f>_xlfn.XLOOKUP(Table1[[#This Row], [TEAM]],Sheet1!$A$12:$A$17,Sheet1!$F$12:$F$17)</f>
        <v>3</v>
      </c>
      <c r="C406" s="14">
        <f>_xlfn.XLOOKUP(Table1[[#This Row], [TEAM]],Sheet1!$A$12:$A$17,Sheet1!$G$12:$G$17)</f>
        <v>5988750</v>
      </c>
      <c r="D406" t="s">
        <v>22</v>
      </c>
      <c r="E406" s="4">
        <f>_xlfn.XLOOKUP(Table1[[#This Row], [ROOM]],Sheet1!$A$47:$A$66,Sheet1!$B$47:$B$66)</f>
        <v>235</v>
      </c>
      <c r="F406" t="s">
        <v>58</v>
      </c>
      <c r="G406" s="4">
        <f>_xlfn.XLOOKUP(Table1[[#This Row], [DISGUISE]],Sheet1!$A$21:$A$23,Sheet1!$B$21:$B$23)*Table1[[#This Row], [NUM OF MEM]]*(1+_xlfn.XLOOKUP(Table1[[#This Row], [DISGUISE]],Sheet1!$A$21:$A$23,Sheet1!$C$21:$C$23))</f>
        <v>38400</v>
      </c>
      <c r="H406" s="13" t="s">
        <v>59</v>
      </c>
      <c r="I406" s="4">
        <f>_xlfn.XLOOKUP(Table1[[#This Row], [WEAPON]],Sheet1!$A$27:$A$29,Sheet1!$B$27:$B$29)*Table1[[#This Row], [NUM OF MEM]]*(1+_xlfn.XLOOKUP(Table1[[#This Row], [WEAPON]],Sheet1!$A$27:$A$29,Sheet1!$C$27:$C$29))</f>
        <v>136500</v>
      </c>
      <c r="J406" t="s">
        <v>60</v>
      </c>
      <c r="K406" s="9">
        <f>Table1[[#This Row], [NUM OF MEM]]*Table1[[#This Row], [TOTAL TIME TAKEN]]*_xlfn.XLOOKUP(Table1[[#This Row], [EXIT]],Sheet1!$A$70:$A$71,Sheet1!$B$70:$B$71)*(1+_xlfn.XLOOKUP(Table1[[#This Row], [EXIT]],Sheet1!$A$70:$A$71,Sheet1!$C$70:$C$71))</f>
        <v>1773964.7999999993</v>
      </c>
      <c r="L406" s="13" t="s">
        <v>61</v>
      </c>
      <c r="M406" s="4">
        <f>IF(Table1[[#This Row], [EQUIPMENT]]="YES",Sheet1!$C$44*(1+Sheet1!$D$44),0)</f>
        <v>0</v>
      </c>
      <c r="N406" s="4">
        <f>_xlfn.XLOOKUP(Table1[[#This Row], [ROOM]],Sheet1!$A$47:$A$66,Sheet1!$F$47:$F$66)</f>
        <v>17800000</v>
      </c>
      <c r="O406" s="9">
        <f>_xlfn.XLOOKUP(_xlfn.CONCAT(Table1[[#This Row], [TEAM]],Table1[[#This Row], [ROOM]]),'ROOM TIME'!$H$2:$H$121,'ROOM TIME'!$J$2:$J$121)</f>
        <v>41.479999999999983</v>
      </c>
      <c r="P406" s="9">
        <f>(INDEX(Sheet1!$X$48:$Z$67,MATCH(Table1[[#This Row], [ROOM]],Sheet1!$P$48:$P$67,0),MATCH(Table1[[#This Row], [WEAPON]],Sheet1!$X$47:$Z$47,0)))/Table1[[#This Row], [NUM OF MEM]]</f>
        <v>4.5999999999999996</v>
      </c>
      <c r="Q406" s="9">
        <f>Table1[[#This Row], [ROOM TIME]]+Table1[[#This Row], [GUARD TIME]]</f>
        <v>46.079999999999984</v>
      </c>
      <c r="R406" s="4">
        <f>Sheet1!$K$3*_xlfn.XLOOKUP(Table1[[#This Row], [DISGUISE]],Sheet1!$A$21:$A$23,Sheet1!$D$21:$D$23)</f>
        <v>69</v>
      </c>
      <c r="S406" s="9">
        <f>Table1[[#This Row], [TOTAL TIME]]-Table1[[#This Row], [TOTAL TIME TAKEN]]</f>
        <v>22.920000000000016</v>
      </c>
      <c r="T406" t="str">
        <f>IF(Table1[[#This Row], [TIME DIFFERENCE]]&gt;=0,"PASS","FAIL")</f>
        <v>PASS</v>
      </c>
      <c r="U406" s="9">
        <f>Table1[[#This Row], [TRC]]+Table1[[#This Row], [DRC]]+Table1[[#This Row], [WRC]]+Table1[[#This Row], [ERC]]+Table1[[#This Row], [EQRC]]</f>
        <v>7937614.7999999989</v>
      </c>
      <c r="V406" s="9">
        <f>Table1[[#This Row], [TOTAL COST]]+_xlfn.XLOOKUP(Table1[[#This Row], [TEAM]],Sheet1!$A$12:$A$17,Sheet1!$I$12:$I$17)</f>
        <v>8237052.2999999989</v>
      </c>
      <c r="W406" s="9">
        <f>Table1[[#This Row], [LOOT]]-Table1[[#This Row], [TOTAL COST]]</f>
        <v>9862385.2000000011</v>
      </c>
      <c r="X406" s="9">
        <f>IF(Table1[[#This Row], [PASS/FAIL]]="FAIL",0,Table1[[#This Row], [PROFIT]])</f>
        <v>9862385.2000000011</v>
      </c>
    </row>
    <row r="407" spans="1:24" ht="19.5" customHeight="1" x14ac:dyDescent="0.45">
      <c r="A407" t="s">
        <v>9</v>
      </c>
      <c r="B407" s="14">
        <f>_xlfn.XLOOKUP(Table1[[#This Row], [TEAM]],Sheet1!$A$12:$A$17,Sheet1!$F$12:$F$17)</f>
        <v>3</v>
      </c>
      <c r="C407" s="14">
        <f>_xlfn.XLOOKUP(Table1[[#This Row], [TEAM]],Sheet1!$A$12:$A$17,Sheet1!$G$12:$G$17)</f>
        <v>6238750</v>
      </c>
      <c r="D407" t="s">
        <v>26</v>
      </c>
      <c r="E407" s="4">
        <f>_xlfn.XLOOKUP(Table1[[#This Row], [ROOM]],Sheet1!$A$47:$A$66,Sheet1!$B$47:$B$66)</f>
        <v>136</v>
      </c>
      <c r="F407" t="s">
        <v>58</v>
      </c>
      <c r="G407" s="4">
        <f>_xlfn.XLOOKUP(Table1[[#This Row], [DISGUISE]],Sheet1!$A$21:$A$23,Sheet1!$B$21:$B$23)*Table1[[#This Row], [NUM OF MEM]]*(1+_xlfn.XLOOKUP(Table1[[#This Row], [DISGUISE]],Sheet1!$A$21:$A$23,Sheet1!$C$21:$C$23))</f>
        <v>38400</v>
      </c>
      <c r="H407" s="13" t="s">
        <v>66</v>
      </c>
      <c r="I407" s="4">
        <f>_xlfn.XLOOKUP(Table1[[#This Row], [WEAPON]],Sheet1!$A$27:$A$29,Sheet1!$B$27:$B$29)*Table1[[#This Row], [NUM OF MEM]]*(1+_xlfn.XLOOKUP(Table1[[#This Row], [WEAPON]],Sheet1!$A$27:$A$29,Sheet1!$C$27:$C$29))</f>
        <v>108000</v>
      </c>
      <c r="J407" t="s">
        <v>60</v>
      </c>
      <c r="K407" s="9">
        <f>Table1[[#This Row], [NUM OF MEM]]*Table1[[#This Row], [TOTAL TIME TAKEN]]*_xlfn.XLOOKUP(Table1[[#This Row], [EXIT]],Sheet1!$A$70:$A$71,Sheet1!$B$70:$B$71)*(1+_xlfn.XLOOKUP(Table1[[#This Row], [EXIT]],Sheet1!$A$70:$A$71,Sheet1!$C$70:$C$71))</f>
        <v>1595443.3374999997</v>
      </c>
      <c r="L407" s="13" t="s">
        <v>65</v>
      </c>
      <c r="M407" s="4">
        <f>IF(Table1[[#This Row], [EQUIPMENT]]="YES",Sheet1!$C$44*(1+Sheet1!$D$44),0)</f>
        <v>307500</v>
      </c>
      <c r="N407" s="4">
        <f>_xlfn.XLOOKUP(Table1[[#This Row], [ROOM]],Sheet1!$A$47:$A$66,Sheet1!$F$47:$F$66)</f>
        <v>18150000</v>
      </c>
      <c r="O407" s="9">
        <f>_xlfn.XLOOKUP(_xlfn.CONCAT(Table1[[#This Row], [TEAM]],Table1[[#This Row], [ROOM]]),'ROOM TIME'!$H$2:$H$121,'ROOM TIME'!$J$2:$J$121)</f>
        <v>36.442777777777771</v>
      </c>
      <c r="P407" s="4">
        <f>(INDEX(Sheet1!$X$48:$Z$67,MATCH(Table1[[#This Row], [ROOM]],Sheet1!$P$48:$P$67,0),MATCH(Table1[[#This Row], [WEAPON]],Sheet1!$X$47:$Z$47,0)))/Table1[[#This Row], [NUM OF MEM]]</f>
        <v>5</v>
      </c>
      <c r="Q407" s="9">
        <f>Table1[[#This Row], [ROOM TIME]]+Table1[[#This Row], [GUARD TIME]]</f>
        <v>41.442777777777771</v>
      </c>
      <c r="R407" s="4">
        <f>Sheet1!$K$3*_xlfn.XLOOKUP(Table1[[#This Row], [DISGUISE]],Sheet1!$A$21:$A$23,Sheet1!$D$21:$D$23)</f>
        <v>69</v>
      </c>
      <c r="S407" s="9">
        <f>Table1[[#This Row], [TOTAL TIME]]-Table1[[#This Row], [TOTAL TIME TAKEN]]</f>
        <v>27.557222222222229</v>
      </c>
      <c r="T407" t="str">
        <f>IF(Table1[[#This Row], [TIME DIFFERENCE]]&gt;=0,"PASS","FAIL")</f>
        <v>PASS</v>
      </c>
      <c r="U407" s="9">
        <f>Table1[[#This Row], [TRC]]+Table1[[#This Row], [DRC]]+Table1[[#This Row], [WRC]]+Table1[[#This Row], [ERC]]+Table1[[#This Row], [EQRC]]</f>
        <v>8288093.3374999994</v>
      </c>
      <c r="V407" s="9">
        <f>Table1[[#This Row], [TOTAL COST]]+_xlfn.XLOOKUP(Table1[[#This Row], [TEAM]],Sheet1!$A$12:$A$17,Sheet1!$I$12:$I$17)</f>
        <v>8600030.8374999985</v>
      </c>
      <c r="W407" s="9">
        <f>Table1[[#This Row], [LOOT]]-Table1[[#This Row], [TOTAL COST]]</f>
        <v>9861906.6625000015</v>
      </c>
      <c r="X407" s="9">
        <f>IF(Table1[[#This Row], [PASS/FAIL]]="FAIL",0,Table1[[#This Row], [PROFIT]])</f>
        <v>9861906.6625000015</v>
      </c>
    </row>
    <row r="408" spans="1:24" ht="19.5" customHeight="1" x14ac:dyDescent="0.45">
      <c r="A408" t="s">
        <v>13</v>
      </c>
      <c r="B408" s="14">
        <f>_xlfn.XLOOKUP(Table1[[#This Row], [TEAM]],Sheet1!$A$12:$A$17,Sheet1!$F$12:$F$17)</f>
        <v>3</v>
      </c>
      <c r="C408" s="14">
        <f>_xlfn.XLOOKUP(Table1[[#This Row], [TEAM]],Sheet1!$A$12:$A$17,Sheet1!$G$12:$G$17)</f>
        <v>5930000</v>
      </c>
      <c r="D408" t="s">
        <v>22</v>
      </c>
      <c r="E408" s="4">
        <f>_xlfn.XLOOKUP(Table1[[#This Row], [ROOM]],Sheet1!$A$47:$A$66,Sheet1!$B$47:$B$66)</f>
        <v>235</v>
      </c>
      <c r="F408" t="s">
        <v>62</v>
      </c>
      <c r="G408" s="4">
        <f>_xlfn.XLOOKUP(Table1[[#This Row], [DISGUISE]],Sheet1!$A$21:$A$23,Sheet1!$B$21:$B$23)*Table1[[#This Row], [NUM OF MEM]]*(1+_xlfn.XLOOKUP(Table1[[#This Row], [DISGUISE]],Sheet1!$A$21:$A$23,Sheet1!$C$21:$C$23))</f>
        <v>15600</v>
      </c>
      <c r="H408" s="13" t="s">
        <v>59</v>
      </c>
      <c r="I408" s="4">
        <f>_xlfn.XLOOKUP(Table1[[#This Row], [WEAPON]],Sheet1!$A$27:$A$29,Sheet1!$B$27:$B$29)*Table1[[#This Row], [NUM OF MEM]]*(1+_xlfn.XLOOKUP(Table1[[#This Row], [WEAPON]],Sheet1!$A$27:$A$29,Sheet1!$C$27:$C$29))</f>
        <v>136500</v>
      </c>
      <c r="J408" t="s">
        <v>64</v>
      </c>
      <c r="K408" s="9">
        <f>Table1[[#This Row], [NUM OF MEM]]*Table1[[#This Row], [TOTAL TIME TAKEN]]*_xlfn.XLOOKUP(Table1[[#This Row], [EXIT]],Sheet1!$A$70:$A$71,Sheet1!$B$70:$B$71)*(1+_xlfn.XLOOKUP(Table1[[#This Row], [EXIT]],Sheet1!$A$70:$A$71,Sheet1!$C$70:$C$71))</f>
        <v>1858917.5999999999</v>
      </c>
      <c r="L408" s="13" t="s">
        <v>61</v>
      </c>
      <c r="M408" s="4">
        <f>IF(Table1[[#This Row], [EQUIPMENT]]="YES",Sheet1!$C$44*(1+Sheet1!$D$44),0)</f>
        <v>0</v>
      </c>
      <c r="N408" s="4">
        <f>_xlfn.XLOOKUP(Table1[[#This Row], [ROOM]],Sheet1!$A$47:$A$66,Sheet1!$F$47:$F$66)</f>
        <v>17800000</v>
      </c>
      <c r="O408" s="9">
        <f>_xlfn.XLOOKUP(_xlfn.CONCAT(Table1[[#This Row], [TEAM]],Table1[[#This Row], [ROOM]]),'ROOM TIME'!$H$2:$H$121,'ROOM TIME'!$J$2:$J$121)</f>
        <v>43.211666666666666</v>
      </c>
      <c r="P408" s="9">
        <f>(INDEX(Sheet1!$X$48:$Z$67,MATCH(Table1[[#This Row], [ROOM]],Sheet1!$P$48:$P$67,0),MATCH(Table1[[#This Row], [WEAPON]],Sheet1!$X$47:$Z$47,0)))/Table1[[#This Row], [NUM OF MEM]]</f>
        <v>4.5999999999999996</v>
      </c>
      <c r="Q408" s="9">
        <f>Table1[[#This Row], [ROOM TIME]]+Table1[[#This Row], [GUARD TIME]]</f>
        <v>47.811666666666667</v>
      </c>
      <c r="R408" s="4">
        <f>Sheet1!$K$3*_xlfn.XLOOKUP(Table1[[#This Row], [DISGUISE]],Sheet1!$A$21:$A$23,Sheet1!$D$21:$D$23)</f>
        <v>66</v>
      </c>
      <c r="S408" s="9">
        <f>Table1[[#This Row], [TOTAL TIME]]-Table1[[#This Row], [TOTAL TIME TAKEN]]</f>
        <v>18.188333333333333</v>
      </c>
      <c r="T408" t="str">
        <f>IF(Table1[[#This Row], [TIME DIFFERENCE]]&gt;=0,"PASS","FAIL")</f>
        <v>PASS</v>
      </c>
      <c r="U408" s="9">
        <f>Table1[[#This Row], [TRC]]+Table1[[#This Row], [DRC]]+Table1[[#This Row], [WRC]]+Table1[[#This Row], [ERC]]+Table1[[#This Row], [EQRC]]</f>
        <v>7941017.5999999996</v>
      </c>
      <c r="V408" s="9">
        <f>Table1[[#This Row], [TOTAL COST]]+_xlfn.XLOOKUP(Table1[[#This Row], [TEAM]],Sheet1!$A$12:$A$17,Sheet1!$I$12:$I$17)</f>
        <v>8237517.5999999996</v>
      </c>
      <c r="W408" s="9">
        <f>Table1[[#This Row], [LOOT]]-Table1[[#This Row], [TOTAL COST]]</f>
        <v>9858982.4000000004</v>
      </c>
      <c r="X408" s="9">
        <f>IF(Table1[[#This Row], [PASS/FAIL]]="FAIL",0,Table1[[#This Row], [PROFIT]])</f>
        <v>9858982.4000000004</v>
      </c>
    </row>
    <row r="409" spans="1:24" ht="19.5" customHeight="1" x14ac:dyDescent="0.45">
      <c r="A409" t="s">
        <v>12</v>
      </c>
      <c r="B409" s="14">
        <f>_xlfn.XLOOKUP(Table1[[#This Row], [TEAM]],Sheet1!$A$12:$A$17,Sheet1!$F$12:$F$17)</f>
        <v>3</v>
      </c>
      <c r="C409" s="14">
        <f>_xlfn.XLOOKUP(Table1[[#This Row], [TEAM]],Sheet1!$A$12:$A$17,Sheet1!$G$12:$G$17)</f>
        <v>5988750</v>
      </c>
      <c r="D409" t="s">
        <v>22</v>
      </c>
      <c r="E409" s="4">
        <f>_xlfn.XLOOKUP(Table1[[#This Row], [ROOM]],Sheet1!$A$47:$A$66,Sheet1!$B$47:$B$66)</f>
        <v>235</v>
      </c>
      <c r="F409" t="s">
        <v>58</v>
      </c>
      <c r="G409" s="4">
        <f>_xlfn.XLOOKUP(Table1[[#This Row], [DISGUISE]],Sheet1!$A$21:$A$23,Sheet1!$B$21:$B$23)*Table1[[#This Row], [NUM OF MEM]]*(1+_xlfn.XLOOKUP(Table1[[#This Row], [DISGUISE]],Sheet1!$A$21:$A$23,Sheet1!$C$21:$C$23))</f>
        <v>38400</v>
      </c>
      <c r="H409" s="13" t="s">
        <v>66</v>
      </c>
      <c r="I409" s="4">
        <f>_xlfn.XLOOKUP(Table1[[#This Row], [WEAPON]],Sheet1!$A$27:$A$29,Sheet1!$B$27:$B$29)*Table1[[#This Row], [NUM OF MEM]]*(1+_xlfn.XLOOKUP(Table1[[#This Row], [WEAPON]],Sheet1!$A$27:$A$29,Sheet1!$C$27:$C$29))</f>
        <v>108000</v>
      </c>
      <c r="J409" t="s">
        <v>64</v>
      </c>
      <c r="K409" s="9">
        <f>Table1[[#This Row], [NUM OF MEM]]*Table1[[#This Row], [TOTAL TIME TAKEN]]*_xlfn.XLOOKUP(Table1[[#This Row], [EXIT]],Sheet1!$A$70:$A$71,Sheet1!$B$70:$B$71)*(1+_xlfn.XLOOKUP(Table1[[#This Row], [EXIT]],Sheet1!$A$70:$A$71,Sheet1!$C$70:$C$71))</f>
        <v>1807142.3999999992</v>
      </c>
      <c r="L409" s="13" t="s">
        <v>61</v>
      </c>
      <c r="M409" s="4">
        <f>IF(Table1[[#This Row], [EQUIPMENT]]="YES",Sheet1!$C$44*(1+Sheet1!$D$44),0)</f>
        <v>0</v>
      </c>
      <c r="N409" s="4">
        <f>_xlfn.XLOOKUP(Table1[[#This Row], [ROOM]],Sheet1!$A$47:$A$66,Sheet1!$F$47:$F$66)</f>
        <v>17800000</v>
      </c>
      <c r="O409" s="9">
        <f>_xlfn.XLOOKUP(_xlfn.CONCAT(Table1[[#This Row], [TEAM]],Table1[[#This Row], [ROOM]]),'ROOM TIME'!$H$2:$H$121,'ROOM TIME'!$J$2:$J$121)</f>
        <v>41.479999999999983</v>
      </c>
      <c r="P409" s="4">
        <f>(INDEX(Sheet1!$X$48:$Z$67,MATCH(Table1[[#This Row], [ROOM]],Sheet1!$P$48:$P$67,0),MATCH(Table1[[#This Row], [WEAPON]],Sheet1!$X$47:$Z$47,0)))/Table1[[#This Row], [NUM OF MEM]]</f>
        <v>5</v>
      </c>
      <c r="Q409" s="9">
        <f>Table1[[#This Row], [ROOM TIME]]+Table1[[#This Row], [GUARD TIME]]</f>
        <v>46.479999999999983</v>
      </c>
      <c r="R409" s="4">
        <f>Sheet1!$K$3*_xlfn.XLOOKUP(Table1[[#This Row], [DISGUISE]],Sheet1!$A$21:$A$23,Sheet1!$D$21:$D$23)</f>
        <v>69</v>
      </c>
      <c r="S409" s="9">
        <f>Table1[[#This Row], [TOTAL TIME]]-Table1[[#This Row], [TOTAL TIME TAKEN]]</f>
        <v>22.520000000000017</v>
      </c>
      <c r="T409" t="str">
        <f>IF(Table1[[#This Row], [TIME DIFFERENCE]]&gt;=0,"PASS","FAIL")</f>
        <v>PASS</v>
      </c>
      <c r="U409" s="9">
        <f>Table1[[#This Row], [TRC]]+Table1[[#This Row], [DRC]]+Table1[[#This Row], [WRC]]+Table1[[#This Row], [ERC]]+Table1[[#This Row], [EQRC]]</f>
        <v>7942292.3999999994</v>
      </c>
      <c r="V409" s="9">
        <f>Table1[[#This Row], [TOTAL COST]]+_xlfn.XLOOKUP(Table1[[#This Row], [TEAM]],Sheet1!$A$12:$A$17,Sheet1!$I$12:$I$17)</f>
        <v>8241729.8999999994</v>
      </c>
      <c r="W409" s="9">
        <f>Table1[[#This Row], [LOOT]]-Table1[[#This Row], [TOTAL COST]]</f>
        <v>9857707.6000000015</v>
      </c>
      <c r="X409" s="9">
        <f>IF(Table1[[#This Row], [PASS/FAIL]]="FAIL",0,Table1[[#This Row], [PROFIT]])</f>
        <v>9857707.6000000015</v>
      </c>
    </row>
    <row r="410" spans="1:24" ht="19.5" customHeight="1" x14ac:dyDescent="0.45">
      <c r="A410" t="s">
        <v>9</v>
      </c>
      <c r="B410" s="14">
        <f>_xlfn.XLOOKUP(Table1[[#This Row], [TEAM]],Sheet1!$A$12:$A$17,Sheet1!$F$12:$F$17)</f>
        <v>3</v>
      </c>
      <c r="C410" s="14">
        <f>_xlfn.XLOOKUP(Table1[[#This Row], [TEAM]],Sheet1!$A$12:$A$17,Sheet1!$G$12:$G$17)</f>
        <v>6238750</v>
      </c>
      <c r="D410" t="s">
        <v>26</v>
      </c>
      <c r="E410" s="4">
        <f>_xlfn.XLOOKUP(Table1[[#This Row], [ROOM]],Sheet1!$A$47:$A$66,Sheet1!$B$47:$B$66)</f>
        <v>136</v>
      </c>
      <c r="F410" t="s">
        <v>62</v>
      </c>
      <c r="G410" s="4">
        <f>_xlfn.XLOOKUP(Table1[[#This Row], [DISGUISE]],Sheet1!$A$21:$A$23,Sheet1!$B$21:$B$23)*Table1[[#This Row], [NUM OF MEM]]*(1+_xlfn.XLOOKUP(Table1[[#This Row], [DISGUISE]],Sheet1!$A$21:$A$23,Sheet1!$C$21:$C$23))</f>
        <v>15600</v>
      </c>
      <c r="H410" s="13" t="s">
        <v>59</v>
      </c>
      <c r="I410" s="4">
        <f>_xlfn.XLOOKUP(Table1[[#This Row], [WEAPON]],Sheet1!$A$27:$A$29,Sheet1!$B$27:$B$29)*Table1[[#This Row], [NUM OF MEM]]*(1+_xlfn.XLOOKUP(Table1[[#This Row], [WEAPON]],Sheet1!$A$27:$A$29,Sheet1!$C$27:$C$29))</f>
        <v>136500</v>
      </c>
      <c r="J410" t="s">
        <v>64</v>
      </c>
      <c r="K410" s="9">
        <f>Table1[[#This Row], [NUM OF MEM]]*Table1[[#This Row], [TOTAL TIME TAKEN]]*_xlfn.XLOOKUP(Table1[[#This Row], [EXIT]],Sheet1!$A$70:$A$71,Sheet1!$B$70:$B$71)*(1+_xlfn.XLOOKUP(Table1[[#This Row], [EXIT]],Sheet1!$A$70:$A$71,Sheet1!$C$70:$C$71))</f>
        <v>1595743.1999999997</v>
      </c>
      <c r="L410" s="13" t="s">
        <v>65</v>
      </c>
      <c r="M410" s="4">
        <f>IF(Table1[[#This Row], [EQUIPMENT]]="YES",Sheet1!$C$44*(1+Sheet1!$D$44),0)</f>
        <v>307500</v>
      </c>
      <c r="N410" s="4">
        <f>_xlfn.XLOOKUP(Table1[[#This Row], [ROOM]],Sheet1!$A$47:$A$66,Sheet1!$F$47:$F$66)</f>
        <v>18150000</v>
      </c>
      <c r="O410" s="9">
        <f>_xlfn.XLOOKUP(_xlfn.CONCAT(Table1[[#This Row], [TEAM]],Table1[[#This Row], [ROOM]]),'ROOM TIME'!$H$2:$H$121,'ROOM TIME'!$J$2:$J$121)</f>
        <v>36.442777777777771</v>
      </c>
      <c r="P410" s="9">
        <f>(INDEX(Sheet1!$X$48:$Z$67,MATCH(Table1[[#This Row], [ROOM]],Sheet1!$P$48:$P$67,0),MATCH(Table1[[#This Row], [WEAPON]],Sheet1!$X$47:$Z$47,0)))/Table1[[#This Row], [NUM OF MEM]]</f>
        <v>4.5999999999999996</v>
      </c>
      <c r="Q410" s="9">
        <f>Table1[[#This Row], [ROOM TIME]]+Table1[[#This Row], [GUARD TIME]]</f>
        <v>41.042777777777772</v>
      </c>
      <c r="R410" s="4">
        <f>Sheet1!$K$3*_xlfn.XLOOKUP(Table1[[#This Row], [DISGUISE]],Sheet1!$A$21:$A$23,Sheet1!$D$21:$D$23)</f>
        <v>66</v>
      </c>
      <c r="S410" s="9">
        <f>Table1[[#This Row], [TOTAL TIME]]-Table1[[#This Row], [TOTAL TIME TAKEN]]</f>
        <v>24.957222222222228</v>
      </c>
      <c r="T410" t="str">
        <f>IF(Table1[[#This Row], [TIME DIFFERENCE]]&gt;=0,"PASS","FAIL")</f>
        <v>PASS</v>
      </c>
      <c r="U410" s="9">
        <f>Table1[[#This Row], [TRC]]+Table1[[#This Row], [DRC]]+Table1[[#This Row], [WRC]]+Table1[[#This Row], [ERC]]+Table1[[#This Row], [EQRC]]</f>
        <v>8294093.1999999993</v>
      </c>
      <c r="V410" s="9">
        <f>Table1[[#This Row], [TOTAL COST]]+_xlfn.XLOOKUP(Table1[[#This Row], [TEAM]],Sheet1!$A$12:$A$17,Sheet1!$I$12:$I$17)</f>
        <v>8606030.6999999993</v>
      </c>
      <c r="W410" s="9">
        <f>Table1[[#This Row], [LOOT]]-Table1[[#This Row], [TOTAL COST]]</f>
        <v>9855906.8000000007</v>
      </c>
      <c r="X410" s="9">
        <f>IF(Table1[[#This Row], [PASS/FAIL]]="FAIL",0,Table1[[#This Row], [PROFIT]])</f>
        <v>9855906.8000000007</v>
      </c>
    </row>
    <row r="411" spans="1:24" ht="19.5" customHeight="1" x14ac:dyDescent="0.45">
      <c r="A411" t="s">
        <v>13</v>
      </c>
      <c r="B411" s="14">
        <f>_xlfn.XLOOKUP(Table1[[#This Row], [TEAM]],Sheet1!$A$12:$A$17,Sheet1!$F$12:$F$17)</f>
        <v>3</v>
      </c>
      <c r="C411" s="14">
        <f>_xlfn.XLOOKUP(Table1[[#This Row], [TEAM]],Sheet1!$A$12:$A$17,Sheet1!$G$12:$G$17)</f>
        <v>5930000</v>
      </c>
      <c r="D411" t="s">
        <v>22</v>
      </c>
      <c r="E411" s="4">
        <f>_xlfn.XLOOKUP(Table1[[#This Row], [ROOM]],Sheet1!$A$47:$A$66,Sheet1!$B$47:$B$66)</f>
        <v>235</v>
      </c>
      <c r="F411" t="s">
        <v>58</v>
      </c>
      <c r="G411" s="4">
        <f>_xlfn.XLOOKUP(Table1[[#This Row], [DISGUISE]],Sheet1!$A$21:$A$23,Sheet1!$B$21:$B$23)*Table1[[#This Row], [NUM OF MEM]]*(1+_xlfn.XLOOKUP(Table1[[#This Row], [DISGUISE]],Sheet1!$A$21:$A$23,Sheet1!$C$21:$C$23))</f>
        <v>38400</v>
      </c>
      <c r="H411" s="13" t="s">
        <v>59</v>
      </c>
      <c r="I411" s="4">
        <f>_xlfn.XLOOKUP(Table1[[#This Row], [WEAPON]],Sheet1!$A$27:$A$29,Sheet1!$B$27:$B$29)*Table1[[#This Row], [NUM OF MEM]]*(1+_xlfn.XLOOKUP(Table1[[#This Row], [WEAPON]],Sheet1!$A$27:$A$29,Sheet1!$C$27:$C$29))</f>
        <v>136500</v>
      </c>
      <c r="J411" t="s">
        <v>60</v>
      </c>
      <c r="K411" s="9">
        <f>Table1[[#This Row], [NUM OF MEM]]*Table1[[#This Row], [TOTAL TIME TAKEN]]*_xlfn.XLOOKUP(Table1[[#This Row], [EXIT]],Sheet1!$A$70:$A$71,Sheet1!$B$70:$B$71)*(1+_xlfn.XLOOKUP(Table1[[#This Row], [EXIT]],Sheet1!$A$70:$A$71,Sheet1!$C$70:$C$71))</f>
        <v>1840629.6375</v>
      </c>
      <c r="L411" s="13" t="s">
        <v>61</v>
      </c>
      <c r="M411" s="4">
        <f>IF(Table1[[#This Row], [EQUIPMENT]]="YES",Sheet1!$C$44*(1+Sheet1!$D$44),0)</f>
        <v>0</v>
      </c>
      <c r="N411" s="4">
        <f>_xlfn.XLOOKUP(Table1[[#This Row], [ROOM]],Sheet1!$A$47:$A$66,Sheet1!$F$47:$F$66)</f>
        <v>17800000</v>
      </c>
      <c r="O411" s="9">
        <f>_xlfn.XLOOKUP(_xlfn.CONCAT(Table1[[#This Row], [TEAM]],Table1[[#This Row], [ROOM]]),'ROOM TIME'!$H$2:$H$121,'ROOM TIME'!$J$2:$J$121)</f>
        <v>43.211666666666666</v>
      </c>
      <c r="P411" s="9">
        <f>(INDEX(Sheet1!$X$48:$Z$67,MATCH(Table1[[#This Row], [ROOM]],Sheet1!$P$48:$P$67,0),MATCH(Table1[[#This Row], [WEAPON]],Sheet1!$X$47:$Z$47,0)))/Table1[[#This Row], [NUM OF MEM]]</f>
        <v>4.5999999999999996</v>
      </c>
      <c r="Q411" s="9">
        <f>Table1[[#This Row], [ROOM TIME]]+Table1[[#This Row], [GUARD TIME]]</f>
        <v>47.811666666666667</v>
      </c>
      <c r="R411" s="4">
        <f>Sheet1!$K$3*_xlfn.XLOOKUP(Table1[[#This Row], [DISGUISE]],Sheet1!$A$21:$A$23,Sheet1!$D$21:$D$23)</f>
        <v>69</v>
      </c>
      <c r="S411" s="9">
        <f>Table1[[#This Row], [TOTAL TIME]]-Table1[[#This Row], [TOTAL TIME TAKEN]]</f>
        <v>21.188333333333333</v>
      </c>
      <c r="T411" t="str">
        <f>IF(Table1[[#This Row], [TIME DIFFERENCE]]&gt;=0,"PASS","FAIL")</f>
        <v>PASS</v>
      </c>
      <c r="U411" s="9">
        <f>Table1[[#This Row], [TRC]]+Table1[[#This Row], [DRC]]+Table1[[#This Row], [WRC]]+Table1[[#This Row], [ERC]]+Table1[[#This Row], [EQRC]]</f>
        <v>7945529.6375000002</v>
      </c>
      <c r="V411" s="9">
        <f>Table1[[#This Row], [TOTAL COST]]+_xlfn.XLOOKUP(Table1[[#This Row], [TEAM]],Sheet1!$A$12:$A$17,Sheet1!$I$12:$I$17)</f>
        <v>8242029.6375000002</v>
      </c>
      <c r="W411" s="9">
        <f>Table1[[#This Row], [LOOT]]-Table1[[#This Row], [TOTAL COST]]</f>
        <v>9854470.3625000007</v>
      </c>
      <c r="X411" s="9">
        <f>IF(Table1[[#This Row], [PASS/FAIL]]="FAIL",0,Table1[[#This Row], [PROFIT]])</f>
        <v>9854470.3625000007</v>
      </c>
    </row>
    <row r="412" spans="1:24" ht="19.5" customHeight="1" x14ac:dyDescent="0.45">
      <c r="A412" t="s">
        <v>9</v>
      </c>
      <c r="B412" s="14">
        <f>_xlfn.XLOOKUP(Table1[[#This Row], [TEAM]],Sheet1!$A$12:$A$17,Sheet1!$F$12:$F$17)</f>
        <v>3</v>
      </c>
      <c r="C412" s="14">
        <f>_xlfn.XLOOKUP(Table1[[#This Row], [TEAM]],Sheet1!$A$12:$A$17,Sheet1!$G$12:$G$17)</f>
        <v>6238750</v>
      </c>
      <c r="D412" t="s">
        <v>33</v>
      </c>
      <c r="E412" s="4">
        <f>_xlfn.XLOOKUP(Table1[[#This Row], [ROOM]],Sheet1!$A$47:$A$66,Sheet1!$B$47:$B$66)</f>
        <v>356</v>
      </c>
      <c r="F412" t="s">
        <v>62</v>
      </c>
      <c r="G412" s="4">
        <f>_xlfn.XLOOKUP(Table1[[#This Row], [DISGUISE]],Sheet1!$A$21:$A$23,Sheet1!$B$21:$B$23)*Table1[[#This Row], [NUM OF MEM]]*(1+_xlfn.XLOOKUP(Table1[[#This Row], [DISGUISE]],Sheet1!$A$21:$A$23,Sheet1!$C$21:$C$23))</f>
        <v>15600</v>
      </c>
      <c r="H412" s="13" t="s">
        <v>63</v>
      </c>
      <c r="I412" s="4">
        <f>_xlfn.XLOOKUP(Table1[[#This Row], [WEAPON]],Sheet1!$A$27:$A$29,Sheet1!$B$27:$B$29)*Table1[[#This Row], [NUM OF MEM]]*(1+_xlfn.XLOOKUP(Table1[[#This Row], [WEAPON]],Sheet1!$A$27:$A$29,Sheet1!$C$27:$C$29))</f>
        <v>69000</v>
      </c>
      <c r="J412" t="s">
        <v>64</v>
      </c>
      <c r="K412" s="9">
        <f>Table1[[#This Row], [NUM OF MEM]]*Table1[[#This Row], [TOTAL TIME TAKEN]]*_xlfn.XLOOKUP(Table1[[#This Row], [EXIT]],Sheet1!$A$70:$A$71,Sheet1!$B$70:$B$71)*(1+_xlfn.XLOOKUP(Table1[[#This Row], [EXIT]],Sheet1!$A$70:$A$71,Sheet1!$C$70:$C$71))</f>
        <v>1615507.1999999995</v>
      </c>
      <c r="L412" s="13" t="s">
        <v>65</v>
      </c>
      <c r="M412" s="4">
        <f>IF(Table1[[#This Row], [EQUIPMENT]]="YES",Sheet1!$C$44*(1+Sheet1!$D$44),0)</f>
        <v>307500</v>
      </c>
      <c r="N412" s="4">
        <f>_xlfn.XLOOKUP(Table1[[#This Row], [ROOM]],Sheet1!$A$47:$A$66,Sheet1!$F$47:$F$66)</f>
        <v>18100000</v>
      </c>
      <c r="O412" s="9">
        <f>_xlfn.XLOOKUP(_xlfn.CONCAT(Table1[[#This Row], [TEAM]],Table1[[#This Row], [ROOM]]),'ROOM TIME'!$H$2:$H$121,'ROOM TIME'!$J$2:$J$121)</f>
        <v>36.151111111111099</v>
      </c>
      <c r="P412" s="9">
        <f>(INDEX(Sheet1!$X$48:$Z$67,MATCH(Table1[[#This Row], [ROOM]],Sheet1!$P$48:$P$67,0),MATCH(Table1[[#This Row], [WEAPON]],Sheet1!$X$47:$Z$47,0)))/Table1[[#This Row], [NUM OF MEM]]</f>
        <v>5.4000000000000012</v>
      </c>
      <c r="Q412" s="9">
        <f>Table1[[#This Row], [ROOM TIME]]+Table1[[#This Row], [GUARD TIME]]</f>
        <v>41.551111111111098</v>
      </c>
      <c r="R412" s="4">
        <f>Sheet1!$K$3*_xlfn.XLOOKUP(Table1[[#This Row], [DISGUISE]],Sheet1!$A$21:$A$23,Sheet1!$D$21:$D$23)</f>
        <v>66</v>
      </c>
      <c r="S412" s="9">
        <f>Table1[[#This Row], [TOTAL TIME]]-Table1[[#This Row], [TOTAL TIME TAKEN]]</f>
        <v>24.448888888888902</v>
      </c>
      <c r="T412" t="str">
        <f>IF(Table1[[#This Row], [TIME DIFFERENCE]]&gt;=0,"PASS","FAIL")</f>
        <v>PASS</v>
      </c>
      <c r="U412" s="9">
        <f>Table1[[#This Row], [TRC]]+Table1[[#This Row], [DRC]]+Table1[[#This Row], [WRC]]+Table1[[#This Row], [ERC]]+Table1[[#This Row], [EQRC]]</f>
        <v>8246357.1999999993</v>
      </c>
      <c r="V412" s="9">
        <f>Table1[[#This Row], [TOTAL COST]]+_xlfn.XLOOKUP(Table1[[#This Row], [TEAM]],Sheet1!$A$12:$A$17,Sheet1!$I$12:$I$17)</f>
        <v>8558294.6999999993</v>
      </c>
      <c r="W412" s="9">
        <f>Table1[[#This Row], [LOOT]]-Table1[[#This Row], [TOTAL COST]]</f>
        <v>9853642.8000000007</v>
      </c>
      <c r="X412" s="9">
        <f>IF(Table1[[#This Row], [PASS/FAIL]]="FAIL",0,Table1[[#This Row], [PROFIT]])</f>
        <v>9853642.8000000007</v>
      </c>
    </row>
    <row r="413" spans="1:24" ht="19.5" customHeight="1" x14ac:dyDescent="0.45">
      <c r="A413" t="s">
        <v>12</v>
      </c>
      <c r="B413" s="14">
        <f>_xlfn.XLOOKUP(Table1[[#This Row], [TEAM]],Sheet1!$A$12:$A$17,Sheet1!$F$12:$F$17)</f>
        <v>3</v>
      </c>
      <c r="C413" s="14">
        <f>_xlfn.XLOOKUP(Table1[[#This Row], [TEAM]],Sheet1!$A$12:$A$17,Sheet1!$G$12:$G$17)</f>
        <v>5988750</v>
      </c>
      <c r="D413" t="s">
        <v>29</v>
      </c>
      <c r="E413" s="4">
        <f>_xlfn.XLOOKUP(Table1[[#This Row], [ROOM]],Sheet1!$A$47:$A$66,Sheet1!$B$47:$B$66)</f>
        <v>236</v>
      </c>
      <c r="F413" t="s">
        <v>62</v>
      </c>
      <c r="G413" s="4">
        <f>_xlfn.XLOOKUP(Table1[[#This Row], [DISGUISE]],Sheet1!$A$21:$A$23,Sheet1!$B$21:$B$23)*Table1[[#This Row], [NUM OF MEM]]*(1+_xlfn.XLOOKUP(Table1[[#This Row], [DISGUISE]],Sheet1!$A$21:$A$23,Sheet1!$C$21:$C$23))</f>
        <v>15600</v>
      </c>
      <c r="H413" s="13" t="s">
        <v>59</v>
      </c>
      <c r="I413" s="4">
        <f>_xlfn.XLOOKUP(Table1[[#This Row], [WEAPON]],Sheet1!$A$27:$A$29,Sheet1!$B$27:$B$29)*Table1[[#This Row], [NUM OF MEM]]*(1+_xlfn.XLOOKUP(Table1[[#This Row], [WEAPON]],Sheet1!$A$27:$A$29,Sheet1!$C$27:$C$29))</f>
        <v>136500</v>
      </c>
      <c r="J413" t="s">
        <v>60</v>
      </c>
      <c r="K413" s="9">
        <f>Table1[[#This Row], [NUM OF MEM]]*Table1[[#This Row], [TOTAL TIME TAKEN]]*_xlfn.XLOOKUP(Table1[[#This Row], [EXIT]],Sheet1!$A$70:$A$71,Sheet1!$B$70:$B$71)*(1+_xlfn.XLOOKUP(Table1[[#This Row], [EXIT]],Sheet1!$A$70:$A$71,Sheet1!$C$70:$C$71))</f>
        <v>1698980.2249999992</v>
      </c>
      <c r="L413" s="13" t="s">
        <v>65</v>
      </c>
      <c r="M413" s="4">
        <f>IF(Table1[[#This Row], [EQUIPMENT]]="YES",Sheet1!$C$44*(1+Sheet1!$D$44),0)</f>
        <v>307500</v>
      </c>
      <c r="N413" s="4">
        <f>_xlfn.XLOOKUP(Table1[[#This Row], [ROOM]],Sheet1!$A$47:$A$66,Sheet1!$F$47:$F$66)</f>
        <v>18000000</v>
      </c>
      <c r="O413" s="9">
        <f>_xlfn.XLOOKUP(_xlfn.CONCAT(Table1[[#This Row], [TEAM]],Table1[[#This Row], [ROOM]]),'ROOM TIME'!$H$2:$H$121,'ROOM TIME'!$J$2:$J$121)</f>
        <v>39.14888888888887</v>
      </c>
      <c r="P413" s="9">
        <f>(INDEX(Sheet1!$X$48:$Z$67,MATCH(Table1[[#This Row], [ROOM]],Sheet1!$P$48:$P$67,0),MATCH(Table1[[#This Row], [WEAPON]],Sheet1!$X$47:$Z$47,0)))/Table1[[#This Row], [NUM OF MEM]]</f>
        <v>4.9833333333333334</v>
      </c>
      <c r="Q413" s="9">
        <f>Table1[[#This Row], [ROOM TIME]]+Table1[[#This Row], [GUARD TIME]]</f>
        <v>44.132222222222204</v>
      </c>
      <c r="R413" s="4">
        <f>Sheet1!$K$3*_xlfn.XLOOKUP(Table1[[#This Row], [DISGUISE]],Sheet1!$A$21:$A$23,Sheet1!$D$21:$D$23)</f>
        <v>66</v>
      </c>
      <c r="S413" s="9">
        <f>Table1[[#This Row], [TOTAL TIME]]-Table1[[#This Row], [TOTAL TIME TAKEN]]</f>
        <v>21.867777777777796</v>
      </c>
      <c r="T413" t="str">
        <f>IF(Table1[[#This Row], [TIME DIFFERENCE]]&gt;=0,"PASS","FAIL")</f>
        <v>PASS</v>
      </c>
      <c r="U413" s="9">
        <f>Table1[[#This Row], [TRC]]+Table1[[#This Row], [DRC]]+Table1[[#This Row], [WRC]]+Table1[[#This Row], [ERC]]+Table1[[#This Row], [EQRC]]</f>
        <v>8147330.2249999996</v>
      </c>
      <c r="V413" s="9">
        <f>Table1[[#This Row], [TOTAL COST]]+_xlfn.XLOOKUP(Table1[[#This Row], [TEAM]],Sheet1!$A$12:$A$17,Sheet1!$I$12:$I$17)</f>
        <v>8446767.7249999996</v>
      </c>
      <c r="W413" s="9">
        <f>Table1[[#This Row], [LOOT]]-Table1[[#This Row], [TOTAL COST]]</f>
        <v>9852669.7750000004</v>
      </c>
      <c r="X413" s="9">
        <f>IF(Table1[[#This Row], [PASS/FAIL]]="FAIL",0,Table1[[#This Row], [PROFIT]])</f>
        <v>9852669.7750000004</v>
      </c>
    </row>
    <row r="414" spans="1:24" ht="19.5" customHeight="1" x14ac:dyDescent="0.45">
      <c r="A414" t="s">
        <v>13</v>
      </c>
      <c r="B414" s="14">
        <f>_xlfn.XLOOKUP(Table1[[#This Row], [TEAM]],Sheet1!$A$12:$A$17,Sheet1!$F$12:$F$17)</f>
        <v>3</v>
      </c>
      <c r="C414" s="14">
        <f>_xlfn.XLOOKUP(Table1[[#This Row], [TEAM]],Sheet1!$A$12:$A$17,Sheet1!$G$12:$G$17)</f>
        <v>5930000</v>
      </c>
      <c r="D414" t="s">
        <v>29</v>
      </c>
      <c r="E414" s="4">
        <f>_xlfn.XLOOKUP(Table1[[#This Row], [ROOM]],Sheet1!$A$47:$A$66,Sheet1!$B$47:$B$66)</f>
        <v>236</v>
      </c>
      <c r="F414" t="s">
        <v>62</v>
      </c>
      <c r="G414" s="4">
        <f>_xlfn.XLOOKUP(Table1[[#This Row], [DISGUISE]],Sheet1!$A$21:$A$23,Sheet1!$B$21:$B$23)*Table1[[#This Row], [NUM OF MEM]]*(1+_xlfn.XLOOKUP(Table1[[#This Row], [DISGUISE]],Sheet1!$A$21:$A$23,Sheet1!$C$21:$C$23))</f>
        <v>15600</v>
      </c>
      <c r="H414" s="13" t="s">
        <v>59</v>
      </c>
      <c r="I414" s="4">
        <f>_xlfn.XLOOKUP(Table1[[#This Row], [WEAPON]],Sheet1!$A$27:$A$29,Sheet1!$B$27:$B$29)*Table1[[#This Row], [NUM OF MEM]]*(1+_xlfn.XLOOKUP(Table1[[#This Row], [WEAPON]],Sheet1!$A$27:$A$29,Sheet1!$C$27:$C$29))</f>
        <v>136500</v>
      </c>
      <c r="J414" t="s">
        <v>60</v>
      </c>
      <c r="K414" s="9">
        <f>Table1[[#This Row], [NUM OF MEM]]*Table1[[#This Row], [TOTAL TIME TAKEN]]*_xlfn.XLOOKUP(Table1[[#This Row], [EXIT]],Sheet1!$A$70:$A$71,Sheet1!$B$70:$B$71)*(1+_xlfn.XLOOKUP(Table1[[#This Row], [EXIT]],Sheet1!$A$70:$A$71,Sheet1!$C$70:$C$71))</f>
        <v>1758116.6624999999</v>
      </c>
      <c r="L414" s="13" t="s">
        <v>65</v>
      </c>
      <c r="M414" s="4">
        <f>IF(Table1[[#This Row], [EQUIPMENT]]="YES",Sheet1!$C$44*(1+Sheet1!$D$44),0)</f>
        <v>307500</v>
      </c>
      <c r="N414" s="4">
        <f>_xlfn.XLOOKUP(Table1[[#This Row], [ROOM]],Sheet1!$A$47:$A$66,Sheet1!$F$47:$F$66)</f>
        <v>18000000</v>
      </c>
      <c r="O414" s="9">
        <f>_xlfn.XLOOKUP(_xlfn.CONCAT(Table1[[#This Row], [TEAM]],Table1[[#This Row], [ROOM]]),'ROOM TIME'!$H$2:$H$121,'ROOM TIME'!$J$2:$J$121)</f>
        <v>40.684999999999995</v>
      </c>
      <c r="P414" s="9">
        <f>(INDEX(Sheet1!$X$48:$Z$67,MATCH(Table1[[#This Row], [ROOM]],Sheet1!$P$48:$P$67,0),MATCH(Table1[[#This Row], [WEAPON]],Sheet1!$X$47:$Z$47,0)))/Table1[[#This Row], [NUM OF MEM]]</f>
        <v>4.9833333333333334</v>
      </c>
      <c r="Q414" s="9">
        <f>Table1[[#This Row], [ROOM TIME]]+Table1[[#This Row], [GUARD TIME]]</f>
        <v>45.668333333333329</v>
      </c>
      <c r="R414" s="4">
        <f>Sheet1!$K$3*_xlfn.XLOOKUP(Table1[[#This Row], [DISGUISE]],Sheet1!$A$21:$A$23,Sheet1!$D$21:$D$23)</f>
        <v>66</v>
      </c>
      <c r="S414" s="9">
        <f>Table1[[#This Row], [TOTAL TIME]]-Table1[[#This Row], [TOTAL TIME TAKEN]]</f>
        <v>20.331666666666671</v>
      </c>
      <c r="T414" t="str">
        <f>IF(Table1[[#This Row], [TIME DIFFERENCE]]&gt;=0,"PASS","FAIL")</f>
        <v>PASS</v>
      </c>
      <c r="U414" s="9">
        <f>Table1[[#This Row], [TRC]]+Table1[[#This Row], [DRC]]+Table1[[#This Row], [WRC]]+Table1[[#This Row], [ERC]]+Table1[[#This Row], [EQRC]]</f>
        <v>8147716.6624999996</v>
      </c>
      <c r="V414" s="9">
        <f>Table1[[#This Row], [TOTAL COST]]+_xlfn.XLOOKUP(Table1[[#This Row], [TEAM]],Sheet1!$A$12:$A$17,Sheet1!$I$12:$I$17)</f>
        <v>8444216.6624999996</v>
      </c>
      <c r="W414" s="9">
        <f>Table1[[#This Row], [LOOT]]-Table1[[#This Row], [TOTAL COST]]</f>
        <v>9852283.3375000004</v>
      </c>
      <c r="X414" s="9">
        <f>IF(Table1[[#This Row], [PASS/FAIL]]="FAIL",0,Table1[[#This Row], [PROFIT]])</f>
        <v>9852283.3375000004</v>
      </c>
    </row>
    <row r="415" spans="1:24" ht="19.5" customHeight="1" x14ac:dyDescent="0.45">
      <c r="A415" t="s">
        <v>15</v>
      </c>
      <c r="B415" s="14">
        <f>_xlfn.XLOOKUP(Table1[[#This Row], [TEAM]],Sheet1!$A$12:$A$17,Sheet1!$F$12:$F$17)</f>
        <v>2</v>
      </c>
      <c r="C415" s="14">
        <f>_xlfn.XLOOKUP(Table1[[#This Row], [TEAM]],Sheet1!$A$12:$A$17,Sheet1!$G$12:$G$17)</f>
        <v>5932950</v>
      </c>
      <c r="D415" t="s">
        <v>19</v>
      </c>
      <c r="E415" s="4">
        <f>_xlfn.XLOOKUP(Table1[[#This Row], [ROOM]],Sheet1!$A$47:$A$66,Sheet1!$B$47:$B$66)</f>
        <v>135</v>
      </c>
      <c r="F415" t="s">
        <v>58</v>
      </c>
      <c r="G415" s="4">
        <f>_xlfn.XLOOKUP(Table1[[#This Row], [DISGUISE]],Sheet1!$A$21:$A$23,Sheet1!$B$21:$B$23)*Table1[[#This Row], [NUM OF MEM]]*(1+_xlfn.XLOOKUP(Table1[[#This Row], [DISGUISE]],Sheet1!$A$21:$A$23,Sheet1!$C$21:$C$23))</f>
        <v>25600</v>
      </c>
      <c r="H415" s="13" t="s">
        <v>66</v>
      </c>
      <c r="I415" s="4">
        <f>_xlfn.XLOOKUP(Table1[[#This Row], [WEAPON]],Sheet1!$A$27:$A$29,Sheet1!$B$27:$B$29)*Table1[[#This Row], [NUM OF MEM]]*(1+_xlfn.XLOOKUP(Table1[[#This Row], [WEAPON]],Sheet1!$A$27:$A$29,Sheet1!$C$27:$C$29))</f>
        <v>72000</v>
      </c>
      <c r="J415" t="s">
        <v>60</v>
      </c>
      <c r="K415" s="9">
        <f>Table1[[#This Row], [NUM OF MEM]]*Table1[[#This Row], [TOTAL TIME TAKEN]]*_xlfn.XLOOKUP(Table1[[#This Row], [EXIT]],Sheet1!$A$70:$A$71,Sheet1!$B$70:$B$71)*(1+_xlfn.XLOOKUP(Table1[[#This Row], [EXIT]],Sheet1!$A$70:$A$71,Sheet1!$C$70:$C$71))</f>
        <v>1762158.8999999992</v>
      </c>
      <c r="L415" s="13" t="s">
        <v>65</v>
      </c>
      <c r="M415" s="4">
        <f>IF(Table1[[#This Row], [EQUIPMENT]]="YES",Sheet1!$C$44*(1+Sheet1!$D$44),0)</f>
        <v>307500</v>
      </c>
      <c r="N415" s="4">
        <f>_xlfn.XLOOKUP(Table1[[#This Row], [ROOM]],Sheet1!$A$47:$A$66,Sheet1!$F$47:$F$66)</f>
        <v>17950000</v>
      </c>
      <c r="O415" s="9">
        <f>_xlfn.XLOOKUP(_xlfn.CONCAT(Table1[[#This Row], [TEAM]],Table1[[#This Row], [ROOM]]),'ROOM TIME'!$H$2:$H$121,'ROOM TIME'!$J$2:$J$121)</f>
        <v>61.784999999999975</v>
      </c>
      <c r="P415" s="9">
        <f>(INDEX(Sheet1!$X$48:$Z$67,MATCH(Table1[[#This Row], [ROOM]],Sheet1!$P$48:$P$67,0),MATCH(Table1[[#This Row], [WEAPON]],Sheet1!$X$47:$Z$47,0)))/Table1[[#This Row], [NUM OF MEM]]</f>
        <v>6.875</v>
      </c>
      <c r="Q415" s="9">
        <f>Table1[[#This Row], [ROOM TIME]]+Table1[[#This Row], [GUARD TIME]]</f>
        <v>68.659999999999968</v>
      </c>
      <c r="R415" s="4">
        <f>Sheet1!$K$3*_xlfn.XLOOKUP(Table1[[#This Row], [DISGUISE]],Sheet1!$A$21:$A$23,Sheet1!$D$21:$D$23)</f>
        <v>69</v>
      </c>
      <c r="S415" s="9">
        <f>Table1[[#This Row], [TOTAL TIME]]-Table1[[#This Row], [TOTAL TIME TAKEN]]</f>
        <v>0.34000000000003183</v>
      </c>
      <c r="T415" t="str">
        <f>IF(Table1[[#This Row], [TIME DIFFERENCE]]&gt;=0,"PASS","FAIL")</f>
        <v>PASS</v>
      </c>
      <c r="U415" s="9">
        <f>Table1[[#This Row], [TRC]]+Table1[[#This Row], [DRC]]+Table1[[#This Row], [WRC]]+Table1[[#This Row], [ERC]]+Table1[[#This Row], [EQRC]]</f>
        <v>8100208.8999999994</v>
      </c>
      <c r="V415" s="9">
        <f>Table1[[#This Row], [TOTAL COST]]+_xlfn.XLOOKUP(Table1[[#This Row], [TEAM]],Sheet1!$A$12:$A$17,Sheet1!$I$12:$I$17)</f>
        <v>8396856.3999999985</v>
      </c>
      <c r="W415" s="9">
        <f>Table1[[#This Row], [LOOT]]-Table1[[#This Row], [TOTAL COST]]</f>
        <v>9849791.1000000015</v>
      </c>
      <c r="X415" s="9">
        <f>IF(Table1[[#This Row], [PASS/FAIL]]="FAIL",0,Table1[[#This Row], [PROFIT]])</f>
        <v>9849791.1000000015</v>
      </c>
    </row>
    <row r="416" spans="1:24" ht="19.5" customHeight="1" x14ac:dyDescent="0.45">
      <c r="A416" t="s">
        <v>13</v>
      </c>
      <c r="B416" s="14">
        <f>_xlfn.XLOOKUP(Table1[[#This Row], [TEAM]],Sheet1!$A$12:$A$17,Sheet1!$F$12:$F$17)</f>
        <v>3</v>
      </c>
      <c r="C416" s="14">
        <f>_xlfn.XLOOKUP(Table1[[#This Row], [TEAM]],Sheet1!$A$12:$A$17,Sheet1!$G$12:$G$17)</f>
        <v>5930000</v>
      </c>
      <c r="D416" t="s">
        <v>22</v>
      </c>
      <c r="E416" s="4">
        <f>_xlfn.XLOOKUP(Table1[[#This Row], [ROOM]],Sheet1!$A$47:$A$66,Sheet1!$B$47:$B$66)</f>
        <v>235</v>
      </c>
      <c r="F416" t="s">
        <v>58</v>
      </c>
      <c r="G416" s="4">
        <f>_xlfn.XLOOKUP(Table1[[#This Row], [DISGUISE]],Sheet1!$A$21:$A$23,Sheet1!$B$21:$B$23)*Table1[[#This Row], [NUM OF MEM]]*(1+_xlfn.XLOOKUP(Table1[[#This Row], [DISGUISE]],Sheet1!$A$21:$A$23,Sheet1!$C$21:$C$23))</f>
        <v>38400</v>
      </c>
      <c r="H416" s="13" t="s">
        <v>66</v>
      </c>
      <c r="I416" s="4">
        <f>_xlfn.XLOOKUP(Table1[[#This Row], [WEAPON]],Sheet1!$A$27:$A$29,Sheet1!$B$27:$B$29)*Table1[[#This Row], [NUM OF MEM]]*(1+_xlfn.XLOOKUP(Table1[[#This Row], [WEAPON]],Sheet1!$A$27:$A$29,Sheet1!$C$27:$C$29))</f>
        <v>108000</v>
      </c>
      <c r="J416" t="s">
        <v>64</v>
      </c>
      <c r="K416" s="9">
        <f>Table1[[#This Row], [NUM OF MEM]]*Table1[[#This Row], [TOTAL TIME TAKEN]]*_xlfn.XLOOKUP(Table1[[#This Row], [EXIT]],Sheet1!$A$70:$A$71,Sheet1!$B$70:$B$71)*(1+_xlfn.XLOOKUP(Table1[[#This Row], [EXIT]],Sheet1!$A$70:$A$71,Sheet1!$C$70:$C$71))</f>
        <v>1874469.5999999999</v>
      </c>
      <c r="L416" s="13" t="s">
        <v>61</v>
      </c>
      <c r="M416" s="4">
        <f>IF(Table1[[#This Row], [EQUIPMENT]]="YES",Sheet1!$C$44*(1+Sheet1!$D$44),0)</f>
        <v>0</v>
      </c>
      <c r="N416" s="4">
        <f>_xlfn.XLOOKUP(Table1[[#This Row], [ROOM]],Sheet1!$A$47:$A$66,Sheet1!$F$47:$F$66)</f>
        <v>17800000</v>
      </c>
      <c r="O416" s="9">
        <f>_xlfn.XLOOKUP(_xlfn.CONCAT(Table1[[#This Row], [TEAM]],Table1[[#This Row], [ROOM]]),'ROOM TIME'!$H$2:$H$121,'ROOM TIME'!$J$2:$J$121)</f>
        <v>43.211666666666666</v>
      </c>
      <c r="P416" s="4">
        <f>(INDEX(Sheet1!$X$48:$Z$67,MATCH(Table1[[#This Row], [ROOM]],Sheet1!$P$48:$P$67,0),MATCH(Table1[[#This Row], [WEAPON]],Sheet1!$X$47:$Z$47,0)))/Table1[[#This Row], [NUM OF MEM]]</f>
        <v>5</v>
      </c>
      <c r="Q416" s="9">
        <f>Table1[[#This Row], [ROOM TIME]]+Table1[[#This Row], [GUARD TIME]]</f>
        <v>48.211666666666666</v>
      </c>
      <c r="R416" s="4">
        <f>Sheet1!$K$3*_xlfn.XLOOKUP(Table1[[#This Row], [DISGUISE]],Sheet1!$A$21:$A$23,Sheet1!$D$21:$D$23)</f>
        <v>69</v>
      </c>
      <c r="S416" s="9">
        <f>Table1[[#This Row], [TOTAL TIME]]-Table1[[#This Row], [TOTAL TIME TAKEN]]</f>
        <v>20.788333333333334</v>
      </c>
      <c r="T416" t="str">
        <f>IF(Table1[[#This Row], [TIME DIFFERENCE]]&gt;=0,"PASS","FAIL")</f>
        <v>PASS</v>
      </c>
      <c r="U416" s="9">
        <f>Table1[[#This Row], [TRC]]+Table1[[#This Row], [DRC]]+Table1[[#This Row], [WRC]]+Table1[[#This Row], [ERC]]+Table1[[#This Row], [EQRC]]</f>
        <v>7950869.5999999996</v>
      </c>
      <c r="V416" s="9">
        <f>Table1[[#This Row], [TOTAL COST]]+_xlfn.XLOOKUP(Table1[[#This Row], [TEAM]],Sheet1!$A$12:$A$17,Sheet1!$I$12:$I$17)</f>
        <v>8247369.5999999996</v>
      </c>
      <c r="W416" s="9">
        <f>Table1[[#This Row], [LOOT]]-Table1[[#This Row], [TOTAL COST]]</f>
        <v>9849130.4000000004</v>
      </c>
      <c r="X416" s="9">
        <f>IF(Table1[[#This Row], [PASS/FAIL]]="FAIL",0,Table1[[#This Row], [PROFIT]])</f>
        <v>9849130.4000000004</v>
      </c>
    </row>
    <row r="417" spans="1:24" ht="19.5" customHeight="1" x14ac:dyDescent="0.45">
      <c r="A417" t="s">
        <v>12</v>
      </c>
      <c r="B417" s="14">
        <f>_xlfn.XLOOKUP(Table1[[#This Row], [TEAM]],Sheet1!$A$12:$A$17,Sheet1!$F$12:$F$17)</f>
        <v>3</v>
      </c>
      <c r="C417" s="14">
        <f>_xlfn.XLOOKUP(Table1[[#This Row], [TEAM]],Sheet1!$A$12:$A$17,Sheet1!$G$12:$G$17)</f>
        <v>5988750</v>
      </c>
      <c r="D417" t="s">
        <v>18</v>
      </c>
      <c r="E417" s="4">
        <f>_xlfn.XLOOKUP(Table1[[#This Row], [ROOM]],Sheet1!$A$47:$A$66,Sheet1!$B$47:$B$66)</f>
        <v>134</v>
      </c>
      <c r="F417" t="s">
        <v>62</v>
      </c>
      <c r="G417" s="4">
        <f>_xlfn.XLOOKUP(Table1[[#This Row], [DISGUISE]],Sheet1!$A$21:$A$23,Sheet1!$B$21:$B$23)*Table1[[#This Row], [NUM OF MEM]]*(1+_xlfn.XLOOKUP(Table1[[#This Row], [DISGUISE]],Sheet1!$A$21:$A$23,Sheet1!$C$21:$C$23))</f>
        <v>15600</v>
      </c>
      <c r="H417" s="13" t="s">
        <v>63</v>
      </c>
      <c r="I417" s="4">
        <f>_xlfn.XLOOKUP(Table1[[#This Row], [WEAPON]],Sheet1!$A$27:$A$29,Sheet1!$B$27:$B$29)*Table1[[#This Row], [NUM OF MEM]]*(1+_xlfn.XLOOKUP(Table1[[#This Row], [WEAPON]],Sheet1!$A$27:$A$29,Sheet1!$C$27:$C$29))</f>
        <v>69000</v>
      </c>
      <c r="J417" t="s">
        <v>64</v>
      </c>
      <c r="K417" s="9">
        <f>Table1[[#This Row], [NUM OF MEM]]*Table1[[#This Row], [TOTAL TIME TAKEN]]*_xlfn.XLOOKUP(Table1[[#This Row], [EXIT]],Sheet1!$A$70:$A$71,Sheet1!$B$70:$B$71)*(1+_xlfn.XLOOKUP(Table1[[#This Row], [EXIT]],Sheet1!$A$70:$A$71,Sheet1!$C$70:$C$71))</f>
        <v>1820318.3999999997</v>
      </c>
      <c r="L417" s="13" t="s">
        <v>65</v>
      </c>
      <c r="M417" s="4">
        <f>IF(Table1[[#This Row], [EQUIPMENT]]="YES",Sheet1!$C$44*(1+Sheet1!$D$44),0)</f>
        <v>307500</v>
      </c>
      <c r="N417" s="4">
        <f>_xlfn.XLOOKUP(Table1[[#This Row], [ROOM]],Sheet1!$A$47:$A$66,Sheet1!$F$47:$F$66)</f>
        <v>18050000</v>
      </c>
      <c r="O417" s="9">
        <f>_xlfn.XLOOKUP(_xlfn.CONCAT(Table1[[#This Row], [TEAM]],Table1[[#This Row], [ROOM]]),'ROOM TIME'!$H$2:$H$121,'ROOM TIME'!$J$2:$J$121)</f>
        <v>41.41888888888888</v>
      </c>
      <c r="P417" s="9">
        <f>(INDEX(Sheet1!$X$48:$Z$67,MATCH(Table1[[#This Row], [ROOM]],Sheet1!$P$48:$P$67,0),MATCH(Table1[[#This Row], [WEAPON]],Sheet1!$X$47:$Z$47,0)))/Table1[[#This Row], [NUM OF MEM]]</f>
        <v>5.4000000000000012</v>
      </c>
      <c r="Q417" s="9">
        <f>Table1[[#This Row], [ROOM TIME]]+Table1[[#This Row], [GUARD TIME]]</f>
        <v>46.818888888888878</v>
      </c>
      <c r="R417" s="4">
        <f>Sheet1!$K$3*_xlfn.XLOOKUP(Table1[[#This Row], [DISGUISE]],Sheet1!$A$21:$A$23,Sheet1!$D$21:$D$23)</f>
        <v>66</v>
      </c>
      <c r="S417" s="9">
        <f>Table1[[#This Row], [TOTAL TIME]]-Table1[[#This Row], [TOTAL TIME TAKEN]]</f>
        <v>19.181111111111122</v>
      </c>
      <c r="T417" t="str">
        <f>IF(Table1[[#This Row], [TIME DIFFERENCE]]&gt;=0,"PASS","FAIL")</f>
        <v>PASS</v>
      </c>
      <c r="U417" s="9">
        <f>Table1[[#This Row], [TRC]]+Table1[[#This Row], [DRC]]+Table1[[#This Row], [WRC]]+Table1[[#This Row], [ERC]]+Table1[[#This Row], [EQRC]]</f>
        <v>8201168.3999999994</v>
      </c>
      <c r="V417" s="9">
        <f>Table1[[#This Row], [TOTAL COST]]+_xlfn.XLOOKUP(Table1[[#This Row], [TEAM]],Sheet1!$A$12:$A$17,Sheet1!$I$12:$I$17)</f>
        <v>8500605.8999999985</v>
      </c>
      <c r="W417" s="9">
        <f>Table1[[#This Row], [LOOT]]-Table1[[#This Row], [TOTAL COST]]</f>
        <v>9848831.6000000015</v>
      </c>
      <c r="X417" s="9">
        <f>IF(Table1[[#This Row], [PASS/FAIL]]="FAIL",0,Table1[[#This Row], [PROFIT]])</f>
        <v>9848831.6000000015</v>
      </c>
    </row>
    <row r="418" spans="1:24" ht="19.5" customHeight="1" x14ac:dyDescent="0.45">
      <c r="A418" t="s">
        <v>9</v>
      </c>
      <c r="B418" s="14">
        <f>_xlfn.XLOOKUP(Table1[[#This Row], [TEAM]],Sheet1!$A$12:$A$17,Sheet1!$F$12:$F$17)</f>
        <v>3</v>
      </c>
      <c r="C418" s="14">
        <f>_xlfn.XLOOKUP(Table1[[#This Row], [TEAM]],Sheet1!$A$12:$A$17,Sheet1!$G$12:$G$17)</f>
        <v>6238750</v>
      </c>
      <c r="D418" t="s">
        <v>26</v>
      </c>
      <c r="E418" s="4">
        <f>_xlfn.XLOOKUP(Table1[[#This Row], [ROOM]],Sheet1!$A$47:$A$66,Sheet1!$B$47:$B$66)</f>
        <v>136</v>
      </c>
      <c r="F418" t="s">
        <v>58</v>
      </c>
      <c r="G418" s="4">
        <f>_xlfn.XLOOKUP(Table1[[#This Row], [DISGUISE]],Sheet1!$A$21:$A$23,Sheet1!$B$21:$B$23)*Table1[[#This Row], [NUM OF MEM]]*(1+_xlfn.XLOOKUP(Table1[[#This Row], [DISGUISE]],Sheet1!$A$21:$A$23,Sheet1!$C$21:$C$23))</f>
        <v>38400</v>
      </c>
      <c r="H418" s="13" t="s">
        <v>59</v>
      </c>
      <c r="I418" s="4">
        <f>_xlfn.XLOOKUP(Table1[[#This Row], [WEAPON]],Sheet1!$A$27:$A$29,Sheet1!$B$27:$B$29)*Table1[[#This Row], [NUM OF MEM]]*(1+_xlfn.XLOOKUP(Table1[[#This Row], [WEAPON]],Sheet1!$A$27:$A$29,Sheet1!$C$27:$C$29))</f>
        <v>136500</v>
      </c>
      <c r="J418" t="s">
        <v>60</v>
      </c>
      <c r="K418" s="9">
        <f>Table1[[#This Row], [NUM OF MEM]]*Table1[[#This Row], [TOTAL TIME TAKEN]]*_xlfn.XLOOKUP(Table1[[#This Row], [EXIT]],Sheet1!$A$70:$A$71,Sheet1!$B$70:$B$71)*(1+_xlfn.XLOOKUP(Table1[[#This Row], [EXIT]],Sheet1!$A$70:$A$71,Sheet1!$C$70:$C$71))</f>
        <v>1580044.3374999997</v>
      </c>
      <c r="L418" s="13" t="s">
        <v>65</v>
      </c>
      <c r="M418" s="4">
        <f>IF(Table1[[#This Row], [EQUIPMENT]]="YES",Sheet1!$C$44*(1+Sheet1!$D$44),0)</f>
        <v>307500</v>
      </c>
      <c r="N418" s="4">
        <f>_xlfn.XLOOKUP(Table1[[#This Row], [ROOM]],Sheet1!$A$47:$A$66,Sheet1!$F$47:$F$66)</f>
        <v>18150000</v>
      </c>
      <c r="O418" s="9">
        <f>_xlfn.XLOOKUP(_xlfn.CONCAT(Table1[[#This Row], [TEAM]],Table1[[#This Row], [ROOM]]),'ROOM TIME'!$H$2:$H$121,'ROOM TIME'!$J$2:$J$121)</f>
        <v>36.442777777777771</v>
      </c>
      <c r="P418" s="9">
        <f>(INDEX(Sheet1!$X$48:$Z$67,MATCH(Table1[[#This Row], [ROOM]],Sheet1!$P$48:$P$67,0),MATCH(Table1[[#This Row], [WEAPON]],Sheet1!$X$47:$Z$47,0)))/Table1[[#This Row], [NUM OF MEM]]</f>
        <v>4.5999999999999996</v>
      </c>
      <c r="Q418" s="9">
        <f>Table1[[#This Row], [ROOM TIME]]+Table1[[#This Row], [GUARD TIME]]</f>
        <v>41.042777777777772</v>
      </c>
      <c r="R418" s="4">
        <f>Sheet1!$K$3*_xlfn.XLOOKUP(Table1[[#This Row], [DISGUISE]],Sheet1!$A$21:$A$23,Sheet1!$D$21:$D$23)</f>
        <v>69</v>
      </c>
      <c r="S418" s="9">
        <f>Table1[[#This Row], [TOTAL TIME]]-Table1[[#This Row], [TOTAL TIME TAKEN]]</f>
        <v>27.957222222222228</v>
      </c>
      <c r="T418" t="str">
        <f>IF(Table1[[#This Row], [TIME DIFFERENCE]]&gt;=0,"PASS","FAIL")</f>
        <v>PASS</v>
      </c>
      <c r="U418" s="9">
        <f>Table1[[#This Row], [TRC]]+Table1[[#This Row], [DRC]]+Table1[[#This Row], [WRC]]+Table1[[#This Row], [ERC]]+Table1[[#This Row], [EQRC]]</f>
        <v>8301194.3374999994</v>
      </c>
      <c r="V418" s="9">
        <f>Table1[[#This Row], [TOTAL COST]]+_xlfn.XLOOKUP(Table1[[#This Row], [TEAM]],Sheet1!$A$12:$A$17,Sheet1!$I$12:$I$17)</f>
        <v>8613131.8374999985</v>
      </c>
      <c r="W418" s="9">
        <f>Table1[[#This Row], [LOOT]]-Table1[[#This Row], [TOTAL COST]]</f>
        <v>9848805.6625000015</v>
      </c>
      <c r="X418" s="9">
        <f>IF(Table1[[#This Row], [PASS/FAIL]]="FAIL",0,Table1[[#This Row], [PROFIT]])</f>
        <v>9848805.6625000015</v>
      </c>
    </row>
    <row r="419" spans="1:24" ht="19.5" customHeight="1" x14ac:dyDescent="0.45">
      <c r="A419" t="s">
        <v>14</v>
      </c>
      <c r="B419" s="14">
        <f>_xlfn.XLOOKUP(Table1[[#This Row], [TEAM]],Sheet1!$A$12:$A$17,Sheet1!$F$12:$F$17)</f>
        <v>2</v>
      </c>
      <c r="C419" s="14">
        <f>_xlfn.XLOOKUP(Table1[[#This Row], [TEAM]],Sheet1!$A$12:$A$17,Sheet1!$G$12:$G$17)</f>
        <v>5949600</v>
      </c>
      <c r="D419" t="s">
        <v>24</v>
      </c>
      <c r="E419" s="4">
        <f>_xlfn.XLOOKUP(Table1[[#This Row], [ROOM]],Sheet1!$A$47:$A$66,Sheet1!$B$47:$B$66)</f>
        <v>345</v>
      </c>
      <c r="F419" t="s">
        <v>58</v>
      </c>
      <c r="G419" s="4">
        <f>_xlfn.XLOOKUP(Table1[[#This Row], [DISGUISE]],Sheet1!$A$21:$A$23,Sheet1!$B$21:$B$23)*Table1[[#This Row], [NUM OF MEM]]*(1+_xlfn.XLOOKUP(Table1[[#This Row], [DISGUISE]],Sheet1!$A$21:$A$23,Sheet1!$C$21:$C$23))</f>
        <v>25600</v>
      </c>
      <c r="H419" s="13" t="s">
        <v>59</v>
      </c>
      <c r="I419" s="4">
        <f>_xlfn.XLOOKUP(Table1[[#This Row], [WEAPON]],Sheet1!$A$27:$A$29,Sheet1!$B$27:$B$29)*Table1[[#This Row], [NUM OF MEM]]*(1+_xlfn.XLOOKUP(Table1[[#This Row], [WEAPON]],Sheet1!$A$27:$A$29,Sheet1!$C$27:$C$29))</f>
        <v>91000</v>
      </c>
      <c r="J419" t="s">
        <v>64</v>
      </c>
      <c r="K419" s="9">
        <f>Table1[[#This Row], [NUM OF MEM]]*Table1[[#This Row], [TOTAL TIME TAKEN]]*_xlfn.XLOOKUP(Table1[[#This Row], [EXIT]],Sheet1!$A$70:$A$71,Sheet1!$B$70:$B$71)*(1+_xlfn.XLOOKUP(Table1[[#This Row], [EXIT]],Sheet1!$A$70:$A$71,Sheet1!$C$70:$C$71))</f>
        <v>1778403.5999999996</v>
      </c>
      <c r="L419" s="13" t="s">
        <v>65</v>
      </c>
      <c r="M419" s="4">
        <f>IF(Table1[[#This Row], [EQUIPMENT]]="YES",Sheet1!$C$44*(1+Sheet1!$D$44),0)</f>
        <v>307500</v>
      </c>
      <c r="N419" s="4">
        <f>_xlfn.XLOOKUP(Table1[[#This Row], [ROOM]],Sheet1!$A$47:$A$66,Sheet1!$F$47:$F$66)</f>
        <v>18000000</v>
      </c>
      <c r="O419" s="9">
        <f>_xlfn.XLOOKUP(_xlfn.CONCAT(Table1[[#This Row], [TEAM]],Table1[[#This Row], [ROOM]]),'ROOM TIME'!$H$2:$H$121,'ROOM TIME'!$J$2:$J$121)</f>
        <v>61.711249999999986</v>
      </c>
      <c r="P419" s="9">
        <f>(INDEX(Sheet1!$X$48:$Z$67,MATCH(Table1[[#This Row], [ROOM]],Sheet1!$P$48:$P$67,0),MATCH(Table1[[#This Row], [WEAPON]],Sheet1!$X$47:$Z$47,0)))/Table1[[#This Row], [NUM OF MEM]]</f>
        <v>6.8999999999999995</v>
      </c>
      <c r="Q419" s="9">
        <f>Table1[[#This Row], [ROOM TIME]]+Table1[[#This Row], [GUARD TIME]]</f>
        <v>68.611249999999984</v>
      </c>
      <c r="R419" s="4">
        <f>Sheet1!$K$3*_xlfn.XLOOKUP(Table1[[#This Row], [DISGUISE]],Sheet1!$A$21:$A$23,Sheet1!$D$21:$D$23)</f>
        <v>69</v>
      </c>
      <c r="S419" s="9">
        <f>Table1[[#This Row], [TOTAL TIME]]-Table1[[#This Row], [TOTAL TIME TAKEN]]</f>
        <v>0.38875000000001592</v>
      </c>
      <c r="T419" t="str">
        <f>IF(Table1[[#This Row], [TIME DIFFERENCE]]&gt;=0,"PASS","FAIL")</f>
        <v>PASS</v>
      </c>
      <c r="U419" s="9">
        <f>Table1[[#This Row], [TRC]]+Table1[[#This Row], [DRC]]+Table1[[#This Row], [WRC]]+Table1[[#This Row], [ERC]]+Table1[[#This Row], [EQRC]]</f>
        <v>8152103.5999999996</v>
      </c>
      <c r="V419" s="9">
        <f>Table1[[#This Row], [TOTAL COST]]+_xlfn.XLOOKUP(Table1[[#This Row], [TEAM]],Sheet1!$A$12:$A$17,Sheet1!$I$12:$I$17)</f>
        <v>8449583.5999999996</v>
      </c>
      <c r="W419" s="9">
        <f>Table1[[#This Row], [LOOT]]-Table1[[#This Row], [TOTAL COST]]</f>
        <v>9847896.4000000004</v>
      </c>
      <c r="X419" s="9">
        <f>IF(Table1[[#This Row], [PASS/FAIL]]="FAIL",0,Table1[[#This Row], [PROFIT]])</f>
        <v>9847896.4000000004</v>
      </c>
    </row>
    <row r="420" spans="1:24" ht="19.5" customHeight="1" x14ac:dyDescent="0.45">
      <c r="A420" t="s">
        <v>12</v>
      </c>
      <c r="B420" s="14">
        <f>_xlfn.XLOOKUP(Table1[[#This Row], [TEAM]],Sheet1!$A$12:$A$17,Sheet1!$F$12:$F$17)</f>
        <v>3</v>
      </c>
      <c r="C420" s="14">
        <f>_xlfn.XLOOKUP(Table1[[#This Row], [TEAM]],Sheet1!$A$12:$A$17,Sheet1!$G$12:$G$17)</f>
        <v>5988750</v>
      </c>
      <c r="D420" t="s">
        <v>29</v>
      </c>
      <c r="E420" s="4">
        <f>_xlfn.XLOOKUP(Table1[[#This Row], [ROOM]],Sheet1!$A$47:$A$66,Sheet1!$B$47:$B$66)</f>
        <v>236</v>
      </c>
      <c r="F420" t="s">
        <v>62</v>
      </c>
      <c r="G420" s="4">
        <f>_xlfn.XLOOKUP(Table1[[#This Row], [DISGUISE]],Sheet1!$A$21:$A$23,Sheet1!$B$21:$B$23)*Table1[[#This Row], [NUM OF MEM]]*(1+_xlfn.XLOOKUP(Table1[[#This Row], [DISGUISE]],Sheet1!$A$21:$A$23,Sheet1!$C$21:$C$23))</f>
        <v>15600</v>
      </c>
      <c r="H420" s="13" t="s">
        <v>66</v>
      </c>
      <c r="I420" s="4">
        <f>_xlfn.XLOOKUP(Table1[[#This Row], [WEAPON]],Sheet1!$A$27:$A$29,Sheet1!$B$27:$B$29)*Table1[[#This Row], [NUM OF MEM]]*(1+_xlfn.XLOOKUP(Table1[[#This Row], [WEAPON]],Sheet1!$A$27:$A$29,Sheet1!$C$27:$C$29))</f>
        <v>108000</v>
      </c>
      <c r="J420" t="s">
        <v>64</v>
      </c>
      <c r="K420" s="9">
        <f>Table1[[#This Row], [NUM OF MEM]]*Table1[[#This Row], [TOTAL TIME TAKEN]]*_xlfn.XLOOKUP(Table1[[#This Row], [EXIT]],Sheet1!$A$70:$A$71,Sheet1!$B$70:$B$71)*(1+_xlfn.XLOOKUP(Table1[[#This Row], [EXIT]],Sheet1!$A$70:$A$71,Sheet1!$C$70:$C$71))</f>
        <v>1732708.7999999991</v>
      </c>
      <c r="L420" s="13" t="s">
        <v>65</v>
      </c>
      <c r="M420" s="4">
        <f>IF(Table1[[#This Row], [EQUIPMENT]]="YES",Sheet1!$C$44*(1+Sheet1!$D$44),0)</f>
        <v>307500</v>
      </c>
      <c r="N420" s="4">
        <f>_xlfn.XLOOKUP(Table1[[#This Row], [ROOM]],Sheet1!$A$47:$A$66,Sheet1!$F$47:$F$66)</f>
        <v>18000000</v>
      </c>
      <c r="O420" s="9">
        <f>_xlfn.XLOOKUP(_xlfn.CONCAT(Table1[[#This Row], [TEAM]],Table1[[#This Row], [ROOM]]),'ROOM TIME'!$H$2:$H$121,'ROOM TIME'!$J$2:$J$121)</f>
        <v>39.14888888888887</v>
      </c>
      <c r="P420" s="9">
        <f>(INDEX(Sheet1!$X$48:$Z$67,MATCH(Table1[[#This Row], [ROOM]],Sheet1!$P$48:$P$67,0),MATCH(Table1[[#This Row], [WEAPON]],Sheet1!$X$47:$Z$47,0)))/Table1[[#This Row], [NUM OF MEM]]</f>
        <v>5.416666666666667</v>
      </c>
      <c r="Q420" s="9">
        <f>Table1[[#This Row], [ROOM TIME]]+Table1[[#This Row], [GUARD TIME]]</f>
        <v>44.565555555555534</v>
      </c>
      <c r="R420" s="4">
        <f>Sheet1!$K$3*_xlfn.XLOOKUP(Table1[[#This Row], [DISGUISE]],Sheet1!$A$21:$A$23,Sheet1!$D$21:$D$23)</f>
        <v>66</v>
      </c>
      <c r="S420" s="9">
        <f>Table1[[#This Row], [TOTAL TIME]]-Table1[[#This Row], [TOTAL TIME TAKEN]]</f>
        <v>21.434444444444466</v>
      </c>
      <c r="T420" t="str">
        <f>IF(Table1[[#This Row], [TIME DIFFERENCE]]&gt;=0,"PASS","FAIL")</f>
        <v>PASS</v>
      </c>
      <c r="U420" s="9">
        <f>Table1[[#This Row], [TRC]]+Table1[[#This Row], [DRC]]+Table1[[#This Row], [WRC]]+Table1[[#This Row], [ERC]]+Table1[[#This Row], [EQRC]]</f>
        <v>8152558.7999999989</v>
      </c>
      <c r="V420" s="9">
        <f>Table1[[#This Row], [TOTAL COST]]+_xlfn.XLOOKUP(Table1[[#This Row], [TEAM]],Sheet1!$A$12:$A$17,Sheet1!$I$12:$I$17)</f>
        <v>8451996.2999999989</v>
      </c>
      <c r="W420" s="9">
        <f>Table1[[#This Row], [LOOT]]-Table1[[#This Row], [TOTAL COST]]</f>
        <v>9847441.2000000011</v>
      </c>
      <c r="X420" s="9">
        <f>IF(Table1[[#This Row], [PASS/FAIL]]="FAIL",0,Table1[[#This Row], [PROFIT]])</f>
        <v>9847441.2000000011</v>
      </c>
    </row>
    <row r="421" spans="1:24" ht="19.5" customHeight="1" x14ac:dyDescent="0.45">
      <c r="A421" t="s">
        <v>12</v>
      </c>
      <c r="B421" s="14">
        <f>_xlfn.XLOOKUP(Table1[[#This Row], [TEAM]],Sheet1!$A$12:$A$17,Sheet1!$F$12:$F$17)</f>
        <v>3</v>
      </c>
      <c r="C421" s="14">
        <f>_xlfn.XLOOKUP(Table1[[#This Row], [TEAM]],Sheet1!$A$12:$A$17,Sheet1!$G$12:$G$17)</f>
        <v>5988750</v>
      </c>
      <c r="D421" t="s">
        <v>29</v>
      </c>
      <c r="E421" s="4">
        <f>_xlfn.XLOOKUP(Table1[[#This Row], [ROOM]],Sheet1!$A$47:$A$66,Sheet1!$B$47:$B$66)</f>
        <v>236</v>
      </c>
      <c r="F421" t="s">
        <v>58</v>
      </c>
      <c r="G421" s="4">
        <f>_xlfn.XLOOKUP(Table1[[#This Row], [DISGUISE]],Sheet1!$A$21:$A$23,Sheet1!$B$21:$B$23)*Table1[[#This Row], [NUM OF MEM]]*(1+_xlfn.XLOOKUP(Table1[[#This Row], [DISGUISE]],Sheet1!$A$21:$A$23,Sheet1!$C$21:$C$23))</f>
        <v>38400</v>
      </c>
      <c r="H421" s="13" t="s">
        <v>63</v>
      </c>
      <c r="I421" s="4">
        <f>_xlfn.XLOOKUP(Table1[[#This Row], [WEAPON]],Sheet1!$A$27:$A$29,Sheet1!$B$27:$B$29)*Table1[[#This Row], [NUM OF MEM]]*(1+_xlfn.XLOOKUP(Table1[[#This Row], [WEAPON]],Sheet1!$A$27:$A$29,Sheet1!$C$27:$C$29))</f>
        <v>69000</v>
      </c>
      <c r="J421" t="s">
        <v>64</v>
      </c>
      <c r="K421" s="9">
        <f>Table1[[#This Row], [NUM OF MEM]]*Table1[[#This Row], [TOTAL TIME TAKEN]]*_xlfn.XLOOKUP(Table1[[#This Row], [EXIT]],Sheet1!$A$70:$A$71,Sheet1!$B$70:$B$71)*(1+_xlfn.XLOOKUP(Table1[[#This Row], [EXIT]],Sheet1!$A$70:$A$71,Sheet1!$C$70:$C$71))</f>
        <v>1749556.7999999993</v>
      </c>
      <c r="L421" s="13" t="s">
        <v>65</v>
      </c>
      <c r="M421" s="4">
        <f>IF(Table1[[#This Row], [EQUIPMENT]]="YES",Sheet1!$C$44*(1+Sheet1!$D$44),0)</f>
        <v>307500</v>
      </c>
      <c r="N421" s="4">
        <f>_xlfn.XLOOKUP(Table1[[#This Row], [ROOM]],Sheet1!$A$47:$A$66,Sheet1!$F$47:$F$66)</f>
        <v>18000000</v>
      </c>
      <c r="O421" s="9">
        <f>_xlfn.XLOOKUP(_xlfn.CONCAT(Table1[[#This Row], [TEAM]],Table1[[#This Row], [ROOM]]),'ROOM TIME'!$H$2:$H$121,'ROOM TIME'!$J$2:$J$121)</f>
        <v>39.14888888888887</v>
      </c>
      <c r="P421" s="9">
        <f>(INDEX(Sheet1!$X$48:$Z$67,MATCH(Table1[[#This Row], [ROOM]],Sheet1!$P$48:$P$67,0),MATCH(Table1[[#This Row], [WEAPON]],Sheet1!$X$47:$Z$47,0)))/Table1[[#This Row], [NUM OF MEM]]</f>
        <v>5.8500000000000005</v>
      </c>
      <c r="Q421" s="9">
        <f>Table1[[#This Row], [ROOM TIME]]+Table1[[#This Row], [GUARD TIME]]</f>
        <v>44.998888888888871</v>
      </c>
      <c r="R421" s="4">
        <f>Sheet1!$K$3*_xlfn.XLOOKUP(Table1[[#This Row], [DISGUISE]],Sheet1!$A$21:$A$23,Sheet1!$D$21:$D$23)</f>
        <v>69</v>
      </c>
      <c r="S421" s="9">
        <f>Table1[[#This Row], [TOTAL TIME]]-Table1[[#This Row], [TOTAL TIME TAKEN]]</f>
        <v>24.001111111111129</v>
      </c>
      <c r="T421" t="str">
        <f>IF(Table1[[#This Row], [TIME DIFFERENCE]]&gt;=0,"PASS","FAIL")</f>
        <v>PASS</v>
      </c>
      <c r="U421" s="9">
        <f>Table1[[#This Row], [TRC]]+Table1[[#This Row], [DRC]]+Table1[[#This Row], [WRC]]+Table1[[#This Row], [ERC]]+Table1[[#This Row], [EQRC]]</f>
        <v>8153206.7999999989</v>
      </c>
      <c r="V421" s="9">
        <f>Table1[[#This Row], [TOTAL COST]]+_xlfn.XLOOKUP(Table1[[#This Row], [TEAM]],Sheet1!$A$12:$A$17,Sheet1!$I$12:$I$17)</f>
        <v>8452644.2999999989</v>
      </c>
      <c r="W421" s="9">
        <f>Table1[[#This Row], [LOOT]]-Table1[[#This Row], [TOTAL COST]]</f>
        <v>9846793.2000000011</v>
      </c>
      <c r="X421" s="9">
        <f>IF(Table1[[#This Row], [PASS/FAIL]]="FAIL",0,Table1[[#This Row], [PROFIT]])</f>
        <v>9846793.2000000011</v>
      </c>
    </row>
    <row r="422" spans="1:24" ht="19.5" customHeight="1" x14ac:dyDescent="0.45">
      <c r="A422" t="s">
        <v>9</v>
      </c>
      <c r="B422" s="14">
        <f>_xlfn.XLOOKUP(Table1[[#This Row], [TEAM]],Sheet1!$A$12:$A$17,Sheet1!$F$12:$F$17)</f>
        <v>3</v>
      </c>
      <c r="C422" s="14">
        <f>_xlfn.XLOOKUP(Table1[[#This Row], [TEAM]],Sheet1!$A$12:$A$17,Sheet1!$G$12:$G$17)</f>
        <v>6238750</v>
      </c>
      <c r="D422" t="s">
        <v>33</v>
      </c>
      <c r="E422" s="4">
        <f>_xlfn.XLOOKUP(Table1[[#This Row], [ROOM]],Sheet1!$A$47:$A$66,Sheet1!$B$47:$B$66)</f>
        <v>356</v>
      </c>
      <c r="F422" t="s">
        <v>58</v>
      </c>
      <c r="G422" s="4">
        <f>_xlfn.XLOOKUP(Table1[[#This Row], [DISGUISE]],Sheet1!$A$21:$A$23,Sheet1!$B$21:$B$23)*Table1[[#This Row], [NUM OF MEM]]*(1+_xlfn.XLOOKUP(Table1[[#This Row], [DISGUISE]],Sheet1!$A$21:$A$23,Sheet1!$C$21:$C$23))</f>
        <v>38400</v>
      </c>
      <c r="H422" s="13" t="s">
        <v>63</v>
      </c>
      <c r="I422" s="4">
        <f>_xlfn.XLOOKUP(Table1[[#This Row], [WEAPON]],Sheet1!$A$27:$A$29,Sheet1!$B$27:$B$29)*Table1[[#This Row], [NUM OF MEM]]*(1+_xlfn.XLOOKUP(Table1[[#This Row], [WEAPON]],Sheet1!$A$27:$A$29,Sheet1!$C$27:$C$29))</f>
        <v>69000</v>
      </c>
      <c r="J422" t="s">
        <v>60</v>
      </c>
      <c r="K422" s="9">
        <f>Table1[[#This Row], [NUM OF MEM]]*Table1[[#This Row], [TOTAL TIME TAKEN]]*_xlfn.XLOOKUP(Table1[[#This Row], [EXIT]],Sheet1!$A$70:$A$71,Sheet1!$B$70:$B$71)*(1+_xlfn.XLOOKUP(Table1[[#This Row], [EXIT]],Sheet1!$A$70:$A$71,Sheet1!$C$70:$C$71))</f>
        <v>1599613.8999999992</v>
      </c>
      <c r="L422" s="13" t="s">
        <v>65</v>
      </c>
      <c r="M422" s="4">
        <f>IF(Table1[[#This Row], [EQUIPMENT]]="YES",Sheet1!$C$44*(1+Sheet1!$D$44),0)</f>
        <v>307500</v>
      </c>
      <c r="N422" s="4">
        <f>_xlfn.XLOOKUP(Table1[[#This Row], [ROOM]],Sheet1!$A$47:$A$66,Sheet1!$F$47:$F$66)</f>
        <v>18100000</v>
      </c>
      <c r="O422" s="9">
        <f>_xlfn.XLOOKUP(_xlfn.CONCAT(Table1[[#This Row], [TEAM]],Table1[[#This Row], [ROOM]]),'ROOM TIME'!$H$2:$H$121,'ROOM TIME'!$J$2:$J$121)</f>
        <v>36.151111111111099</v>
      </c>
      <c r="P422" s="9">
        <f>(INDEX(Sheet1!$X$48:$Z$67,MATCH(Table1[[#This Row], [ROOM]],Sheet1!$P$48:$P$67,0),MATCH(Table1[[#This Row], [WEAPON]],Sheet1!$X$47:$Z$47,0)))/Table1[[#This Row], [NUM OF MEM]]</f>
        <v>5.4000000000000012</v>
      </c>
      <c r="Q422" s="9">
        <f>Table1[[#This Row], [ROOM TIME]]+Table1[[#This Row], [GUARD TIME]]</f>
        <v>41.551111111111098</v>
      </c>
      <c r="R422" s="4">
        <f>Sheet1!$K$3*_xlfn.XLOOKUP(Table1[[#This Row], [DISGUISE]],Sheet1!$A$21:$A$23,Sheet1!$D$21:$D$23)</f>
        <v>69</v>
      </c>
      <c r="S422" s="9">
        <f>Table1[[#This Row], [TOTAL TIME]]-Table1[[#This Row], [TOTAL TIME TAKEN]]</f>
        <v>27.448888888888902</v>
      </c>
      <c r="T422" t="str">
        <f>IF(Table1[[#This Row], [TIME DIFFERENCE]]&gt;=0,"PASS","FAIL")</f>
        <v>PASS</v>
      </c>
      <c r="U422" s="9">
        <f>Table1[[#This Row], [TRC]]+Table1[[#This Row], [DRC]]+Table1[[#This Row], [WRC]]+Table1[[#This Row], [ERC]]+Table1[[#This Row], [EQRC]]</f>
        <v>8253263.8999999994</v>
      </c>
      <c r="V422" s="9">
        <f>Table1[[#This Row], [TOTAL COST]]+_xlfn.XLOOKUP(Table1[[#This Row], [TEAM]],Sheet1!$A$12:$A$17,Sheet1!$I$12:$I$17)</f>
        <v>8565201.3999999985</v>
      </c>
      <c r="W422" s="9">
        <f>Table1[[#This Row], [LOOT]]-Table1[[#This Row], [TOTAL COST]]</f>
        <v>9846736.1000000015</v>
      </c>
      <c r="X422" s="9">
        <f>IF(Table1[[#This Row], [PASS/FAIL]]="FAIL",0,Table1[[#This Row], [PROFIT]])</f>
        <v>9846736.1000000015</v>
      </c>
    </row>
    <row r="423" spans="1:24" ht="19.5" customHeight="1" x14ac:dyDescent="0.45">
      <c r="A423" t="s">
        <v>13</v>
      </c>
      <c r="B423" s="14">
        <f>_xlfn.XLOOKUP(Table1[[#This Row], [TEAM]],Sheet1!$A$12:$A$17,Sheet1!$F$12:$F$17)</f>
        <v>3</v>
      </c>
      <c r="C423" s="14">
        <f>_xlfn.XLOOKUP(Table1[[#This Row], [TEAM]],Sheet1!$A$12:$A$17,Sheet1!$G$12:$G$17)</f>
        <v>5930000</v>
      </c>
      <c r="D423" t="s">
        <v>29</v>
      </c>
      <c r="E423" s="4">
        <f>_xlfn.XLOOKUP(Table1[[#This Row], [ROOM]],Sheet1!$A$47:$A$66,Sheet1!$B$47:$B$66)</f>
        <v>236</v>
      </c>
      <c r="F423" t="s">
        <v>62</v>
      </c>
      <c r="G423" s="4">
        <f>_xlfn.XLOOKUP(Table1[[#This Row], [DISGUISE]],Sheet1!$A$21:$A$23,Sheet1!$B$21:$B$23)*Table1[[#This Row], [NUM OF MEM]]*(1+_xlfn.XLOOKUP(Table1[[#This Row], [DISGUISE]],Sheet1!$A$21:$A$23,Sheet1!$C$21:$C$23))</f>
        <v>15600</v>
      </c>
      <c r="H423" s="13" t="s">
        <v>66</v>
      </c>
      <c r="I423" s="4">
        <f>_xlfn.XLOOKUP(Table1[[#This Row], [WEAPON]],Sheet1!$A$27:$A$29,Sheet1!$B$27:$B$29)*Table1[[#This Row], [NUM OF MEM]]*(1+_xlfn.XLOOKUP(Table1[[#This Row], [WEAPON]],Sheet1!$A$27:$A$29,Sheet1!$C$27:$C$29))</f>
        <v>108000</v>
      </c>
      <c r="J423" t="s">
        <v>64</v>
      </c>
      <c r="K423" s="9">
        <f>Table1[[#This Row], [NUM OF MEM]]*Table1[[#This Row], [TOTAL TIME TAKEN]]*_xlfn.XLOOKUP(Table1[[#This Row], [EXIT]],Sheet1!$A$70:$A$71,Sheet1!$B$70:$B$71)*(1+_xlfn.XLOOKUP(Table1[[#This Row], [EXIT]],Sheet1!$A$70:$A$71,Sheet1!$C$70:$C$71))</f>
        <v>1792432.7999999996</v>
      </c>
      <c r="L423" s="13" t="s">
        <v>65</v>
      </c>
      <c r="M423" s="4">
        <f>IF(Table1[[#This Row], [EQUIPMENT]]="YES",Sheet1!$C$44*(1+Sheet1!$D$44),0)</f>
        <v>307500</v>
      </c>
      <c r="N423" s="4">
        <f>_xlfn.XLOOKUP(Table1[[#This Row], [ROOM]],Sheet1!$A$47:$A$66,Sheet1!$F$47:$F$66)</f>
        <v>18000000</v>
      </c>
      <c r="O423" s="9">
        <f>_xlfn.XLOOKUP(_xlfn.CONCAT(Table1[[#This Row], [TEAM]],Table1[[#This Row], [ROOM]]),'ROOM TIME'!$H$2:$H$121,'ROOM TIME'!$J$2:$J$121)</f>
        <v>40.684999999999995</v>
      </c>
      <c r="P423" s="9">
        <f>(INDEX(Sheet1!$X$48:$Z$67,MATCH(Table1[[#This Row], [ROOM]],Sheet1!$P$48:$P$67,0),MATCH(Table1[[#This Row], [WEAPON]],Sheet1!$X$47:$Z$47,0)))/Table1[[#This Row], [NUM OF MEM]]</f>
        <v>5.416666666666667</v>
      </c>
      <c r="Q423" s="9">
        <f>Table1[[#This Row], [ROOM TIME]]+Table1[[#This Row], [GUARD TIME]]</f>
        <v>46.101666666666659</v>
      </c>
      <c r="R423" s="4">
        <f>Sheet1!$K$3*_xlfn.XLOOKUP(Table1[[#This Row], [DISGUISE]],Sheet1!$A$21:$A$23,Sheet1!$D$21:$D$23)</f>
        <v>66</v>
      </c>
      <c r="S423" s="9">
        <f>Table1[[#This Row], [TOTAL TIME]]-Table1[[#This Row], [TOTAL TIME TAKEN]]</f>
        <v>19.898333333333341</v>
      </c>
      <c r="T423" t="str">
        <f>IF(Table1[[#This Row], [TIME DIFFERENCE]]&gt;=0,"PASS","FAIL")</f>
        <v>PASS</v>
      </c>
      <c r="U423" s="9">
        <f>Table1[[#This Row], [TRC]]+Table1[[#This Row], [DRC]]+Table1[[#This Row], [WRC]]+Table1[[#This Row], [ERC]]+Table1[[#This Row], [EQRC]]</f>
        <v>8153532.7999999998</v>
      </c>
      <c r="V423" s="9">
        <f>Table1[[#This Row], [TOTAL COST]]+_xlfn.XLOOKUP(Table1[[#This Row], [TEAM]],Sheet1!$A$12:$A$17,Sheet1!$I$12:$I$17)</f>
        <v>8450032.8000000007</v>
      </c>
      <c r="W423" s="9">
        <f>Table1[[#This Row], [LOOT]]-Table1[[#This Row], [TOTAL COST]]</f>
        <v>9846467.1999999993</v>
      </c>
      <c r="X423" s="9">
        <f>IF(Table1[[#This Row], [PASS/FAIL]]="FAIL",0,Table1[[#This Row], [PROFIT]])</f>
        <v>9846467.1999999993</v>
      </c>
    </row>
    <row r="424" spans="1:24" ht="19.5" customHeight="1" x14ac:dyDescent="0.45">
      <c r="A424" t="s">
        <v>9</v>
      </c>
      <c r="B424" s="14">
        <f>_xlfn.XLOOKUP(Table1[[#This Row], [TEAM]],Sheet1!$A$12:$A$17,Sheet1!$F$12:$F$17)</f>
        <v>3</v>
      </c>
      <c r="C424" s="14">
        <f>_xlfn.XLOOKUP(Table1[[#This Row], [TEAM]],Sheet1!$A$12:$A$17,Sheet1!$G$12:$G$17)</f>
        <v>6238750</v>
      </c>
      <c r="D424" t="s">
        <v>26</v>
      </c>
      <c r="E424" s="4">
        <f>_xlfn.XLOOKUP(Table1[[#This Row], [ROOM]],Sheet1!$A$47:$A$66,Sheet1!$B$47:$B$66)</f>
        <v>136</v>
      </c>
      <c r="F424" t="s">
        <v>58</v>
      </c>
      <c r="G424" s="4">
        <f>_xlfn.XLOOKUP(Table1[[#This Row], [DISGUISE]],Sheet1!$A$21:$A$23,Sheet1!$B$21:$B$23)*Table1[[#This Row], [NUM OF MEM]]*(1+_xlfn.XLOOKUP(Table1[[#This Row], [DISGUISE]],Sheet1!$A$21:$A$23,Sheet1!$C$21:$C$23))</f>
        <v>38400</v>
      </c>
      <c r="H424" s="13" t="s">
        <v>66</v>
      </c>
      <c r="I424" s="4">
        <f>_xlfn.XLOOKUP(Table1[[#This Row], [WEAPON]],Sheet1!$A$27:$A$29,Sheet1!$B$27:$B$29)*Table1[[#This Row], [NUM OF MEM]]*(1+_xlfn.XLOOKUP(Table1[[#This Row], [WEAPON]],Sheet1!$A$27:$A$29,Sheet1!$C$27:$C$29))</f>
        <v>108000</v>
      </c>
      <c r="J424" t="s">
        <v>64</v>
      </c>
      <c r="K424" s="9">
        <f>Table1[[#This Row], [NUM OF MEM]]*Table1[[#This Row], [TOTAL TIME TAKEN]]*_xlfn.XLOOKUP(Table1[[#This Row], [EXIT]],Sheet1!$A$70:$A$71,Sheet1!$B$70:$B$71)*(1+_xlfn.XLOOKUP(Table1[[#This Row], [EXIT]],Sheet1!$A$70:$A$71,Sheet1!$C$70:$C$71))</f>
        <v>1611295.1999999997</v>
      </c>
      <c r="L424" s="13" t="s">
        <v>65</v>
      </c>
      <c r="M424" s="4">
        <f>IF(Table1[[#This Row], [EQUIPMENT]]="YES",Sheet1!$C$44*(1+Sheet1!$D$44),0)</f>
        <v>307500</v>
      </c>
      <c r="N424" s="4">
        <f>_xlfn.XLOOKUP(Table1[[#This Row], [ROOM]],Sheet1!$A$47:$A$66,Sheet1!$F$47:$F$66)</f>
        <v>18150000</v>
      </c>
      <c r="O424" s="9">
        <f>_xlfn.XLOOKUP(_xlfn.CONCAT(Table1[[#This Row], [TEAM]],Table1[[#This Row], [ROOM]]),'ROOM TIME'!$H$2:$H$121,'ROOM TIME'!$J$2:$J$121)</f>
        <v>36.442777777777771</v>
      </c>
      <c r="P424" s="4">
        <f>(INDEX(Sheet1!$X$48:$Z$67,MATCH(Table1[[#This Row], [ROOM]],Sheet1!$P$48:$P$67,0),MATCH(Table1[[#This Row], [WEAPON]],Sheet1!$X$47:$Z$47,0)))/Table1[[#This Row], [NUM OF MEM]]</f>
        <v>5</v>
      </c>
      <c r="Q424" s="9">
        <f>Table1[[#This Row], [ROOM TIME]]+Table1[[#This Row], [GUARD TIME]]</f>
        <v>41.442777777777771</v>
      </c>
      <c r="R424" s="4">
        <f>Sheet1!$K$3*_xlfn.XLOOKUP(Table1[[#This Row], [DISGUISE]],Sheet1!$A$21:$A$23,Sheet1!$D$21:$D$23)</f>
        <v>69</v>
      </c>
      <c r="S424" s="9">
        <f>Table1[[#This Row], [TOTAL TIME]]-Table1[[#This Row], [TOTAL TIME TAKEN]]</f>
        <v>27.557222222222229</v>
      </c>
      <c r="T424" t="str">
        <f>IF(Table1[[#This Row], [TIME DIFFERENCE]]&gt;=0,"PASS","FAIL")</f>
        <v>PASS</v>
      </c>
      <c r="U424" s="9">
        <f>Table1[[#This Row], [TRC]]+Table1[[#This Row], [DRC]]+Table1[[#This Row], [WRC]]+Table1[[#This Row], [ERC]]+Table1[[#This Row], [EQRC]]</f>
        <v>8303945.1999999993</v>
      </c>
      <c r="V424" s="9">
        <f>Table1[[#This Row], [TOTAL COST]]+_xlfn.XLOOKUP(Table1[[#This Row], [TEAM]],Sheet1!$A$12:$A$17,Sheet1!$I$12:$I$17)</f>
        <v>8615882.6999999993</v>
      </c>
      <c r="W424" s="9">
        <f>Table1[[#This Row], [LOOT]]-Table1[[#This Row], [TOTAL COST]]</f>
        <v>9846054.8000000007</v>
      </c>
      <c r="X424" s="9">
        <f>IF(Table1[[#This Row], [PASS/FAIL]]="FAIL",0,Table1[[#This Row], [PROFIT]])</f>
        <v>9846054.8000000007</v>
      </c>
    </row>
    <row r="425" spans="1:24" ht="19.5" customHeight="1" x14ac:dyDescent="0.45">
      <c r="A425" t="s">
        <v>9</v>
      </c>
      <c r="B425" s="14">
        <f>_xlfn.XLOOKUP(Table1[[#This Row], [TEAM]],Sheet1!$A$12:$A$17,Sheet1!$F$12:$F$17)</f>
        <v>3</v>
      </c>
      <c r="C425" s="14">
        <f>_xlfn.XLOOKUP(Table1[[#This Row], [TEAM]],Sheet1!$A$12:$A$17,Sheet1!$G$12:$G$17)</f>
        <v>6238750</v>
      </c>
      <c r="D425" t="s">
        <v>33</v>
      </c>
      <c r="E425" s="4">
        <f>_xlfn.XLOOKUP(Table1[[#This Row], [ROOM]],Sheet1!$A$47:$A$66,Sheet1!$B$47:$B$66)</f>
        <v>356</v>
      </c>
      <c r="F425" t="s">
        <v>62</v>
      </c>
      <c r="G425" s="4">
        <f>_xlfn.XLOOKUP(Table1[[#This Row], [DISGUISE]],Sheet1!$A$21:$A$23,Sheet1!$B$21:$B$23)*Table1[[#This Row], [NUM OF MEM]]*(1+_xlfn.XLOOKUP(Table1[[#This Row], [DISGUISE]],Sheet1!$A$21:$A$23,Sheet1!$C$21:$C$23))</f>
        <v>15600</v>
      </c>
      <c r="H425" s="13" t="s">
        <v>66</v>
      </c>
      <c r="I425" s="4">
        <f>_xlfn.XLOOKUP(Table1[[#This Row], [WEAPON]],Sheet1!$A$27:$A$29,Sheet1!$B$27:$B$29)*Table1[[#This Row], [NUM OF MEM]]*(1+_xlfn.XLOOKUP(Table1[[#This Row], [WEAPON]],Sheet1!$A$27:$A$29,Sheet1!$C$27:$C$29))</f>
        <v>108000</v>
      </c>
      <c r="J425" t="s">
        <v>60</v>
      </c>
      <c r="K425" s="9">
        <f>Table1[[#This Row], [NUM OF MEM]]*Table1[[#This Row], [TOTAL TIME TAKEN]]*_xlfn.XLOOKUP(Table1[[#This Row], [EXIT]],Sheet1!$A$70:$A$71,Sheet1!$B$70:$B$71)*(1+_xlfn.XLOOKUP(Table1[[#This Row], [EXIT]],Sheet1!$A$70:$A$71,Sheet1!$C$70:$C$71))</f>
        <v>1584214.8999999992</v>
      </c>
      <c r="L425" s="13" t="s">
        <v>65</v>
      </c>
      <c r="M425" s="4">
        <f>IF(Table1[[#This Row], [EQUIPMENT]]="YES",Sheet1!$C$44*(1+Sheet1!$D$44),0)</f>
        <v>307500</v>
      </c>
      <c r="N425" s="4">
        <f>_xlfn.XLOOKUP(Table1[[#This Row], [ROOM]],Sheet1!$A$47:$A$66,Sheet1!$F$47:$F$66)</f>
        <v>18100000</v>
      </c>
      <c r="O425" s="9">
        <f>_xlfn.XLOOKUP(_xlfn.CONCAT(Table1[[#This Row], [TEAM]],Table1[[#This Row], [ROOM]]),'ROOM TIME'!$H$2:$H$121,'ROOM TIME'!$J$2:$J$121)</f>
        <v>36.151111111111099</v>
      </c>
      <c r="P425" s="4">
        <f>(INDEX(Sheet1!$X$48:$Z$67,MATCH(Table1[[#This Row], [ROOM]],Sheet1!$P$48:$P$67,0),MATCH(Table1[[#This Row], [WEAPON]],Sheet1!$X$47:$Z$47,0)))/Table1[[#This Row], [NUM OF MEM]]</f>
        <v>5</v>
      </c>
      <c r="Q425" s="9">
        <f>Table1[[#This Row], [ROOM TIME]]+Table1[[#This Row], [GUARD TIME]]</f>
        <v>41.151111111111099</v>
      </c>
      <c r="R425" s="4">
        <f>Sheet1!$K$3*_xlfn.XLOOKUP(Table1[[#This Row], [DISGUISE]],Sheet1!$A$21:$A$23,Sheet1!$D$21:$D$23)</f>
        <v>66</v>
      </c>
      <c r="S425" s="9">
        <f>Table1[[#This Row], [TOTAL TIME]]-Table1[[#This Row], [TOTAL TIME TAKEN]]</f>
        <v>24.848888888888901</v>
      </c>
      <c r="T425" t="str">
        <f>IF(Table1[[#This Row], [TIME DIFFERENCE]]&gt;=0,"PASS","FAIL")</f>
        <v>PASS</v>
      </c>
      <c r="U425" s="9">
        <f>Table1[[#This Row], [TRC]]+Table1[[#This Row], [DRC]]+Table1[[#This Row], [WRC]]+Table1[[#This Row], [ERC]]+Table1[[#This Row], [EQRC]]</f>
        <v>8254064.8999999994</v>
      </c>
      <c r="V425" s="9">
        <f>Table1[[#This Row], [TOTAL COST]]+_xlfn.XLOOKUP(Table1[[#This Row], [TEAM]],Sheet1!$A$12:$A$17,Sheet1!$I$12:$I$17)</f>
        <v>8566002.3999999985</v>
      </c>
      <c r="W425" s="9">
        <f>Table1[[#This Row], [LOOT]]-Table1[[#This Row], [TOTAL COST]]</f>
        <v>9845935.1000000015</v>
      </c>
      <c r="X425" s="9">
        <f>IF(Table1[[#This Row], [PASS/FAIL]]="FAIL",0,Table1[[#This Row], [PROFIT]])</f>
        <v>9845935.1000000015</v>
      </c>
    </row>
    <row r="426" spans="1:24" ht="19.5" customHeight="1" x14ac:dyDescent="0.45">
      <c r="A426" t="s">
        <v>13</v>
      </c>
      <c r="B426" s="14">
        <f>_xlfn.XLOOKUP(Table1[[#This Row], [TEAM]],Sheet1!$A$12:$A$17,Sheet1!$F$12:$F$17)</f>
        <v>3</v>
      </c>
      <c r="C426" s="14">
        <f>_xlfn.XLOOKUP(Table1[[#This Row], [TEAM]],Sheet1!$A$12:$A$17,Sheet1!$G$12:$G$17)</f>
        <v>5930000</v>
      </c>
      <c r="D426" t="s">
        <v>29</v>
      </c>
      <c r="E426" s="4">
        <f>_xlfn.XLOOKUP(Table1[[#This Row], [ROOM]],Sheet1!$A$47:$A$66,Sheet1!$B$47:$B$66)</f>
        <v>236</v>
      </c>
      <c r="F426" t="s">
        <v>58</v>
      </c>
      <c r="G426" s="4">
        <f>_xlfn.XLOOKUP(Table1[[#This Row], [DISGUISE]],Sheet1!$A$21:$A$23,Sheet1!$B$21:$B$23)*Table1[[#This Row], [NUM OF MEM]]*(1+_xlfn.XLOOKUP(Table1[[#This Row], [DISGUISE]],Sheet1!$A$21:$A$23,Sheet1!$C$21:$C$23))</f>
        <v>38400</v>
      </c>
      <c r="H426" s="13" t="s">
        <v>63</v>
      </c>
      <c r="I426" s="4">
        <f>_xlfn.XLOOKUP(Table1[[#This Row], [WEAPON]],Sheet1!$A$27:$A$29,Sheet1!$B$27:$B$29)*Table1[[#This Row], [NUM OF MEM]]*(1+_xlfn.XLOOKUP(Table1[[#This Row], [WEAPON]],Sheet1!$A$27:$A$29,Sheet1!$C$27:$C$29))</f>
        <v>69000</v>
      </c>
      <c r="J426" t="s">
        <v>64</v>
      </c>
      <c r="K426" s="9">
        <f>Table1[[#This Row], [NUM OF MEM]]*Table1[[#This Row], [TOTAL TIME TAKEN]]*_xlfn.XLOOKUP(Table1[[#This Row], [EXIT]],Sheet1!$A$70:$A$71,Sheet1!$B$70:$B$71)*(1+_xlfn.XLOOKUP(Table1[[#This Row], [EXIT]],Sheet1!$A$70:$A$71,Sheet1!$C$70:$C$71))</f>
        <v>1809280.8</v>
      </c>
      <c r="L426" s="13" t="s">
        <v>65</v>
      </c>
      <c r="M426" s="4">
        <f>IF(Table1[[#This Row], [EQUIPMENT]]="YES",Sheet1!$C$44*(1+Sheet1!$D$44),0)</f>
        <v>307500</v>
      </c>
      <c r="N426" s="4">
        <f>_xlfn.XLOOKUP(Table1[[#This Row], [ROOM]],Sheet1!$A$47:$A$66,Sheet1!$F$47:$F$66)</f>
        <v>18000000</v>
      </c>
      <c r="O426" s="9">
        <f>_xlfn.XLOOKUP(_xlfn.CONCAT(Table1[[#This Row], [TEAM]],Table1[[#This Row], [ROOM]]),'ROOM TIME'!$H$2:$H$121,'ROOM TIME'!$J$2:$J$121)</f>
        <v>40.684999999999995</v>
      </c>
      <c r="P426" s="9">
        <f>(INDEX(Sheet1!$X$48:$Z$67,MATCH(Table1[[#This Row], [ROOM]],Sheet1!$P$48:$P$67,0),MATCH(Table1[[#This Row], [WEAPON]],Sheet1!$X$47:$Z$47,0)))/Table1[[#This Row], [NUM OF MEM]]</f>
        <v>5.8500000000000005</v>
      </c>
      <c r="Q426" s="9">
        <f>Table1[[#This Row], [ROOM TIME]]+Table1[[#This Row], [GUARD TIME]]</f>
        <v>46.534999999999997</v>
      </c>
      <c r="R426" s="4">
        <f>Sheet1!$K$3*_xlfn.XLOOKUP(Table1[[#This Row], [DISGUISE]],Sheet1!$A$21:$A$23,Sheet1!$D$21:$D$23)</f>
        <v>69</v>
      </c>
      <c r="S426" s="9">
        <f>Table1[[#This Row], [TOTAL TIME]]-Table1[[#This Row], [TOTAL TIME TAKEN]]</f>
        <v>22.465000000000003</v>
      </c>
      <c r="T426" t="str">
        <f>IF(Table1[[#This Row], [TIME DIFFERENCE]]&gt;=0,"PASS","FAIL")</f>
        <v>PASS</v>
      </c>
      <c r="U426" s="9">
        <f>Table1[[#This Row], [TRC]]+Table1[[#This Row], [DRC]]+Table1[[#This Row], [WRC]]+Table1[[#This Row], [ERC]]+Table1[[#This Row], [EQRC]]</f>
        <v>8154180.7999999998</v>
      </c>
      <c r="V426" s="9">
        <f>Table1[[#This Row], [TOTAL COST]]+_xlfn.XLOOKUP(Table1[[#This Row], [TEAM]],Sheet1!$A$12:$A$17,Sheet1!$I$12:$I$17)</f>
        <v>8450680.8000000007</v>
      </c>
      <c r="W426" s="9">
        <f>Table1[[#This Row], [LOOT]]-Table1[[#This Row], [TOTAL COST]]</f>
        <v>9845819.1999999993</v>
      </c>
      <c r="X426" s="9">
        <f>IF(Table1[[#This Row], [PASS/FAIL]]="FAIL",0,Table1[[#This Row], [PROFIT]])</f>
        <v>9845819.1999999993</v>
      </c>
    </row>
    <row r="427" spans="1:24" ht="19.5" customHeight="1" x14ac:dyDescent="0.45">
      <c r="A427" t="s">
        <v>13</v>
      </c>
      <c r="B427" s="14">
        <f>_xlfn.XLOOKUP(Table1[[#This Row], [TEAM]],Sheet1!$A$12:$A$17,Sheet1!$F$12:$F$17)</f>
        <v>3</v>
      </c>
      <c r="C427" s="14">
        <f>_xlfn.XLOOKUP(Table1[[#This Row], [TEAM]],Sheet1!$A$12:$A$17,Sheet1!$G$12:$G$17)</f>
        <v>5930000</v>
      </c>
      <c r="D427" t="s">
        <v>18</v>
      </c>
      <c r="E427" s="4">
        <f>_xlfn.XLOOKUP(Table1[[#This Row], [ROOM]],Sheet1!$A$47:$A$66,Sheet1!$B$47:$B$66)</f>
        <v>134</v>
      </c>
      <c r="F427" t="s">
        <v>62</v>
      </c>
      <c r="G427" s="4">
        <f>_xlfn.XLOOKUP(Table1[[#This Row], [DISGUISE]],Sheet1!$A$21:$A$23,Sheet1!$B$21:$B$23)*Table1[[#This Row], [NUM OF MEM]]*(1+_xlfn.XLOOKUP(Table1[[#This Row], [DISGUISE]],Sheet1!$A$21:$A$23,Sheet1!$C$21:$C$23))</f>
        <v>15600</v>
      </c>
      <c r="H427" s="13" t="s">
        <v>63</v>
      </c>
      <c r="I427" s="4">
        <f>_xlfn.XLOOKUP(Table1[[#This Row], [WEAPON]],Sheet1!$A$27:$A$29,Sheet1!$B$27:$B$29)*Table1[[#This Row], [NUM OF MEM]]*(1+_xlfn.XLOOKUP(Table1[[#This Row], [WEAPON]],Sheet1!$A$27:$A$29,Sheet1!$C$27:$C$29))</f>
        <v>69000</v>
      </c>
      <c r="J427" t="s">
        <v>64</v>
      </c>
      <c r="K427" s="9">
        <f>Table1[[#This Row], [NUM OF MEM]]*Table1[[#This Row], [TOTAL TIME TAKEN]]*_xlfn.XLOOKUP(Table1[[#This Row], [EXIT]],Sheet1!$A$70:$A$71,Sheet1!$B$70:$B$71)*(1+_xlfn.XLOOKUP(Table1[[#This Row], [EXIT]],Sheet1!$A$70:$A$71,Sheet1!$C$70:$C$71))</f>
        <v>1882979.9999999993</v>
      </c>
      <c r="L427" s="13" t="s">
        <v>65</v>
      </c>
      <c r="M427" s="4">
        <f>IF(Table1[[#This Row], [EQUIPMENT]]="YES",Sheet1!$C$44*(1+Sheet1!$D$44),0)</f>
        <v>307500</v>
      </c>
      <c r="N427" s="4">
        <f>_xlfn.XLOOKUP(Table1[[#This Row], [ROOM]],Sheet1!$A$47:$A$66,Sheet1!$F$47:$F$66)</f>
        <v>18050000</v>
      </c>
      <c r="O427" s="9">
        <f>_xlfn.XLOOKUP(_xlfn.CONCAT(Table1[[#This Row], [TEAM]],Table1[[#This Row], [ROOM]]),'ROOM TIME'!$H$2:$H$121,'ROOM TIME'!$J$2:$J$121)</f>
        <v>43.030555555555544</v>
      </c>
      <c r="P427" s="9">
        <f>(INDEX(Sheet1!$X$48:$Z$67,MATCH(Table1[[#This Row], [ROOM]],Sheet1!$P$48:$P$67,0),MATCH(Table1[[#This Row], [WEAPON]],Sheet1!$X$47:$Z$47,0)))/Table1[[#This Row], [NUM OF MEM]]</f>
        <v>5.4000000000000012</v>
      </c>
      <c r="Q427" s="9">
        <f>Table1[[#This Row], [ROOM TIME]]+Table1[[#This Row], [GUARD TIME]]</f>
        <v>48.430555555555543</v>
      </c>
      <c r="R427" s="4">
        <f>Sheet1!$K$3*_xlfn.XLOOKUP(Table1[[#This Row], [DISGUISE]],Sheet1!$A$21:$A$23,Sheet1!$D$21:$D$23)</f>
        <v>66</v>
      </c>
      <c r="S427" s="9">
        <f>Table1[[#This Row], [TOTAL TIME]]-Table1[[#This Row], [TOTAL TIME TAKEN]]</f>
        <v>17.569444444444457</v>
      </c>
      <c r="T427" t="str">
        <f>IF(Table1[[#This Row], [TIME DIFFERENCE]]&gt;=0,"PASS","FAIL")</f>
        <v>PASS</v>
      </c>
      <c r="U427" s="9">
        <f>Table1[[#This Row], [TRC]]+Table1[[#This Row], [DRC]]+Table1[[#This Row], [WRC]]+Table1[[#This Row], [ERC]]+Table1[[#This Row], [EQRC]]</f>
        <v>8205079.9999999991</v>
      </c>
      <c r="V427" s="4">
        <f>Table1[[#This Row], [TOTAL COST]]+_xlfn.XLOOKUP(Table1[[#This Row], [TEAM]],Sheet1!$A$12:$A$17,Sheet1!$I$12:$I$17)</f>
        <v>8501580</v>
      </c>
      <c r="W427" s="4">
        <f>Table1[[#This Row], [LOOT]]-Table1[[#This Row], [TOTAL COST]]</f>
        <v>9844920</v>
      </c>
      <c r="X427" s="4">
        <f>IF(Table1[[#This Row], [PASS/FAIL]]="FAIL",0,Table1[[#This Row], [PROFIT]])</f>
        <v>9844920</v>
      </c>
    </row>
    <row r="428" spans="1:24" ht="19.5" customHeight="1" x14ac:dyDescent="0.45">
      <c r="A428" t="s">
        <v>15</v>
      </c>
      <c r="B428" s="14">
        <f>_xlfn.XLOOKUP(Table1[[#This Row], [TEAM]],Sheet1!$A$12:$A$17,Sheet1!$F$12:$F$17)</f>
        <v>2</v>
      </c>
      <c r="C428" s="14">
        <f>_xlfn.XLOOKUP(Table1[[#This Row], [TEAM]],Sheet1!$A$12:$A$17,Sheet1!$G$12:$G$17)</f>
        <v>5932950</v>
      </c>
      <c r="D428" t="s">
        <v>19</v>
      </c>
      <c r="E428" s="4">
        <f>_xlfn.XLOOKUP(Table1[[#This Row], [ROOM]],Sheet1!$A$47:$A$66,Sheet1!$B$47:$B$66)</f>
        <v>135</v>
      </c>
      <c r="F428" t="s">
        <v>58</v>
      </c>
      <c r="G428" s="4">
        <f>_xlfn.XLOOKUP(Table1[[#This Row], [DISGUISE]],Sheet1!$A$21:$A$23,Sheet1!$B$21:$B$23)*Table1[[#This Row], [NUM OF MEM]]*(1+_xlfn.XLOOKUP(Table1[[#This Row], [DISGUISE]],Sheet1!$A$21:$A$23,Sheet1!$C$21:$C$23))</f>
        <v>25600</v>
      </c>
      <c r="H428" s="13" t="s">
        <v>59</v>
      </c>
      <c r="I428" s="4">
        <f>_xlfn.XLOOKUP(Table1[[#This Row], [WEAPON]],Sheet1!$A$27:$A$29,Sheet1!$B$27:$B$29)*Table1[[#This Row], [NUM OF MEM]]*(1+_xlfn.XLOOKUP(Table1[[#This Row], [WEAPON]],Sheet1!$A$27:$A$29,Sheet1!$C$27:$C$29))</f>
        <v>91000</v>
      </c>
      <c r="J428" t="s">
        <v>60</v>
      </c>
      <c r="K428" s="9">
        <f>Table1[[#This Row], [NUM OF MEM]]*Table1[[#This Row], [TOTAL TIME TAKEN]]*_xlfn.XLOOKUP(Table1[[#This Row], [EXIT]],Sheet1!$A$70:$A$71,Sheet1!$B$70:$B$71)*(1+_xlfn.XLOOKUP(Table1[[#This Row], [EXIT]],Sheet1!$A$70:$A$71,Sheet1!$C$70:$C$71))</f>
        <v>1748043.1499999992</v>
      </c>
      <c r="L428" s="13" t="s">
        <v>65</v>
      </c>
      <c r="M428" s="4">
        <f>IF(Table1[[#This Row], [EQUIPMENT]]="YES",Sheet1!$C$44*(1+Sheet1!$D$44),0)</f>
        <v>307500</v>
      </c>
      <c r="N428" s="4">
        <f>_xlfn.XLOOKUP(Table1[[#This Row], [ROOM]],Sheet1!$A$47:$A$66,Sheet1!$F$47:$F$66)</f>
        <v>17950000</v>
      </c>
      <c r="O428" s="9">
        <f>_xlfn.XLOOKUP(_xlfn.CONCAT(Table1[[#This Row], [TEAM]],Table1[[#This Row], [ROOM]]),'ROOM TIME'!$H$2:$H$121,'ROOM TIME'!$J$2:$J$121)</f>
        <v>61.784999999999975</v>
      </c>
      <c r="P428" s="9">
        <f>(INDEX(Sheet1!$X$48:$Z$67,MATCH(Table1[[#This Row], [ROOM]],Sheet1!$P$48:$P$67,0),MATCH(Table1[[#This Row], [WEAPON]],Sheet1!$X$47:$Z$47,0)))/Table1[[#This Row], [NUM OF MEM]]</f>
        <v>6.3249999999999993</v>
      </c>
      <c r="Q428" s="9">
        <f>Table1[[#This Row], [ROOM TIME]]+Table1[[#This Row], [GUARD TIME]]</f>
        <v>68.109999999999971</v>
      </c>
      <c r="R428" s="4">
        <f>Sheet1!$K$3*_xlfn.XLOOKUP(Table1[[#This Row], [DISGUISE]],Sheet1!$A$21:$A$23,Sheet1!$D$21:$D$23)</f>
        <v>69</v>
      </c>
      <c r="S428" s="9">
        <f>Table1[[#This Row], [TOTAL TIME]]-Table1[[#This Row], [TOTAL TIME TAKEN]]</f>
        <v>0.89000000000002899</v>
      </c>
      <c r="T428" t="str">
        <f>IF(Table1[[#This Row], [TIME DIFFERENCE]]&gt;=0,"PASS","FAIL")</f>
        <v>PASS</v>
      </c>
      <c r="U428" s="9">
        <f>Table1[[#This Row], [TRC]]+Table1[[#This Row], [DRC]]+Table1[[#This Row], [WRC]]+Table1[[#This Row], [ERC]]+Table1[[#This Row], [EQRC]]</f>
        <v>8105093.1499999994</v>
      </c>
      <c r="V428" s="9">
        <f>Table1[[#This Row], [TOTAL COST]]+_xlfn.XLOOKUP(Table1[[#This Row], [TEAM]],Sheet1!$A$12:$A$17,Sheet1!$I$12:$I$17)</f>
        <v>8401740.6499999985</v>
      </c>
      <c r="W428" s="9">
        <f>Table1[[#This Row], [LOOT]]-Table1[[#This Row], [TOTAL COST]]</f>
        <v>9844906.8500000015</v>
      </c>
      <c r="X428" s="9">
        <f>IF(Table1[[#This Row], [PASS/FAIL]]="FAIL",0,Table1[[#This Row], [PROFIT]])</f>
        <v>9844906.8500000015</v>
      </c>
    </row>
    <row r="429" spans="1:24" ht="19.5" customHeight="1" x14ac:dyDescent="0.45">
      <c r="A429" t="s">
        <v>15</v>
      </c>
      <c r="B429" s="14">
        <f>_xlfn.XLOOKUP(Table1[[#This Row], [TEAM]],Sheet1!$A$12:$A$17,Sheet1!$F$12:$F$17)</f>
        <v>2</v>
      </c>
      <c r="C429" s="14">
        <f>_xlfn.XLOOKUP(Table1[[#This Row], [TEAM]],Sheet1!$A$12:$A$17,Sheet1!$G$12:$G$17)</f>
        <v>5932950</v>
      </c>
      <c r="D429" t="s">
        <v>20</v>
      </c>
      <c r="E429" s="4">
        <f>_xlfn.XLOOKUP(Table1[[#This Row], [ROOM]],Sheet1!$A$47:$A$66,Sheet1!$B$47:$B$66)</f>
        <v>145</v>
      </c>
      <c r="F429" t="s">
        <v>62</v>
      </c>
      <c r="G429" s="4">
        <f>_xlfn.XLOOKUP(Table1[[#This Row], [DISGUISE]],Sheet1!$A$21:$A$23,Sheet1!$B$21:$B$23)*Table1[[#This Row], [NUM OF MEM]]*(1+_xlfn.XLOOKUP(Table1[[#This Row], [DISGUISE]],Sheet1!$A$21:$A$23,Sheet1!$C$21:$C$23))</f>
        <v>10400</v>
      </c>
      <c r="H429" s="13" t="s">
        <v>66</v>
      </c>
      <c r="I429" s="4">
        <f>_xlfn.XLOOKUP(Table1[[#This Row], [WEAPON]],Sheet1!$A$27:$A$29,Sheet1!$B$27:$B$29)*Table1[[#This Row], [NUM OF MEM]]*(1+_xlfn.XLOOKUP(Table1[[#This Row], [WEAPON]],Sheet1!$A$27:$A$29,Sheet1!$C$27:$C$29))</f>
        <v>72000</v>
      </c>
      <c r="J429" t="s">
        <v>60</v>
      </c>
      <c r="K429" s="9">
        <f>Table1[[#This Row], [NUM OF MEM]]*Table1[[#This Row], [TOTAL TIME TAKEN]]*_xlfn.XLOOKUP(Table1[[#This Row], [EXIT]],Sheet1!$A$70:$A$71,Sheet1!$B$70:$B$71)*(1+_xlfn.XLOOKUP(Table1[[#This Row], [EXIT]],Sheet1!$A$70:$A$71,Sheet1!$C$70:$C$71))</f>
        <v>1689815.6812499992</v>
      </c>
      <c r="L429" s="13" t="s">
        <v>61</v>
      </c>
      <c r="M429" s="4">
        <f>IF(Table1[[#This Row], [EQUIPMENT]]="YES",Sheet1!$C$44*(1+Sheet1!$D$44),0)</f>
        <v>0</v>
      </c>
      <c r="N429" s="4">
        <f>_xlfn.XLOOKUP(Table1[[#This Row], [ROOM]],Sheet1!$A$47:$A$66,Sheet1!$F$47:$F$66)</f>
        <v>17550000</v>
      </c>
      <c r="O429" s="9">
        <f>_xlfn.XLOOKUP(_xlfn.CONCAT(Table1[[#This Row], [TEAM]],Table1[[#This Row], [ROOM]]),'ROOM TIME'!$H$2:$H$121,'ROOM TIME'!$J$2:$J$121)</f>
        <v>59.591249999999981</v>
      </c>
      <c r="P429" s="9">
        <f>(INDEX(Sheet1!$X$48:$Z$67,MATCH(Table1[[#This Row], [ROOM]],Sheet1!$P$48:$P$67,0),MATCH(Table1[[#This Row], [WEAPON]],Sheet1!$X$47:$Z$47,0)))/Table1[[#This Row], [NUM OF MEM]]</f>
        <v>6.25</v>
      </c>
      <c r="Q429" s="9">
        <f>Table1[[#This Row], [ROOM TIME]]+Table1[[#This Row], [GUARD TIME]]</f>
        <v>65.841249999999974</v>
      </c>
      <c r="R429" s="4">
        <f>Sheet1!$K$3*_xlfn.XLOOKUP(Table1[[#This Row], [DISGUISE]],Sheet1!$A$21:$A$23,Sheet1!$D$21:$D$23)</f>
        <v>66</v>
      </c>
      <c r="S429" s="9">
        <f>Table1[[#This Row], [TOTAL TIME]]-Table1[[#This Row], [TOTAL TIME TAKEN]]</f>
        <v>0.15875000000002615</v>
      </c>
      <c r="T429" t="str">
        <f>IF(Table1[[#This Row], [TIME DIFFERENCE]]&gt;=0,"PASS","FAIL")</f>
        <v>PASS</v>
      </c>
      <c r="U429" s="9">
        <f>Table1[[#This Row], [TRC]]+Table1[[#This Row], [DRC]]+Table1[[#This Row], [WRC]]+Table1[[#This Row], [ERC]]+Table1[[#This Row], [EQRC]]</f>
        <v>7705165.6812499994</v>
      </c>
      <c r="V429" s="9">
        <f>Table1[[#This Row], [TOTAL COST]]+_xlfn.XLOOKUP(Table1[[#This Row], [TEAM]],Sheet1!$A$12:$A$17,Sheet1!$I$12:$I$17)</f>
        <v>8001813.1812499994</v>
      </c>
      <c r="W429" s="9">
        <f>Table1[[#This Row], [LOOT]]-Table1[[#This Row], [TOTAL COST]]</f>
        <v>9844834.3187500015</v>
      </c>
      <c r="X429" s="9">
        <f>IF(Table1[[#This Row], [PASS/FAIL]]="FAIL",0,Table1[[#This Row], [PROFIT]])</f>
        <v>9844834.3187500015</v>
      </c>
    </row>
    <row r="430" spans="1:24" ht="19.5" customHeight="1" x14ac:dyDescent="0.45">
      <c r="A430" t="s">
        <v>12</v>
      </c>
      <c r="B430" s="14">
        <f>_xlfn.XLOOKUP(Table1[[#This Row], [TEAM]],Sheet1!$A$12:$A$17,Sheet1!$F$12:$F$17)</f>
        <v>3</v>
      </c>
      <c r="C430" s="14">
        <f>_xlfn.XLOOKUP(Table1[[#This Row], [TEAM]],Sheet1!$A$12:$A$17,Sheet1!$G$12:$G$17)</f>
        <v>5988750</v>
      </c>
      <c r="D430" t="s">
        <v>22</v>
      </c>
      <c r="E430" s="4">
        <f>_xlfn.XLOOKUP(Table1[[#This Row], [ROOM]],Sheet1!$A$47:$A$66,Sheet1!$B$47:$B$66)</f>
        <v>235</v>
      </c>
      <c r="F430" t="s">
        <v>58</v>
      </c>
      <c r="G430" s="4">
        <f>_xlfn.XLOOKUP(Table1[[#This Row], [DISGUISE]],Sheet1!$A$21:$A$23,Sheet1!$B$21:$B$23)*Table1[[#This Row], [NUM OF MEM]]*(1+_xlfn.XLOOKUP(Table1[[#This Row], [DISGUISE]],Sheet1!$A$21:$A$23,Sheet1!$C$21:$C$23))</f>
        <v>38400</v>
      </c>
      <c r="H430" s="13" t="s">
        <v>59</v>
      </c>
      <c r="I430" s="4">
        <f>_xlfn.XLOOKUP(Table1[[#This Row], [WEAPON]],Sheet1!$A$27:$A$29,Sheet1!$B$27:$B$29)*Table1[[#This Row], [NUM OF MEM]]*(1+_xlfn.XLOOKUP(Table1[[#This Row], [WEAPON]],Sheet1!$A$27:$A$29,Sheet1!$C$27:$C$29))</f>
        <v>136500</v>
      </c>
      <c r="J430" t="s">
        <v>64</v>
      </c>
      <c r="K430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1791590.3999999994</v>
      </c>
      <c r="L430" s="13" t="s">
        <v>61</v>
      </c>
      <c r="M430" s="4">
        <f>IF(Table1[[#This Row], [EQUIPMENT]]="YES",Sheet1!$C$44*(1+Sheet1!$D$44),0)</f>
        <v>0</v>
      </c>
      <c r="N430" s="4">
        <f>_xlfn.XLOOKUP(Table1[[#This Row], [ROOM]],Sheet1!$A$47:$A$66,Sheet1!$F$47:$F$66)</f>
        <v>17800000</v>
      </c>
      <c r="O430" s="9">
        <f>_xlfn.XLOOKUP(_xlfn.CONCAT(Table1[[#This Row], [TEAM]],Table1[[#This Row], [ROOM]]),'ROOM TIME'!$H$2:$H$121,'ROOM TIME'!$J$2:$J$121)</f>
        <v>41.479999999999983</v>
      </c>
      <c r="P430" s="9">
        <f>(INDEX(Sheet1!$X$48:$Z$67,MATCH(Table1[[#This Row], [ROOM]],Sheet1!$P$48:$P$67,0),MATCH(Table1[[#This Row], [WEAPON]],Sheet1!$X$47:$Z$47,0)))/Table1[[#This Row], [NUM OF MEM]]</f>
        <v>4.5999999999999996</v>
      </c>
      <c r="Q430" s="9">
        <f>Table1[[#This Row], [ROOM TIME]]+Table1[[#This Row], [GUARD TIME]]</f>
        <v>46.079999999999984</v>
      </c>
      <c r="R430" s="4">
        <f>Sheet1!$K$3*_xlfn.XLOOKUP(Table1[[#This Row], [DISGUISE]],Sheet1!$A$21:$A$23,Sheet1!$D$21:$D$23)</f>
        <v>69</v>
      </c>
      <c r="S430" s="9">
        <f>Table1[[#This Row], [TOTAL TIME]]-Table1[[#This Row], [TOTAL TIME TAKEN]]</f>
        <v>22.920000000000016</v>
      </c>
      <c r="T430" t="str">
        <f>IF(Table1[[#This Row], [TIME DIFFERENCE]]&gt;=0,"PASS","FAIL")</f>
        <v>PASS</v>
      </c>
      <c r="U430" s="9">
        <f>Table1[[#This Row], [TRC]]+Table1[[#This Row], [DRC]]+Table1[[#This Row], [WRC]]+Table1[[#This Row], [ERC]]+Table1[[#This Row], [EQRC]]</f>
        <v>7955240.3999999994</v>
      </c>
      <c r="V430" s="9">
        <f>Table1[[#This Row], [TOTAL COST]]+_xlfn.XLOOKUP(Table1[[#This Row], [TEAM]],Sheet1!$A$12:$A$17,Sheet1!$I$12:$I$17)</f>
        <v>8254677.8999999994</v>
      </c>
      <c r="W430" s="9">
        <f>Table1[[#This Row], [LOOT]]-Table1[[#This Row], [TOTAL COST]]</f>
        <v>9844759.6000000015</v>
      </c>
      <c r="X430" s="9">
        <f>IF(Table1[[#This Row], [PASS/FAIL]]="FAIL",0,Table1[[#This Row], [PROFIT]])</f>
        <v>9844759.6000000015</v>
      </c>
    </row>
    <row r="431" spans="1:24" ht="19.5" customHeight="1" x14ac:dyDescent="0.45">
      <c r="A431" t="s">
        <v>12</v>
      </c>
      <c r="B431" s="14">
        <f>_xlfn.XLOOKUP(Table1[[#This Row], [TEAM]],Sheet1!$A$12:$A$17,Sheet1!$F$12:$F$17)</f>
        <v>3</v>
      </c>
      <c r="C431" s="14">
        <f>_xlfn.XLOOKUP(Table1[[#This Row], [TEAM]],Sheet1!$A$12:$A$17,Sheet1!$G$12:$G$17)</f>
        <v>5988750</v>
      </c>
      <c r="D431" t="s">
        <v>18</v>
      </c>
      <c r="E431" s="4">
        <f>_xlfn.XLOOKUP(Table1[[#This Row], [ROOM]],Sheet1!$A$47:$A$66,Sheet1!$B$47:$B$66)</f>
        <v>134</v>
      </c>
      <c r="F431" t="s">
        <v>58</v>
      </c>
      <c r="G431" s="4">
        <f>_xlfn.XLOOKUP(Table1[[#This Row], [DISGUISE]],Sheet1!$A$21:$A$23,Sheet1!$B$21:$B$23)*Table1[[#This Row], [NUM OF MEM]]*(1+_xlfn.XLOOKUP(Table1[[#This Row], [DISGUISE]],Sheet1!$A$21:$A$23,Sheet1!$C$21:$C$23))</f>
        <v>38400</v>
      </c>
      <c r="H431" s="13" t="s">
        <v>63</v>
      </c>
      <c r="I431" s="4">
        <f>_xlfn.XLOOKUP(Table1[[#This Row], [WEAPON]],Sheet1!$A$27:$A$29,Sheet1!$B$27:$B$29)*Table1[[#This Row], [NUM OF MEM]]*(1+_xlfn.XLOOKUP(Table1[[#This Row], [WEAPON]],Sheet1!$A$27:$A$29,Sheet1!$C$27:$C$29))</f>
        <v>69000</v>
      </c>
      <c r="J431" t="s">
        <v>60</v>
      </c>
      <c r="K431" s="9">
        <f>Table1[[#This Row], [NUM OF MEM]]*Table1[[#This Row], [TOTAL TIME TAKEN]]*_xlfn.XLOOKUP(Table1[[#This Row], [EXIT]],Sheet1!$A$70:$A$71,Sheet1!$B$70:$B$71)*(1+_xlfn.XLOOKUP(Table1[[#This Row], [EXIT]],Sheet1!$A$70:$A$71,Sheet1!$C$70:$C$71))</f>
        <v>1802410.1749999996</v>
      </c>
      <c r="L431" s="13" t="s">
        <v>65</v>
      </c>
      <c r="M431" s="4">
        <f>IF(Table1[[#This Row], [EQUIPMENT]]="YES",Sheet1!$C$44*(1+Sheet1!$D$44),0)</f>
        <v>307500</v>
      </c>
      <c r="N431" s="4">
        <f>_xlfn.XLOOKUP(Table1[[#This Row], [ROOM]],Sheet1!$A$47:$A$66,Sheet1!$F$47:$F$66)</f>
        <v>18050000</v>
      </c>
      <c r="O431" s="9">
        <f>_xlfn.XLOOKUP(_xlfn.CONCAT(Table1[[#This Row], [TEAM]],Table1[[#This Row], [ROOM]]),'ROOM TIME'!$H$2:$H$121,'ROOM TIME'!$J$2:$J$121)</f>
        <v>41.41888888888888</v>
      </c>
      <c r="P431" s="9">
        <f>(INDEX(Sheet1!$X$48:$Z$67,MATCH(Table1[[#This Row], [ROOM]],Sheet1!$P$48:$P$67,0),MATCH(Table1[[#This Row], [WEAPON]],Sheet1!$X$47:$Z$47,0)))/Table1[[#This Row], [NUM OF MEM]]</f>
        <v>5.4000000000000012</v>
      </c>
      <c r="Q431" s="9">
        <f>Table1[[#This Row], [ROOM TIME]]+Table1[[#This Row], [GUARD TIME]]</f>
        <v>46.818888888888878</v>
      </c>
      <c r="R431" s="4">
        <f>Sheet1!$K$3*_xlfn.XLOOKUP(Table1[[#This Row], [DISGUISE]],Sheet1!$A$21:$A$23,Sheet1!$D$21:$D$23)</f>
        <v>69</v>
      </c>
      <c r="S431" s="9">
        <f>Table1[[#This Row], [TOTAL TIME]]-Table1[[#This Row], [TOTAL TIME TAKEN]]</f>
        <v>22.181111111111122</v>
      </c>
      <c r="T431" t="str">
        <f>IF(Table1[[#This Row], [TIME DIFFERENCE]]&gt;=0,"PASS","FAIL")</f>
        <v>PASS</v>
      </c>
      <c r="U431" s="9">
        <f>Table1[[#This Row], [TRC]]+Table1[[#This Row], [DRC]]+Table1[[#This Row], [WRC]]+Table1[[#This Row], [ERC]]+Table1[[#This Row], [EQRC]]</f>
        <v>8206060.1749999998</v>
      </c>
      <c r="V431" s="9">
        <f>Table1[[#This Row], [TOTAL COST]]+_xlfn.XLOOKUP(Table1[[#This Row], [TEAM]],Sheet1!$A$12:$A$17,Sheet1!$I$12:$I$17)</f>
        <v>8505497.6750000007</v>
      </c>
      <c r="W431" s="9">
        <f>Table1[[#This Row], [LOOT]]-Table1[[#This Row], [TOTAL COST]]</f>
        <v>9843939.8249999993</v>
      </c>
      <c r="X431" s="9">
        <f>IF(Table1[[#This Row], [PASS/FAIL]]="FAIL",0,Table1[[#This Row], [PROFIT]])</f>
        <v>9843939.8249999993</v>
      </c>
    </row>
    <row r="432" spans="1:24" ht="19.5" customHeight="1" x14ac:dyDescent="0.45">
      <c r="A432" t="s">
        <v>12</v>
      </c>
      <c r="B432" s="14">
        <f>_xlfn.XLOOKUP(Table1[[#This Row], [TEAM]],Sheet1!$A$12:$A$17,Sheet1!$F$12:$F$17)</f>
        <v>3</v>
      </c>
      <c r="C432" s="14">
        <f>_xlfn.XLOOKUP(Table1[[#This Row], [TEAM]],Sheet1!$A$12:$A$17,Sheet1!$G$12:$G$17)</f>
        <v>5988750</v>
      </c>
      <c r="D432" t="s">
        <v>18</v>
      </c>
      <c r="E432" s="4">
        <f>_xlfn.XLOOKUP(Table1[[#This Row], [ROOM]],Sheet1!$A$47:$A$66,Sheet1!$B$47:$B$66)</f>
        <v>134</v>
      </c>
      <c r="F432" t="s">
        <v>62</v>
      </c>
      <c r="G432" s="4">
        <f>_xlfn.XLOOKUP(Table1[[#This Row], [DISGUISE]],Sheet1!$A$21:$A$23,Sheet1!$B$21:$B$23)*Table1[[#This Row], [NUM OF MEM]]*(1+_xlfn.XLOOKUP(Table1[[#This Row], [DISGUISE]],Sheet1!$A$21:$A$23,Sheet1!$C$21:$C$23))</f>
        <v>15600</v>
      </c>
      <c r="H432" s="13" t="s">
        <v>66</v>
      </c>
      <c r="I432" s="4">
        <f>_xlfn.XLOOKUP(Table1[[#This Row], [WEAPON]],Sheet1!$A$27:$A$29,Sheet1!$B$27:$B$29)*Table1[[#This Row], [NUM OF MEM]]*(1+_xlfn.XLOOKUP(Table1[[#This Row], [WEAPON]],Sheet1!$A$27:$A$29,Sheet1!$C$27:$C$29))</f>
        <v>108000</v>
      </c>
      <c r="J432" t="s">
        <v>60</v>
      </c>
      <c r="K432" s="9">
        <f>Table1[[#This Row], [NUM OF MEM]]*Table1[[#This Row], [TOTAL TIME TAKEN]]*_xlfn.XLOOKUP(Table1[[#This Row], [EXIT]],Sheet1!$A$70:$A$71,Sheet1!$B$70:$B$71)*(1+_xlfn.XLOOKUP(Table1[[#This Row], [EXIT]],Sheet1!$A$70:$A$71,Sheet1!$C$70:$C$71))</f>
        <v>1787011.1749999996</v>
      </c>
      <c r="L432" s="13" t="s">
        <v>65</v>
      </c>
      <c r="M432" s="4">
        <f>IF(Table1[[#This Row], [EQUIPMENT]]="YES",Sheet1!$C$44*(1+Sheet1!$D$44),0)</f>
        <v>307500</v>
      </c>
      <c r="N432" s="4">
        <f>_xlfn.XLOOKUP(Table1[[#This Row], [ROOM]],Sheet1!$A$47:$A$66,Sheet1!$F$47:$F$66)</f>
        <v>18050000</v>
      </c>
      <c r="O432" s="9">
        <f>_xlfn.XLOOKUP(_xlfn.CONCAT(Table1[[#This Row], [TEAM]],Table1[[#This Row], [ROOM]]),'ROOM TIME'!$H$2:$H$121,'ROOM TIME'!$J$2:$J$121)</f>
        <v>41.41888888888888</v>
      </c>
      <c r="P432" s="4">
        <f>(INDEX(Sheet1!$X$48:$Z$67,MATCH(Table1[[#This Row], [ROOM]],Sheet1!$P$48:$P$67,0),MATCH(Table1[[#This Row], [WEAPON]],Sheet1!$X$47:$Z$47,0)))/Table1[[#This Row], [NUM OF MEM]]</f>
        <v>5</v>
      </c>
      <c r="Q432" s="9">
        <f>Table1[[#This Row], [ROOM TIME]]+Table1[[#This Row], [GUARD TIME]]</f>
        <v>46.41888888888888</v>
      </c>
      <c r="R432" s="4">
        <f>Sheet1!$K$3*_xlfn.XLOOKUP(Table1[[#This Row], [DISGUISE]],Sheet1!$A$21:$A$23,Sheet1!$D$21:$D$23)</f>
        <v>66</v>
      </c>
      <c r="S432" s="9">
        <f>Table1[[#This Row], [TOTAL TIME]]-Table1[[#This Row], [TOTAL TIME TAKEN]]</f>
        <v>19.58111111111112</v>
      </c>
      <c r="T432" t="str">
        <f>IF(Table1[[#This Row], [TIME DIFFERENCE]]&gt;=0,"PASS","FAIL")</f>
        <v>PASS</v>
      </c>
      <c r="U432" s="9">
        <f>Table1[[#This Row], [TRC]]+Table1[[#This Row], [DRC]]+Table1[[#This Row], [WRC]]+Table1[[#This Row], [ERC]]+Table1[[#This Row], [EQRC]]</f>
        <v>8206861.1749999998</v>
      </c>
      <c r="V432" s="9">
        <f>Table1[[#This Row], [TOTAL COST]]+_xlfn.XLOOKUP(Table1[[#This Row], [TEAM]],Sheet1!$A$12:$A$17,Sheet1!$I$12:$I$17)</f>
        <v>8506298.6750000007</v>
      </c>
      <c r="W432" s="9">
        <f>Table1[[#This Row], [LOOT]]-Table1[[#This Row], [TOTAL COST]]</f>
        <v>9843138.8249999993</v>
      </c>
      <c r="X432" s="9">
        <f>IF(Table1[[#This Row], [PASS/FAIL]]="FAIL",0,Table1[[#This Row], [PROFIT]])</f>
        <v>9843138.8249999993</v>
      </c>
    </row>
    <row r="433" spans="1:24" ht="19.5" customHeight="1" x14ac:dyDescent="0.45">
      <c r="A433" t="s">
        <v>15</v>
      </c>
      <c r="B433" s="14">
        <f>_xlfn.XLOOKUP(Table1[[#This Row], [TEAM]],Sheet1!$A$12:$A$17,Sheet1!$F$12:$F$17)</f>
        <v>2</v>
      </c>
      <c r="C433" s="14">
        <f>_xlfn.XLOOKUP(Table1[[#This Row], [TEAM]],Sheet1!$A$12:$A$17,Sheet1!$G$12:$G$17)</f>
        <v>5932950</v>
      </c>
      <c r="D433" t="s">
        <v>20</v>
      </c>
      <c r="E433" s="4">
        <f>_xlfn.XLOOKUP(Table1[[#This Row], [ROOM]],Sheet1!$A$47:$A$66,Sheet1!$B$47:$B$66)</f>
        <v>145</v>
      </c>
      <c r="F433" t="s">
        <v>58</v>
      </c>
      <c r="G433" s="4">
        <f>_xlfn.XLOOKUP(Table1[[#This Row], [DISGUISE]],Sheet1!$A$21:$A$23,Sheet1!$B$21:$B$23)*Table1[[#This Row], [NUM OF MEM]]*(1+_xlfn.XLOOKUP(Table1[[#This Row], [DISGUISE]],Sheet1!$A$21:$A$23,Sheet1!$C$21:$C$23))</f>
        <v>25600</v>
      </c>
      <c r="H433" s="13" t="s">
        <v>63</v>
      </c>
      <c r="I433" s="4">
        <f>_xlfn.XLOOKUP(Table1[[#This Row], [WEAPON]],Sheet1!$A$27:$A$29,Sheet1!$B$27:$B$29)*Table1[[#This Row], [NUM OF MEM]]*(1+_xlfn.XLOOKUP(Table1[[#This Row], [WEAPON]],Sheet1!$A$27:$A$29,Sheet1!$C$27:$C$29))</f>
        <v>46000</v>
      </c>
      <c r="J433" t="s">
        <v>60</v>
      </c>
      <c r="K433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1702648.1812499992</v>
      </c>
      <c r="L433" s="13" t="s">
        <v>61</v>
      </c>
      <c r="M433" s="4">
        <f>IF(Table1[[#This Row], [EQUIPMENT]]="YES",Sheet1!$C$44*(1+Sheet1!$D$44),0)</f>
        <v>0</v>
      </c>
      <c r="N433" s="4">
        <f>_xlfn.XLOOKUP(Table1[[#This Row], [ROOM]],Sheet1!$A$47:$A$66,Sheet1!$F$47:$F$66)</f>
        <v>17550000</v>
      </c>
      <c r="O433" s="9">
        <f>_xlfn.XLOOKUP(_xlfn.CONCAT(Table1[[#This Row], [TEAM]],Table1[[#This Row], [ROOM]]),'ROOM TIME'!$H$2:$H$121,'ROOM TIME'!$J$2:$J$121)</f>
        <v>59.591249999999981</v>
      </c>
      <c r="P433" s="9">
        <f>(INDEX(Sheet1!$X$48:$Z$67,MATCH(Table1[[#This Row], [ROOM]],Sheet1!$P$48:$P$67,0),MATCH(Table1[[#This Row], [WEAPON]],Sheet1!$X$47:$Z$47,0)))/Table1[[#This Row], [NUM OF MEM]]</f>
        <v>6.75</v>
      </c>
      <c r="Q433" s="9">
        <f>Table1[[#This Row], [ROOM TIME]]+Table1[[#This Row], [GUARD TIME]]</f>
        <v>66.341249999999974</v>
      </c>
      <c r="R433" s="4">
        <f>Sheet1!$K$3*_xlfn.XLOOKUP(Table1[[#This Row], [DISGUISE]],Sheet1!$A$21:$A$23,Sheet1!$D$21:$D$23)</f>
        <v>69</v>
      </c>
      <c r="S433" s="9">
        <f>Table1[[#This Row], [TOTAL TIME]]-Table1[[#This Row], [TOTAL TIME TAKEN]]</f>
        <v>2.6587500000000261</v>
      </c>
      <c r="T433" t="str">
        <f>IF(Table1[[#This Row], [TIME DIFFERENCE]]&gt;=0,"PASS","FAIL")</f>
        <v>PASS</v>
      </c>
      <c r="U433" s="9">
        <f>Table1[[#This Row], [TRC]]+Table1[[#This Row], [DRC]]+Table1[[#This Row], [WRC]]+Table1[[#This Row], [ERC]]+Table1[[#This Row], [EQRC]]</f>
        <v>7707198.1812499994</v>
      </c>
      <c r="V433" s="9">
        <f>Table1[[#This Row], [TOTAL COST]]+_xlfn.XLOOKUP(Table1[[#This Row], [TEAM]],Sheet1!$A$12:$A$17,Sheet1!$I$12:$I$17)</f>
        <v>8003845.6812499994</v>
      </c>
      <c r="W433" s="9">
        <f>Table1[[#This Row], [LOOT]]-Table1[[#This Row], [TOTAL COST]]</f>
        <v>9842801.8187500015</v>
      </c>
      <c r="X433" s="9">
        <f>IF(Table1[[#This Row], [PASS/FAIL]]="FAIL",0,Table1[[#This Row], [PROFIT]])</f>
        <v>9842801.8187500015</v>
      </c>
    </row>
    <row r="434" spans="1:24" ht="19.5" customHeight="1" x14ac:dyDescent="0.45">
      <c r="A434" t="s">
        <v>12</v>
      </c>
      <c r="B434" s="14">
        <f>_xlfn.XLOOKUP(Table1[[#This Row], [TEAM]],Sheet1!$A$12:$A$17,Sheet1!$F$12:$F$17)</f>
        <v>3</v>
      </c>
      <c r="C434" s="14">
        <f>_xlfn.XLOOKUP(Table1[[#This Row], [TEAM]],Sheet1!$A$12:$A$17,Sheet1!$G$12:$G$17)</f>
        <v>5988750</v>
      </c>
      <c r="D434" t="s">
        <v>29</v>
      </c>
      <c r="E434" s="4">
        <f>_xlfn.XLOOKUP(Table1[[#This Row], [ROOM]],Sheet1!$A$47:$A$66,Sheet1!$B$47:$B$66)</f>
        <v>236</v>
      </c>
      <c r="F434" t="s">
        <v>58</v>
      </c>
      <c r="G434" s="4">
        <f>_xlfn.XLOOKUP(Table1[[#This Row], [DISGUISE]],Sheet1!$A$21:$A$23,Sheet1!$B$21:$B$23)*Table1[[#This Row], [NUM OF MEM]]*(1+_xlfn.XLOOKUP(Table1[[#This Row], [DISGUISE]],Sheet1!$A$21:$A$23,Sheet1!$C$21:$C$23))</f>
        <v>38400</v>
      </c>
      <c r="H434" s="13" t="s">
        <v>66</v>
      </c>
      <c r="I434" s="4">
        <f>_xlfn.XLOOKUP(Table1[[#This Row], [WEAPON]],Sheet1!$A$27:$A$29,Sheet1!$B$27:$B$29)*Table1[[#This Row], [NUM OF MEM]]*(1+_xlfn.XLOOKUP(Table1[[#This Row], [WEAPON]],Sheet1!$A$27:$A$29,Sheet1!$C$27:$C$29))</f>
        <v>108000</v>
      </c>
      <c r="J434" t="s">
        <v>60</v>
      </c>
      <c r="K434" s="9">
        <f>Table1[[#This Row], [NUM OF MEM]]*Table1[[#This Row], [TOTAL TIME TAKEN]]*_xlfn.XLOOKUP(Table1[[#This Row], [EXIT]],Sheet1!$A$70:$A$71,Sheet1!$B$70:$B$71)*(1+_xlfn.XLOOKUP(Table1[[#This Row], [EXIT]],Sheet1!$A$70:$A$71,Sheet1!$C$70:$C$71))</f>
        <v>1715662.4749999992</v>
      </c>
      <c r="L434" s="13" t="s">
        <v>65</v>
      </c>
      <c r="M434" s="4">
        <f>IF(Table1[[#This Row], [EQUIPMENT]]="YES",Sheet1!$C$44*(1+Sheet1!$D$44),0)</f>
        <v>307500</v>
      </c>
      <c r="N434" s="4">
        <f>_xlfn.XLOOKUP(Table1[[#This Row], [ROOM]],Sheet1!$A$47:$A$66,Sheet1!$F$47:$F$66)</f>
        <v>18000000</v>
      </c>
      <c r="O434" s="9">
        <f>_xlfn.XLOOKUP(_xlfn.CONCAT(Table1[[#This Row], [TEAM]],Table1[[#This Row], [ROOM]]),'ROOM TIME'!$H$2:$H$121,'ROOM TIME'!$J$2:$J$121)</f>
        <v>39.14888888888887</v>
      </c>
      <c r="P434" s="9">
        <f>(INDEX(Sheet1!$X$48:$Z$67,MATCH(Table1[[#This Row], [ROOM]],Sheet1!$P$48:$P$67,0),MATCH(Table1[[#This Row], [WEAPON]],Sheet1!$X$47:$Z$47,0)))/Table1[[#This Row], [NUM OF MEM]]</f>
        <v>5.416666666666667</v>
      </c>
      <c r="Q434" s="9">
        <f>Table1[[#This Row], [ROOM TIME]]+Table1[[#This Row], [GUARD TIME]]</f>
        <v>44.565555555555534</v>
      </c>
      <c r="R434" s="4">
        <f>Sheet1!$K$3*_xlfn.XLOOKUP(Table1[[#This Row], [DISGUISE]],Sheet1!$A$21:$A$23,Sheet1!$D$21:$D$23)</f>
        <v>69</v>
      </c>
      <c r="S434" s="9">
        <f>Table1[[#This Row], [TOTAL TIME]]-Table1[[#This Row], [TOTAL TIME TAKEN]]</f>
        <v>24.434444444444466</v>
      </c>
      <c r="T434" t="str">
        <f>IF(Table1[[#This Row], [TIME DIFFERENCE]]&gt;=0,"PASS","FAIL")</f>
        <v>PASS</v>
      </c>
      <c r="U434" s="9">
        <f>Table1[[#This Row], [TRC]]+Table1[[#This Row], [DRC]]+Table1[[#This Row], [WRC]]+Table1[[#This Row], [ERC]]+Table1[[#This Row], [EQRC]]</f>
        <v>8158312.4749999996</v>
      </c>
      <c r="V434" s="9">
        <f>Table1[[#This Row], [TOTAL COST]]+_xlfn.XLOOKUP(Table1[[#This Row], [TEAM]],Sheet1!$A$12:$A$17,Sheet1!$I$12:$I$17)</f>
        <v>8457749.9749999996</v>
      </c>
      <c r="W434" s="9">
        <f>Table1[[#This Row], [LOOT]]-Table1[[#This Row], [TOTAL COST]]</f>
        <v>9841687.5250000004</v>
      </c>
      <c r="X434" s="9">
        <f>IF(Table1[[#This Row], [PASS/FAIL]]="FAIL",0,Table1[[#This Row], [PROFIT]])</f>
        <v>9841687.5250000004</v>
      </c>
    </row>
    <row r="435" spans="1:24" ht="19.5" customHeight="1" x14ac:dyDescent="0.45">
      <c r="A435" t="s">
        <v>13</v>
      </c>
      <c r="B435" s="14">
        <f>_xlfn.XLOOKUP(Table1[[#This Row], [TEAM]],Sheet1!$A$12:$A$17,Sheet1!$F$12:$F$17)</f>
        <v>3</v>
      </c>
      <c r="C435" s="14">
        <f>_xlfn.XLOOKUP(Table1[[#This Row], [TEAM]],Sheet1!$A$12:$A$17,Sheet1!$G$12:$G$17)</f>
        <v>5930000</v>
      </c>
      <c r="D435" t="s">
        <v>29</v>
      </c>
      <c r="E435" s="4">
        <f>_xlfn.XLOOKUP(Table1[[#This Row], [ROOM]],Sheet1!$A$47:$A$66,Sheet1!$B$47:$B$66)</f>
        <v>236</v>
      </c>
      <c r="F435" t="s">
        <v>58</v>
      </c>
      <c r="G435" s="4">
        <f>_xlfn.XLOOKUP(Table1[[#This Row], [DISGUISE]],Sheet1!$A$21:$A$23,Sheet1!$B$21:$B$23)*Table1[[#This Row], [NUM OF MEM]]*(1+_xlfn.XLOOKUP(Table1[[#This Row], [DISGUISE]],Sheet1!$A$21:$A$23,Sheet1!$C$21:$C$23))</f>
        <v>38400</v>
      </c>
      <c r="H435" s="13" t="s">
        <v>66</v>
      </c>
      <c r="I435" s="4">
        <f>_xlfn.XLOOKUP(Table1[[#This Row], [WEAPON]],Sheet1!$A$27:$A$29,Sheet1!$B$27:$B$29)*Table1[[#This Row], [NUM OF MEM]]*(1+_xlfn.XLOOKUP(Table1[[#This Row], [WEAPON]],Sheet1!$A$27:$A$29,Sheet1!$C$27:$C$29))</f>
        <v>108000</v>
      </c>
      <c r="J435" t="s">
        <v>60</v>
      </c>
      <c r="K435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1774798.9124999996</v>
      </c>
      <c r="L435" s="13" t="s">
        <v>65</v>
      </c>
      <c r="M435" s="4">
        <f>IF(Table1[[#This Row], [EQUIPMENT]]="YES",Sheet1!$C$44*(1+Sheet1!$D$44),0)</f>
        <v>307500</v>
      </c>
      <c r="N435" s="4">
        <f>_xlfn.XLOOKUP(Table1[[#This Row], [ROOM]],Sheet1!$A$47:$A$66,Sheet1!$F$47:$F$66)</f>
        <v>18000000</v>
      </c>
      <c r="O435" s="9">
        <f>_xlfn.XLOOKUP(_xlfn.CONCAT(Table1[[#This Row], [TEAM]],Table1[[#This Row], [ROOM]]),'ROOM TIME'!$H$2:$H$121,'ROOM TIME'!$J$2:$J$121)</f>
        <v>40.684999999999995</v>
      </c>
      <c r="P435" s="9">
        <f>(INDEX(Sheet1!$X$48:$Z$67,MATCH(Table1[[#This Row], [ROOM]],Sheet1!$P$48:$P$67,0),MATCH(Table1[[#This Row], [WEAPON]],Sheet1!$X$47:$Z$47,0)))/Table1[[#This Row], [NUM OF MEM]]</f>
        <v>5.416666666666667</v>
      </c>
      <c r="Q435" s="9">
        <f>Table1[[#This Row], [ROOM TIME]]+Table1[[#This Row], [GUARD TIME]]</f>
        <v>46.101666666666659</v>
      </c>
      <c r="R435" s="4">
        <f>Sheet1!$K$3*_xlfn.XLOOKUP(Table1[[#This Row], [DISGUISE]],Sheet1!$A$21:$A$23,Sheet1!$D$21:$D$23)</f>
        <v>69</v>
      </c>
      <c r="S435" s="9">
        <f>Table1[[#This Row], [TOTAL TIME]]-Table1[[#This Row], [TOTAL TIME TAKEN]]</f>
        <v>22.898333333333341</v>
      </c>
      <c r="T435" t="str">
        <f>IF(Table1[[#This Row], [TIME DIFFERENCE]]&gt;=0,"PASS","FAIL")</f>
        <v>PASS</v>
      </c>
      <c r="U435" s="9">
        <f>Table1[[#This Row], [TRC]]+Table1[[#This Row], [DRC]]+Table1[[#This Row], [WRC]]+Table1[[#This Row], [ERC]]+Table1[[#This Row], [EQRC]]</f>
        <v>8158698.9124999996</v>
      </c>
      <c r="V435" s="9">
        <f>Table1[[#This Row], [TOTAL COST]]+_xlfn.XLOOKUP(Table1[[#This Row], [TEAM]],Sheet1!$A$12:$A$17,Sheet1!$I$12:$I$17)</f>
        <v>8455198.9124999996</v>
      </c>
      <c r="W435" s="9">
        <f>Table1[[#This Row], [LOOT]]-Table1[[#This Row], [TOTAL COST]]</f>
        <v>9841301.0875000004</v>
      </c>
      <c r="X435" s="9">
        <f>IF(Table1[[#This Row], [PASS/FAIL]]="FAIL",0,Table1[[#This Row], [PROFIT]])</f>
        <v>9841301.0875000004</v>
      </c>
    </row>
    <row r="436" spans="1:24" ht="19.5" customHeight="1" x14ac:dyDescent="0.45">
      <c r="A436" t="s">
        <v>13</v>
      </c>
      <c r="B436" s="14">
        <f>_xlfn.XLOOKUP(Table1[[#This Row], [TEAM]],Sheet1!$A$12:$A$17,Sheet1!$F$12:$F$17)</f>
        <v>3</v>
      </c>
      <c r="C436" s="14">
        <f>_xlfn.XLOOKUP(Table1[[#This Row], [TEAM]],Sheet1!$A$12:$A$17,Sheet1!$G$12:$G$17)</f>
        <v>5930000</v>
      </c>
      <c r="D436" t="s">
        <v>18</v>
      </c>
      <c r="E436" s="4">
        <f>_xlfn.XLOOKUP(Table1[[#This Row], [ROOM]],Sheet1!$A$47:$A$66,Sheet1!$B$47:$B$66)</f>
        <v>134</v>
      </c>
      <c r="F436" t="s">
        <v>58</v>
      </c>
      <c r="G436" s="4">
        <f>_xlfn.XLOOKUP(Table1[[#This Row], [DISGUISE]],Sheet1!$A$21:$A$23,Sheet1!$B$21:$B$23)*Table1[[#This Row], [NUM OF MEM]]*(1+_xlfn.XLOOKUP(Table1[[#This Row], [DISGUISE]],Sheet1!$A$21:$A$23,Sheet1!$C$21:$C$23))</f>
        <v>38400</v>
      </c>
      <c r="H436" s="13" t="s">
        <v>63</v>
      </c>
      <c r="I436" s="4">
        <f>_xlfn.XLOOKUP(Table1[[#This Row], [WEAPON]],Sheet1!$A$27:$A$29,Sheet1!$B$27:$B$29)*Table1[[#This Row], [NUM OF MEM]]*(1+_xlfn.XLOOKUP(Table1[[#This Row], [WEAPON]],Sheet1!$A$27:$A$29,Sheet1!$C$27:$C$29))</f>
        <v>69000</v>
      </c>
      <c r="J436" t="s">
        <v>60</v>
      </c>
      <c r="K436" s="9">
        <f>Table1[[#This Row], [NUM OF MEM]]*Table1[[#This Row], [TOTAL TIME TAKEN]]*_xlfn.XLOOKUP(Table1[[#This Row], [EXIT]],Sheet1!$A$70:$A$71,Sheet1!$B$70:$B$71)*(1+_xlfn.XLOOKUP(Table1[[#This Row], [EXIT]],Sheet1!$A$70:$A$71,Sheet1!$C$70:$C$71))</f>
        <v>1864455.3124999995</v>
      </c>
      <c r="L436" s="13" t="s">
        <v>65</v>
      </c>
      <c r="M436" s="4">
        <f>IF(Table1[[#This Row], [EQUIPMENT]]="YES",Sheet1!$C$44*(1+Sheet1!$D$44),0)</f>
        <v>307500</v>
      </c>
      <c r="N436" s="4">
        <f>_xlfn.XLOOKUP(Table1[[#This Row], [ROOM]],Sheet1!$A$47:$A$66,Sheet1!$F$47:$F$66)</f>
        <v>18050000</v>
      </c>
      <c r="O436" s="9">
        <f>_xlfn.XLOOKUP(_xlfn.CONCAT(Table1[[#This Row], [TEAM]],Table1[[#This Row], [ROOM]]),'ROOM TIME'!$H$2:$H$121,'ROOM TIME'!$J$2:$J$121)</f>
        <v>43.030555555555544</v>
      </c>
      <c r="P436" s="9">
        <f>(INDEX(Sheet1!$X$48:$Z$67,MATCH(Table1[[#This Row], [ROOM]],Sheet1!$P$48:$P$67,0),MATCH(Table1[[#This Row], [WEAPON]],Sheet1!$X$47:$Z$47,0)))/Table1[[#This Row], [NUM OF MEM]]</f>
        <v>5.4000000000000012</v>
      </c>
      <c r="Q436" s="9">
        <f>Table1[[#This Row], [ROOM TIME]]+Table1[[#This Row], [GUARD TIME]]</f>
        <v>48.430555555555543</v>
      </c>
      <c r="R436" s="4">
        <f>Sheet1!$K$3*_xlfn.XLOOKUP(Table1[[#This Row], [DISGUISE]],Sheet1!$A$21:$A$23,Sheet1!$D$21:$D$23)</f>
        <v>69</v>
      </c>
      <c r="S436" s="9">
        <f>Table1[[#This Row], [TOTAL TIME]]-Table1[[#This Row], [TOTAL TIME TAKEN]]</f>
        <v>20.569444444444457</v>
      </c>
      <c r="T436" t="str">
        <f>IF(Table1[[#This Row], [TIME DIFFERENCE]]&gt;=0,"PASS","FAIL")</f>
        <v>PASS</v>
      </c>
      <c r="U436" s="9">
        <f>Table1[[#This Row], [TRC]]+Table1[[#This Row], [DRC]]+Table1[[#This Row], [WRC]]+Table1[[#This Row], [ERC]]+Table1[[#This Row], [EQRC]]</f>
        <v>8209355.3125</v>
      </c>
      <c r="V436" s="9">
        <f>Table1[[#This Row], [TOTAL COST]]+_xlfn.XLOOKUP(Table1[[#This Row], [TEAM]],Sheet1!$A$12:$A$17,Sheet1!$I$12:$I$17)</f>
        <v>8505855.3125</v>
      </c>
      <c r="W436" s="9">
        <f>Table1[[#This Row], [LOOT]]-Table1[[#This Row], [TOTAL COST]]</f>
        <v>9840644.6875</v>
      </c>
      <c r="X436" s="9">
        <f>IF(Table1[[#This Row], [PASS/FAIL]]="FAIL",0,Table1[[#This Row], [PROFIT]])</f>
        <v>9840644.6875</v>
      </c>
    </row>
    <row r="437" spans="1:24" ht="19.5" customHeight="1" x14ac:dyDescent="0.45">
      <c r="A437" t="s">
        <v>13</v>
      </c>
      <c r="B437" s="14">
        <f>_xlfn.XLOOKUP(Table1[[#This Row], [TEAM]],Sheet1!$A$12:$A$17,Sheet1!$F$12:$F$17)</f>
        <v>3</v>
      </c>
      <c r="C437" s="14">
        <f>_xlfn.XLOOKUP(Table1[[#This Row], [TEAM]],Sheet1!$A$12:$A$17,Sheet1!$G$12:$G$17)</f>
        <v>5930000</v>
      </c>
      <c r="D437" t="s">
        <v>18</v>
      </c>
      <c r="E437" s="4">
        <f>_xlfn.XLOOKUP(Table1[[#This Row], [ROOM]],Sheet1!$A$47:$A$66,Sheet1!$B$47:$B$66)</f>
        <v>134</v>
      </c>
      <c r="F437" t="s">
        <v>62</v>
      </c>
      <c r="G437" s="4">
        <f>_xlfn.XLOOKUP(Table1[[#This Row], [DISGUISE]],Sheet1!$A$21:$A$23,Sheet1!$B$21:$B$23)*Table1[[#This Row], [NUM OF MEM]]*(1+_xlfn.XLOOKUP(Table1[[#This Row], [DISGUISE]],Sheet1!$A$21:$A$23,Sheet1!$C$21:$C$23))</f>
        <v>15600</v>
      </c>
      <c r="H437" s="13" t="s">
        <v>66</v>
      </c>
      <c r="I437" s="4">
        <f>_xlfn.XLOOKUP(Table1[[#This Row], [WEAPON]],Sheet1!$A$27:$A$29,Sheet1!$B$27:$B$29)*Table1[[#This Row], [NUM OF MEM]]*(1+_xlfn.XLOOKUP(Table1[[#This Row], [WEAPON]],Sheet1!$A$27:$A$29,Sheet1!$C$27:$C$29))</f>
        <v>108000</v>
      </c>
      <c r="J437" t="s">
        <v>60</v>
      </c>
      <c r="K437" s="9">
        <f>Table1[[#This Row], [NUM OF MEM]]*Table1[[#This Row], [TOTAL TIME TAKEN]]*_xlfn.XLOOKUP(Table1[[#This Row], [EXIT]],Sheet1!$A$70:$A$71,Sheet1!$B$70:$B$71)*(1+_xlfn.XLOOKUP(Table1[[#This Row], [EXIT]],Sheet1!$A$70:$A$71,Sheet1!$C$70:$C$71))</f>
        <v>1849056.3124999995</v>
      </c>
      <c r="L437" s="13" t="s">
        <v>65</v>
      </c>
      <c r="M437" s="4">
        <f>IF(Table1[[#This Row], [EQUIPMENT]]="YES",Sheet1!$C$44*(1+Sheet1!$D$44),0)</f>
        <v>307500</v>
      </c>
      <c r="N437" s="4">
        <f>_xlfn.XLOOKUP(Table1[[#This Row], [ROOM]],Sheet1!$A$47:$A$66,Sheet1!$F$47:$F$66)</f>
        <v>18050000</v>
      </c>
      <c r="O437" s="9">
        <f>_xlfn.XLOOKUP(_xlfn.CONCAT(Table1[[#This Row], [TEAM]],Table1[[#This Row], [ROOM]]),'ROOM TIME'!$H$2:$H$121,'ROOM TIME'!$J$2:$J$121)</f>
        <v>43.030555555555544</v>
      </c>
      <c r="P437" s="4">
        <f>(INDEX(Sheet1!$X$48:$Z$67,MATCH(Table1[[#This Row], [ROOM]],Sheet1!$P$48:$P$67,0),MATCH(Table1[[#This Row], [WEAPON]],Sheet1!$X$47:$Z$47,0)))/Table1[[#This Row], [NUM OF MEM]]</f>
        <v>5</v>
      </c>
      <c r="Q437" s="9">
        <f>Table1[[#This Row], [ROOM TIME]]+Table1[[#This Row], [GUARD TIME]]</f>
        <v>48.030555555555544</v>
      </c>
      <c r="R437" s="4">
        <f>Sheet1!$K$3*_xlfn.XLOOKUP(Table1[[#This Row], [DISGUISE]],Sheet1!$A$21:$A$23,Sheet1!$D$21:$D$23)</f>
        <v>66</v>
      </c>
      <c r="S437" s="9">
        <f>Table1[[#This Row], [TOTAL TIME]]-Table1[[#This Row], [TOTAL TIME TAKEN]]</f>
        <v>17.969444444444456</v>
      </c>
      <c r="T437" t="str">
        <f>IF(Table1[[#This Row], [TIME DIFFERENCE]]&gt;=0,"PASS","FAIL")</f>
        <v>PASS</v>
      </c>
      <c r="U437" s="9">
        <f>Table1[[#This Row], [TRC]]+Table1[[#This Row], [DRC]]+Table1[[#This Row], [WRC]]+Table1[[#This Row], [ERC]]+Table1[[#This Row], [EQRC]]</f>
        <v>8210156.3125</v>
      </c>
      <c r="V437" s="9">
        <f>Table1[[#This Row], [TOTAL COST]]+_xlfn.XLOOKUP(Table1[[#This Row], [TEAM]],Sheet1!$A$12:$A$17,Sheet1!$I$12:$I$17)</f>
        <v>8506656.3125</v>
      </c>
      <c r="W437" s="9">
        <f>Table1[[#This Row], [LOOT]]-Table1[[#This Row], [TOTAL COST]]</f>
        <v>9839843.6875</v>
      </c>
      <c r="X437" s="9">
        <f>IF(Table1[[#This Row], [PASS/FAIL]]="FAIL",0,Table1[[#This Row], [PROFIT]])</f>
        <v>9839843.6875</v>
      </c>
    </row>
    <row r="438" spans="1:24" ht="19.5" customHeight="1" x14ac:dyDescent="0.45">
      <c r="A438" t="s">
        <v>15</v>
      </c>
      <c r="B438" s="14">
        <f>_xlfn.XLOOKUP(Table1[[#This Row], [TEAM]],Sheet1!$A$12:$A$17,Sheet1!$F$12:$F$17)</f>
        <v>2</v>
      </c>
      <c r="C438" s="14">
        <f>_xlfn.XLOOKUP(Table1[[#This Row], [TEAM]],Sheet1!$A$12:$A$17,Sheet1!$G$12:$G$17)</f>
        <v>5932950</v>
      </c>
      <c r="D438" t="s">
        <v>20</v>
      </c>
      <c r="E438" s="4">
        <f>_xlfn.XLOOKUP(Table1[[#This Row], [ROOM]],Sheet1!$A$47:$A$66,Sheet1!$B$47:$B$66)</f>
        <v>145</v>
      </c>
      <c r="F438" t="s">
        <v>62</v>
      </c>
      <c r="G438" s="4">
        <f>_xlfn.XLOOKUP(Table1[[#This Row], [DISGUISE]],Sheet1!$A$21:$A$23,Sheet1!$B$21:$B$23)*Table1[[#This Row], [NUM OF MEM]]*(1+_xlfn.XLOOKUP(Table1[[#This Row], [DISGUISE]],Sheet1!$A$21:$A$23,Sheet1!$C$21:$C$23))</f>
        <v>10400</v>
      </c>
      <c r="H438" s="13" t="s">
        <v>59</v>
      </c>
      <c r="I438" s="4">
        <f>_xlfn.XLOOKUP(Table1[[#This Row], [WEAPON]],Sheet1!$A$27:$A$29,Sheet1!$B$27:$B$29)*Table1[[#This Row], [NUM OF MEM]]*(1+_xlfn.XLOOKUP(Table1[[#This Row], [WEAPON]],Sheet1!$A$27:$A$29,Sheet1!$C$27:$C$29))</f>
        <v>91000</v>
      </c>
      <c r="J438" t="s">
        <v>60</v>
      </c>
      <c r="K438" s="9">
        <f>Table1[[#This Row], [NUM OF MEM]]*Table1[[#This Row], [TOTAL TIME TAKEN]]*_xlfn.XLOOKUP(Table1[[#This Row], [EXIT]],Sheet1!$A$70:$A$71,Sheet1!$B$70:$B$71)*(1+_xlfn.XLOOKUP(Table1[[#This Row], [EXIT]],Sheet1!$A$70:$A$71,Sheet1!$C$70:$C$71))</f>
        <v>1676983.1812499992</v>
      </c>
      <c r="L438" s="13" t="s">
        <v>61</v>
      </c>
      <c r="M438" s="4">
        <f>IF(Table1[[#This Row], [EQUIPMENT]]="YES",Sheet1!$C$44*(1+Sheet1!$D$44),0)</f>
        <v>0</v>
      </c>
      <c r="N438" s="4">
        <f>_xlfn.XLOOKUP(Table1[[#This Row], [ROOM]],Sheet1!$A$47:$A$66,Sheet1!$F$47:$F$66)</f>
        <v>17550000</v>
      </c>
      <c r="O438" s="9">
        <f>_xlfn.XLOOKUP(_xlfn.CONCAT(Table1[[#This Row], [TEAM]],Table1[[#This Row], [ROOM]]),'ROOM TIME'!$H$2:$H$121,'ROOM TIME'!$J$2:$J$121)</f>
        <v>59.591249999999981</v>
      </c>
      <c r="P438" s="9">
        <f>(INDEX(Sheet1!$X$48:$Z$67,MATCH(Table1[[#This Row], [ROOM]],Sheet1!$P$48:$P$67,0),MATCH(Table1[[#This Row], [WEAPON]],Sheet1!$X$47:$Z$47,0)))/Table1[[#This Row], [NUM OF MEM]]</f>
        <v>5.75</v>
      </c>
      <c r="Q438" s="9">
        <f>Table1[[#This Row], [ROOM TIME]]+Table1[[#This Row], [GUARD TIME]]</f>
        <v>65.341249999999974</v>
      </c>
      <c r="R438" s="4">
        <f>Sheet1!$K$3*_xlfn.XLOOKUP(Table1[[#This Row], [DISGUISE]],Sheet1!$A$21:$A$23,Sheet1!$D$21:$D$23)</f>
        <v>66</v>
      </c>
      <c r="S438" s="9">
        <f>Table1[[#This Row], [TOTAL TIME]]-Table1[[#This Row], [TOTAL TIME TAKEN]]</f>
        <v>0.65875000000002615</v>
      </c>
      <c r="T438" t="str">
        <f>IF(Table1[[#This Row], [TIME DIFFERENCE]]&gt;=0,"PASS","FAIL")</f>
        <v>PASS</v>
      </c>
      <c r="U438" s="9">
        <f>Table1[[#This Row], [TRC]]+Table1[[#This Row], [DRC]]+Table1[[#This Row], [WRC]]+Table1[[#This Row], [ERC]]+Table1[[#This Row], [EQRC]]</f>
        <v>7711333.1812499994</v>
      </c>
      <c r="V438" s="9">
        <f>Table1[[#This Row], [TOTAL COST]]+_xlfn.XLOOKUP(Table1[[#This Row], [TEAM]],Sheet1!$A$12:$A$17,Sheet1!$I$12:$I$17)</f>
        <v>8007980.6812499994</v>
      </c>
      <c r="W438" s="9">
        <f>Table1[[#This Row], [LOOT]]-Table1[[#This Row], [TOTAL COST]]</f>
        <v>9838666.8187500015</v>
      </c>
      <c r="X438" s="9">
        <f>IF(Table1[[#This Row], [PASS/FAIL]]="FAIL",0,Table1[[#This Row], [PROFIT]])</f>
        <v>9838666.8187500015</v>
      </c>
    </row>
    <row r="439" spans="1:24" ht="19.5" customHeight="1" x14ac:dyDescent="0.45">
      <c r="A439" t="s">
        <v>13</v>
      </c>
      <c r="B439" s="14">
        <f>_xlfn.XLOOKUP(Table1[[#This Row], [TEAM]],Sheet1!$A$12:$A$17,Sheet1!$F$12:$F$17)</f>
        <v>3</v>
      </c>
      <c r="C439" s="14">
        <f>_xlfn.XLOOKUP(Table1[[#This Row], [TEAM]],Sheet1!$A$12:$A$17,Sheet1!$G$12:$G$17)</f>
        <v>5930000</v>
      </c>
      <c r="D439" t="s">
        <v>22</v>
      </c>
      <c r="E439" s="4">
        <f>_xlfn.XLOOKUP(Table1[[#This Row], [ROOM]],Sheet1!$A$47:$A$66,Sheet1!$B$47:$B$66)</f>
        <v>235</v>
      </c>
      <c r="F439" t="s">
        <v>58</v>
      </c>
      <c r="G439" s="4">
        <f>_xlfn.XLOOKUP(Table1[[#This Row], [DISGUISE]],Sheet1!$A$21:$A$23,Sheet1!$B$21:$B$23)*Table1[[#This Row], [NUM OF MEM]]*(1+_xlfn.XLOOKUP(Table1[[#This Row], [DISGUISE]],Sheet1!$A$21:$A$23,Sheet1!$C$21:$C$23))</f>
        <v>38400</v>
      </c>
      <c r="H439" s="13" t="s">
        <v>59</v>
      </c>
      <c r="I439" s="4">
        <f>_xlfn.XLOOKUP(Table1[[#This Row], [WEAPON]],Sheet1!$A$27:$A$29,Sheet1!$B$27:$B$29)*Table1[[#This Row], [NUM OF MEM]]*(1+_xlfn.XLOOKUP(Table1[[#This Row], [WEAPON]],Sheet1!$A$27:$A$29,Sheet1!$C$27:$C$29))</f>
        <v>136500</v>
      </c>
      <c r="J439" t="s">
        <v>64</v>
      </c>
      <c r="K439" s="9">
        <f>Table1[[#This Row], [NUM OF MEM]]*Table1[[#This Row], [TOTAL TIME TAKEN]]*_xlfn.XLOOKUP(Table1[[#This Row], [EXIT]],Sheet1!$A$70:$A$71,Sheet1!$B$70:$B$71)*(1+_xlfn.XLOOKUP(Table1[[#This Row], [EXIT]],Sheet1!$A$70:$A$71,Sheet1!$C$70:$C$71))</f>
        <v>1858917.5999999999</v>
      </c>
      <c r="L439" s="13" t="s">
        <v>61</v>
      </c>
      <c r="M439" s="4">
        <f>IF(Table1[[#This Row], [EQUIPMENT]]="YES",Sheet1!$C$44*(1+Sheet1!$D$44),0)</f>
        <v>0</v>
      </c>
      <c r="N439" s="4">
        <f>_xlfn.XLOOKUP(Table1[[#This Row], [ROOM]],Sheet1!$A$47:$A$66,Sheet1!$F$47:$F$66)</f>
        <v>17800000</v>
      </c>
      <c r="O439" s="9">
        <f>_xlfn.XLOOKUP(_xlfn.CONCAT(Table1[[#This Row], [TEAM]],Table1[[#This Row], [ROOM]]),'ROOM TIME'!$H$2:$H$121,'ROOM TIME'!$J$2:$J$121)</f>
        <v>43.211666666666666</v>
      </c>
      <c r="P439" s="9">
        <f>(INDEX(Sheet1!$X$48:$Z$67,MATCH(Table1[[#This Row], [ROOM]],Sheet1!$P$48:$P$67,0),MATCH(Table1[[#This Row], [WEAPON]],Sheet1!$X$47:$Z$47,0)))/Table1[[#This Row], [NUM OF MEM]]</f>
        <v>4.5999999999999996</v>
      </c>
      <c r="Q439" s="9">
        <f>Table1[[#This Row], [ROOM TIME]]+Table1[[#This Row], [GUARD TIME]]</f>
        <v>47.811666666666667</v>
      </c>
      <c r="R439" s="4">
        <f>Sheet1!$K$3*_xlfn.XLOOKUP(Table1[[#This Row], [DISGUISE]],Sheet1!$A$21:$A$23,Sheet1!$D$21:$D$23)</f>
        <v>69</v>
      </c>
      <c r="S439" s="9">
        <f>Table1[[#This Row], [TOTAL TIME]]-Table1[[#This Row], [TOTAL TIME TAKEN]]</f>
        <v>21.188333333333333</v>
      </c>
      <c r="T439" t="str">
        <f>IF(Table1[[#This Row], [TIME DIFFERENCE]]&gt;=0,"PASS","FAIL")</f>
        <v>PASS</v>
      </c>
      <c r="U439" s="9">
        <f>Table1[[#This Row], [TRC]]+Table1[[#This Row], [DRC]]+Table1[[#This Row], [WRC]]+Table1[[#This Row], [ERC]]+Table1[[#This Row], [EQRC]]</f>
        <v>7963817.5999999996</v>
      </c>
      <c r="V439" s="9">
        <f>Table1[[#This Row], [TOTAL COST]]+_xlfn.XLOOKUP(Table1[[#This Row], [TEAM]],Sheet1!$A$12:$A$17,Sheet1!$I$12:$I$17)</f>
        <v>8260317.5999999996</v>
      </c>
      <c r="W439" s="9">
        <f>Table1[[#This Row], [LOOT]]-Table1[[#This Row], [TOTAL COST]]</f>
        <v>9836182.4000000004</v>
      </c>
      <c r="X439" s="9">
        <f>IF(Table1[[#This Row], [PASS/FAIL]]="FAIL",0,Table1[[#This Row], [PROFIT]])</f>
        <v>9836182.4000000004</v>
      </c>
    </row>
    <row r="440" spans="1:24" ht="19.5" customHeight="1" x14ac:dyDescent="0.45">
      <c r="A440" t="s">
        <v>12</v>
      </c>
      <c r="B440" s="14">
        <f>_xlfn.XLOOKUP(Table1[[#This Row], [TEAM]],Sheet1!$A$12:$A$17,Sheet1!$F$12:$F$17)</f>
        <v>3</v>
      </c>
      <c r="C440" s="14">
        <f>_xlfn.XLOOKUP(Table1[[#This Row], [TEAM]],Sheet1!$A$12:$A$17,Sheet1!$G$12:$G$17)</f>
        <v>5988750</v>
      </c>
      <c r="D440" t="s">
        <v>29</v>
      </c>
      <c r="E440" s="4">
        <f>_xlfn.XLOOKUP(Table1[[#This Row], [ROOM]],Sheet1!$A$47:$A$66,Sheet1!$B$47:$B$66)</f>
        <v>236</v>
      </c>
      <c r="F440" t="s">
        <v>62</v>
      </c>
      <c r="G440" s="4">
        <f>_xlfn.XLOOKUP(Table1[[#This Row], [DISGUISE]],Sheet1!$A$21:$A$23,Sheet1!$B$21:$B$23)*Table1[[#This Row], [NUM OF MEM]]*(1+_xlfn.XLOOKUP(Table1[[#This Row], [DISGUISE]],Sheet1!$A$21:$A$23,Sheet1!$C$21:$C$23))</f>
        <v>15600</v>
      </c>
      <c r="H440" s="13" t="s">
        <v>59</v>
      </c>
      <c r="I440" s="4">
        <f>_xlfn.XLOOKUP(Table1[[#This Row], [WEAPON]],Sheet1!$A$27:$A$29,Sheet1!$B$27:$B$29)*Table1[[#This Row], [NUM OF MEM]]*(1+_xlfn.XLOOKUP(Table1[[#This Row], [WEAPON]],Sheet1!$A$27:$A$29,Sheet1!$C$27:$C$29))</f>
        <v>136500</v>
      </c>
      <c r="J440" t="s">
        <v>64</v>
      </c>
      <c r="K440" s="9">
        <f>Table1[[#This Row], [NUM OF MEM]]*Table1[[#This Row], [TOTAL TIME TAKEN]]*_xlfn.XLOOKUP(Table1[[#This Row], [EXIT]],Sheet1!$A$70:$A$71,Sheet1!$B$70:$B$71)*(1+_xlfn.XLOOKUP(Table1[[#This Row], [EXIT]],Sheet1!$A$70:$A$71,Sheet1!$C$70:$C$71))</f>
        <v>1715860.7999999993</v>
      </c>
      <c r="L440" s="13" t="s">
        <v>65</v>
      </c>
      <c r="M440" s="4">
        <f>IF(Table1[[#This Row], [EQUIPMENT]]="YES",Sheet1!$C$44*(1+Sheet1!$D$44),0)</f>
        <v>307500</v>
      </c>
      <c r="N440" s="4">
        <f>_xlfn.XLOOKUP(Table1[[#This Row], [ROOM]],Sheet1!$A$47:$A$66,Sheet1!$F$47:$F$66)</f>
        <v>18000000</v>
      </c>
      <c r="O440" s="9">
        <f>_xlfn.XLOOKUP(_xlfn.CONCAT(Table1[[#This Row], [TEAM]],Table1[[#This Row], [ROOM]]),'ROOM TIME'!$H$2:$H$121,'ROOM TIME'!$J$2:$J$121)</f>
        <v>39.14888888888887</v>
      </c>
      <c r="P440" s="9">
        <f>(INDEX(Sheet1!$X$48:$Z$67,MATCH(Table1[[#This Row], [ROOM]],Sheet1!$P$48:$P$67,0),MATCH(Table1[[#This Row], [WEAPON]],Sheet1!$X$47:$Z$47,0)))/Table1[[#This Row], [NUM OF MEM]]</f>
        <v>4.9833333333333334</v>
      </c>
      <c r="Q440" s="9">
        <f>Table1[[#This Row], [ROOM TIME]]+Table1[[#This Row], [GUARD TIME]]</f>
        <v>44.132222222222204</v>
      </c>
      <c r="R440" s="4">
        <f>Sheet1!$K$3*_xlfn.XLOOKUP(Table1[[#This Row], [DISGUISE]],Sheet1!$A$21:$A$23,Sheet1!$D$21:$D$23)</f>
        <v>66</v>
      </c>
      <c r="S440" s="9">
        <f>Table1[[#This Row], [TOTAL TIME]]-Table1[[#This Row], [TOTAL TIME TAKEN]]</f>
        <v>21.867777777777796</v>
      </c>
      <c r="T440" t="str">
        <f>IF(Table1[[#This Row], [TIME DIFFERENCE]]&gt;=0,"PASS","FAIL")</f>
        <v>PASS</v>
      </c>
      <c r="U440" s="9">
        <f>Table1[[#This Row], [TRC]]+Table1[[#This Row], [DRC]]+Table1[[#This Row], [WRC]]+Table1[[#This Row], [ERC]]+Table1[[#This Row], [EQRC]]</f>
        <v>8164210.7999999989</v>
      </c>
      <c r="V440" s="9">
        <f>Table1[[#This Row], [TOTAL COST]]+_xlfn.XLOOKUP(Table1[[#This Row], [TEAM]],Sheet1!$A$12:$A$17,Sheet1!$I$12:$I$17)</f>
        <v>8463648.2999999989</v>
      </c>
      <c r="W440" s="9">
        <f>Table1[[#This Row], [LOOT]]-Table1[[#This Row], [TOTAL COST]]</f>
        <v>9835789.2000000011</v>
      </c>
      <c r="X440" s="9">
        <f>IF(Table1[[#This Row], [PASS/FAIL]]="FAIL",0,Table1[[#This Row], [PROFIT]])</f>
        <v>9835789.2000000011</v>
      </c>
    </row>
    <row r="441" spans="1:24" ht="19.5" customHeight="1" x14ac:dyDescent="0.45">
      <c r="A441" t="s">
        <v>12</v>
      </c>
      <c r="B441" s="14">
        <f>_xlfn.XLOOKUP(Table1[[#This Row], [TEAM]],Sheet1!$A$12:$A$17,Sheet1!$F$12:$F$17)</f>
        <v>3</v>
      </c>
      <c r="C441" s="14">
        <f>_xlfn.XLOOKUP(Table1[[#This Row], [TEAM]],Sheet1!$A$12:$A$17,Sheet1!$G$12:$G$17)</f>
        <v>5988750</v>
      </c>
      <c r="D441" t="s">
        <v>24</v>
      </c>
      <c r="E441" s="4">
        <f>_xlfn.XLOOKUP(Table1[[#This Row], [ROOM]],Sheet1!$A$47:$A$66,Sheet1!$B$47:$B$66)</f>
        <v>345</v>
      </c>
      <c r="F441" t="s">
        <v>62</v>
      </c>
      <c r="G441" s="4">
        <f>_xlfn.XLOOKUP(Table1[[#This Row], [DISGUISE]],Sheet1!$A$21:$A$23,Sheet1!$B$21:$B$23)*Table1[[#This Row], [NUM OF MEM]]*(1+_xlfn.XLOOKUP(Table1[[#This Row], [DISGUISE]],Sheet1!$A$21:$A$23,Sheet1!$C$21:$C$23))</f>
        <v>15600</v>
      </c>
      <c r="H441" s="13" t="s">
        <v>63</v>
      </c>
      <c r="I441" s="4">
        <f>_xlfn.XLOOKUP(Table1[[#This Row], [WEAPON]],Sheet1!$A$27:$A$29,Sheet1!$B$27:$B$29)*Table1[[#This Row], [NUM OF MEM]]*(1+_xlfn.XLOOKUP(Table1[[#This Row], [WEAPON]],Sheet1!$A$27:$A$29,Sheet1!$C$27:$C$29))</f>
        <v>69000</v>
      </c>
      <c r="J441" t="s">
        <v>60</v>
      </c>
      <c r="K441" s="9">
        <f>Table1[[#This Row], [NUM OF MEM]]*Table1[[#This Row], [TOTAL TIME TAKEN]]*_xlfn.XLOOKUP(Table1[[#This Row], [EXIT]],Sheet1!$A$70:$A$71,Sheet1!$B$70:$B$71)*(1+_xlfn.XLOOKUP(Table1[[#This Row], [EXIT]],Sheet1!$A$70:$A$71,Sheet1!$C$70:$C$71))</f>
        <v>1783631.9499999993</v>
      </c>
      <c r="L441" s="13" t="s">
        <v>65</v>
      </c>
      <c r="M441" s="4">
        <f>IF(Table1[[#This Row], [EQUIPMENT]]="YES",Sheet1!$C$44*(1+Sheet1!$D$44),0)</f>
        <v>307500</v>
      </c>
      <c r="N441" s="4">
        <f>_xlfn.XLOOKUP(Table1[[#This Row], [ROOM]],Sheet1!$A$47:$A$66,Sheet1!$F$47:$F$66)</f>
        <v>18000000</v>
      </c>
      <c r="O441" s="9">
        <f>_xlfn.XLOOKUP(_xlfn.CONCAT(Table1[[#This Row], [TEAM]],Table1[[#This Row], [ROOM]]),'ROOM TIME'!$H$2:$H$121,'ROOM TIME'!$J$2:$J$121)</f>
        <v>40.9311111111111</v>
      </c>
      <c r="P441" s="9">
        <f>(INDEX(Sheet1!$X$48:$Z$67,MATCH(Table1[[#This Row], [ROOM]],Sheet1!$P$48:$P$67,0),MATCH(Table1[[#This Row], [WEAPON]],Sheet1!$X$47:$Z$47,0)))/Table1[[#This Row], [NUM OF MEM]]</f>
        <v>5.4000000000000012</v>
      </c>
      <c r="Q441" s="9">
        <f>Table1[[#This Row], [ROOM TIME]]+Table1[[#This Row], [GUARD TIME]]</f>
        <v>46.331111111111099</v>
      </c>
      <c r="R441" s="4">
        <f>Sheet1!$K$3*_xlfn.XLOOKUP(Table1[[#This Row], [DISGUISE]],Sheet1!$A$21:$A$23,Sheet1!$D$21:$D$23)</f>
        <v>66</v>
      </c>
      <c r="S441" s="9">
        <f>Table1[[#This Row], [TOTAL TIME]]-Table1[[#This Row], [TOTAL TIME TAKEN]]</f>
        <v>19.668888888888901</v>
      </c>
      <c r="T441" t="str">
        <f>IF(Table1[[#This Row], [TIME DIFFERENCE]]&gt;=0,"PASS","FAIL")</f>
        <v>PASS</v>
      </c>
      <c r="U441" s="9">
        <f>Table1[[#This Row], [TRC]]+Table1[[#This Row], [DRC]]+Table1[[#This Row], [WRC]]+Table1[[#This Row], [ERC]]+Table1[[#This Row], [EQRC]]</f>
        <v>8164481.9499999993</v>
      </c>
      <c r="V441" s="9">
        <f>Table1[[#This Row], [TOTAL COST]]+_xlfn.XLOOKUP(Table1[[#This Row], [TEAM]],Sheet1!$A$12:$A$17,Sheet1!$I$12:$I$17)</f>
        <v>8463919.4499999993</v>
      </c>
      <c r="W441" s="9">
        <f>Table1[[#This Row], [LOOT]]-Table1[[#This Row], [TOTAL COST]]</f>
        <v>9835518.0500000007</v>
      </c>
      <c r="X441" s="9">
        <f>IF(Table1[[#This Row], [PASS/FAIL]]="FAIL",0,Table1[[#This Row], [PROFIT]])</f>
        <v>9835518.0500000007</v>
      </c>
    </row>
    <row r="442" spans="1:24" ht="19.5" customHeight="1" x14ac:dyDescent="0.45">
      <c r="A442" t="s">
        <v>13</v>
      </c>
      <c r="B442" s="14">
        <f>_xlfn.XLOOKUP(Table1[[#This Row], [TEAM]],Sheet1!$A$12:$A$17,Sheet1!$F$12:$F$17)</f>
        <v>3</v>
      </c>
      <c r="C442" s="14">
        <f>_xlfn.XLOOKUP(Table1[[#This Row], [TEAM]],Sheet1!$A$12:$A$17,Sheet1!$G$12:$G$17)</f>
        <v>5930000</v>
      </c>
      <c r="D442" t="s">
        <v>29</v>
      </c>
      <c r="E442" s="4">
        <f>_xlfn.XLOOKUP(Table1[[#This Row], [ROOM]],Sheet1!$A$47:$A$66,Sheet1!$B$47:$B$66)</f>
        <v>236</v>
      </c>
      <c r="F442" t="s">
        <v>62</v>
      </c>
      <c r="G442" s="4">
        <f>_xlfn.XLOOKUP(Table1[[#This Row], [DISGUISE]],Sheet1!$A$21:$A$23,Sheet1!$B$21:$B$23)*Table1[[#This Row], [NUM OF MEM]]*(1+_xlfn.XLOOKUP(Table1[[#This Row], [DISGUISE]],Sheet1!$A$21:$A$23,Sheet1!$C$21:$C$23))</f>
        <v>15600</v>
      </c>
      <c r="H442" s="13" t="s">
        <v>59</v>
      </c>
      <c r="I442" s="4">
        <f>_xlfn.XLOOKUP(Table1[[#This Row], [WEAPON]],Sheet1!$A$27:$A$29,Sheet1!$B$27:$B$29)*Table1[[#This Row], [NUM OF MEM]]*(1+_xlfn.XLOOKUP(Table1[[#This Row], [WEAPON]],Sheet1!$A$27:$A$29,Sheet1!$C$27:$C$29))</f>
        <v>136500</v>
      </c>
      <c r="J442" t="s">
        <v>64</v>
      </c>
      <c r="K442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1775584.8</v>
      </c>
      <c r="L442" s="13" t="s">
        <v>65</v>
      </c>
      <c r="M442" s="4">
        <f>IF(Table1[[#This Row], [EQUIPMENT]]="YES",Sheet1!$C$44*(1+Sheet1!$D$44),0)</f>
        <v>307500</v>
      </c>
      <c r="N442" s="4">
        <f>_xlfn.XLOOKUP(Table1[[#This Row], [ROOM]],Sheet1!$A$47:$A$66,Sheet1!$F$47:$F$66)</f>
        <v>18000000</v>
      </c>
      <c r="O442" s="9">
        <f>_xlfn.XLOOKUP(_xlfn.CONCAT(Table1[[#This Row], [TEAM]],Table1[[#This Row], [ROOM]]),'ROOM TIME'!$H$2:$H$121,'ROOM TIME'!$J$2:$J$121)</f>
        <v>40.684999999999995</v>
      </c>
      <c r="P442" s="9">
        <f>(INDEX(Sheet1!$X$48:$Z$67,MATCH(Table1[[#This Row], [ROOM]],Sheet1!$P$48:$P$67,0),MATCH(Table1[[#This Row], [WEAPON]],Sheet1!$X$47:$Z$47,0)))/Table1[[#This Row], [NUM OF MEM]]</f>
        <v>4.9833333333333334</v>
      </c>
      <c r="Q442" s="9">
        <f>Table1[[#This Row], [ROOM TIME]]+Table1[[#This Row], [GUARD TIME]]</f>
        <v>45.668333333333329</v>
      </c>
      <c r="R442" s="4">
        <f>Sheet1!$K$3*_xlfn.XLOOKUP(Table1[[#This Row], [DISGUISE]],Sheet1!$A$21:$A$23,Sheet1!$D$21:$D$23)</f>
        <v>66</v>
      </c>
      <c r="S442" s="9">
        <f>Table1[[#This Row], [TOTAL TIME]]-Table1[[#This Row], [TOTAL TIME TAKEN]]</f>
        <v>20.331666666666671</v>
      </c>
      <c r="T442" t="str">
        <f>IF(Table1[[#This Row], [TIME DIFFERENCE]]&gt;=0,"PASS","FAIL")</f>
        <v>PASS</v>
      </c>
      <c r="U442" s="9">
        <f>Table1[[#This Row], [TRC]]+Table1[[#This Row], [DRC]]+Table1[[#This Row], [WRC]]+Table1[[#This Row], [ERC]]+Table1[[#This Row], [EQRC]]</f>
        <v>8165184.7999999998</v>
      </c>
      <c r="V442" s="9">
        <f>Table1[[#This Row], [TOTAL COST]]+_xlfn.XLOOKUP(Table1[[#This Row], [TEAM]],Sheet1!$A$12:$A$17,Sheet1!$I$12:$I$17)</f>
        <v>8461684.8000000007</v>
      </c>
      <c r="W442" s="9">
        <f>Table1[[#This Row], [LOOT]]-Table1[[#This Row], [TOTAL COST]]</f>
        <v>9834815.1999999993</v>
      </c>
      <c r="X442" s="9">
        <f>IF(Table1[[#This Row], [PASS/FAIL]]="FAIL",0,Table1[[#This Row], [PROFIT]])</f>
        <v>9834815.1999999993</v>
      </c>
    </row>
    <row r="443" spans="1:24" ht="19.5" customHeight="1" x14ac:dyDescent="0.45">
      <c r="A443" t="s">
        <v>9</v>
      </c>
      <c r="B443" s="14">
        <f>_xlfn.XLOOKUP(Table1[[#This Row], [TEAM]],Sheet1!$A$12:$A$17,Sheet1!$F$12:$F$17)</f>
        <v>3</v>
      </c>
      <c r="C443" s="14">
        <f>_xlfn.XLOOKUP(Table1[[#This Row], [TEAM]],Sheet1!$A$12:$A$17,Sheet1!$G$12:$G$17)</f>
        <v>6238750</v>
      </c>
      <c r="D443" t="s">
        <v>26</v>
      </c>
      <c r="E443" s="4">
        <f>_xlfn.XLOOKUP(Table1[[#This Row], [ROOM]],Sheet1!$A$47:$A$66,Sheet1!$B$47:$B$66)</f>
        <v>136</v>
      </c>
      <c r="F443" t="s">
        <v>58</v>
      </c>
      <c r="G443" s="4">
        <f>_xlfn.XLOOKUP(Table1[[#This Row], [DISGUISE]],Sheet1!$A$21:$A$23,Sheet1!$B$21:$B$23)*Table1[[#This Row], [NUM OF MEM]]*(1+_xlfn.XLOOKUP(Table1[[#This Row], [DISGUISE]],Sheet1!$A$21:$A$23,Sheet1!$C$21:$C$23))</f>
        <v>38400</v>
      </c>
      <c r="H443" s="13" t="s">
        <v>59</v>
      </c>
      <c r="I443" s="4">
        <f>_xlfn.XLOOKUP(Table1[[#This Row], [WEAPON]],Sheet1!$A$27:$A$29,Sheet1!$B$27:$B$29)*Table1[[#This Row], [NUM OF MEM]]*(1+_xlfn.XLOOKUP(Table1[[#This Row], [WEAPON]],Sheet1!$A$27:$A$29,Sheet1!$C$27:$C$29))</f>
        <v>136500</v>
      </c>
      <c r="J443" t="s">
        <v>64</v>
      </c>
      <c r="K443" s="9">
        <f>Table1[[#This Row], [NUM OF MEM]]*Table1[[#This Row], [TOTAL TIME TAKEN]]*_xlfn.XLOOKUP(Table1[[#This Row], [EXIT]],Sheet1!$A$70:$A$71,Sheet1!$B$70:$B$71)*(1+_xlfn.XLOOKUP(Table1[[#This Row], [EXIT]],Sheet1!$A$70:$A$71,Sheet1!$C$70:$C$71))</f>
        <v>1595743.1999999997</v>
      </c>
      <c r="L443" s="13" t="s">
        <v>65</v>
      </c>
      <c r="M443" s="4">
        <f>IF(Table1[[#This Row], [EQUIPMENT]]="YES",Sheet1!$C$44*(1+Sheet1!$D$44),0)</f>
        <v>307500</v>
      </c>
      <c r="N443" s="4">
        <f>_xlfn.XLOOKUP(Table1[[#This Row], [ROOM]],Sheet1!$A$47:$A$66,Sheet1!$F$47:$F$66)</f>
        <v>18150000</v>
      </c>
      <c r="O443" s="9">
        <f>_xlfn.XLOOKUP(_xlfn.CONCAT(Table1[[#This Row], [TEAM]],Table1[[#This Row], [ROOM]]),'ROOM TIME'!$H$2:$H$121,'ROOM TIME'!$J$2:$J$121)</f>
        <v>36.442777777777771</v>
      </c>
      <c r="P443" s="9">
        <f>(INDEX(Sheet1!$X$48:$Z$67,MATCH(Table1[[#This Row], [ROOM]],Sheet1!$P$48:$P$67,0),MATCH(Table1[[#This Row], [WEAPON]],Sheet1!$X$47:$Z$47,0)))/Table1[[#This Row], [NUM OF MEM]]</f>
        <v>4.5999999999999996</v>
      </c>
      <c r="Q443" s="9">
        <f>Table1[[#This Row], [ROOM TIME]]+Table1[[#This Row], [GUARD TIME]]</f>
        <v>41.042777777777772</v>
      </c>
      <c r="R443" s="4">
        <f>Sheet1!$K$3*_xlfn.XLOOKUP(Table1[[#This Row], [DISGUISE]],Sheet1!$A$21:$A$23,Sheet1!$D$21:$D$23)</f>
        <v>69</v>
      </c>
      <c r="S443" s="9">
        <f>Table1[[#This Row], [TOTAL TIME]]-Table1[[#This Row], [TOTAL TIME TAKEN]]</f>
        <v>27.957222222222228</v>
      </c>
      <c r="T443" t="str">
        <f>IF(Table1[[#This Row], [TIME DIFFERENCE]]&gt;=0,"PASS","FAIL")</f>
        <v>PASS</v>
      </c>
      <c r="U443" s="9">
        <f>Table1[[#This Row], [TRC]]+Table1[[#This Row], [DRC]]+Table1[[#This Row], [WRC]]+Table1[[#This Row], [ERC]]+Table1[[#This Row], [EQRC]]</f>
        <v>8316893.1999999993</v>
      </c>
      <c r="V443" s="9">
        <f>Table1[[#This Row], [TOTAL COST]]+_xlfn.XLOOKUP(Table1[[#This Row], [TEAM]],Sheet1!$A$12:$A$17,Sheet1!$I$12:$I$17)</f>
        <v>8628830.6999999993</v>
      </c>
      <c r="W443" s="9">
        <f>Table1[[#This Row], [LOOT]]-Table1[[#This Row], [TOTAL COST]]</f>
        <v>9833106.8000000007</v>
      </c>
      <c r="X443" s="9">
        <f>IF(Table1[[#This Row], [PASS/FAIL]]="FAIL",0,Table1[[#This Row], [PROFIT]])</f>
        <v>9833106.8000000007</v>
      </c>
    </row>
    <row r="444" spans="1:24" ht="19.5" customHeight="1" x14ac:dyDescent="0.45">
      <c r="A444" t="s">
        <v>9</v>
      </c>
      <c r="B444" s="14">
        <f>_xlfn.XLOOKUP(Table1[[#This Row], [TEAM]],Sheet1!$A$12:$A$17,Sheet1!$F$12:$F$17)</f>
        <v>3</v>
      </c>
      <c r="C444" s="14">
        <f>_xlfn.XLOOKUP(Table1[[#This Row], [TEAM]],Sheet1!$A$12:$A$17,Sheet1!$G$12:$G$17)</f>
        <v>6238750</v>
      </c>
      <c r="D444" t="s">
        <v>33</v>
      </c>
      <c r="E444" s="4">
        <f>_xlfn.XLOOKUP(Table1[[#This Row], [ROOM]],Sheet1!$A$47:$A$66,Sheet1!$B$47:$B$66)</f>
        <v>356</v>
      </c>
      <c r="F444" t="s">
        <v>62</v>
      </c>
      <c r="G444" s="4">
        <f>_xlfn.XLOOKUP(Table1[[#This Row], [DISGUISE]],Sheet1!$A$21:$A$23,Sheet1!$B$21:$B$23)*Table1[[#This Row], [NUM OF MEM]]*(1+_xlfn.XLOOKUP(Table1[[#This Row], [DISGUISE]],Sheet1!$A$21:$A$23,Sheet1!$C$21:$C$23))</f>
        <v>15600</v>
      </c>
      <c r="H444" s="13" t="s">
        <v>59</v>
      </c>
      <c r="I444" s="4">
        <f>_xlfn.XLOOKUP(Table1[[#This Row], [WEAPON]],Sheet1!$A$27:$A$29,Sheet1!$B$27:$B$29)*Table1[[#This Row], [NUM OF MEM]]*(1+_xlfn.XLOOKUP(Table1[[#This Row], [WEAPON]],Sheet1!$A$27:$A$29,Sheet1!$C$27:$C$29))</f>
        <v>136500</v>
      </c>
      <c r="J444" t="s">
        <v>60</v>
      </c>
      <c r="K444" s="9">
        <f>Table1[[#This Row], [NUM OF MEM]]*Table1[[#This Row], [TOTAL TIME TAKEN]]*_xlfn.XLOOKUP(Table1[[#This Row], [EXIT]],Sheet1!$A$70:$A$71,Sheet1!$B$70:$B$71)*(1+_xlfn.XLOOKUP(Table1[[#This Row], [EXIT]],Sheet1!$A$70:$A$71,Sheet1!$C$70:$C$71))</f>
        <v>1568815.8999999997</v>
      </c>
      <c r="L444" s="13" t="s">
        <v>65</v>
      </c>
      <c r="M444" s="4">
        <f>IF(Table1[[#This Row], [EQUIPMENT]]="YES",Sheet1!$C$44*(1+Sheet1!$D$44),0)</f>
        <v>307500</v>
      </c>
      <c r="N444" s="4">
        <f>_xlfn.XLOOKUP(Table1[[#This Row], [ROOM]],Sheet1!$A$47:$A$66,Sheet1!$F$47:$F$66)</f>
        <v>18100000</v>
      </c>
      <c r="O444" s="9">
        <f>_xlfn.XLOOKUP(_xlfn.CONCAT(Table1[[#This Row], [TEAM]],Table1[[#This Row], [ROOM]]),'ROOM TIME'!$H$2:$H$121,'ROOM TIME'!$J$2:$J$121)</f>
        <v>36.151111111111099</v>
      </c>
      <c r="P444" s="9">
        <f>(INDEX(Sheet1!$X$48:$Z$67,MATCH(Table1[[#This Row], [ROOM]],Sheet1!$P$48:$P$67,0),MATCH(Table1[[#This Row], [WEAPON]],Sheet1!$X$47:$Z$47,0)))/Table1[[#This Row], [NUM OF MEM]]</f>
        <v>4.5999999999999996</v>
      </c>
      <c r="Q444" s="9">
        <f>Table1[[#This Row], [ROOM TIME]]+Table1[[#This Row], [GUARD TIME]]</f>
        <v>40.751111111111101</v>
      </c>
      <c r="R444" s="4">
        <f>Sheet1!$K$3*_xlfn.XLOOKUP(Table1[[#This Row], [DISGUISE]],Sheet1!$A$21:$A$23,Sheet1!$D$21:$D$23)</f>
        <v>66</v>
      </c>
      <c r="S444" s="9">
        <f>Table1[[#This Row], [TOTAL TIME]]-Table1[[#This Row], [TOTAL TIME TAKEN]]</f>
        <v>25.248888888888899</v>
      </c>
      <c r="T444" t="str">
        <f>IF(Table1[[#This Row], [TIME DIFFERENCE]]&gt;=0,"PASS","FAIL")</f>
        <v>PASS</v>
      </c>
      <c r="U444" s="9">
        <f>Table1[[#This Row], [TRC]]+Table1[[#This Row], [DRC]]+Table1[[#This Row], [WRC]]+Table1[[#This Row], [ERC]]+Table1[[#This Row], [EQRC]]</f>
        <v>8267165.8999999994</v>
      </c>
      <c r="V444" s="9">
        <f>Table1[[#This Row], [TOTAL COST]]+_xlfn.XLOOKUP(Table1[[#This Row], [TEAM]],Sheet1!$A$12:$A$17,Sheet1!$I$12:$I$17)</f>
        <v>8579103.3999999985</v>
      </c>
      <c r="W444" s="9">
        <f>Table1[[#This Row], [LOOT]]-Table1[[#This Row], [TOTAL COST]]</f>
        <v>9832834.1000000015</v>
      </c>
      <c r="X444" s="9">
        <f>IF(Table1[[#This Row], [PASS/FAIL]]="FAIL",0,Table1[[#This Row], [PROFIT]])</f>
        <v>9832834.1000000015</v>
      </c>
    </row>
    <row r="445" spans="1:24" ht="19.5" customHeight="1" x14ac:dyDescent="0.45">
      <c r="A445" t="s">
        <v>16</v>
      </c>
      <c r="B445" s="14">
        <f>_xlfn.XLOOKUP(Table1[[#This Row], [TEAM]],Sheet1!$A$12:$A$17,Sheet1!$F$12:$F$17)</f>
        <v>2</v>
      </c>
      <c r="C445" s="14">
        <f>_xlfn.XLOOKUP(Table1[[#This Row], [TEAM]],Sheet1!$A$12:$A$17,Sheet1!$G$12:$G$17)</f>
        <v>6082800</v>
      </c>
      <c r="D445" t="s">
        <v>22</v>
      </c>
      <c r="E445" s="4">
        <f>_xlfn.XLOOKUP(Table1[[#This Row], [ROOM]],Sheet1!$A$47:$A$66,Sheet1!$B$47:$B$66)</f>
        <v>235</v>
      </c>
      <c r="F445" t="s">
        <v>58</v>
      </c>
      <c r="G445" s="4">
        <f>_xlfn.XLOOKUP(Table1[[#This Row], [DISGUISE]],Sheet1!$A$21:$A$23,Sheet1!$B$21:$B$23)*Table1[[#This Row], [NUM OF MEM]]*(1+_xlfn.XLOOKUP(Table1[[#This Row], [DISGUISE]],Sheet1!$A$21:$A$23,Sheet1!$C$21:$C$23))</f>
        <v>25600</v>
      </c>
      <c r="H445" s="13" t="s">
        <v>59</v>
      </c>
      <c r="I445" s="4">
        <f>_xlfn.XLOOKUP(Table1[[#This Row], [WEAPON]],Sheet1!$A$27:$A$29,Sheet1!$B$27:$B$29)*Table1[[#This Row], [NUM OF MEM]]*(1+_xlfn.XLOOKUP(Table1[[#This Row], [WEAPON]],Sheet1!$A$27:$A$29,Sheet1!$C$27:$C$29))</f>
        <v>91000</v>
      </c>
      <c r="J445" t="s">
        <v>60</v>
      </c>
      <c r="K445" s="9">
        <f>Table1[[#This Row], [NUM OF MEM]]*Table1[[#This Row], [TOTAL TIME TAKEN]]*_xlfn.XLOOKUP(Table1[[#This Row], [EXIT]],Sheet1!$A$70:$A$71,Sheet1!$B$70:$B$71)*(1+_xlfn.XLOOKUP(Table1[[#This Row], [EXIT]],Sheet1!$A$70:$A$71,Sheet1!$C$70:$C$71))</f>
        <v>1767773.1187499997</v>
      </c>
      <c r="L445" s="13" t="s">
        <v>61</v>
      </c>
      <c r="M445" s="4">
        <f>IF(Table1[[#This Row], [EQUIPMENT]]="YES",Sheet1!$C$44*(1+Sheet1!$D$44),0)</f>
        <v>0</v>
      </c>
      <c r="N445" s="4">
        <f>_xlfn.XLOOKUP(Table1[[#This Row], [ROOM]],Sheet1!$A$47:$A$66,Sheet1!$F$47:$F$66)</f>
        <v>17800000</v>
      </c>
      <c r="O445" s="9">
        <f>_xlfn.XLOOKUP(_xlfn.CONCAT(Table1[[#This Row], [TEAM]],Table1[[#This Row], [ROOM]]),'ROOM TIME'!$H$2:$H$121,'ROOM TIME'!$J$2:$J$121)</f>
        <v>61.978749999999984</v>
      </c>
      <c r="P445" s="9">
        <f>(INDEX(Sheet1!$X$48:$Z$67,MATCH(Table1[[#This Row], [ROOM]],Sheet1!$P$48:$P$67,0),MATCH(Table1[[#This Row], [WEAPON]],Sheet1!$X$47:$Z$47,0)))/Table1[[#This Row], [NUM OF MEM]]</f>
        <v>6.8999999999999995</v>
      </c>
      <c r="Q445" s="9">
        <f>Table1[[#This Row], [ROOM TIME]]+Table1[[#This Row], [GUARD TIME]]</f>
        <v>68.878749999999982</v>
      </c>
      <c r="R445" s="4">
        <f>Sheet1!$K$3*_xlfn.XLOOKUP(Table1[[#This Row], [DISGUISE]],Sheet1!$A$21:$A$23,Sheet1!$D$21:$D$23)</f>
        <v>69</v>
      </c>
      <c r="S445" s="9">
        <f>Table1[[#This Row], [TOTAL TIME]]-Table1[[#This Row], [TOTAL TIME TAKEN]]</f>
        <v>0.12125000000001762</v>
      </c>
      <c r="T445" t="str">
        <f>IF(Table1[[#This Row], [TIME DIFFERENCE]]&gt;=0,"PASS","FAIL")</f>
        <v>PASS</v>
      </c>
      <c r="U445" s="9">
        <f>Table1[[#This Row], [TRC]]+Table1[[#This Row], [DRC]]+Table1[[#This Row], [WRC]]+Table1[[#This Row], [ERC]]+Table1[[#This Row], [EQRC]]</f>
        <v>7967173.1187499994</v>
      </c>
      <c r="V445" s="9">
        <f>Table1[[#This Row], [TOTAL COST]]+_xlfn.XLOOKUP(Table1[[#This Row], [TEAM]],Sheet1!$A$12:$A$17,Sheet1!$I$12:$I$17)</f>
        <v>8271313.1187499994</v>
      </c>
      <c r="W445" s="9">
        <f>Table1[[#This Row], [LOOT]]-Table1[[#This Row], [TOTAL COST]]</f>
        <v>9832826.8812500015</v>
      </c>
      <c r="X445" s="9">
        <f>IF(Table1[[#This Row], [PASS/FAIL]]="FAIL",0,Table1[[#This Row], [PROFIT]])</f>
        <v>9832826.8812500015</v>
      </c>
    </row>
    <row r="446" spans="1:24" ht="19.5" customHeight="1" x14ac:dyDescent="0.45">
      <c r="A446" t="s">
        <v>15</v>
      </c>
      <c r="B446" s="14">
        <f>_xlfn.XLOOKUP(Table1[[#This Row], [TEAM]],Sheet1!$A$12:$A$17,Sheet1!$F$12:$F$17)</f>
        <v>2</v>
      </c>
      <c r="C446" s="14">
        <f>_xlfn.XLOOKUP(Table1[[#This Row], [TEAM]],Sheet1!$A$12:$A$17,Sheet1!$G$12:$G$17)</f>
        <v>5932950</v>
      </c>
      <c r="D446" t="s">
        <v>19</v>
      </c>
      <c r="E446" s="4">
        <f>_xlfn.XLOOKUP(Table1[[#This Row], [ROOM]],Sheet1!$A$47:$A$66,Sheet1!$B$47:$B$66)</f>
        <v>135</v>
      </c>
      <c r="F446" t="s">
        <v>58</v>
      </c>
      <c r="G446" s="4">
        <f>_xlfn.XLOOKUP(Table1[[#This Row], [DISGUISE]],Sheet1!$A$21:$A$23,Sheet1!$B$21:$B$23)*Table1[[#This Row], [NUM OF MEM]]*(1+_xlfn.XLOOKUP(Table1[[#This Row], [DISGUISE]],Sheet1!$A$21:$A$23,Sheet1!$C$21:$C$23))</f>
        <v>25600</v>
      </c>
      <c r="H446" s="13" t="s">
        <v>66</v>
      </c>
      <c r="I446" s="4">
        <f>_xlfn.XLOOKUP(Table1[[#This Row], [WEAPON]],Sheet1!$A$27:$A$29,Sheet1!$B$27:$B$29)*Table1[[#This Row], [NUM OF MEM]]*(1+_xlfn.XLOOKUP(Table1[[#This Row], [WEAPON]],Sheet1!$A$27:$A$29,Sheet1!$C$27:$C$29))</f>
        <v>72000</v>
      </c>
      <c r="J446" t="s">
        <v>64</v>
      </c>
      <c r="K446" s="9">
        <f>Table1[[#This Row], [NUM OF MEM]]*Table1[[#This Row], [TOTAL TIME TAKEN]]*_xlfn.XLOOKUP(Table1[[#This Row], [EXIT]],Sheet1!$A$70:$A$71,Sheet1!$B$70:$B$71)*(1+_xlfn.XLOOKUP(Table1[[#This Row], [EXIT]],Sheet1!$A$70:$A$71,Sheet1!$C$70:$C$71))</f>
        <v>1779667.199999999</v>
      </c>
      <c r="L446" s="13" t="s">
        <v>65</v>
      </c>
      <c r="M446" s="4">
        <f>IF(Table1[[#This Row], [EQUIPMENT]]="YES",Sheet1!$C$44*(1+Sheet1!$D$44),0)</f>
        <v>307500</v>
      </c>
      <c r="N446" s="4">
        <f>_xlfn.XLOOKUP(Table1[[#This Row], [ROOM]],Sheet1!$A$47:$A$66,Sheet1!$F$47:$F$66)</f>
        <v>17950000</v>
      </c>
      <c r="O446" s="9">
        <f>_xlfn.XLOOKUP(_xlfn.CONCAT(Table1[[#This Row], [TEAM]],Table1[[#This Row], [ROOM]]),'ROOM TIME'!$H$2:$H$121,'ROOM TIME'!$J$2:$J$121)</f>
        <v>61.784999999999975</v>
      </c>
      <c r="P446" s="9">
        <f>(INDEX(Sheet1!$X$48:$Z$67,MATCH(Table1[[#This Row], [ROOM]],Sheet1!$P$48:$P$67,0),MATCH(Table1[[#This Row], [WEAPON]],Sheet1!$X$47:$Z$47,0)))/Table1[[#This Row], [NUM OF MEM]]</f>
        <v>6.875</v>
      </c>
      <c r="Q446" s="9">
        <f>Table1[[#This Row], [ROOM TIME]]+Table1[[#This Row], [GUARD TIME]]</f>
        <v>68.659999999999968</v>
      </c>
      <c r="R446" s="4">
        <f>Sheet1!$K$3*_xlfn.XLOOKUP(Table1[[#This Row], [DISGUISE]],Sheet1!$A$21:$A$23,Sheet1!$D$21:$D$23)</f>
        <v>69</v>
      </c>
      <c r="S446" s="9">
        <f>Table1[[#This Row], [TOTAL TIME]]-Table1[[#This Row], [TOTAL TIME TAKEN]]</f>
        <v>0.34000000000003183</v>
      </c>
      <c r="T446" t="str">
        <f>IF(Table1[[#This Row], [TIME DIFFERENCE]]&gt;=0,"PASS","FAIL")</f>
        <v>PASS</v>
      </c>
      <c r="U446" s="9">
        <f>Table1[[#This Row], [TRC]]+Table1[[#This Row], [DRC]]+Table1[[#This Row], [WRC]]+Table1[[#This Row], [ERC]]+Table1[[#This Row], [EQRC]]</f>
        <v>8117717.1999999993</v>
      </c>
      <c r="V446" s="9">
        <f>Table1[[#This Row], [TOTAL COST]]+_xlfn.XLOOKUP(Table1[[#This Row], [TEAM]],Sheet1!$A$12:$A$17,Sheet1!$I$12:$I$17)</f>
        <v>8414364.6999999993</v>
      </c>
      <c r="W446" s="9">
        <f>Table1[[#This Row], [LOOT]]-Table1[[#This Row], [TOTAL COST]]</f>
        <v>9832282.8000000007</v>
      </c>
      <c r="X446" s="9">
        <f>IF(Table1[[#This Row], [PASS/FAIL]]="FAIL",0,Table1[[#This Row], [PROFIT]])</f>
        <v>9832282.8000000007</v>
      </c>
    </row>
    <row r="447" spans="1:24" ht="19.5" customHeight="1" x14ac:dyDescent="0.45">
      <c r="A447" t="s">
        <v>9</v>
      </c>
      <c r="B447" s="14">
        <f>_xlfn.XLOOKUP(Table1[[#This Row], [TEAM]],Sheet1!$A$12:$A$17,Sheet1!$F$12:$F$17)</f>
        <v>3</v>
      </c>
      <c r="C447" s="14">
        <f>_xlfn.XLOOKUP(Table1[[#This Row], [TEAM]],Sheet1!$A$12:$A$17,Sheet1!$G$12:$G$17)</f>
        <v>6238750</v>
      </c>
      <c r="D447" t="s">
        <v>33</v>
      </c>
      <c r="E447" s="4">
        <f>_xlfn.XLOOKUP(Table1[[#This Row], [ROOM]],Sheet1!$A$47:$A$66,Sheet1!$B$47:$B$66)</f>
        <v>356</v>
      </c>
      <c r="F447" t="s">
        <v>58</v>
      </c>
      <c r="G447" s="4">
        <f>_xlfn.XLOOKUP(Table1[[#This Row], [DISGUISE]],Sheet1!$A$21:$A$23,Sheet1!$B$21:$B$23)*Table1[[#This Row], [NUM OF MEM]]*(1+_xlfn.XLOOKUP(Table1[[#This Row], [DISGUISE]],Sheet1!$A$21:$A$23,Sheet1!$C$21:$C$23))</f>
        <v>38400</v>
      </c>
      <c r="H447" s="13" t="s">
        <v>63</v>
      </c>
      <c r="I447" s="4">
        <f>_xlfn.XLOOKUP(Table1[[#This Row], [WEAPON]],Sheet1!$A$27:$A$29,Sheet1!$B$27:$B$29)*Table1[[#This Row], [NUM OF MEM]]*(1+_xlfn.XLOOKUP(Table1[[#This Row], [WEAPON]],Sheet1!$A$27:$A$29,Sheet1!$C$27:$C$29))</f>
        <v>69000</v>
      </c>
      <c r="J447" t="s">
        <v>64</v>
      </c>
      <c r="K447" s="9">
        <f>Table1[[#This Row], [NUM OF MEM]]*Table1[[#This Row], [TOTAL TIME TAKEN]]*_xlfn.XLOOKUP(Table1[[#This Row], [EXIT]],Sheet1!$A$70:$A$71,Sheet1!$B$70:$B$71)*(1+_xlfn.XLOOKUP(Table1[[#This Row], [EXIT]],Sheet1!$A$70:$A$71,Sheet1!$C$70:$C$71))</f>
        <v>1615507.1999999995</v>
      </c>
      <c r="L447" s="13" t="s">
        <v>65</v>
      </c>
      <c r="M447" s="4">
        <f>IF(Table1[[#This Row], [EQUIPMENT]]="YES",Sheet1!$C$44*(1+Sheet1!$D$44),0)</f>
        <v>307500</v>
      </c>
      <c r="N447" s="4">
        <f>_xlfn.XLOOKUP(Table1[[#This Row], [ROOM]],Sheet1!$A$47:$A$66,Sheet1!$F$47:$F$66)</f>
        <v>18100000</v>
      </c>
      <c r="O447" s="9">
        <f>_xlfn.XLOOKUP(_xlfn.CONCAT(Table1[[#This Row], [TEAM]],Table1[[#This Row], [ROOM]]),'ROOM TIME'!$H$2:$H$121,'ROOM TIME'!$J$2:$J$121)</f>
        <v>36.151111111111099</v>
      </c>
      <c r="P447" s="9">
        <f>(INDEX(Sheet1!$X$48:$Z$67,MATCH(Table1[[#This Row], [ROOM]],Sheet1!$P$48:$P$67,0),MATCH(Table1[[#This Row], [WEAPON]],Sheet1!$X$47:$Z$47,0)))/Table1[[#This Row], [NUM OF MEM]]</f>
        <v>5.4000000000000012</v>
      </c>
      <c r="Q447" s="9">
        <f>Table1[[#This Row], [ROOM TIME]]+Table1[[#This Row], [GUARD TIME]]</f>
        <v>41.551111111111098</v>
      </c>
      <c r="R447" s="4">
        <f>Sheet1!$K$3*_xlfn.XLOOKUP(Table1[[#This Row], [DISGUISE]],Sheet1!$A$21:$A$23,Sheet1!$D$21:$D$23)</f>
        <v>69</v>
      </c>
      <c r="S447" s="9">
        <f>Table1[[#This Row], [TOTAL TIME]]-Table1[[#This Row], [TOTAL TIME TAKEN]]</f>
        <v>27.448888888888902</v>
      </c>
      <c r="T447" t="str">
        <f>IF(Table1[[#This Row], [TIME DIFFERENCE]]&gt;=0,"PASS","FAIL")</f>
        <v>PASS</v>
      </c>
      <c r="U447" s="9">
        <f>Table1[[#This Row], [TRC]]+Table1[[#This Row], [DRC]]+Table1[[#This Row], [WRC]]+Table1[[#This Row], [ERC]]+Table1[[#This Row], [EQRC]]</f>
        <v>8269157.1999999993</v>
      </c>
      <c r="V447" s="9">
        <f>Table1[[#This Row], [TOTAL COST]]+_xlfn.XLOOKUP(Table1[[#This Row], [TEAM]],Sheet1!$A$12:$A$17,Sheet1!$I$12:$I$17)</f>
        <v>8581094.6999999993</v>
      </c>
      <c r="W447" s="9">
        <f>Table1[[#This Row], [LOOT]]-Table1[[#This Row], [TOTAL COST]]</f>
        <v>9830842.8000000007</v>
      </c>
      <c r="X447" s="9">
        <f>IF(Table1[[#This Row], [PASS/FAIL]]="FAIL",0,Table1[[#This Row], [PROFIT]])</f>
        <v>9830842.8000000007</v>
      </c>
    </row>
    <row r="448" spans="1:24" ht="19.5" customHeight="1" x14ac:dyDescent="0.45">
      <c r="A448" t="s">
        <v>13</v>
      </c>
      <c r="B448" s="14">
        <f>_xlfn.XLOOKUP(Table1[[#This Row], [TEAM]],Sheet1!$A$12:$A$17,Sheet1!$F$12:$F$17)</f>
        <v>3</v>
      </c>
      <c r="C448" s="14">
        <f>_xlfn.XLOOKUP(Table1[[#This Row], [TEAM]],Sheet1!$A$12:$A$17,Sheet1!$G$12:$G$17)</f>
        <v>5930000</v>
      </c>
      <c r="D448" t="s">
        <v>24</v>
      </c>
      <c r="E448" s="4">
        <f>_xlfn.XLOOKUP(Table1[[#This Row], [ROOM]],Sheet1!$A$47:$A$66,Sheet1!$B$47:$B$66)</f>
        <v>345</v>
      </c>
      <c r="F448" t="s">
        <v>62</v>
      </c>
      <c r="G448" s="4">
        <f>_xlfn.XLOOKUP(Table1[[#This Row], [DISGUISE]],Sheet1!$A$21:$A$23,Sheet1!$B$21:$B$23)*Table1[[#This Row], [NUM OF MEM]]*(1+_xlfn.XLOOKUP(Table1[[#This Row], [DISGUISE]],Sheet1!$A$21:$A$23,Sheet1!$C$21:$C$23))</f>
        <v>15600</v>
      </c>
      <c r="H448" s="13" t="s">
        <v>63</v>
      </c>
      <c r="I448" s="4">
        <f>_xlfn.XLOOKUP(Table1[[#This Row], [WEAPON]],Sheet1!$A$27:$A$29,Sheet1!$B$27:$B$29)*Table1[[#This Row], [NUM OF MEM]]*(1+_xlfn.XLOOKUP(Table1[[#This Row], [WEAPON]],Sheet1!$A$27:$A$29,Sheet1!$C$27:$C$29))</f>
        <v>69000</v>
      </c>
      <c r="J448" t="s">
        <v>60</v>
      </c>
      <c r="K448" s="9">
        <f>Table1[[#This Row], [NUM OF MEM]]*Table1[[#This Row], [TOTAL TIME TAKEN]]*_xlfn.XLOOKUP(Table1[[#This Row], [EXIT]],Sheet1!$A$70:$A$71,Sheet1!$B$70:$B$71)*(1+_xlfn.XLOOKUP(Table1[[#This Row], [EXIT]],Sheet1!$A$70:$A$71,Sheet1!$C$70:$C$71))</f>
        <v>1847409.4749999996</v>
      </c>
      <c r="L448" s="13" t="s">
        <v>65</v>
      </c>
      <c r="M448" s="4">
        <f>IF(Table1[[#This Row], [EQUIPMENT]]="YES",Sheet1!$C$44*(1+Sheet1!$D$44),0)</f>
        <v>307500</v>
      </c>
      <c r="N448" s="4">
        <f>_xlfn.XLOOKUP(Table1[[#This Row], [ROOM]],Sheet1!$A$47:$A$66,Sheet1!$F$47:$F$66)</f>
        <v>18000000</v>
      </c>
      <c r="O448" s="9">
        <f>_xlfn.XLOOKUP(_xlfn.CONCAT(Table1[[#This Row], [TEAM]],Table1[[#This Row], [ROOM]]),'ROOM TIME'!$H$2:$H$121,'ROOM TIME'!$J$2:$J$121)</f>
        <v>42.587777777777774</v>
      </c>
      <c r="P448" s="9">
        <f>(INDEX(Sheet1!$X$48:$Z$67,MATCH(Table1[[#This Row], [ROOM]],Sheet1!$P$48:$P$67,0),MATCH(Table1[[#This Row], [WEAPON]],Sheet1!$X$47:$Z$47,0)))/Table1[[#This Row], [NUM OF MEM]]</f>
        <v>5.4000000000000012</v>
      </c>
      <c r="Q448" s="9">
        <f>Table1[[#This Row], [ROOM TIME]]+Table1[[#This Row], [GUARD TIME]]</f>
        <v>47.987777777777772</v>
      </c>
      <c r="R448" s="4">
        <f>Sheet1!$K$3*_xlfn.XLOOKUP(Table1[[#This Row], [DISGUISE]],Sheet1!$A$21:$A$23,Sheet1!$D$21:$D$23)</f>
        <v>66</v>
      </c>
      <c r="S448" s="9">
        <f>Table1[[#This Row], [TOTAL TIME]]-Table1[[#This Row], [TOTAL TIME TAKEN]]</f>
        <v>18.012222222222228</v>
      </c>
      <c r="T448" t="str">
        <f>IF(Table1[[#This Row], [TIME DIFFERENCE]]&gt;=0,"PASS","FAIL")</f>
        <v>PASS</v>
      </c>
      <c r="U448" s="9">
        <f>Table1[[#This Row], [TRC]]+Table1[[#This Row], [DRC]]+Table1[[#This Row], [WRC]]+Table1[[#This Row], [ERC]]+Table1[[#This Row], [EQRC]]</f>
        <v>8169509.4749999996</v>
      </c>
      <c r="V448" s="9">
        <f>Table1[[#This Row], [TOTAL COST]]+_xlfn.XLOOKUP(Table1[[#This Row], [TEAM]],Sheet1!$A$12:$A$17,Sheet1!$I$12:$I$17)</f>
        <v>8466009.4749999996</v>
      </c>
      <c r="W448" s="9">
        <f>Table1[[#This Row], [LOOT]]-Table1[[#This Row], [TOTAL COST]]</f>
        <v>9830490.5250000004</v>
      </c>
      <c r="X448" s="9">
        <f>IF(Table1[[#This Row], [PASS/FAIL]]="FAIL",0,Table1[[#This Row], [PROFIT]])</f>
        <v>9830490.5250000004</v>
      </c>
    </row>
    <row r="449" spans="1:24" ht="19.5" customHeight="1" x14ac:dyDescent="0.45">
      <c r="A449" t="s">
        <v>9</v>
      </c>
      <c r="B449" s="14">
        <f>_xlfn.XLOOKUP(Table1[[#This Row], [TEAM]],Sheet1!$A$12:$A$17,Sheet1!$F$12:$F$17)</f>
        <v>3</v>
      </c>
      <c r="C449" s="14">
        <f>_xlfn.XLOOKUP(Table1[[#This Row], [TEAM]],Sheet1!$A$12:$A$17,Sheet1!$G$12:$G$17)</f>
        <v>6238750</v>
      </c>
      <c r="D449" t="s">
        <v>33</v>
      </c>
      <c r="E449" s="4">
        <f>_xlfn.XLOOKUP(Table1[[#This Row], [ROOM]],Sheet1!$A$47:$A$66,Sheet1!$B$47:$B$66)</f>
        <v>356</v>
      </c>
      <c r="F449" t="s">
        <v>62</v>
      </c>
      <c r="G449" s="4">
        <f>_xlfn.XLOOKUP(Table1[[#This Row], [DISGUISE]],Sheet1!$A$21:$A$23,Sheet1!$B$21:$B$23)*Table1[[#This Row], [NUM OF MEM]]*(1+_xlfn.XLOOKUP(Table1[[#This Row], [DISGUISE]],Sheet1!$A$21:$A$23,Sheet1!$C$21:$C$23))</f>
        <v>15600</v>
      </c>
      <c r="H449" s="13" t="s">
        <v>66</v>
      </c>
      <c r="I449" s="4">
        <f>_xlfn.XLOOKUP(Table1[[#This Row], [WEAPON]],Sheet1!$A$27:$A$29,Sheet1!$B$27:$B$29)*Table1[[#This Row], [NUM OF MEM]]*(1+_xlfn.XLOOKUP(Table1[[#This Row], [WEAPON]],Sheet1!$A$27:$A$29,Sheet1!$C$27:$C$29))</f>
        <v>108000</v>
      </c>
      <c r="J449" t="s">
        <v>64</v>
      </c>
      <c r="K449" s="9">
        <f>Table1[[#This Row], [NUM OF MEM]]*Table1[[#This Row], [TOTAL TIME TAKEN]]*_xlfn.XLOOKUP(Table1[[#This Row], [EXIT]],Sheet1!$A$70:$A$71,Sheet1!$B$70:$B$71)*(1+_xlfn.XLOOKUP(Table1[[#This Row], [EXIT]],Sheet1!$A$70:$A$71,Sheet1!$C$70:$C$71))</f>
        <v>1599955.1999999995</v>
      </c>
      <c r="L449" s="13" t="s">
        <v>65</v>
      </c>
      <c r="M449" s="4">
        <f>IF(Table1[[#This Row], [EQUIPMENT]]="YES",Sheet1!$C$44*(1+Sheet1!$D$44),0)</f>
        <v>307500</v>
      </c>
      <c r="N449" s="4">
        <f>_xlfn.XLOOKUP(Table1[[#This Row], [ROOM]],Sheet1!$A$47:$A$66,Sheet1!$F$47:$F$66)</f>
        <v>18100000</v>
      </c>
      <c r="O449" s="9">
        <f>_xlfn.XLOOKUP(_xlfn.CONCAT(Table1[[#This Row], [TEAM]],Table1[[#This Row], [ROOM]]),'ROOM TIME'!$H$2:$H$121,'ROOM TIME'!$J$2:$J$121)</f>
        <v>36.151111111111099</v>
      </c>
      <c r="P449" s="4">
        <f>(INDEX(Sheet1!$X$48:$Z$67,MATCH(Table1[[#This Row], [ROOM]],Sheet1!$P$48:$P$67,0),MATCH(Table1[[#This Row], [WEAPON]],Sheet1!$X$47:$Z$47,0)))/Table1[[#This Row], [NUM OF MEM]]</f>
        <v>5</v>
      </c>
      <c r="Q449" s="9">
        <f>Table1[[#This Row], [ROOM TIME]]+Table1[[#This Row], [GUARD TIME]]</f>
        <v>41.151111111111099</v>
      </c>
      <c r="R449" s="4">
        <f>Sheet1!$K$3*_xlfn.XLOOKUP(Table1[[#This Row], [DISGUISE]],Sheet1!$A$21:$A$23,Sheet1!$D$21:$D$23)</f>
        <v>66</v>
      </c>
      <c r="S449" s="9">
        <f>Table1[[#This Row], [TOTAL TIME]]-Table1[[#This Row], [TOTAL TIME TAKEN]]</f>
        <v>24.848888888888901</v>
      </c>
      <c r="T449" t="str">
        <f>IF(Table1[[#This Row], [TIME DIFFERENCE]]&gt;=0,"PASS","FAIL")</f>
        <v>PASS</v>
      </c>
      <c r="U449" s="9">
        <f>Table1[[#This Row], [TRC]]+Table1[[#This Row], [DRC]]+Table1[[#This Row], [WRC]]+Table1[[#This Row], [ERC]]+Table1[[#This Row], [EQRC]]</f>
        <v>8269805.1999999993</v>
      </c>
      <c r="V449" s="9">
        <f>Table1[[#This Row], [TOTAL COST]]+_xlfn.XLOOKUP(Table1[[#This Row], [TEAM]],Sheet1!$A$12:$A$17,Sheet1!$I$12:$I$17)</f>
        <v>8581742.6999999993</v>
      </c>
      <c r="W449" s="9">
        <f>Table1[[#This Row], [LOOT]]-Table1[[#This Row], [TOTAL COST]]</f>
        <v>9830194.8000000007</v>
      </c>
      <c r="X449" s="9">
        <f>IF(Table1[[#This Row], [PASS/FAIL]]="FAIL",0,Table1[[#This Row], [PROFIT]])</f>
        <v>9830194.8000000007</v>
      </c>
    </row>
    <row r="450" spans="1:24" ht="19.5" customHeight="1" x14ac:dyDescent="0.45">
      <c r="A450" t="s">
        <v>12</v>
      </c>
      <c r="B450" s="14">
        <f>_xlfn.XLOOKUP(Table1[[#This Row], [TEAM]],Sheet1!$A$12:$A$17,Sheet1!$F$12:$F$17)</f>
        <v>3</v>
      </c>
      <c r="C450" s="14">
        <f>_xlfn.XLOOKUP(Table1[[#This Row], [TEAM]],Sheet1!$A$12:$A$17,Sheet1!$G$12:$G$17)</f>
        <v>5988750</v>
      </c>
      <c r="D450" t="s">
        <v>18</v>
      </c>
      <c r="E450" s="4">
        <f>_xlfn.XLOOKUP(Table1[[#This Row], [ROOM]],Sheet1!$A$47:$A$66,Sheet1!$B$47:$B$66)</f>
        <v>134</v>
      </c>
      <c r="F450" t="s">
        <v>62</v>
      </c>
      <c r="G450" s="4">
        <f>_xlfn.XLOOKUP(Table1[[#This Row], [DISGUISE]],Sheet1!$A$21:$A$23,Sheet1!$B$21:$B$23)*Table1[[#This Row], [NUM OF MEM]]*(1+_xlfn.XLOOKUP(Table1[[#This Row], [DISGUISE]],Sheet1!$A$21:$A$23,Sheet1!$C$21:$C$23))</f>
        <v>15600</v>
      </c>
      <c r="H450" s="13" t="s">
        <v>59</v>
      </c>
      <c r="I450" s="4">
        <f>_xlfn.XLOOKUP(Table1[[#This Row], [WEAPON]],Sheet1!$A$27:$A$29,Sheet1!$B$27:$B$29)*Table1[[#This Row], [NUM OF MEM]]*(1+_xlfn.XLOOKUP(Table1[[#This Row], [WEAPON]],Sheet1!$A$27:$A$29,Sheet1!$C$27:$C$29))</f>
        <v>136500</v>
      </c>
      <c r="J450" t="s">
        <v>60</v>
      </c>
      <c r="K450" s="9">
        <f>Table1[[#This Row], [NUM OF MEM]]*Table1[[#This Row], [TOTAL TIME TAKEN]]*_xlfn.XLOOKUP(Table1[[#This Row], [EXIT]],Sheet1!$A$70:$A$71,Sheet1!$B$70:$B$71)*(1+_xlfn.XLOOKUP(Table1[[#This Row], [EXIT]],Sheet1!$A$70:$A$71,Sheet1!$C$70:$C$71))</f>
        <v>1771612.1749999996</v>
      </c>
      <c r="L450" s="13" t="s">
        <v>65</v>
      </c>
      <c r="M450" s="4">
        <f>IF(Table1[[#This Row], [EQUIPMENT]]="YES",Sheet1!$C$44*(1+Sheet1!$D$44),0)</f>
        <v>307500</v>
      </c>
      <c r="N450" s="4">
        <f>_xlfn.XLOOKUP(Table1[[#This Row], [ROOM]],Sheet1!$A$47:$A$66,Sheet1!$F$47:$F$66)</f>
        <v>18050000</v>
      </c>
      <c r="O450" s="9">
        <f>_xlfn.XLOOKUP(_xlfn.CONCAT(Table1[[#This Row], [TEAM]],Table1[[#This Row], [ROOM]]),'ROOM TIME'!$H$2:$H$121,'ROOM TIME'!$J$2:$J$121)</f>
        <v>41.41888888888888</v>
      </c>
      <c r="P450" s="9">
        <f>(INDEX(Sheet1!$X$48:$Z$67,MATCH(Table1[[#This Row], [ROOM]],Sheet1!$P$48:$P$67,0),MATCH(Table1[[#This Row], [WEAPON]],Sheet1!$X$47:$Z$47,0)))/Table1[[#This Row], [NUM OF MEM]]</f>
        <v>4.5999999999999996</v>
      </c>
      <c r="Q450" s="9">
        <f>Table1[[#This Row], [ROOM TIME]]+Table1[[#This Row], [GUARD TIME]]</f>
        <v>46.018888888888881</v>
      </c>
      <c r="R450" s="4">
        <f>Sheet1!$K$3*_xlfn.XLOOKUP(Table1[[#This Row], [DISGUISE]],Sheet1!$A$21:$A$23,Sheet1!$D$21:$D$23)</f>
        <v>66</v>
      </c>
      <c r="S450" s="9">
        <f>Table1[[#This Row], [TOTAL TIME]]-Table1[[#This Row], [TOTAL TIME TAKEN]]</f>
        <v>19.981111111111119</v>
      </c>
      <c r="T450" t="str">
        <f>IF(Table1[[#This Row], [TIME DIFFERENCE]]&gt;=0,"PASS","FAIL")</f>
        <v>PASS</v>
      </c>
      <c r="U450" s="9">
        <f>Table1[[#This Row], [TRC]]+Table1[[#This Row], [DRC]]+Table1[[#This Row], [WRC]]+Table1[[#This Row], [ERC]]+Table1[[#This Row], [EQRC]]</f>
        <v>8219962.1749999998</v>
      </c>
      <c r="V450" s="9">
        <f>Table1[[#This Row], [TOTAL COST]]+_xlfn.XLOOKUP(Table1[[#This Row], [TEAM]],Sheet1!$A$12:$A$17,Sheet1!$I$12:$I$17)</f>
        <v>8519399.6750000007</v>
      </c>
      <c r="W450" s="9">
        <f>Table1[[#This Row], [LOOT]]-Table1[[#This Row], [TOTAL COST]]</f>
        <v>9830037.8249999993</v>
      </c>
      <c r="X450" s="9">
        <f>IF(Table1[[#This Row], [PASS/FAIL]]="FAIL",0,Table1[[#This Row], [PROFIT]])</f>
        <v>9830037.8249999993</v>
      </c>
    </row>
    <row r="451" spans="1:24" ht="19.5" customHeight="1" x14ac:dyDescent="0.45">
      <c r="A451" t="s">
        <v>12</v>
      </c>
      <c r="B451" s="14">
        <f>_xlfn.XLOOKUP(Table1[[#This Row], [TEAM]],Sheet1!$A$12:$A$17,Sheet1!$F$12:$F$17)</f>
        <v>3</v>
      </c>
      <c r="C451" s="14">
        <f>_xlfn.XLOOKUP(Table1[[#This Row], [TEAM]],Sheet1!$A$12:$A$17,Sheet1!$G$12:$G$17)</f>
        <v>5988750</v>
      </c>
      <c r="D451" t="s">
        <v>29</v>
      </c>
      <c r="E451" s="4">
        <f>_xlfn.XLOOKUP(Table1[[#This Row], [ROOM]],Sheet1!$A$47:$A$66,Sheet1!$B$47:$B$66)</f>
        <v>236</v>
      </c>
      <c r="F451" t="s">
        <v>58</v>
      </c>
      <c r="G451" s="4">
        <f>_xlfn.XLOOKUP(Table1[[#This Row], [DISGUISE]],Sheet1!$A$21:$A$23,Sheet1!$B$21:$B$23)*Table1[[#This Row], [NUM OF MEM]]*(1+_xlfn.XLOOKUP(Table1[[#This Row], [DISGUISE]],Sheet1!$A$21:$A$23,Sheet1!$C$21:$C$23))</f>
        <v>38400</v>
      </c>
      <c r="H451" s="13" t="s">
        <v>59</v>
      </c>
      <c r="I451" s="4">
        <f>_xlfn.XLOOKUP(Table1[[#This Row], [WEAPON]],Sheet1!$A$27:$A$29,Sheet1!$B$27:$B$29)*Table1[[#This Row], [NUM OF MEM]]*(1+_xlfn.XLOOKUP(Table1[[#This Row], [WEAPON]],Sheet1!$A$27:$A$29,Sheet1!$C$27:$C$29))</f>
        <v>136500</v>
      </c>
      <c r="J451" t="s">
        <v>60</v>
      </c>
      <c r="K451" s="9">
        <f>Table1[[#This Row], [NUM OF MEM]]*Table1[[#This Row], [TOTAL TIME TAKEN]]*_xlfn.XLOOKUP(Table1[[#This Row], [EXIT]],Sheet1!$A$70:$A$71,Sheet1!$B$70:$B$71)*(1+_xlfn.XLOOKUP(Table1[[#This Row], [EXIT]],Sheet1!$A$70:$A$71,Sheet1!$C$70:$C$71))</f>
        <v>1698980.2249999992</v>
      </c>
      <c r="L451" s="13" t="s">
        <v>65</v>
      </c>
      <c r="M451" s="4">
        <f>IF(Table1[[#This Row], [EQUIPMENT]]="YES",Sheet1!$C$44*(1+Sheet1!$D$44),0)</f>
        <v>307500</v>
      </c>
      <c r="N451" s="4">
        <f>_xlfn.XLOOKUP(Table1[[#This Row], [ROOM]],Sheet1!$A$47:$A$66,Sheet1!$F$47:$F$66)</f>
        <v>18000000</v>
      </c>
      <c r="O451" s="9">
        <f>_xlfn.XLOOKUP(_xlfn.CONCAT(Table1[[#This Row], [TEAM]],Table1[[#This Row], [ROOM]]),'ROOM TIME'!$H$2:$H$121,'ROOM TIME'!$J$2:$J$121)</f>
        <v>39.14888888888887</v>
      </c>
      <c r="P451" s="9">
        <f>(INDEX(Sheet1!$X$48:$Z$67,MATCH(Table1[[#This Row], [ROOM]],Sheet1!$P$48:$P$67,0),MATCH(Table1[[#This Row], [WEAPON]],Sheet1!$X$47:$Z$47,0)))/Table1[[#This Row], [NUM OF MEM]]</f>
        <v>4.9833333333333334</v>
      </c>
      <c r="Q451" s="9">
        <f>Table1[[#This Row], [ROOM TIME]]+Table1[[#This Row], [GUARD TIME]]</f>
        <v>44.132222222222204</v>
      </c>
      <c r="R451" s="4">
        <f>Sheet1!$K$3*_xlfn.XLOOKUP(Table1[[#This Row], [DISGUISE]],Sheet1!$A$21:$A$23,Sheet1!$D$21:$D$23)</f>
        <v>69</v>
      </c>
      <c r="S451" s="9">
        <f>Table1[[#This Row], [TOTAL TIME]]-Table1[[#This Row], [TOTAL TIME TAKEN]]</f>
        <v>24.867777777777796</v>
      </c>
      <c r="T451" t="str">
        <f>IF(Table1[[#This Row], [TIME DIFFERENCE]]&gt;=0,"PASS","FAIL")</f>
        <v>PASS</v>
      </c>
      <c r="U451" s="9">
        <f>Table1[[#This Row], [TRC]]+Table1[[#This Row], [DRC]]+Table1[[#This Row], [WRC]]+Table1[[#This Row], [ERC]]+Table1[[#This Row], [EQRC]]</f>
        <v>8170130.2249999996</v>
      </c>
      <c r="V451" s="9">
        <f>Table1[[#This Row], [TOTAL COST]]+_xlfn.XLOOKUP(Table1[[#This Row], [TEAM]],Sheet1!$A$12:$A$17,Sheet1!$I$12:$I$17)</f>
        <v>8469567.7249999996</v>
      </c>
      <c r="W451" s="9">
        <f>Table1[[#This Row], [LOOT]]-Table1[[#This Row], [TOTAL COST]]</f>
        <v>9829869.7750000004</v>
      </c>
      <c r="X451" s="9">
        <f>IF(Table1[[#This Row], [PASS/FAIL]]="FAIL",0,Table1[[#This Row], [PROFIT]])</f>
        <v>9829869.7750000004</v>
      </c>
    </row>
    <row r="452" spans="1:24" ht="19.5" customHeight="1" x14ac:dyDescent="0.45">
      <c r="A452" t="s">
        <v>15</v>
      </c>
      <c r="B452" s="14">
        <f>_xlfn.XLOOKUP(Table1[[#This Row], [TEAM]],Sheet1!$A$12:$A$17,Sheet1!$F$12:$F$17)</f>
        <v>2</v>
      </c>
      <c r="C452" s="14">
        <f>_xlfn.XLOOKUP(Table1[[#This Row], [TEAM]],Sheet1!$A$12:$A$17,Sheet1!$G$12:$G$17)</f>
        <v>5932950</v>
      </c>
      <c r="D452" t="s">
        <v>20</v>
      </c>
      <c r="E452" s="4">
        <f>_xlfn.XLOOKUP(Table1[[#This Row], [ROOM]],Sheet1!$A$47:$A$66,Sheet1!$B$47:$B$66)</f>
        <v>145</v>
      </c>
      <c r="F452" t="s">
        <v>58</v>
      </c>
      <c r="G452" s="4">
        <f>_xlfn.XLOOKUP(Table1[[#This Row], [DISGUISE]],Sheet1!$A$21:$A$23,Sheet1!$B$21:$B$23)*Table1[[#This Row], [NUM OF MEM]]*(1+_xlfn.XLOOKUP(Table1[[#This Row], [DISGUISE]],Sheet1!$A$21:$A$23,Sheet1!$C$21:$C$23))</f>
        <v>25600</v>
      </c>
      <c r="H452" s="13" t="s">
        <v>66</v>
      </c>
      <c r="I452" s="4">
        <f>_xlfn.XLOOKUP(Table1[[#This Row], [WEAPON]],Sheet1!$A$27:$A$29,Sheet1!$B$27:$B$29)*Table1[[#This Row], [NUM OF MEM]]*(1+_xlfn.XLOOKUP(Table1[[#This Row], [WEAPON]],Sheet1!$A$27:$A$29,Sheet1!$C$27:$C$29))</f>
        <v>72000</v>
      </c>
      <c r="J452" t="s">
        <v>60</v>
      </c>
      <c r="K452" s="9">
        <f>Table1[[#This Row], [NUM OF MEM]]*Table1[[#This Row], [TOTAL TIME TAKEN]]*_xlfn.XLOOKUP(Table1[[#This Row], [EXIT]],Sheet1!$A$70:$A$71,Sheet1!$B$70:$B$71)*(1+_xlfn.XLOOKUP(Table1[[#This Row], [EXIT]],Sheet1!$A$70:$A$71,Sheet1!$C$70:$C$71))</f>
        <v>1689815.6812499992</v>
      </c>
      <c r="L452" s="13" t="s">
        <v>61</v>
      </c>
      <c r="M452" s="4">
        <f>IF(Table1[[#This Row], [EQUIPMENT]]="YES",Sheet1!$C$44*(1+Sheet1!$D$44),0)</f>
        <v>0</v>
      </c>
      <c r="N452" s="4">
        <f>_xlfn.XLOOKUP(Table1[[#This Row], [ROOM]],Sheet1!$A$47:$A$66,Sheet1!$F$47:$F$66)</f>
        <v>17550000</v>
      </c>
      <c r="O452" s="9">
        <f>_xlfn.XLOOKUP(_xlfn.CONCAT(Table1[[#This Row], [TEAM]],Table1[[#This Row], [ROOM]]),'ROOM TIME'!$H$2:$H$121,'ROOM TIME'!$J$2:$J$121)</f>
        <v>59.591249999999981</v>
      </c>
      <c r="P452" s="9">
        <f>(INDEX(Sheet1!$X$48:$Z$67,MATCH(Table1[[#This Row], [ROOM]],Sheet1!$P$48:$P$67,0),MATCH(Table1[[#This Row], [WEAPON]],Sheet1!$X$47:$Z$47,0)))/Table1[[#This Row], [NUM OF MEM]]</f>
        <v>6.25</v>
      </c>
      <c r="Q452" s="9">
        <f>Table1[[#This Row], [ROOM TIME]]+Table1[[#This Row], [GUARD TIME]]</f>
        <v>65.841249999999974</v>
      </c>
      <c r="R452" s="4">
        <f>Sheet1!$K$3*_xlfn.XLOOKUP(Table1[[#This Row], [DISGUISE]],Sheet1!$A$21:$A$23,Sheet1!$D$21:$D$23)</f>
        <v>69</v>
      </c>
      <c r="S452" s="9">
        <f>Table1[[#This Row], [TOTAL TIME]]-Table1[[#This Row], [TOTAL TIME TAKEN]]</f>
        <v>3.1587500000000261</v>
      </c>
      <c r="T452" t="str">
        <f>IF(Table1[[#This Row], [TIME DIFFERENCE]]&gt;=0,"PASS","FAIL")</f>
        <v>PASS</v>
      </c>
      <c r="U452" s="9">
        <f>Table1[[#This Row], [TRC]]+Table1[[#This Row], [DRC]]+Table1[[#This Row], [WRC]]+Table1[[#This Row], [ERC]]+Table1[[#This Row], [EQRC]]</f>
        <v>7720365.6812499994</v>
      </c>
      <c r="V452" s="9">
        <f>Table1[[#This Row], [TOTAL COST]]+_xlfn.XLOOKUP(Table1[[#This Row], [TEAM]],Sheet1!$A$12:$A$17,Sheet1!$I$12:$I$17)</f>
        <v>8017013.1812499994</v>
      </c>
      <c r="W452" s="9">
        <f>Table1[[#This Row], [LOOT]]-Table1[[#This Row], [TOTAL COST]]</f>
        <v>9829634.3187500015</v>
      </c>
      <c r="X452" s="9">
        <f>IF(Table1[[#This Row], [PASS/FAIL]]="FAIL",0,Table1[[#This Row], [PROFIT]])</f>
        <v>9829634.3187500015</v>
      </c>
    </row>
    <row r="453" spans="1:24" ht="19.5" customHeight="1" x14ac:dyDescent="0.45">
      <c r="A453" t="s">
        <v>13</v>
      </c>
      <c r="B453" s="14">
        <f>_xlfn.XLOOKUP(Table1[[#This Row], [TEAM]],Sheet1!$A$12:$A$17,Sheet1!$F$12:$F$17)</f>
        <v>3</v>
      </c>
      <c r="C453" s="14">
        <f>_xlfn.XLOOKUP(Table1[[#This Row], [TEAM]],Sheet1!$A$12:$A$17,Sheet1!$G$12:$G$17)</f>
        <v>5930000</v>
      </c>
      <c r="D453" t="s">
        <v>29</v>
      </c>
      <c r="E453" s="4">
        <f>_xlfn.XLOOKUP(Table1[[#This Row], [ROOM]],Sheet1!$A$47:$A$66,Sheet1!$B$47:$B$66)</f>
        <v>236</v>
      </c>
      <c r="F453" t="s">
        <v>58</v>
      </c>
      <c r="G453" s="4">
        <f>_xlfn.XLOOKUP(Table1[[#This Row], [DISGUISE]],Sheet1!$A$21:$A$23,Sheet1!$B$21:$B$23)*Table1[[#This Row], [NUM OF MEM]]*(1+_xlfn.XLOOKUP(Table1[[#This Row], [DISGUISE]],Sheet1!$A$21:$A$23,Sheet1!$C$21:$C$23))</f>
        <v>38400</v>
      </c>
      <c r="H453" s="13" t="s">
        <v>59</v>
      </c>
      <c r="I453" s="4">
        <f>_xlfn.XLOOKUP(Table1[[#This Row], [WEAPON]],Sheet1!$A$27:$A$29,Sheet1!$B$27:$B$29)*Table1[[#This Row], [NUM OF MEM]]*(1+_xlfn.XLOOKUP(Table1[[#This Row], [WEAPON]],Sheet1!$A$27:$A$29,Sheet1!$C$27:$C$29))</f>
        <v>136500</v>
      </c>
      <c r="J453" t="s">
        <v>60</v>
      </c>
      <c r="K453" s="9">
        <f>Table1[[#This Row], [NUM OF MEM]]*Table1[[#This Row], [TOTAL TIME TAKEN]]*_xlfn.XLOOKUP(Table1[[#This Row], [EXIT]],Sheet1!$A$70:$A$71,Sheet1!$B$70:$B$71)*(1+_xlfn.XLOOKUP(Table1[[#This Row], [EXIT]],Sheet1!$A$70:$A$71,Sheet1!$C$70:$C$71))</f>
        <v>1758116.6624999999</v>
      </c>
      <c r="L453" s="13" t="s">
        <v>65</v>
      </c>
      <c r="M453" s="4">
        <f>IF(Table1[[#This Row], [EQUIPMENT]]="YES",Sheet1!$C$44*(1+Sheet1!$D$44),0)</f>
        <v>307500</v>
      </c>
      <c r="N453" s="4">
        <f>_xlfn.XLOOKUP(Table1[[#This Row], [ROOM]],Sheet1!$A$47:$A$66,Sheet1!$F$47:$F$66)</f>
        <v>18000000</v>
      </c>
      <c r="O453" s="9">
        <f>_xlfn.XLOOKUP(_xlfn.CONCAT(Table1[[#This Row], [TEAM]],Table1[[#This Row], [ROOM]]),'ROOM TIME'!$H$2:$H$121,'ROOM TIME'!$J$2:$J$121)</f>
        <v>40.684999999999995</v>
      </c>
      <c r="P453" s="9">
        <f>(INDEX(Sheet1!$X$48:$Z$67,MATCH(Table1[[#This Row], [ROOM]],Sheet1!$P$48:$P$67,0),MATCH(Table1[[#This Row], [WEAPON]],Sheet1!$X$47:$Z$47,0)))/Table1[[#This Row], [NUM OF MEM]]</f>
        <v>4.9833333333333334</v>
      </c>
      <c r="Q453" s="9">
        <f>Table1[[#This Row], [ROOM TIME]]+Table1[[#This Row], [GUARD TIME]]</f>
        <v>45.668333333333329</v>
      </c>
      <c r="R453" s="4">
        <f>Sheet1!$K$3*_xlfn.XLOOKUP(Table1[[#This Row], [DISGUISE]],Sheet1!$A$21:$A$23,Sheet1!$D$21:$D$23)</f>
        <v>69</v>
      </c>
      <c r="S453" s="9">
        <f>Table1[[#This Row], [TOTAL TIME]]-Table1[[#This Row], [TOTAL TIME TAKEN]]</f>
        <v>23.331666666666671</v>
      </c>
      <c r="T453" t="str">
        <f>IF(Table1[[#This Row], [TIME DIFFERENCE]]&gt;=0,"PASS","FAIL")</f>
        <v>PASS</v>
      </c>
      <c r="U453" s="9">
        <f>Table1[[#This Row], [TRC]]+Table1[[#This Row], [DRC]]+Table1[[#This Row], [WRC]]+Table1[[#This Row], [ERC]]+Table1[[#This Row], [EQRC]]</f>
        <v>8170516.6624999996</v>
      </c>
      <c r="V453" s="9">
        <f>Table1[[#This Row], [TOTAL COST]]+_xlfn.XLOOKUP(Table1[[#This Row], [TEAM]],Sheet1!$A$12:$A$17,Sheet1!$I$12:$I$17)</f>
        <v>8467016.6624999996</v>
      </c>
      <c r="W453" s="9">
        <f>Table1[[#This Row], [LOOT]]-Table1[[#This Row], [TOTAL COST]]</f>
        <v>9829483.3375000004</v>
      </c>
      <c r="X453" s="9">
        <f>IF(Table1[[#This Row], [PASS/FAIL]]="FAIL",0,Table1[[#This Row], [PROFIT]])</f>
        <v>9829483.3375000004</v>
      </c>
    </row>
    <row r="454" spans="1:24" ht="19.5" customHeight="1" x14ac:dyDescent="0.45">
      <c r="A454" t="s">
        <v>15</v>
      </c>
      <c r="B454" s="14">
        <f>_xlfn.XLOOKUP(Table1[[#This Row], [TEAM]],Sheet1!$A$12:$A$17,Sheet1!$F$12:$F$17)</f>
        <v>2</v>
      </c>
      <c r="C454" s="14">
        <f>_xlfn.XLOOKUP(Table1[[#This Row], [TEAM]],Sheet1!$A$12:$A$17,Sheet1!$G$12:$G$17)</f>
        <v>5932950</v>
      </c>
      <c r="D454" t="s">
        <v>20</v>
      </c>
      <c r="E454" s="4">
        <f>_xlfn.XLOOKUP(Table1[[#This Row], [ROOM]],Sheet1!$A$47:$A$66,Sheet1!$B$47:$B$66)</f>
        <v>145</v>
      </c>
      <c r="F454" t="s">
        <v>62</v>
      </c>
      <c r="G454" s="4">
        <f>_xlfn.XLOOKUP(Table1[[#This Row], [DISGUISE]],Sheet1!$A$21:$A$23,Sheet1!$B$21:$B$23)*Table1[[#This Row], [NUM OF MEM]]*(1+_xlfn.XLOOKUP(Table1[[#This Row], [DISGUISE]],Sheet1!$A$21:$A$23,Sheet1!$C$21:$C$23))</f>
        <v>10400</v>
      </c>
      <c r="H454" s="13" t="s">
        <v>66</v>
      </c>
      <c r="I454" s="4">
        <f>_xlfn.XLOOKUP(Table1[[#This Row], [WEAPON]],Sheet1!$A$27:$A$29,Sheet1!$B$27:$B$29)*Table1[[#This Row], [NUM OF MEM]]*(1+_xlfn.XLOOKUP(Table1[[#This Row], [WEAPON]],Sheet1!$A$27:$A$29,Sheet1!$C$27:$C$29))</f>
        <v>72000</v>
      </c>
      <c r="J454" t="s">
        <v>64</v>
      </c>
      <c r="K454" s="9">
        <f>Table1[[#This Row], [NUM OF MEM]]*Table1[[#This Row], [TOTAL TIME TAKEN]]*_xlfn.XLOOKUP(Table1[[#This Row], [EXIT]],Sheet1!$A$70:$A$71,Sheet1!$B$70:$B$71)*(1+_xlfn.XLOOKUP(Table1[[#This Row], [EXIT]],Sheet1!$A$70:$A$71,Sheet1!$C$70:$C$71))</f>
        <v>1706605.1999999995</v>
      </c>
      <c r="L454" s="13" t="s">
        <v>61</v>
      </c>
      <c r="M454" s="4">
        <f>IF(Table1[[#This Row], [EQUIPMENT]]="YES",Sheet1!$C$44*(1+Sheet1!$D$44),0)</f>
        <v>0</v>
      </c>
      <c r="N454" s="4">
        <f>_xlfn.XLOOKUP(Table1[[#This Row], [ROOM]],Sheet1!$A$47:$A$66,Sheet1!$F$47:$F$66)</f>
        <v>17550000</v>
      </c>
      <c r="O454" s="9">
        <f>_xlfn.XLOOKUP(_xlfn.CONCAT(Table1[[#This Row], [TEAM]],Table1[[#This Row], [ROOM]]),'ROOM TIME'!$H$2:$H$121,'ROOM TIME'!$J$2:$J$121)</f>
        <v>59.591249999999981</v>
      </c>
      <c r="P454" s="9">
        <f>(INDEX(Sheet1!$X$48:$Z$67,MATCH(Table1[[#This Row], [ROOM]],Sheet1!$P$48:$P$67,0),MATCH(Table1[[#This Row], [WEAPON]],Sheet1!$X$47:$Z$47,0)))/Table1[[#This Row], [NUM OF MEM]]</f>
        <v>6.25</v>
      </c>
      <c r="Q454" s="9">
        <f>Table1[[#This Row], [ROOM TIME]]+Table1[[#This Row], [GUARD TIME]]</f>
        <v>65.841249999999974</v>
      </c>
      <c r="R454" s="4">
        <f>Sheet1!$K$3*_xlfn.XLOOKUP(Table1[[#This Row], [DISGUISE]],Sheet1!$A$21:$A$23,Sheet1!$D$21:$D$23)</f>
        <v>66</v>
      </c>
      <c r="S454" s="9">
        <f>Table1[[#This Row], [TOTAL TIME]]-Table1[[#This Row], [TOTAL TIME TAKEN]]</f>
        <v>0.15875000000002615</v>
      </c>
      <c r="T454" t="str">
        <f>IF(Table1[[#This Row], [TIME DIFFERENCE]]&gt;=0,"PASS","FAIL")</f>
        <v>PASS</v>
      </c>
      <c r="U454" s="9">
        <f>Table1[[#This Row], [TRC]]+Table1[[#This Row], [DRC]]+Table1[[#This Row], [WRC]]+Table1[[#This Row], [ERC]]+Table1[[#This Row], [EQRC]]</f>
        <v>7721955.1999999993</v>
      </c>
      <c r="V454" s="9">
        <f>Table1[[#This Row], [TOTAL COST]]+_xlfn.XLOOKUP(Table1[[#This Row], [TEAM]],Sheet1!$A$12:$A$17,Sheet1!$I$12:$I$17)</f>
        <v>8018602.6999999993</v>
      </c>
      <c r="W454" s="9">
        <f>Table1[[#This Row], [LOOT]]-Table1[[#This Row], [TOTAL COST]]</f>
        <v>9828044.8000000007</v>
      </c>
      <c r="X454" s="9">
        <f>IF(Table1[[#This Row], [PASS/FAIL]]="FAIL",0,Table1[[#This Row], [PROFIT]])</f>
        <v>9828044.8000000007</v>
      </c>
    </row>
    <row r="455" spans="1:24" ht="19.5" customHeight="1" x14ac:dyDescent="0.45">
      <c r="A455" t="s">
        <v>15</v>
      </c>
      <c r="B455" s="14">
        <f>_xlfn.XLOOKUP(Table1[[#This Row], [TEAM]],Sheet1!$A$12:$A$17,Sheet1!$F$12:$F$17)</f>
        <v>2</v>
      </c>
      <c r="C455" s="14">
        <f>_xlfn.XLOOKUP(Table1[[#This Row], [TEAM]],Sheet1!$A$12:$A$17,Sheet1!$G$12:$G$17)</f>
        <v>5932950</v>
      </c>
      <c r="D455" t="s">
        <v>19</v>
      </c>
      <c r="E455" s="4">
        <f>_xlfn.XLOOKUP(Table1[[#This Row], [ROOM]],Sheet1!$A$47:$A$66,Sheet1!$B$47:$B$66)</f>
        <v>135</v>
      </c>
      <c r="F455" t="s">
        <v>58</v>
      </c>
      <c r="G455" s="4">
        <f>_xlfn.XLOOKUP(Table1[[#This Row], [DISGUISE]],Sheet1!$A$21:$A$23,Sheet1!$B$21:$B$23)*Table1[[#This Row], [NUM OF MEM]]*(1+_xlfn.XLOOKUP(Table1[[#This Row], [DISGUISE]],Sheet1!$A$21:$A$23,Sheet1!$C$21:$C$23))</f>
        <v>25600</v>
      </c>
      <c r="H455" s="13" t="s">
        <v>59</v>
      </c>
      <c r="I455" s="4">
        <f>_xlfn.XLOOKUP(Table1[[#This Row], [WEAPON]],Sheet1!$A$27:$A$29,Sheet1!$B$27:$B$29)*Table1[[#This Row], [NUM OF MEM]]*(1+_xlfn.XLOOKUP(Table1[[#This Row], [WEAPON]],Sheet1!$A$27:$A$29,Sheet1!$C$27:$C$29))</f>
        <v>91000</v>
      </c>
      <c r="J455" t="s">
        <v>64</v>
      </c>
      <c r="K455" s="9">
        <f>Table1[[#This Row], [NUM OF MEM]]*Table1[[#This Row], [TOTAL TIME TAKEN]]*_xlfn.XLOOKUP(Table1[[#This Row], [EXIT]],Sheet1!$A$70:$A$71,Sheet1!$B$70:$B$71)*(1+_xlfn.XLOOKUP(Table1[[#This Row], [EXIT]],Sheet1!$A$70:$A$71,Sheet1!$C$70:$C$71))</f>
        <v>1765411.199999999</v>
      </c>
      <c r="L455" s="13" t="s">
        <v>65</v>
      </c>
      <c r="M455" s="4">
        <f>IF(Table1[[#This Row], [EQUIPMENT]]="YES",Sheet1!$C$44*(1+Sheet1!$D$44),0)</f>
        <v>307500</v>
      </c>
      <c r="N455" s="4">
        <f>_xlfn.XLOOKUP(Table1[[#This Row], [ROOM]],Sheet1!$A$47:$A$66,Sheet1!$F$47:$F$66)</f>
        <v>17950000</v>
      </c>
      <c r="O455" s="9">
        <f>_xlfn.XLOOKUP(_xlfn.CONCAT(Table1[[#This Row], [TEAM]],Table1[[#This Row], [ROOM]]),'ROOM TIME'!$H$2:$H$121,'ROOM TIME'!$J$2:$J$121)</f>
        <v>61.784999999999975</v>
      </c>
      <c r="P455" s="9">
        <f>(INDEX(Sheet1!$X$48:$Z$67,MATCH(Table1[[#This Row], [ROOM]],Sheet1!$P$48:$P$67,0),MATCH(Table1[[#This Row], [WEAPON]],Sheet1!$X$47:$Z$47,0)))/Table1[[#This Row], [NUM OF MEM]]</f>
        <v>6.3249999999999993</v>
      </c>
      <c r="Q455" s="9">
        <f>Table1[[#This Row], [ROOM TIME]]+Table1[[#This Row], [GUARD TIME]]</f>
        <v>68.109999999999971</v>
      </c>
      <c r="R455" s="4">
        <f>Sheet1!$K$3*_xlfn.XLOOKUP(Table1[[#This Row], [DISGUISE]],Sheet1!$A$21:$A$23,Sheet1!$D$21:$D$23)</f>
        <v>69</v>
      </c>
      <c r="S455" s="9">
        <f>Table1[[#This Row], [TOTAL TIME]]-Table1[[#This Row], [TOTAL TIME TAKEN]]</f>
        <v>0.89000000000002899</v>
      </c>
      <c r="T455" t="str">
        <f>IF(Table1[[#This Row], [TIME DIFFERENCE]]&gt;=0,"PASS","FAIL")</f>
        <v>PASS</v>
      </c>
      <c r="U455" s="9">
        <f>Table1[[#This Row], [TRC]]+Table1[[#This Row], [DRC]]+Table1[[#This Row], [WRC]]+Table1[[#This Row], [ERC]]+Table1[[#This Row], [EQRC]]</f>
        <v>8122461.1999999993</v>
      </c>
      <c r="V455" s="9">
        <f>Table1[[#This Row], [TOTAL COST]]+_xlfn.XLOOKUP(Table1[[#This Row], [TEAM]],Sheet1!$A$12:$A$17,Sheet1!$I$12:$I$17)</f>
        <v>8419108.6999999993</v>
      </c>
      <c r="W455" s="9">
        <f>Table1[[#This Row], [LOOT]]-Table1[[#This Row], [TOTAL COST]]</f>
        <v>9827538.8000000007</v>
      </c>
      <c r="X455" s="9">
        <f>IF(Table1[[#This Row], [PASS/FAIL]]="FAIL",0,Table1[[#This Row], [PROFIT]])</f>
        <v>9827538.8000000007</v>
      </c>
    </row>
    <row r="456" spans="1:24" ht="19.5" customHeight="1" x14ac:dyDescent="0.45">
      <c r="A456" t="s">
        <v>13</v>
      </c>
      <c r="B456" s="14">
        <f>_xlfn.XLOOKUP(Table1[[#This Row], [TEAM]],Sheet1!$A$12:$A$17,Sheet1!$F$12:$F$17)</f>
        <v>3</v>
      </c>
      <c r="C456" s="14">
        <f>_xlfn.XLOOKUP(Table1[[#This Row], [TEAM]],Sheet1!$A$12:$A$17,Sheet1!$G$12:$G$17)</f>
        <v>5930000</v>
      </c>
      <c r="D456" t="s">
        <v>18</v>
      </c>
      <c r="E456" s="4">
        <f>_xlfn.XLOOKUP(Table1[[#This Row], [ROOM]],Sheet1!$A$47:$A$66,Sheet1!$B$47:$B$66)</f>
        <v>134</v>
      </c>
      <c r="F456" t="s">
        <v>62</v>
      </c>
      <c r="G456" s="4">
        <f>_xlfn.XLOOKUP(Table1[[#This Row], [DISGUISE]],Sheet1!$A$21:$A$23,Sheet1!$B$21:$B$23)*Table1[[#This Row], [NUM OF MEM]]*(1+_xlfn.XLOOKUP(Table1[[#This Row], [DISGUISE]],Sheet1!$A$21:$A$23,Sheet1!$C$21:$C$23))</f>
        <v>15600</v>
      </c>
      <c r="H456" s="13" t="s">
        <v>59</v>
      </c>
      <c r="I456" s="4">
        <f>_xlfn.XLOOKUP(Table1[[#This Row], [WEAPON]],Sheet1!$A$27:$A$29,Sheet1!$B$27:$B$29)*Table1[[#This Row], [NUM OF MEM]]*(1+_xlfn.XLOOKUP(Table1[[#This Row], [WEAPON]],Sheet1!$A$27:$A$29,Sheet1!$C$27:$C$29))</f>
        <v>136500</v>
      </c>
      <c r="J456" t="s">
        <v>60</v>
      </c>
      <c r="K456" s="9">
        <f>Table1[[#This Row], [NUM OF MEM]]*Table1[[#This Row], [TOTAL TIME TAKEN]]*_xlfn.XLOOKUP(Table1[[#This Row], [EXIT]],Sheet1!$A$70:$A$71,Sheet1!$B$70:$B$71)*(1+_xlfn.XLOOKUP(Table1[[#This Row], [EXIT]],Sheet1!$A$70:$A$71,Sheet1!$C$70:$C$71))</f>
        <v>1833657.3124999995</v>
      </c>
      <c r="L456" s="13" t="s">
        <v>65</v>
      </c>
      <c r="M456" s="4">
        <f>IF(Table1[[#This Row], [EQUIPMENT]]="YES",Sheet1!$C$44*(1+Sheet1!$D$44),0)</f>
        <v>307500</v>
      </c>
      <c r="N456" s="4">
        <f>_xlfn.XLOOKUP(Table1[[#This Row], [ROOM]],Sheet1!$A$47:$A$66,Sheet1!$F$47:$F$66)</f>
        <v>18050000</v>
      </c>
      <c r="O456" s="9">
        <f>_xlfn.XLOOKUP(_xlfn.CONCAT(Table1[[#This Row], [TEAM]],Table1[[#This Row], [ROOM]]),'ROOM TIME'!$H$2:$H$121,'ROOM TIME'!$J$2:$J$121)</f>
        <v>43.030555555555544</v>
      </c>
      <c r="P456" s="9">
        <f>(INDEX(Sheet1!$X$48:$Z$67,MATCH(Table1[[#This Row], [ROOM]],Sheet1!$P$48:$P$67,0),MATCH(Table1[[#This Row], [WEAPON]],Sheet1!$X$47:$Z$47,0)))/Table1[[#This Row], [NUM OF MEM]]</f>
        <v>4.5999999999999996</v>
      </c>
      <c r="Q456" s="9">
        <f>Table1[[#This Row], [ROOM TIME]]+Table1[[#This Row], [GUARD TIME]]</f>
        <v>47.630555555555546</v>
      </c>
      <c r="R456" s="4">
        <f>Sheet1!$K$3*_xlfn.XLOOKUP(Table1[[#This Row], [DISGUISE]],Sheet1!$A$21:$A$23,Sheet1!$D$21:$D$23)</f>
        <v>66</v>
      </c>
      <c r="S456" s="9">
        <f>Table1[[#This Row], [TOTAL TIME]]-Table1[[#This Row], [TOTAL TIME TAKEN]]</f>
        <v>18.369444444444454</v>
      </c>
      <c r="T456" t="str">
        <f>IF(Table1[[#This Row], [TIME DIFFERENCE]]&gt;=0,"PASS","FAIL")</f>
        <v>PASS</v>
      </c>
      <c r="U456" s="9">
        <f>Table1[[#This Row], [TRC]]+Table1[[#This Row], [DRC]]+Table1[[#This Row], [WRC]]+Table1[[#This Row], [ERC]]+Table1[[#This Row], [EQRC]]</f>
        <v>8223257.3125</v>
      </c>
      <c r="V456" s="9">
        <f>Table1[[#This Row], [TOTAL COST]]+_xlfn.XLOOKUP(Table1[[#This Row], [TEAM]],Sheet1!$A$12:$A$17,Sheet1!$I$12:$I$17)</f>
        <v>8519757.3125</v>
      </c>
      <c r="W456" s="9">
        <f>Table1[[#This Row], [LOOT]]-Table1[[#This Row], [TOTAL COST]]</f>
        <v>9826742.6875</v>
      </c>
      <c r="X456" s="9">
        <f>IF(Table1[[#This Row], [PASS/FAIL]]="FAIL",0,Table1[[#This Row], [PROFIT]])</f>
        <v>9826742.6875</v>
      </c>
    </row>
    <row r="457" spans="1:24" ht="19.5" customHeight="1" x14ac:dyDescent="0.45">
      <c r="A457" t="s">
        <v>14</v>
      </c>
      <c r="B457" s="14">
        <f>_xlfn.XLOOKUP(Table1[[#This Row], [TEAM]],Sheet1!$A$12:$A$17,Sheet1!$F$12:$F$17)</f>
        <v>2</v>
      </c>
      <c r="C457" s="14">
        <f>_xlfn.XLOOKUP(Table1[[#This Row], [TEAM]],Sheet1!$A$12:$A$17,Sheet1!$G$12:$G$17)</f>
        <v>5949600</v>
      </c>
      <c r="D457" t="s">
        <v>19</v>
      </c>
      <c r="E457" s="4">
        <f>_xlfn.XLOOKUP(Table1[[#This Row], [ROOM]],Sheet1!$A$47:$A$66,Sheet1!$B$47:$B$66)</f>
        <v>135</v>
      </c>
      <c r="F457" t="s">
        <v>58</v>
      </c>
      <c r="G457" s="4">
        <f>_xlfn.XLOOKUP(Table1[[#This Row], [DISGUISE]],Sheet1!$A$21:$A$23,Sheet1!$B$21:$B$23)*Table1[[#This Row], [NUM OF MEM]]*(1+_xlfn.XLOOKUP(Table1[[#This Row], [DISGUISE]],Sheet1!$A$21:$A$23,Sheet1!$C$21:$C$23))</f>
        <v>25600</v>
      </c>
      <c r="H457" s="13" t="s">
        <v>66</v>
      </c>
      <c r="I457" s="4">
        <f>_xlfn.XLOOKUP(Table1[[#This Row], [WEAPON]],Sheet1!$A$27:$A$29,Sheet1!$B$27:$B$29)*Table1[[#This Row], [NUM OF MEM]]*(1+_xlfn.XLOOKUP(Table1[[#This Row], [WEAPON]],Sheet1!$A$27:$A$29,Sheet1!$C$27:$C$29))</f>
        <v>72000</v>
      </c>
      <c r="J457" t="s">
        <v>60</v>
      </c>
      <c r="K457" s="9">
        <f>Table1[[#This Row], [NUM OF MEM]]*Table1[[#This Row], [TOTAL TIME TAKEN]]*_xlfn.XLOOKUP(Table1[[#This Row], [EXIT]],Sheet1!$A$70:$A$71,Sheet1!$B$70:$B$71)*(1+_xlfn.XLOOKUP(Table1[[#This Row], [EXIT]],Sheet1!$A$70:$A$71,Sheet1!$C$70:$C$71))</f>
        <v>1768863.8812499996</v>
      </c>
      <c r="L457" s="13" t="s">
        <v>65</v>
      </c>
      <c r="M457" s="4">
        <f>IF(Table1[[#This Row], [EQUIPMENT]]="YES",Sheet1!$C$44*(1+Sheet1!$D$44),0)</f>
        <v>307500</v>
      </c>
      <c r="N457" s="4">
        <f>_xlfn.XLOOKUP(Table1[[#This Row], [ROOM]],Sheet1!$A$47:$A$66,Sheet1!$F$47:$F$66)</f>
        <v>17950000</v>
      </c>
      <c r="O457" s="9">
        <f>_xlfn.XLOOKUP(_xlfn.CONCAT(Table1[[#This Row], [TEAM]],Table1[[#This Row], [ROOM]]),'ROOM TIME'!$H$2:$H$121,'ROOM TIME'!$J$2:$J$121)</f>
        <v>62.046249999999986</v>
      </c>
      <c r="P457" s="9">
        <f>(INDEX(Sheet1!$X$48:$Z$67,MATCH(Table1[[#This Row], [ROOM]],Sheet1!$P$48:$P$67,0),MATCH(Table1[[#This Row], [WEAPON]],Sheet1!$X$47:$Z$47,0)))/Table1[[#This Row], [NUM OF MEM]]</f>
        <v>6.875</v>
      </c>
      <c r="Q457" s="9">
        <f>Table1[[#This Row], [ROOM TIME]]+Table1[[#This Row], [GUARD TIME]]</f>
        <v>68.921249999999986</v>
      </c>
      <c r="R457" s="4">
        <f>Sheet1!$K$3*_xlfn.XLOOKUP(Table1[[#This Row], [DISGUISE]],Sheet1!$A$21:$A$23,Sheet1!$D$21:$D$23)</f>
        <v>69</v>
      </c>
      <c r="S457" s="9">
        <f>Table1[[#This Row], [TOTAL TIME]]-Table1[[#This Row], [TOTAL TIME TAKEN]]</f>
        <v>7.8750000000013642E-2</v>
      </c>
      <c r="T457" t="str">
        <f>IF(Table1[[#This Row], [TIME DIFFERENCE]]&gt;=0,"PASS","FAIL")</f>
        <v>PASS</v>
      </c>
      <c r="U457" s="9">
        <f>Table1[[#This Row], [TRC]]+Table1[[#This Row], [DRC]]+Table1[[#This Row], [WRC]]+Table1[[#This Row], [ERC]]+Table1[[#This Row], [EQRC]]</f>
        <v>8123563.8812499996</v>
      </c>
      <c r="V457" s="9">
        <f>Table1[[#This Row], [TOTAL COST]]+_xlfn.XLOOKUP(Table1[[#This Row], [TEAM]],Sheet1!$A$12:$A$17,Sheet1!$I$12:$I$17)</f>
        <v>8421043.8812499996</v>
      </c>
      <c r="W457" s="9">
        <f>Table1[[#This Row], [LOOT]]-Table1[[#This Row], [TOTAL COST]]</f>
        <v>9826436.1187500004</v>
      </c>
      <c r="X457" s="9">
        <f>IF(Table1[[#This Row], [PASS/FAIL]]="FAIL",0,Table1[[#This Row], [PROFIT]])</f>
        <v>9826436.1187500004</v>
      </c>
    </row>
    <row r="458" spans="1:24" ht="19.5" customHeight="1" x14ac:dyDescent="0.45">
      <c r="A458" t="s">
        <v>12</v>
      </c>
      <c r="B458" s="14">
        <f>_xlfn.XLOOKUP(Table1[[#This Row], [TEAM]],Sheet1!$A$12:$A$17,Sheet1!$F$12:$F$17)</f>
        <v>3</v>
      </c>
      <c r="C458" s="14">
        <f>_xlfn.XLOOKUP(Table1[[#This Row], [TEAM]],Sheet1!$A$12:$A$17,Sheet1!$G$12:$G$17)</f>
        <v>5988750</v>
      </c>
      <c r="D458" t="s">
        <v>18</v>
      </c>
      <c r="E458" s="4">
        <f>_xlfn.XLOOKUP(Table1[[#This Row], [ROOM]],Sheet1!$A$47:$A$66,Sheet1!$B$47:$B$66)</f>
        <v>134</v>
      </c>
      <c r="F458" t="s">
        <v>58</v>
      </c>
      <c r="G458" s="4">
        <f>_xlfn.XLOOKUP(Table1[[#This Row], [DISGUISE]],Sheet1!$A$21:$A$23,Sheet1!$B$21:$B$23)*Table1[[#This Row], [NUM OF MEM]]*(1+_xlfn.XLOOKUP(Table1[[#This Row], [DISGUISE]],Sheet1!$A$21:$A$23,Sheet1!$C$21:$C$23))</f>
        <v>38400</v>
      </c>
      <c r="H458" s="13" t="s">
        <v>63</v>
      </c>
      <c r="I458" s="4">
        <f>_xlfn.XLOOKUP(Table1[[#This Row], [WEAPON]],Sheet1!$A$27:$A$29,Sheet1!$B$27:$B$29)*Table1[[#This Row], [NUM OF MEM]]*(1+_xlfn.XLOOKUP(Table1[[#This Row], [WEAPON]],Sheet1!$A$27:$A$29,Sheet1!$C$27:$C$29))</f>
        <v>69000</v>
      </c>
      <c r="J458" t="s">
        <v>64</v>
      </c>
      <c r="K458" s="9">
        <f>Table1[[#This Row], [NUM OF MEM]]*Table1[[#This Row], [TOTAL TIME TAKEN]]*_xlfn.XLOOKUP(Table1[[#This Row], [EXIT]],Sheet1!$A$70:$A$71,Sheet1!$B$70:$B$71)*(1+_xlfn.XLOOKUP(Table1[[#This Row], [EXIT]],Sheet1!$A$70:$A$71,Sheet1!$C$70:$C$71))</f>
        <v>1820318.3999999997</v>
      </c>
      <c r="L458" s="13" t="s">
        <v>65</v>
      </c>
      <c r="M458" s="4">
        <f>IF(Table1[[#This Row], [EQUIPMENT]]="YES",Sheet1!$C$44*(1+Sheet1!$D$44),0)</f>
        <v>307500</v>
      </c>
      <c r="N458" s="4">
        <f>_xlfn.XLOOKUP(Table1[[#This Row], [ROOM]],Sheet1!$A$47:$A$66,Sheet1!$F$47:$F$66)</f>
        <v>18050000</v>
      </c>
      <c r="O458" s="9">
        <f>_xlfn.XLOOKUP(_xlfn.CONCAT(Table1[[#This Row], [TEAM]],Table1[[#This Row], [ROOM]]),'ROOM TIME'!$H$2:$H$121,'ROOM TIME'!$J$2:$J$121)</f>
        <v>41.41888888888888</v>
      </c>
      <c r="P458" s="9">
        <f>(INDEX(Sheet1!$X$48:$Z$67,MATCH(Table1[[#This Row], [ROOM]],Sheet1!$P$48:$P$67,0),MATCH(Table1[[#This Row], [WEAPON]],Sheet1!$X$47:$Z$47,0)))/Table1[[#This Row], [NUM OF MEM]]</f>
        <v>5.4000000000000012</v>
      </c>
      <c r="Q458" s="9">
        <f>Table1[[#This Row], [ROOM TIME]]+Table1[[#This Row], [GUARD TIME]]</f>
        <v>46.818888888888878</v>
      </c>
      <c r="R458" s="4">
        <f>Sheet1!$K$3*_xlfn.XLOOKUP(Table1[[#This Row], [DISGUISE]],Sheet1!$A$21:$A$23,Sheet1!$D$21:$D$23)</f>
        <v>69</v>
      </c>
      <c r="S458" s="9">
        <f>Table1[[#This Row], [TOTAL TIME]]-Table1[[#This Row], [TOTAL TIME TAKEN]]</f>
        <v>22.181111111111122</v>
      </c>
      <c r="T458" t="str">
        <f>IF(Table1[[#This Row], [TIME DIFFERENCE]]&gt;=0,"PASS","FAIL")</f>
        <v>PASS</v>
      </c>
      <c r="U458" s="9">
        <f>Table1[[#This Row], [TRC]]+Table1[[#This Row], [DRC]]+Table1[[#This Row], [WRC]]+Table1[[#This Row], [ERC]]+Table1[[#This Row], [EQRC]]</f>
        <v>8223968.3999999994</v>
      </c>
      <c r="V458" s="9">
        <f>Table1[[#This Row], [TOTAL COST]]+_xlfn.XLOOKUP(Table1[[#This Row], [TEAM]],Sheet1!$A$12:$A$17,Sheet1!$I$12:$I$17)</f>
        <v>8523405.8999999985</v>
      </c>
      <c r="W458" s="9">
        <f>Table1[[#This Row], [LOOT]]-Table1[[#This Row], [TOTAL COST]]</f>
        <v>9826031.6000000015</v>
      </c>
      <c r="X458" s="9">
        <f>IF(Table1[[#This Row], [PASS/FAIL]]="FAIL",0,Table1[[#This Row], [PROFIT]])</f>
        <v>9826031.6000000015</v>
      </c>
    </row>
    <row r="459" spans="1:24" ht="19.5" customHeight="1" x14ac:dyDescent="0.45">
      <c r="A459" t="s">
        <v>15</v>
      </c>
      <c r="B459" s="14">
        <f>_xlfn.XLOOKUP(Table1[[#This Row], [TEAM]],Sheet1!$A$12:$A$17,Sheet1!$F$12:$F$17)</f>
        <v>2</v>
      </c>
      <c r="C459" s="14">
        <f>_xlfn.XLOOKUP(Table1[[#This Row], [TEAM]],Sheet1!$A$12:$A$17,Sheet1!$G$12:$G$17)</f>
        <v>5932950</v>
      </c>
      <c r="D459" t="s">
        <v>20</v>
      </c>
      <c r="E459" s="4">
        <f>_xlfn.XLOOKUP(Table1[[#This Row], [ROOM]],Sheet1!$A$47:$A$66,Sheet1!$B$47:$B$66)</f>
        <v>145</v>
      </c>
      <c r="F459" t="s">
        <v>58</v>
      </c>
      <c r="G459" s="4">
        <f>_xlfn.XLOOKUP(Table1[[#This Row], [DISGUISE]],Sheet1!$A$21:$A$23,Sheet1!$B$21:$B$23)*Table1[[#This Row], [NUM OF MEM]]*(1+_xlfn.XLOOKUP(Table1[[#This Row], [DISGUISE]],Sheet1!$A$21:$A$23,Sheet1!$C$21:$C$23))</f>
        <v>25600</v>
      </c>
      <c r="H459" s="13" t="s">
        <v>63</v>
      </c>
      <c r="I459" s="4">
        <f>_xlfn.XLOOKUP(Table1[[#This Row], [WEAPON]],Sheet1!$A$27:$A$29,Sheet1!$B$27:$B$29)*Table1[[#This Row], [NUM OF MEM]]*(1+_xlfn.XLOOKUP(Table1[[#This Row], [WEAPON]],Sheet1!$A$27:$A$29,Sheet1!$C$27:$C$29))</f>
        <v>46000</v>
      </c>
      <c r="J459" t="s">
        <v>64</v>
      </c>
      <c r="K459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1719565.1999999995</v>
      </c>
      <c r="L459" s="13" t="s">
        <v>61</v>
      </c>
      <c r="M459" s="4">
        <f>IF(Table1[[#This Row], [EQUIPMENT]]="YES",Sheet1!$C$44*(1+Sheet1!$D$44),0)</f>
        <v>0</v>
      </c>
      <c r="N459" s="4">
        <f>_xlfn.XLOOKUP(Table1[[#This Row], [ROOM]],Sheet1!$A$47:$A$66,Sheet1!$F$47:$F$66)</f>
        <v>17550000</v>
      </c>
      <c r="O459" s="9">
        <f>_xlfn.XLOOKUP(_xlfn.CONCAT(Table1[[#This Row], [TEAM]],Table1[[#This Row], [ROOM]]),'ROOM TIME'!$H$2:$H$121,'ROOM TIME'!$J$2:$J$121)</f>
        <v>59.591249999999981</v>
      </c>
      <c r="P459" s="9">
        <f>(INDEX(Sheet1!$X$48:$Z$67,MATCH(Table1[[#This Row], [ROOM]],Sheet1!$P$48:$P$67,0),MATCH(Table1[[#This Row], [WEAPON]],Sheet1!$X$47:$Z$47,0)))/Table1[[#This Row], [NUM OF MEM]]</f>
        <v>6.75</v>
      </c>
      <c r="Q459" s="9">
        <f>Table1[[#This Row], [ROOM TIME]]+Table1[[#This Row], [GUARD TIME]]</f>
        <v>66.341249999999974</v>
      </c>
      <c r="R459" s="4">
        <f>Sheet1!$K$3*_xlfn.XLOOKUP(Table1[[#This Row], [DISGUISE]],Sheet1!$A$21:$A$23,Sheet1!$D$21:$D$23)</f>
        <v>69</v>
      </c>
      <c r="S459" s="9">
        <f>Table1[[#This Row], [TOTAL TIME]]-Table1[[#This Row], [TOTAL TIME TAKEN]]</f>
        <v>2.6587500000000261</v>
      </c>
      <c r="T459" t="str">
        <f>IF(Table1[[#This Row], [TIME DIFFERENCE]]&gt;=0,"PASS","FAIL")</f>
        <v>PASS</v>
      </c>
      <c r="U459" s="9">
        <f>Table1[[#This Row], [TRC]]+Table1[[#This Row], [DRC]]+Table1[[#This Row], [WRC]]+Table1[[#This Row], [ERC]]+Table1[[#This Row], [EQRC]]</f>
        <v>7724115.1999999993</v>
      </c>
      <c r="V459" s="9">
        <f>Table1[[#This Row], [TOTAL COST]]+_xlfn.XLOOKUP(Table1[[#This Row], [TEAM]],Sheet1!$A$12:$A$17,Sheet1!$I$12:$I$17)</f>
        <v>8020762.6999999993</v>
      </c>
      <c r="W459" s="9">
        <f>Table1[[#This Row], [LOOT]]-Table1[[#This Row], [TOTAL COST]]</f>
        <v>9825884.8000000007</v>
      </c>
      <c r="X459" s="9">
        <f>IF(Table1[[#This Row], [PASS/FAIL]]="FAIL",0,Table1[[#This Row], [PROFIT]])</f>
        <v>9825884.8000000007</v>
      </c>
    </row>
    <row r="460" spans="1:24" ht="19.5" customHeight="1" x14ac:dyDescent="0.45">
      <c r="A460" t="s">
        <v>12</v>
      </c>
      <c r="B460" s="14">
        <f>_xlfn.XLOOKUP(Table1[[#This Row], [TEAM]],Sheet1!$A$12:$A$17,Sheet1!$F$12:$F$17)</f>
        <v>3</v>
      </c>
      <c r="C460" s="14">
        <f>_xlfn.XLOOKUP(Table1[[#This Row], [TEAM]],Sheet1!$A$12:$A$17,Sheet1!$G$12:$G$17)</f>
        <v>5988750</v>
      </c>
      <c r="D460" t="s">
        <v>18</v>
      </c>
      <c r="E460" s="4">
        <f>_xlfn.XLOOKUP(Table1[[#This Row], [ROOM]],Sheet1!$A$47:$A$66,Sheet1!$B$47:$B$66)</f>
        <v>134</v>
      </c>
      <c r="F460" t="s">
        <v>62</v>
      </c>
      <c r="G460" s="4">
        <f>_xlfn.XLOOKUP(Table1[[#This Row], [DISGUISE]],Sheet1!$A$21:$A$23,Sheet1!$B$21:$B$23)*Table1[[#This Row], [NUM OF MEM]]*(1+_xlfn.XLOOKUP(Table1[[#This Row], [DISGUISE]],Sheet1!$A$21:$A$23,Sheet1!$C$21:$C$23))</f>
        <v>15600</v>
      </c>
      <c r="H460" s="13" t="s">
        <v>66</v>
      </c>
      <c r="I460" s="4">
        <f>_xlfn.XLOOKUP(Table1[[#This Row], [WEAPON]],Sheet1!$A$27:$A$29,Sheet1!$B$27:$B$29)*Table1[[#This Row], [NUM OF MEM]]*(1+_xlfn.XLOOKUP(Table1[[#This Row], [WEAPON]],Sheet1!$A$27:$A$29,Sheet1!$C$27:$C$29))</f>
        <v>108000</v>
      </c>
      <c r="J460" t="s">
        <v>64</v>
      </c>
      <c r="K460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1804766.3999999994</v>
      </c>
      <c r="L460" s="13" t="s">
        <v>65</v>
      </c>
      <c r="M460" s="4">
        <f>IF(Table1[[#This Row], [EQUIPMENT]]="YES",Sheet1!$C$44*(1+Sheet1!$D$44),0)</f>
        <v>307500</v>
      </c>
      <c r="N460" s="4">
        <f>_xlfn.XLOOKUP(Table1[[#This Row], [ROOM]],Sheet1!$A$47:$A$66,Sheet1!$F$47:$F$66)</f>
        <v>18050000</v>
      </c>
      <c r="O460" s="9">
        <f>_xlfn.XLOOKUP(_xlfn.CONCAT(Table1[[#This Row], [TEAM]],Table1[[#This Row], [ROOM]]),'ROOM TIME'!$H$2:$H$121,'ROOM TIME'!$J$2:$J$121)</f>
        <v>41.41888888888888</v>
      </c>
      <c r="P460" s="4">
        <f>(INDEX(Sheet1!$X$48:$Z$67,MATCH(Table1[[#This Row], [ROOM]],Sheet1!$P$48:$P$67,0),MATCH(Table1[[#This Row], [WEAPON]],Sheet1!$X$47:$Z$47,0)))/Table1[[#This Row], [NUM OF MEM]]</f>
        <v>5</v>
      </c>
      <c r="Q460" s="9">
        <f>Table1[[#This Row], [ROOM TIME]]+Table1[[#This Row], [GUARD TIME]]</f>
        <v>46.41888888888888</v>
      </c>
      <c r="R460" s="4">
        <f>Sheet1!$K$3*_xlfn.XLOOKUP(Table1[[#This Row], [DISGUISE]],Sheet1!$A$21:$A$23,Sheet1!$D$21:$D$23)</f>
        <v>66</v>
      </c>
      <c r="S460" s="9">
        <f>Table1[[#This Row], [TOTAL TIME]]-Table1[[#This Row], [TOTAL TIME TAKEN]]</f>
        <v>19.58111111111112</v>
      </c>
      <c r="T460" t="str">
        <f>IF(Table1[[#This Row], [TIME DIFFERENCE]]&gt;=0,"PASS","FAIL")</f>
        <v>PASS</v>
      </c>
      <c r="U460" s="9">
        <f>Table1[[#This Row], [TRC]]+Table1[[#This Row], [DRC]]+Table1[[#This Row], [WRC]]+Table1[[#This Row], [ERC]]+Table1[[#This Row], [EQRC]]</f>
        <v>8224616.3999999994</v>
      </c>
      <c r="V460" s="9">
        <f>Table1[[#This Row], [TOTAL COST]]+_xlfn.XLOOKUP(Table1[[#This Row], [TEAM]],Sheet1!$A$12:$A$17,Sheet1!$I$12:$I$17)</f>
        <v>8524053.8999999985</v>
      </c>
      <c r="W460" s="9">
        <f>Table1[[#This Row], [LOOT]]-Table1[[#This Row], [TOTAL COST]]</f>
        <v>9825383.6000000015</v>
      </c>
      <c r="X460" s="9">
        <f>IF(Table1[[#This Row], [PASS/FAIL]]="FAIL",0,Table1[[#This Row], [PROFIT]])</f>
        <v>9825383.6000000015</v>
      </c>
    </row>
    <row r="461" spans="1:24" ht="19.5" customHeight="1" x14ac:dyDescent="0.45">
      <c r="A461" t="s">
        <v>12</v>
      </c>
      <c r="B461" s="14">
        <f>_xlfn.XLOOKUP(Table1[[#This Row], [TEAM]],Sheet1!$A$12:$A$17,Sheet1!$F$12:$F$17)</f>
        <v>3</v>
      </c>
      <c r="C461" s="14">
        <f>_xlfn.XLOOKUP(Table1[[#This Row], [TEAM]],Sheet1!$A$12:$A$17,Sheet1!$G$12:$G$17)</f>
        <v>5988750</v>
      </c>
      <c r="D461" t="s">
        <v>29</v>
      </c>
      <c r="E461" s="4">
        <f>_xlfn.XLOOKUP(Table1[[#This Row], [ROOM]],Sheet1!$A$47:$A$66,Sheet1!$B$47:$B$66)</f>
        <v>236</v>
      </c>
      <c r="F461" t="s">
        <v>58</v>
      </c>
      <c r="G461" s="4">
        <f>_xlfn.XLOOKUP(Table1[[#This Row], [DISGUISE]],Sheet1!$A$21:$A$23,Sheet1!$B$21:$B$23)*Table1[[#This Row], [NUM OF MEM]]*(1+_xlfn.XLOOKUP(Table1[[#This Row], [DISGUISE]],Sheet1!$A$21:$A$23,Sheet1!$C$21:$C$23))</f>
        <v>38400</v>
      </c>
      <c r="H461" s="13" t="s">
        <v>66</v>
      </c>
      <c r="I461" s="4">
        <f>_xlfn.XLOOKUP(Table1[[#This Row], [WEAPON]],Sheet1!$A$27:$A$29,Sheet1!$B$27:$B$29)*Table1[[#This Row], [NUM OF MEM]]*(1+_xlfn.XLOOKUP(Table1[[#This Row], [WEAPON]],Sheet1!$A$27:$A$29,Sheet1!$C$27:$C$29))</f>
        <v>108000</v>
      </c>
      <c r="J461" t="s">
        <v>64</v>
      </c>
      <c r="K461" s="9">
        <f>Table1[[#This Row], [NUM OF MEM]]*Table1[[#This Row], [TOTAL TIME TAKEN]]*_xlfn.XLOOKUP(Table1[[#This Row], [EXIT]],Sheet1!$A$70:$A$71,Sheet1!$B$70:$B$71)*(1+_xlfn.XLOOKUP(Table1[[#This Row], [EXIT]],Sheet1!$A$70:$A$71,Sheet1!$C$70:$C$71))</f>
        <v>1732708.7999999991</v>
      </c>
      <c r="L461" s="13" t="s">
        <v>65</v>
      </c>
      <c r="M461" s="4">
        <f>IF(Table1[[#This Row], [EQUIPMENT]]="YES",Sheet1!$C$44*(1+Sheet1!$D$44),0)</f>
        <v>307500</v>
      </c>
      <c r="N461" s="4">
        <f>_xlfn.XLOOKUP(Table1[[#This Row], [ROOM]],Sheet1!$A$47:$A$66,Sheet1!$F$47:$F$66)</f>
        <v>18000000</v>
      </c>
      <c r="O461" s="9">
        <f>_xlfn.XLOOKUP(_xlfn.CONCAT(Table1[[#This Row], [TEAM]],Table1[[#This Row], [ROOM]]),'ROOM TIME'!$H$2:$H$121,'ROOM TIME'!$J$2:$J$121)</f>
        <v>39.14888888888887</v>
      </c>
      <c r="P461" s="9">
        <f>(INDEX(Sheet1!$X$48:$Z$67,MATCH(Table1[[#This Row], [ROOM]],Sheet1!$P$48:$P$67,0),MATCH(Table1[[#This Row], [WEAPON]],Sheet1!$X$47:$Z$47,0)))/Table1[[#This Row], [NUM OF MEM]]</f>
        <v>5.416666666666667</v>
      </c>
      <c r="Q461" s="9">
        <f>Table1[[#This Row], [ROOM TIME]]+Table1[[#This Row], [GUARD TIME]]</f>
        <v>44.565555555555534</v>
      </c>
      <c r="R461" s="4">
        <f>Sheet1!$K$3*_xlfn.XLOOKUP(Table1[[#This Row], [DISGUISE]],Sheet1!$A$21:$A$23,Sheet1!$D$21:$D$23)</f>
        <v>69</v>
      </c>
      <c r="S461" s="9">
        <f>Table1[[#This Row], [TOTAL TIME]]-Table1[[#This Row], [TOTAL TIME TAKEN]]</f>
        <v>24.434444444444466</v>
      </c>
      <c r="T461" t="str">
        <f>IF(Table1[[#This Row], [TIME DIFFERENCE]]&gt;=0,"PASS","FAIL")</f>
        <v>PASS</v>
      </c>
      <c r="U461" s="9">
        <f>Table1[[#This Row], [TRC]]+Table1[[#This Row], [DRC]]+Table1[[#This Row], [WRC]]+Table1[[#This Row], [ERC]]+Table1[[#This Row], [EQRC]]</f>
        <v>8175358.7999999989</v>
      </c>
      <c r="V461" s="9">
        <f>Table1[[#This Row], [TOTAL COST]]+_xlfn.XLOOKUP(Table1[[#This Row], [TEAM]],Sheet1!$A$12:$A$17,Sheet1!$I$12:$I$17)</f>
        <v>8474796.2999999989</v>
      </c>
      <c r="W461" s="9">
        <f>Table1[[#This Row], [LOOT]]-Table1[[#This Row], [TOTAL COST]]</f>
        <v>9824641.2000000011</v>
      </c>
      <c r="X461" s="9">
        <f>IF(Table1[[#This Row], [PASS/FAIL]]="FAIL",0,Table1[[#This Row], [PROFIT]])</f>
        <v>9824641.2000000011</v>
      </c>
    </row>
    <row r="462" spans="1:24" ht="19.5" customHeight="1" x14ac:dyDescent="0.45">
      <c r="A462" t="s">
        <v>13</v>
      </c>
      <c r="B462" s="14">
        <f>_xlfn.XLOOKUP(Table1[[#This Row], [TEAM]],Sheet1!$A$12:$A$17,Sheet1!$F$12:$F$17)</f>
        <v>3</v>
      </c>
      <c r="C462" s="14">
        <f>_xlfn.XLOOKUP(Table1[[#This Row], [TEAM]],Sheet1!$A$12:$A$17,Sheet1!$G$12:$G$17)</f>
        <v>5930000</v>
      </c>
      <c r="D462" t="s">
        <v>29</v>
      </c>
      <c r="E462" s="4">
        <f>_xlfn.XLOOKUP(Table1[[#This Row], [ROOM]],Sheet1!$A$47:$A$66,Sheet1!$B$47:$B$66)</f>
        <v>236</v>
      </c>
      <c r="F462" t="s">
        <v>58</v>
      </c>
      <c r="G462" s="4">
        <f>_xlfn.XLOOKUP(Table1[[#This Row], [DISGUISE]],Sheet1!$A$21:$A$23,Sheet1!$B$21:$B$23)*Table1[[#This Row], [NUM OF MEM]]*(1+_xlfn.XLOOKUP(Table1[[#This Row], [DISGUISE]],Sheet1!$A$21:$A$23,Sheet1!$C$21:$C$23))</f>
        <v>38400</v>
      </c>
      <c r="H462" s="13" t="s">
        <v>66</v>
      </c>
      <c r="I462" s="4">
        <f>_xlfn.XLOOKUP(Table1[[#This Row], [WEAPON]],Sheet1!$A$27:$A$29,Sheet1!$B$27:$B$29)*Table1[[#This Row], [NUM OF MEM]]*(1+_xlfn.XLOOKUP(Table1[[#This Row], [WEAPON]],Sheet1!$A$27:$A$29,Sheet1!$C$27:$C$29))</f>
        <v>108000</v>
      </c>
      <c r="J462" t="s">
        <v>64</v>
      </c>
      <c r="K462" s="9">
        <f>Table1[[#This Row], [NUM OF MEM]]*Table1[[#This Row], [TOTAL TIME TAKEN]]*_xlfn.XLOOKUP(Table1[[#This Row], [EXIT]],Sheet1!$A$70:$A$71,Sheet1!$B$70:$B$71)*(1+_xlfn.XLOOKUP(Table1[[#This Row], [EXIT]],Sheet1!$A$70:$A$71,Sheet1!$C$70:$C$71))</f>
        <v>1792432.7999999996</v>
      </c>
      <c r="L462" s="13" t="s">
        <v>65</v>
      </c>
      <c r="M462" s="4">
        <f>IF(Table1[[#This Row], [EQUIPMENT]]="YES",Sheet1!$C$44*(1+Sheet1!$D$44),0)</f>
        <v>307500</v>
      </c>
      <c r="N462" s="4">
        <f>_xlfn.XLOOKUP(Table1[[#This Row], [ROOM]],Sheet1!$A$47:$A$66,Sheet1!$F$47:$F$66)</f>
        <v>18000000</v>
      </c>
      <c r="O462" s="9">
        <f>_xlfn.XLOOKUP(_xlfn.CONCAT(Table1[[#This Row], [TEAM]],Table1[[#This Row], [ROOM]]),'ROOM TIME'!$H$2:$H$121,'ROOM TIME'!$J$2:$J$121)</f>
        <v>40.684999999999995</v>
      </c>
      <c r="P462" s="9">
        <f>(INDEX(Sheet1!$X$48:$Z$67,MATCH(Table1[[#This Row], [ROOM]],Sheet1!$P$48:$P$67,0),MATCH(Table1[[#This Row], [WEAPON]],Sheet1!$X$47:$Z$47,0)))/Table1[[#This Row], [NUM OF MEM]]</f>
        <v>5.416666666666667</v>
      </c>
      <c r="Q462" s="9">
        <f>Table1[[#This Row], [ROOM TIME]]+Table1[[#This Row], [GUARD TIME]]</f>
        <v>46.101666666666659</v>
      </c>
      <c r="R462" s="4">
        <f>Sheet1!$K$3*_xlfn.XLOOKUP(Table1[[#This Row], [DISGUISE]],Sheet1!$A$21:$A$23,Sheet1!$D$21:$D$23)</f>
        <v>69</v>
      </c>
      <c r="S462" s="9">
        <f>Table1[[#This Row], [TOTAL TIME]]-Table1[[#This Row], [TOTAL TIME TAKEN]]</f>
        <v>22.898333333333341</v>
      </c>
      <c r="T462" t="str">
        <f>IF(Table1[[#This Row], [TIME DIFFERENCE]]&gt;=0,"PASS","FAIL")</f>
        <v>PASS</v>
      </c>
      <c r="U462" s="9">
        <f>Table1[[#This Row], [TRC]]+Table1[[#This Row], [DRC]]+Table1[[#This Row], [WRC]]+Table1[[#This Row], [ERC]]+Table1[[#This Row], [EQRC]]</f>
        <v>8176332.7999999998</v>
      </c>
      <c r="V462" s="9">
        <f>Table1[[#This Row], [TOTAL COST]]+_xlfn.XLOOKUP(Table1[[#This Row], [TEAM]],Sheet1!$A$12:$A$17,Sheet1!$I$12:$I$17)</f>
        <v>8472832.8000000007</v>
      </c>
      <c r="W462" s="9">
        <f>Table1[[#This Row], [LOOT]]-Table1[[#This Row], [TOTAL COST]]</f>
        <v>9823667.1999999993</v>
      </c>
      <c r="X462" s="9">
        <f>IF(Table1[[#This Row], [PASS/FAIL]]="FAIL",0,Table1[[#This Row], [PROFIT]])</f>
        <v>9823667.1999999993</v>
      </c>
    </row>
    <row r="463" spans="1:24" ht="19.5" customHeight="1" x14ac:dyDescent="0.45">
      <c r="A463" t="s">
        <v>15</v>
      </c>
      <c r="B463" s="14">
        <f>_xlfn.XLOOKUP(Table1[[#This Row], [TEAM]],Sheet1!$A$12:$A$17,Sheet1!$F$12:$F$17)</f>
        <v>2</v>
      </c>
      <c r="C463" s="14">
        <f>_xlfn.XLOOKUP(Table1[[#This Row], [TEAM]],Sheet1!$A$12:$A$17,Sheet1!$G$12:$G$17)</f>
        <v>5932950</v>
      </c>
      <c r="D463" t="s">
        <v>20</v>
      </c>
      <c r="E463" s="4">
        <f>_xlfn.XLOOKUP(Table1[[#This Row], [ROOM]],Sheet1!$A$47:$A$66,Sheet1!$B$47:$B$66)</f>
        <v>145</v>
      </c>
      <c r="F463" t="s">
        <v>58</v>
      </c>
      <c r="G463" s="4">
        <f>_xlfn.XLOOKUP(Table1[[#This Row], [DISGUISE]],Sheet1!$A$21:$A$23,Sheet1!$B$21:$B$23)*Table1[[#This Row], [NUM OF MEM]]*(1+_xlfn.XLOOKUP(Table1[[#This Row], [DISGUISE]],Sheet1!$A$21:$A$23,Sheet1!$C$21:$C$23))</f>
        <v>25600</v>
      </c>
      <c r="H463" s="13" t="s">
        <v>59</v>
      </c>
      <c r="I463" s="4">
        <f>_xlfn.XLOOKUP(Table1[[#This Row], [WEAPON]],Sheet1!$A$27:$A$29,Sheet1!$B$27:$B$29)*Table1[[#This Row], [NUM OF MEM]]*(1+_xlfn.XLOOKUP(Table1[[#This Row], [WEAPON]],Sheet1!$A$27:$A$29,Sheet1!$C$27:$C$29))</f>
        <v>91000</v>
      </c>
      <c r="J463" t="s">
        <v>60</v>
      </c>
      <c r="K463" s="9">
        <f>Table1[[#This Row], [NUM OF MEM]]*Table1[[#This Row], [TOTAL TIME TAKEN]]*_xlfn.XLOOKUP(Table1[[#This Row], [EXIT]],Sheet1!$A$70:$A$71,Sheet1!$B$70:$B$71)*(1+_xlfn.XLOOKUP(Table1[[#This Row], [EXIT]],Sheet1!$A$70:$A$71,Sheet1!$C$70:$C$71))</f>
        <v>1676983.1812499992</v>
      </c>
      <c r="L463" s="13" t="s">
        <v>61</v>
      </c>
      <c r="M463" s="4">
        <f>IF(Table1[[#This Row], [EQUIPMENT]]="YES",Sheet1!$C$44*(1+Sheet1!$D$44),0)</f>
        <v>0</v>
      </c>
      <c r="N463" s="4">
        <f>_xlfn.XLOOKUP(Table1[[#This Row], [ROOM]],Sheet1!$A$47:$A$66,Sheet1!$F$47:$F$66)</f>
        <v>17550000</v>
      </c>
      <c r="O463" s="9">
        <f>_xlfn.XLOOKUP(_xlfn.CONCAT(Table1[[#This Row], [TEAM]],Table1[[#This Row], [ROOM]]),'ROOM TIME'!$H$2:$H$121,'ROOM TIME'!$J$2:$J$121)</f>
        <v>59.591249999999981</v>
      </c>
      <c r="P463" s="9">
        <f>(INDEX(Sheet1!$X$48:$Z$67,MATCH(Table1[[#This Row], [ROOM]],Sheet1!$P$48:$P$67,0),MATCH(Table1[[#This Row], [WEAPON]],Sheet1!$X$47:$Z$47,0)))/Table1[[#This Row], [NUM OF MEM]]</f>
        <v>5.75</v>
      </c>
      <c r="Q463" s="9">
        <f>Table1[[#This Row], [ROOM TIME]]+Table1[[#This Row], [GUARD TIME]]</f>
        <v>65.341249999999974</v>
      </c>
      <c r="R463" s="4">
        <f>Sheet1!$K$3*_xlfn.XLOOKUP(Table1[[#This Row], [DISGUISE]],Sheet1!$A$21:$A$23,Sheet1!$D$21:$D$23)</f>
        <v>69</v>
      </c>
      <c r="S463" s="9">
        <f>Table1[[#This Row], [TOTAL TIME]]-Table1[[#This Row], [TOTAL TIME TAKEN]]</f>
        <v>3.6587500000000261</v>
      </c>
      <c r="T463" t="str">
        <f>IF(Table1[[#This Row], [TIME DIFFERENCE]]&gt;=0,"PASS","FAIL")</f>
        <v>PASS</v>
      </c>
      <c r="U463" s="9">
        <f>Table1[[#This Row], [TRC]]+Table1[[#This Row], [DRC]]+Table1[[#This Row], [WRC]]+Table1[[#This Row], [ERC]]+Table1[[#This Row], [EQRC]]</f>
        <v>7726533.1812499994</v>
      </c>
      <c r="V463" s="9">
        <f>Table1[[#This Row], [TOTAL COST]]+_xlfn.XLOOKUP(Table1[[#This Row], [TEAM]],Sheet1!$A$12:$A$17,Sheet1!$I$12:$I$17)</f>
        <v>8023180.6812499994</v>
      </c>
      <c r="W463" s="9">
        <f>Table1[[#This Row], [LOOT]]-Table1[[#This Row], [TOTAL COST]]</f>
        <v>9823466.8187500015</v>
      </c>
      <c r="X463" s="9">
        <f>IF(Table1[[#This Row], [PASS/FAIL]]="FAIL",0,Table1[[#This Row], [PROFIT]])</f>
        <v>9823466.8187500015</v>
      </c>
    </row>
    <row r="464" spans="1:24" ht="19.5" customHeight="1" x14ac:dyDescent="0.45">
      <c r="A464" t="s">
        <v>9</v>
      </c>
      <c r="B464" s="14">
        <f>_xlfn.XLOOKUP(Table1[[#This Row], [TEAM]],Sheet1!$A$12:$A$17,Sheet1!$F$12:$F$17)</f>
        <v>3</v>
      </c>
      <c r="C464" s="14">
        <f>_xlfn.XLOOKUP(Table1[[#This Row], [TEAM]],Sheet1!$A$12:$A$17,Sheet1!$G$12:$G$17)</f>
        <v>6238750</v>
      </c>
      <c r="D464" t="s">
        <v>33</v>
      </c>
      <c r="E464" s="4">
        <f>_xlfn.XLOOKUP(Table1[[#This Row], [ROOM]],Sheet1!$A$47:$A$66,Sheet1!$B$47:$B$66)</f>
        <v>356</v>
      </c>
      <c r="F464" t="s">
        <v>58</v>
      </c>
      <c r="G464" s="4">
        <f>_xlfn.XLOOKUP(Table1[[#This Row], [DISGUISE]],Sheet1!$A$21:$A$23,Sheet1!$B$21:$B$23)*Table1[[#This Row], [NUM OF MEM]]*(1+_xlfn.XLOOKUP(Table1[[#This Row], [DISGUISE]],Sheet1!$A$21:$A$23,Sheet1!$C$21:$C$23))</f>
        <v>38400</v>
      </c>
      <c r="H464" s="13" t="s">
        <v>66</v>
      </c>
      <c r="I464" s="4">
        <f>_xlfn.XLOOKUP(Table1[[#This Row], [WEAPON]],Sheet1!$A$27:$A$29,Sheet1!$B$27:$B$29)*Table1[[#This Row], [NUM OF MEM]]*(1+_xlfn.XLOOKUP(Table1[[#This Row], [WEAPON]],Sheet1!$A$27:$A$29,Sheet1!$C$27:$C$29))</f>
        <v>108000</v>
      </c>
      <c r="J464" t="s">
        <v>60</v>
      </c>
      <c r="K464" s="9">
        <f>Table1[[#This Row], [NUM OF MEM]]*Table1[[#This Row], [TOTAL TIME TAKEN]]*_xlfn.XLOOKUP(Table1[[#This Row], [EXIT]],Sheet1!$A$70:$A$71,Sheet1!$B$70:$B$71)*(1+_xlfn.XLOOKUP(Table1[[#This Row], [EXIT]],Sheet1!$A$70:$A$71,Sheet1!$C$70:$C$71))</f>
        <v>1584214.8999999992</v>
      </c>
      <c r="L464" s="13" t="s">
        <v>65</v>
      </c>
      <c r="M464" s="4">
        <f>IF(Table1[[#This Row], [EQUIPMENT]]="YES",Sheet1!$C$44*(1+Sheet1!$D$44),0)</f>
        <v>307500</v>
      </c>
      <c r="N464" s="4">
        <f>_xlfn.XLOOKUP(Table1[[#This Row], [ROOM]],Sheet1!$A$47:$A$66,Sheet1!$F$47:$F$66)</f>
        <v>18100000</v>
      </c>
      <c r="O464" s="9">
        <f>_xlfn.XLOOKUP(_xlfn.CONCAT(Table1[[#This Row], [TEAM]],Table1[[#This Row], [ROOM]]),'ROOM TIME'!$H$2:$H$121,'ROOM TIME'!$J$2:$J$121)</f>
        <v>36.151111111111099</v>
      </c>
      <c r="P464" s="4">
        <f>(INDEX(Sheet1!$X$48:$Z$67,MATCH(Table1[[#This Row], [ROOM]],Sheet1!$P$48:$P$67,0),MATCH(Table1[[#This Row], [WEAPON]],Sheet1!$X$47:$Z$47,0)))/Table1[[#This Row], [NUM OF MEM]]</f>
        <v>5</v>
      </c>
      <c r="Q464" s="9">
        <f>Table1[[#This Row], [ROOM TIME]]+Table1[[#This Row], [GUARD TIME]]</f>
        <v>41.151111111111099</v>
      </c>
      <c r="R464" s="4">
        <f>Sheet1!$K$3*_xlfn.XLOOKUP(Table1[[#This Row], [DISGUISE]],Sheet1!$A$21:$A$23,Sheet1!$D$21:$D$23)</f>
        <v>69</v>
      </c>
      <c r="S464" s="9">
        <f>Table1[[#This Row], [TOTAL TIME]]-Table1[[#This Row], [TOTAL TIME TAKEN]]</f>
        <v>27.848888888888901</v>
      </c>
      <c r="T464" t="str">
        <f>IF(Table1[[#This Row], [TIME DIFFERENCE]]&gt;=0,"PASS","FAIL")</f>
        <v>PASS</v>
      </c>
      <c r="U464" s="9">
        <f>Table1[[#This Row], [TRC]]+Table1[[#This Row], [DRC]]+Table1[[#This Row], [WRC]]+Table1[[#This Row], [ERC]]+Table1[[#This Row], [EQRC]]</f>
        <v>8276864.8999999994</v>
      </c>
      <c r="V464" s="9">
        <f>Table1[[#This Row], [TOTAL COST]]+_xlfn.XLOOKUP(Table1[[#This Row], [TEAM]],Sheet1!$A$12:$A$17,Sheet1!$I$12:$I$17)</f>
        <v>8588802.3999999985</v>
      </c>
      <c r="W464" s="9">
        <f>Table1[[#This Row], [LOOT]]-Table1[[#This Row], [TOTAL COST]]</f>
        <v>9823135.1000000015</v>
      </c>
      <c r="X464" s="9">
        <f>IF(Table1[[#This Row], [PASS/FAIL]]="FAIL",0,Table1[[#This Row], [PROFIT]])</f>
        <v>9823135.1000000015</v>
      </c>
    </row>
    <row r="465" spans="1:24" ht="19.5" customHeight="1" x14ac:dyDescent="0.45">
      <c r="A465" t="s">
        <v>9</v>
      </c>
      <c r="B465" s="14">
        <f>_xlfn.XLOOKUP(Table1[[#This Row], [TEAM]],Sheet1!$A$12:$A$17,Sheet1!$F$12:$F$17)</f>
        <v>3</v>
      </c>
      <c r="C465" s="14">
        <f>_xlfn.XLOOKUP(Table1[[#This Row], [TEAM]],Sheet1!$A$12:$A$17,Sheet1!$G$12:$G$17)</f>
        <v>6238750</v>
      </c>
      <c r="D465" t="s">
        <v>21</v>
      </c>
      <c r="E465" s="4">
        <f>_xlfn.XLOOKUP(Table1[[#This Row], [ROOM]],Sheet1!$A$47:$A$66,Sheet1!$B$47:$B$66)</f>
        <v>234</v>
      </c>
      <c r="F465" t="s">
        <v>62</v>
      </c>
      <c r="G465" s="4">
        <f>_xlfn.XLOOKUP(Table1[[#This Row], [DISGUISE]],Sheet1!$A$21:$A$23,Sheet1!$B$21:$B$23)*Table1[[#This Row], [NUM OF MEM]]*(1+_xlfn.XLOOKUP(Table1[[#This Row], [DISGUISE]],Sheet1!$A$21:$A$23,Sheet1!$C$21:$C$23))</f>
        <v>15600</v>
      </c>
      <c r="H465" s="13" t="s">
        <v>63</v>
      </c>
      <c r="I465" s="4">
        <f>_xlfn.XLOOKUP(Table1[[#This Row], [WEAPON]],Sheet1!$A$27:$A$29,Sheet1!$B$27:$B$29)*Table1[[#This Row], [NUM OF MEM]]*(1+_xlfn.XLOOKUP(Table1[[#This Row], [WEAPON]],Sheet1!$A$27:$A$29,Sheet1!$C$27:$C$29))</f>
        <v>69000</v>
      </c>
      <c r="J465" t="s">
        <v>60</v>
      </c>
      <c r="K465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1753518.3499999996</v>
      </c>
      <c r="L465" s="13" t="s">
        <v>61</v>
      </c>
      <c r="M465" s="4">
        <f>IF(Table1[[#This Row], [EQUIPMENT]]="YES",Sheet1!$C$44*(1+Sheet1!$D$44),0)</f>
        <v>0</v>
      </c>
      <c r="N465" s="4">
        <f>_xlfn.XLOOKUP(Table1[[#This Row], [ROOM]],Sheet1!$A$47:$A$66,Sheet1!$F$47:$F$66)</f>
        <v>17900000</v>
      </c>
      <c r="O465" s="9">
        <f>_xlfn.XLOOKUP(_xlfn.CONCAT(Table1[[#This Row], [TEAM]],Table1[[#This Row], [ROOM]]),'ROOM TIME'!$H$2:$H$121,'ROOM TIME'!$J$2:$J$121)</f>
        <v>39.698888888888881</v>
      </c>
      <c r="P465" s="9">
        <f>(INDEX(Sheet1!$X$48:$Z$67,MATCH(Table1[[#This Row], [ROOM]],Sheet1!$P$48:$P$67,0),MATCH(Table1[[#This Row], [WEAPON]],Sheet1!$X$47:$Z$47,0)))/Table1[[#This Row], [NUM OF MEM]]</f>
        <v>5.8500000000000005</v>
      </c>
      <c r="Q465" s="9">
        <f>Table1[[#This Row], [ROOM TIME]]+Table1[[#This Row], [GUARD TIME]]</f>
        <v>45.548888888888882</v>
      </c>
      <c r="R465" s="4">
        <f>Sheet1!$K$3*_xlfn.XLOOKUP(Table1[[#This Row], [DISGUISE]],Sheet1!$A$21:$A$23,Sheet1!$D$21:$D$23)</f>
        <v>66</v>
      </c>
      <c r="S465" s="9">
        <f>Table1[[#This Row], [TOTAL TIME]]-Table1[[#This Row], [TOTAL TIME TAKEN]]</f>
        <v>20.451111111111118</v>
      </c>
      <c r="T465" t="str">
        <f>IF(Table1[[#This Row], [TIME DIFFERENCE]]&gt;=0,"PASS","FAIL")</f>
        <v>PASS</v>
      </c>
      <c r="U465" s="9">
        <f>Table1[[#This Row], [TRC]]+Table1[[#This Row], [DRC]]+Table1[[#This Row], [WRC]]+Table1[[#This Row], [ERC]]+Table1[[#This Row], [EQRC]]</f>
        <v>8076868.3499999996</v>
      </c>
      <c r="V465" s="9">
        <f>Table1[[#This Row], [TOTAL COST]]+_xlfn.XLOOKUP(Table1[[#This Row], [TEAM]],Sheet1!$A$12:$A$17,Sheet1!$I$12:$I$17)</f>
        <v>8388805.8499999996</v>
      </c>
      <c r="W465" s="9">
        <f>Table1[[#This Row], [LOOT]]-Table1[[#This Row], [TOTAL COST]]</f>
        <v>9823131.6500000004</v>
      </c>
      <c r="X465" s="9">
        <f>IF(Table1[[#This Row], [PASS/FAIL]]="FAIL",0,Table1[[#This Row], [PROFIT]])</f>
        <v>9823131.6500000004</v>
      </c>
    </row>
    <row r="466" spans="1:24" ht="19.5" customHeight="1" x14ac:dyDescent="0.45">
      <c r="A466" t="s">
        <v>13</v>
      </c>
      <c r="B466" s="14">
        <f>_xlfn.XLOOKUP(Table1[[#This Row], [TEAM]],Sheet1!$A$12:$A$17,Sheet1!$F$12:$F$17)</f>
        <v>3</v>
      </c>
      <c r="C466" s="14">
        <f>_xlfn.XLOOKUP(Table1[[#This Row], [TEAM]],Sheet1!$A$12:$A$17,Sheet1!$G$12:$G$17)</f>
        <v>5930000</v>
      </c>
      <c r="D466" t="s">
        <v>18</v>
      </c>
      <c r="E466" s="4">
        <f>_xlfn.XLOOKUP(Table1[[#This Row], [ROOM]],Sheet1!$A$47:$A$66,Sheet1!$B$47:$B$66)</f>
        <v>134</v>
      </c>
      <c r="F466" t="s">
        <v>58</v>
      </c>
      <c r="G466" s="4">
        <f>_xlfn.XLOOKUP(Table1[[#This Row], [DISGUISE]],Sheet1!$A$21:$A$23,Sheet1!$B$21:$B$23)*Table1[[#This Row], [NUM OF MEM]]*(1+_xlfn.XLOOKUP(Table1[[#This Row], [DISGUISE]],Sheet1!$A$21:$A$23,Sheet1!$C$21:$C$23))</f>
        <v>38400</v>
      </c>
      <c r="H466" s="13" t="s">
        <v>63</v>
      </c>
      <c r="I466" s="4">
        <f>_xlfn.XLOOKUP(Table1[[#This Row], [WEAPON]],Sheet1!$A$27:$A$29,Sheet1!$B$27:$B$29)*Table1[[#This Row], [NUM OF MEM]]*(1+_xlfn.XLOOKUP(Table1[[#This Row], [WEAPON]],Sheet1!$A$27:$A$29,Sheet1!$C$27:$C$29))</f>
        <v>69000</v>
      </c>
      <c r="J466" t="s">
        <v>64</v>
      </c>
      <c r="K466" s="9">
        <f>Table1[[#This Row], [NUM OF MEM]]*Table1[[#This Row], [TOTAL TIME TAKEN]]*_xlfn.XLOOKUP(Table1[[#This Row], [EXIT]],Sheet1!$A$70:$A$71,Sheet1!$B$70:$B$71)*(1+_xlfn.XLOOKUP(Table1[[#This Row], [EXIT]],Sheet1!$A$70:$A$71,Sheet1!$C$70:$C$71))</f>
        <v>1882979.9999999993</v>
      </c>
      <c r="L466" s="13" t="s">
        <v>65</v>
      </c>
      <c r="M466" s="4">
        <f>IF(Table1[[#This Row], [EQUIPMENT]]="YES",Sheet1!$C$44*(1+Sheet1!$D$44),0)</f>
        <v>307500</v>
      </c>
      <c r="N466" s="4">
        <f>_xlfn.XLOOKUP(Table1[[#This Row], [ROOM]],Sheet1!$A$47:$A$66,Sheet1!$F$47:$F$66)</f>
        <v>18050000</v>
      </c>
      <c r="O466" s="9">
        <f>_xlfn.XLOOKUP(_xlfn.CONCAT(Table1[[#This Row], [TEAM]],Table1[[#This Row], [ROOM]]),'ROOM TIME'!$H$2:$H$121,'ROOM TIME'!$J$2:$J$121)</f>
        <v>43.030555555555544</v>
      </c>
      <c r="P466" s="9">
        <f>(INDEX(Sheet1!$X$48:$Z$67,MATCH(Table1[[#This Row], [ROOM]],Sheet1!$P$48:$P$67,0),MATCH(Table1[[#This Row], [WEAPON]],Sheet1!$X$47:$Z$47,0)))/Table1[[#This Row], [NUM OF MEM]]</f>
        <v>5.4000000000000012</v>
      </c>
      <c r="Q466" s="9">
        <f>Table1[[#This Row], [ROOM TIME]]+Table1[[#This Row], [GUARD TIME]]</f>
        <v>48.430555555555543</v>
      </c>
      <c r="R466" s="4">
        <f>Sheet1!$K$3*_xlfn.XLOOKUP(Table1[[#This Row], [DISGUISE]],Sheet1!$A$21:$A$23,Sheet1!$D$21:$D$23)</f>
        <v>69</v>
      </c>
      <c r="S466" s="9">
        <f>Table1[[#This Row], [TOTAL TIME]]-Table1[[#This Row], [TOTAL TIME TAKEN]]</f>
        <v>20.569444444444457</v>
      </c>
      <c r="T466" t="str">
        <f>IF(Table1[[#This Row], [TIME DIFFERENCE]]&gt;=0,"PASS","FAIL")</f>
        <v>PASS</v>
      </c>
      <c r="U466" s="9">
        <f>Table1[[#This Row], [TRC]]+Table1[[#This Row], [DRC]]+Table1[[#This Row], [WRC]]+Table1[[#This Row], [ERC]]+Table1[[#This Row], [EQRC]]</f>
        <v>8227879.9999999991</v>
      </c>
      <c r="V466" s="4">
        <f>Table1[[#This Row], [TOTAL COST]]+_xlfn.XLOOKUP(Table1[[#This Row], [TEAM]],Sheet1!$A$12:$A$17,Sheet1!$I$12:$I$17)</f>
        <v>8524380</v>
      </c>
      <c r="W466" s="4">
        <f>Table1[[#This Row], [LOOT]]-Table1[[#This Row], [TOTAL COST]]</f>
        <v>9822120</v>
      </c>
      <c r="X466" s="4">
        <f>IF(Table1[[#This Row], [PASS/FAIL]]="FAIL",0,Table1[[#This Row], [PROFIT]])</f>
        <v>9822120</v>
      </c>
    </row>
    <row r="467" spans="1:24" ht="19.5" customHeight="1" x14ac:dyDescent="0.45">
      <c r="A467" t="s">
        <v>15</v>
      </c>
      <c r="B467" s="14">
        <f>_xlfn.XLOOKUP(Table1[[#This Row], [TEAM]],Sheet1!$A$12:$A$17,Sheet1!$F$12:$F$17)</f>
        <v>2</v>
      </c>
      <c r="C467" s="14">
        <f>_xlfn.XLOOKUP(Table1[[#This Row], [TEAM]],Sheet1!$A$12:$A$17,Sheet1!$G$12:$G$17)</f>
        <v>5932950</v>
      </c>
      <c r="D467" t="s">
        <v>20</v>
      </c>
      <c r="E467" s="4">
        <f>_xlfn.XLOOKUP(Table1[[#This Row], [ROOM]],Sheet1!$A$47:$A$66,Sheet1!$B$47:$B$66)</f>
        <v>145</v>
      </c>
      <c r="F467" t="s">
        <v>62</v>
      </c>
      <c r="G467" s="4">
        <f>_xlfn.XLOOKUP(Table1[[#This Row], [DISGUISE]],Sheet1!$A$21:$A$23,Sheet1!$B$21:$B$23)*Table1[[#This Row], [NUM OF MEM]]*(1+_xlfn.XLOOKUP(Table1[[#This Row], [DISGUISE]],Sheet1!$A$21:$A$23,Sheet1!$C$21:$C$23))</f>
        <v>10400</v>
      </c>
      <c r="H467" s="13" t="s">
        <v>59</v>
      </c>
      <c r="I467" s="4">
        <f>_xlfn.XLOOKUP(Table1[[#This Row], [WEAPON]],Sheet1!$A$27:$A$29,Sheet1!$B$27:$B$29)*Table1[[#This Row], [NUM OF MEM]]*(1+_xlfn.XLOOKUP(Table1[[#This Row], [WEAPON]],Sheet1!$A$27:$A$29,Sheet1!$C$27:$C$29))</f>
        <v>91000</v>
      </c>
      <c r="J467" t="s">
        <v>64</v>
      </c>
      <c r="K467" s="9">
        <f>Table1[[#This Row], [NUM OF MEM]]*Table1[[#This Row], [TOTAL TIME TAKEN]]*_xlfn.XLOOKUP(Table1[[#This Row], [EXIT]],Sheet1!$A$70:$A$71,Sheet1!$B$70:$B$71)*(1+_xlfn.XLOOKUP(Table1[[#This Row], [EXIT]],Sheet1!$A$70:$A$71,Sheet1!$C$70:$C$71))</f>
        <v>1693645.1999999995</v>
      </c>
      <c r="L467" s="13" t="s">
        <v>61</v>
      </c>
      <c r="M467" s="4">
        <f>IF(Table1[[#This Row], [EQUIPMENT]]="YES",Sheet1!$C$44*(1+Sheet1!$D$44),0)</f>
        <v>0</v>
      </c>
      <c r="N467" s="4">
        <f>_xlfn.XLOOKUP(Table1[[#This Row], [ROOM]],Sheet1!$A$47:$A$66,Sheet1!$F$47:$F$66)</f>
        <v>17550000</v>
      </c>
      <c r="O467" s="9">
        <f>_xlfn.XLOOKUP(_xlfn.CONCAT(Table1[[#This Row], [TEAM]],Table1[[#This Row], [ROOM]]),'ROOM TIME'!$H$2:$H$121,'ROOM TIME'!$J$2:$J$121)</f>
        <v>59.591249999999981</v>
      </c>
      <c r="P467" s="9">
        <f>(INDEX(Sheet1!$X$48:$Z$67,MATCH(Table1[[#This Row], [ROOM]],Sheet1!$P$48:$P$67,0),MATCH(Table1[[#This Row], [WEAPON]],Sheet1!$X$47:$Z$47,0)))/Table1[[#This Row], [NUM OF MEM]]</f>
        <v>5.75</v>
      </c>
      <c r="Q467" s="9">
        <f>Table1[[#This Row], [ROOM TIME]]+Table1[[#This Row], [GUARD TIME]]</f>
        <v>65.341249999999974</v>
      </c>
      <c r="R467" s="4">
        <f>Sheet1!$K$3*_xlfn.XLOOKUP(Table1[[#This Row], [DISGUISE]],Sheet1!$A$21:$A$23,Sheet1!$D$21:$D$23)</f>
        <v>66</v>
      </c>
      <c r="S467" s="9">
        <f>Table1[[#This Row], [TOTAL TIME]]-Table1[[#This Row], [TOTAL TIME TAKEN]]</f>
        <v>0.65875000000002615</v>
      </c>
      <c r="T467" t="str">
        <f>IF(Table1[[#This Row], [TIME DIFFERENCE]]&gt;=0,"PASS","FAIL")</f>
        <v>PASS</v>
      </c>
      <c r="U467" s="9">
        <f>Table1[[#This Row], [TRC]]+Table1[[#This Row], [DRC]]+Table1[[#This Row], [WRC]]+Table1[[#This Row], [ERC]]+Table1[[#This Row], [EQRC]]</f>
        <v>7727995.1999999993</v>
      </c>
      <c r="V467" s="9">
        <f>Table1[[#This Row], [TOTAL COST]]+_xlfn.XLOOKUP(Table1[[#This Row], [TEAM]],Sheet1!$A$12:$A$17,Sheet1!$I$12:$I$17)</f>
        <v>8024642.6999999993</v>
      </c>
      <c r="W467" s="9">
        <f>Table1[[#This Row], [LOOT]]-Table1[[#This Row], [TOTAL COST]]</f>
        <v>9822004.8000000007</v>
      </c>
      <c r="X467" s="9">
        <f>IF(Table1[[#This Row], [PASS/FAIL]]="FAIL",0,Table1[[#This Row], [PROFIT]])</f>
        <v>9822004.8000000007</v>
      </c>
    </row>
    <row r="468" spans="1:24" ht="19.5" customHeight="1" x14ac:dyDescent="0.45">
      <c r="A468" t="s">
        <v>14</v>
      </c>
      <c r="B468" s="14">
        <f>_xlfn.XLOOKUP(Table1[[#This Row], [TEAM]],Sheet1!$A$12:$A$17,Sheet1!$F$12:$F$17)</f>
        <v>2</v>
      </c>
      <c r="C468" s="14">
        <f>_xlfn.XLOOKUP(Table1[[#This Row], [TEAM]],Sheet1!$A$12:$A$17,Sheet1!$G$12:$G$17)</f>
        <v>5949600</v>
      </c>
      <c r="D468" t="s">
        <v>19</v>
      </c>
      <c r="E468" s="4">
        <f>_xlfn.XLOOKUP(Table1[[#This Row], [ROOM]],Sheet1!$A$47:$A$66,Sheet1!$B$47:$B$66)</f>
        <v>135</v>
      </c>
      <c r="F468" t="s">
        <v>58</v>
      </c>
      <c r="G468" s="4">
        <f>_xlfn.XLOOKUP(Table1[[#This Row], [DISGUISE]],Sheet1!$A$21:$A$23,Sheet1!$B$21:$B$23)*Table1[[#This Row], [NUM OF MEM]]*(1+_xlfn.XLOOKUP(Table1[[#This Row], [DISGUISE]],Sheet1!$A$21:$A$23,Sheet1!$C$21:$C$23))</f>
        <v>25600</v>
      </c>
      <c r="H468" s="13" t="s">
        <v>59</v>
      </c>
      <c r="I468" s="4">
        <f>_xlfn.XLOOKUP(Table1[[#This Row], [WEAPON]],Sheet1!$A$27:$A$29,Sheet1!$B$27:$B$29)*Table1[[#This Row], [NUM OF MEM]]*(1+_xlfn.XLOOKUP(Table1[[#This Row], [WEAPON]],Sheet1!$A$27:$A$29,Sheet1!$C$27:$C$29))</f>
        <v>91000</v>
      </c>
      <c r="J468" t="s">
        <v>60</v>
      </c>
      <c r="K468" s="9">
        <f>Table1[[#This Row], [NUM OF MEM]]*Table1[[#This Row], [TOTAL TIME TAKEN]]*_xlfn.XLOOKUP(Table1[[#This Row], [EXIT]],Sheet1!$A$70:$A$71,Sheet1!$B$70:$B$71)*(1+_xlfn.XLOOKUP(Table1[[#This Row], [EXIT]],Sheet1!$A$70:$A$71,Sheet1!$C$70:$C$71))</f>
        <v>1754748.1312499996</v>
      </c>
      <c r="L468" s="13" t="s">
        <v>65</v>
      </c>
      <c r="M468" s="4">
        <f>IF(Table1[[#This Row], [EQUIPMENT]]="YES",Sheet1!$C$44*(1+Sheet1!$D$44),0)</f>
        <v>307500</v>
      </c>
      <c r="N468" s="4">
        <f>_xlfn.XLOOKUP(Table1[[#This Row], [ROOM]],Sheet1!$A$47:$A$66,Sheet1!$F$47:$F$66)</f>
        <v>17950000</v>
      </c>
      <c r="O468" s="9">
        <f>_xlfn.XLOOKUP(_xlfn.CONCAT(Table1[[#This Row], [TEAM]],Table1[[#This Row], [ROOM]]),'ROOM TIME'!$H$2:$H$121,'ROOM TIME'!$J$2:$J$121)</f>
        <v>62.046249999999986</v>
      </c>
      <c r="P468" s="9">
        <f>(INDEX(Sheet1!$X$48:$Z$67,MATCH(Table1[[#This Row], [ROOM]],Sheet1!$P$48:$P$67,0),MATCH(Table1[[#This Row], [WEAPON]],Sheet1!$X$47:$Z$47,0)))/Table1[[#This Row], [NUM OF MEM]]</f>
        <v>6.3249999999999993</v>
      </c>
      <c r="Q468" s="9">
        <f>Table1[[#This Row], [ROOM TIME]]+Table1[[#This Row], [GUARD TIME]]</f>
        <v>68.371249999999989</v>
      </c>
      <c r="R468" s="4">
        <f>Sheet1!$K$3*_xlfn.XLOOKUP(Table1[[#This Row], [DISGUISE]],Sheet1!$A$21:$A$23,Sheet1!$D$21:$D$23)</f>
        <v>69</v>
      </c>
      <c r="S468" s="9">
        <f>Table1[[#This Row], [TOTAL TIME]]-Table1[[#This Row], [TOTAL TIME TAKEN]]</f>
        <v>0.6287500000000108</v>
      </c>
      <c r="T468" t="str">
        <f>IF(Table1[[#This Row], [TIME DIFFERENCE]]&gt;=0,"PASS","FAIL")</f>
        <v>PASS</v>
      </c>
      <c r="U468" s="9">
        <f>Table1[[#This Row], [TRC]]+Table1[[#This Row], [DRC]]+Table1[[#This Row], [WRC]]+Table1[[#This Row], [ERC]]+Table1[[#This Row], [EQRC]]</f>
        <v>8128448.1312499996</v>
      </c>
      <c r="V468" s="9">
        <f>Table1[[#This Row], [TOTAL COST]]+_xlfn.XLOOKUP(Table1[[#This Row], [TEAM]],Sheet1!$A$12:$A$17,Sheet1!$I$12:$I$17)</f>
        <v>8425928.1312499996</v>
      </c>
      <c r="W468" s="9">
        <f>Table1[[#This Row], [LOOT]]-Table1[[#This Row], [TOTAL COST]]</f>
        <v>9821551.8687500004</v>
      </c>
      <c r="X468" s="9">
        <f>IF(Table1[[#This Row], [PASS/FAIL]]="FAIL",0,Table1[[#This Row], [PROFIT]])</f>
        <v>9821551.8687500004</v>
      </c>
    </row>
    <row r="469" spans="1:24" ht="19.5" customHeight="1" x14ac:dyDescent="0.45">
      <c r="A469" t="s">
        <v>13</v>
      </c>
      <c r="B469" s="14">
        <f>_xlfn.XLOOKUP(Table1[[#This Row], [TEAM]],Sheet1!$A$12:$A$17,Sheet1!$F$12:$F$17)</f>
        <v>3</v>
      </c>
      <c r="C469" s="14">
        <f>_xlfn.XLOOKUP(Table1[[#This Row], [TEAM]],Sheet1!$A$12:$A$17,Sheet1!$G$12:$G$17)</f>
        <v>5930000</v>
      </c>
      <c r="D469" t="s">
        <v>18</v>
      </c>
      <c r="E469" s="4">
        <f>_xlfn.XLOOKUP(Table1[[#This Row], [ROOM]],Sheet1!$A$47:$A$66,Sheet1!$B$47:$B$66)</f>
        <v>134</v>
      </c>
      <c r="F469" t="s">
        <v>62</v>
      </c>
      <c r="G469" s="4">
        <f>_xlfn.XLOOKUP(Table1[[#This Row], [DISGUISE]],Sheet1!$A$21:$A$23,Sheet1!$B$21:$B$23)*Table1[[#This Row], [NUM OF MEM]]*(1+_xlfn.XLOOKUP(Table1[[#This Row], [DISGUISE]],Sheet1!$A$21:$A$23,Sheet1!$C$21:$C$23))</f>
        <v>15600</v>
      </c>
      <c r="H469" s="13" t="s">
        <v>66</v>
      </c>
      <c r="I469" s="4">
        <f>_xlfn.XLOOKUP(Table1[[#This Row], [WEAPON]],Sheet1!$A$27:$A$29,Sheet1!$B$27:$B$29)*Table1[[#This Row], [NUM OF MEM]]*(1+_xlfn.XLOOKUP(Table1[[#This Row], [WEAPON]],Sheet1!$A$27:$A$29,Sheet1!$C$27:$C$29))</f>
        <v>108000</v>
      </c>
      <c r="J469" t="s">
        <v>64</v>
      </c>
      <c r="K469" s="9">
        <f>Table1[[#This Row], [NUM OF MEM]]*Table1[[#This Row], [TOTAL TIME TAKEN]]*_xlfn.XLOOKUP(Table1[[#This Row], [EXIT]],Sheet1!$A$70:$A$71,Sheet1!$B$70:$B$71)*(1+_xlfn.XLOOKUP(Table1[[#This Row], [EXIT]],Sheet1!$A$70:$A$71,Sheet1!$C$70:$C$71))</f>
        <v>1867427.9999999998</v>
      </c>
      <c r="L469" s="13" t="s">
        <v>65</v>
      </c>
      <c r="M469" s="4">
        <f>IF(Table1[[#This Row], [EQUIPMENT]]="YES",Sheet1!$C$44*(1+Sheet1!$D$44),0)</f>
        <v>307500</v>
      </c>
      <c r="N469" s="4">
        <f>_xlfn.XLOOKUP(Table1[[#This Row], [ROOM]],Sheet1!$A$47:$A$66,Sheet1!$F$47:$F$66)</f>
        <v>18050000</v>
      </c>
      <c r="O469" s="9">
        <f>_xlfn.XLOOKUP(_xlfn.CONCAT(Table1[[#This Row], [TEAM]],Table1[[#This Row], [ROOM]]),'ROOM TIME'!$H$2:$H$121,'ROOM TIME'!$J$2:$J$121)</f>
        <v>43.030555555555544</v>
      </c>
      <c r="P469" s="4">
        <f>(INDEX(Sheet1!$X$48:$Z$67,MATCH(Table1[[#This Row], [ROOM]],Sheet1!$P$48:$P$67,0),MATCH(Table1[[#This Row], [WEAPON]],Sheet1!$X$47:$Z$47,0)))/Table1[[#This Row], [NUM OF MEM]]</f>
        <v>5</v>
      </c>
      <c r="Q469" s="9">
        <f>Table1[[#This Row], [ROOM TIME]]+Table1[[#This Row], [GUARD TIME]]</f>
        <v>48.030555555555544</v>
      </c>
      <c r="R469" s="4">
        <f>Sheet1!$K$3*_xlfn.XLOOKUP(Table1[[#This Row], [DISGUISE]],Sheet1!$A$21:$A$23,Sheet1!$D$21:$D$23)</f>
        <v>66</v>
      </c>
      <c r="S469" s="9">
        <f>Table1[[#This Row], [TOTAL TIME]]-Table1[[#This Row], [TOTAL TIME TAKEN]]</f>
        <v>17.969444444444456</v>
      </c>
      <c r="T469" t="str">
        <f>IF(Table1[[#This Row], [TIME DIFFERENCE]]&gt;=0,"PASS","FAIL")</f>
        <v>PASS</v>
      </c>
      <c r="U469" s="4">
        <f>Table1[[#This Row], [TRC]]+Table1[[#This Row], [DRC]]+Table1[[#This Row], [WRC]]+Table1[[#This Row], [ERC]]+Table1[[#This Row], [EQRC]]</f>
        <v>8228528</v>
      </c>
      <c r="V469" s="4">
        <f>Table1[[#This Row], [TOTAL COST]]+_xlfn.XLOOKUP(Table1[[#This Row], [TEAM]],Sheet1!$A$12:$A$17,Sheet1!$I$12:$I$17)</f>
        <v>8525028</v>
      </c>
      <c r="W469" s="4">
        <f>Table1[[#This Row], [LOOT]]-Table1[[#This Row], [TOTAL COST]]</f>
        <v>9821472</v>
      </c>
      <c r="X469" s="4">
        <f>IF(Table1[[#This Row], [PASS/FAIL]]="FAIL",0,Table1[[#This Row], [PROFIT]])</f>
        <v>9821472</v>
      </c>
    </row>
    <row r="470" spans="1:24" ht="19.5" customHeight="1" x14ac:dyDescent="0.45">
      <c r="A470" t="s">
        <v>12</v>
      </c>
      <c r="B470" s="14">
        <f>_xlfn.XLOOKUP(Table1[[#This Row], [TEAM]],Sheet1!$A$12:$A$17,Sheet1!$F$12:$F$17)</f>
        <v>3</v>
      </c>
      <c r="C470" s="14">
        <f>_xlfn.XLOOKUP(Table1[[#This Row], [TEAM]],Sheet1!$A$12:$A$17,Sheet1!$G$12:$G$17)</f>
        <v>5988750</v>
      </c>
      <c r="D470" t="s">
        <v>18</v>
      </c>
      <c r="E470" s="4">
        <f>_xlfn.XLOOKUP(Table1[[#This Row], [ROOM]],Sheet1!$A$47:$A$66,Sheet1!$B$47:$B$66)</f>
        <v>134</v>
      </c>
      <c r="F470" t="s">
        <v>58</v>
      </c>
      <c r="G470" s="4">
        <f>_xlfn.XLOOKUP(Table1[[#This Row], [DISGUISE]],Sheet1!$A$21:$A$23,Sheet1!$B$21:$B$23)*Table1[[#This Row], [NUM OF MEM]]*(1+_xlfn.XLOOKUP(Table1[[#This Row], [DISGUISE]],Sheet1!$A$21:$A$23,Sheet1!$C$21:$C$23))</f>
        <v>38400</v>
      </c>
      <c r="H470" s="13" t="s">
        <v>66</v>
      </c>
      <c r="I470" s="4">
        <f>_xlfn.XLOOKUP(Table1[[#This Row], [WEAPON]],Sheet1!$A$27:$A$29,Sheet1!$B$27:$B$29)*Table1[[#This Row], [NUM OF MEM]]*(1+_xlfn.XLOOKUP(Table1[[#This Row], [WEAPON]],Sheet1!$A$27:$A$29,Sheet1!$C$27:$C$29))</f>
        <v>108000</v>
      </c>
      <c r="J470" t="s">
        <v>60</v>
      </c>
      <c r="K470" s="9">
        <f>Table1[[#This Row], [NUM OF MEM]]*Table1[[#This Row], [TOTAL TIME TAKEN]]*_xlfn.XLOOKUP(Table1[[#This Row], [EXIT]],Sheet1!$A$70:$A$71,Sheet1!$B$70:$B$71)*(1+_xlfn.XLOOKUP(Table1[[#This Row], [EXIT]],Sheet1!$A$70:$A$71,Sheet1!$C$70:$C$71))</f>
        <v>1787011.1749999996</v>
      </c>
      <c r="L470" s="13" t="s">
        <v>65</v>
      </c>
      <c r="M470" s="4">
        <f>IF(Table1[[#This Row], [EQUIPMENT]]="YES",Sheet1!$C$44*(1+Sheet1!$D$44),0)</f>
        <v>307500</v>
      </c>
      <c r="N470" s="4">
        <f>_xlfn.XLOOKUP(Table1[[#This Row], [ROOM]],Sheet1!$A$47:$A$66,Sheet1!$F$47:$F$66)</f>
        <v>18050000</v>
      </c>
      <c r="O470" s="9">
        <f>_xlfn.XLOOKUP(_xlfn.CONCAT(Table1[[#This Row], [TEAM]],Table1[[#This Row], [ROOM]]),'ROOM TIME'!$H$2:$H$121,'ROOM TIME'!$J$2:$J$121)</f>
        <v>41.41888888888888</v>
      </c>
      <c r="P470" s="4">
        <f>(INDEX(Sheet1!$X$48:$Z$67,MATCH(Table1[[#This Row], [ROOM]],Sheet1!$P$48:$P$67,0),MATCH(Table1[[#This Row], [WEAPON]],Sheet1!$X$47:$Z$47,0)))/Table1[[#This Row], [NUM OF MEM]]</f>
        <v>5</v>
      </c>
      <c r="Q470" s="9">
        <f>Table1[[#This Row], [ROOM TIME]]+Table1[[#This Row], [GUARD TIME]]</f>
        <v>46.41888888888888</v>
      </c>
      <c r="R470" s="4">
        <f>Sheet1!$K$3*_xlfn.XLOOKUP(Table1[[#This Row], [DISGUISE]],Sheet1!$A$21:$A$23,Sheet1!$D$21:$D$23)</f>
        <v>69</v>
      </c>
      <c r="S470" s="9">
        <f>Table1[[#This Row], [TOTAL TIME]]-Table1[[#This Row], [TOTAL TIME TAKEN]]</f>
        <v>22.58111111111112</v>
      </c>
      <c r="T470" t="str">
        <f>IF(Table1[[#This Row], [TIME DIFFERENCE]]&gt;=0,"PASS","FAIL")</f>
        <v>PASS</v>
      </c>
      <c r="U470" s="9">
        <f>Table1[[#This Row], [TRC]]+Table1[[#This Row], [DRC]]+Table1[[#This Row], [WRC]]+Table1[[#This Row], [ERC]]+Table1[[#This Row], [EQRC]]</f>
        <v>8229661.1749999998</v>
      </c>
      <c r="V470" s="9">
        <f>Table1[[#This Row], [TOTAL COST]]+_xlfn.XLOOKUP(Table1[[#This Row], [TEAM]],Sheet1!$A$12:$A$17,Sheet1!$I$12:$I$17)</f>
        <v>8529098.6750000007</v>
      </c>
      <c r="W470" s="9">
        <f>Table1[[#This Row], [LOOT]]-Table1[[#This Row], [TOTAL COST]]</f>
        <v>9820338.8249999993</v>
      </c>
      <c r="X470" s="9">
        <f>IF(Table1[[#This Row], [PASS/FAIL]]="FAIL",0,Table1[[#This Row], [PROFIT]])</f>
        <v>9820338.8249999993</v>
      </c>
    </row>
    <row r="471" spans="1:24" ht="19.5" customHeight="1" x14ac:dyDescent="0.45">
      <c r="A471" t="s">
        <v>14</v>
      </c>
      <c r="B471" s="14">
        <f>_xlfn.XLOOKUP(Table1[[#This Row], [TEAM]],Sheet1!$A$12:$A$17,Sheet1!$F$12:$F$17)</f>
        <v>2</v>
      </c>
      <c r="C471" s="14">
        <f>_xlfn.XLOOKUP(Table1[[#This Row], [TEAM]],Sheet1!$A$12:$A$17,Sheet1!$G$12:$G$17)</f>
        <v>5949600</v>
      </c>
      <c r="D471" t="s">
        <v>20</v>
      </c>
      <c r="E471" s="4">
        <f>_xlfn.XLOOKUP(Table1[[#This Row], [ROOM]],Sheet1!$A$47:$A$66,Sheet1!$B$47:$B$66)</f>
        <v>145</v>
      </c>
      <c r="F471" t="s">
        <v>58</v>
      </c>
      <c r="G471" s="4">
        <f>_xlfn.XLOOKUP(Table1[[#This Row], [DISGUISE]],Sheet1!$A$21:$A$23,Sheet1!$B$21:$B$23)*Table1[[#This Row], [NUM OF MEM]]*(1+_xlfn.XLOOKUP(Table1[[#This Row], [DISGUISE]],Sheet1!$A$21:$A$23,Sheet1!$C$21:$C$23))</f>
        <v>25600</v>
      </c>
      <c r="H471" s="13" t="s">
        <v>63</v>
      </c>
      <c r="I471" s="4">
        <f>_xlfn.XLOOKUP(Table1[[#This Row], [WEAPON]],Sheet1!$A$27:$A$29,Sheet1!$B$27:$B$29)*Table1[[#This Row], [NUM OF MEM]]*(1+_xlfn.XLOOKUP(Table1[[#This Row], [WEAPON]],Sheet1!$A$27:$A$29,Sheet1!$C$27:$C$29))</f>
        <v>46000</v>
      </c>
      <c r="J471" t="s">
        <v>60</v>
      </c>
      <c r="K471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1710315.5999999996</v>
      </c>
      <c r="L471" s="13" t="s">
        <v>61</v>
      </c>
      <c r="M471" s="4">
        <f>IF(Table1[[#This Row], [EQUIPMENT]]="YES",Sheet1!$C$44*(1+Sheet1!$D$44),0)</f>
        <v>0</v>
      </c>
      <c r="N471" s="4">
        <f>_xlfn.XLOOKUP(Table1[[#This Row], [ROOM]],Sheet1!$A$47:$A$66,Sheet1!$F$47:$F$66)</f>
        <v>17550000</v>
      </c>
      <c r="O471" s="9">
        <f>_xlfn.XLOOKUP(_xlfn.CONCAT(Table1[[#This Row], [TEAM]],Table1[[#This Row], [ROOM]]),'ROOM TIME'!$H$2:$H$121,'ROOM TIME'!$J$2:$J$121)</f>
        <v>59.889999999999986</v>
      </c>
      <c r="P471" s="9">
        <f>(INDEX(Sheet1!$X$48:$Z$67,MATCH(Table1[[#This Row], [ROOM]],Sheet1!$P$48:$P$67,0),MATCH(Table1[[#This Row], [WEAPON]],Sheet1!$X$47:$Z$47,0)))/Table1[[#This Row], [NUM OF MEM]]</f>
        <v>6.75</v>
      </c>
      <c r="Q471" s="9">
        <f>Table1[[#This Row], [ROOM TIME]]+Table1[[#This Row], [GUARD TIME]]</f>
        <v>66.639999999999986</v>
      </c>
      <c r="R471" s="4">
        <f>Sheet1!$K$3*_xlfn.XLOOKUP(Table1[[#This Row], [DISGUISE]],Sheet1!$A$21:$A$23,Sheet1!$D$21:$D$23)</f>
        <v>69</v>
      </c>
      <c r="S471" s="9">
        <f>Table1[[#This Row], [TOTAL TIME]]-Table1[[#This Row], [TOTAL TIME TAKEN]]</f>
        <v>2.3600000000000136</v>
      </c>
      <c r="T471" t="str">
        <f>IF(Table1[[#This Row], [TIME DIFFERENCE]]&gt;=0,"PASS","FAIL")</f>
        <v>PASS</v>
      </c>
      <c r="U471" s="9">
        <f>Table1[[#This Row], [TRC]]+Table1[[#This Row], [DRC]]+Table1[[#This Row], [WRC]]+Table1[[#This Row], [ERC]]+Table1[[#This Row], [EQRC]]</f>
        <v>7731515.5999999996</v>
      </c>
      <c r="V471" s="9">
        <f>Table1[[#This Row], [TOTAL COST]]+_xlfn.XLOOKUP(Table1[[#This Row], [TEAM]],Sheet1!$A$12:$A$17,Sheet1!$I$12:$I$17)</f>
        <v>8028995.5999999996</v>
      </c>
      <c r="W471" s="9">
        <f>Table1[[#This Row], [LOOT]]-Table1[[#This Row], [TOTAL COST]]</f>
        <v>9818484.4000000004</v>
      </c>
      <c r="X471" s="9">
        <f>IF(Table1[[#This Row], [PASS/FAIL]]="FAIL",0,Table1[[#This Row], [PROFIT]])</f>
        <v>9818484.4000000004</v>
      </c>
    </row>
    <row r="472" spans="1:24" ht="19.5" customHeight="1" x14ac:dyDescent="0.45">
      <c r="A472" t="s">
        <v>12</v>
      </c>
      <c r="B472" s="14">
        <f>_xlfn.XLOOKUP(Table1[[#This Row], [TEAM]],Sheet1!$A$12:$A$17,Sheet1!$F$12:$F$17)</f>
        <v>3</v>
      </c>
      <c r="C472" s="14">
        <f>_xlfn.XLOOKUP(Table1[[#This Row], [TEAM]],Sheet1!$A$12:$A$17,Sheet1!$G$12:$G$17)</f>
        <v>5988750</v>
      </c>
      <c r="D472" t="s">
        <v>24</v>
      </c>
      <c r="E472" s="4">
        <f>_xlfn.XLOOKUP(Table1[[#This Row], [ROOM]],Sheet1!$A$47:$A$66,Sheet1!$B$47:$B$66)</f>
        <v>345</v>
      </c>
      <c r="F472" t="s">
        <v>62</v>
      </c>
      <c r="G472" s="4">
        <f>_xlfn.XLOOKUP(Table1[[#This Row], [DISGUISE]],Sheet1!$A$21:$A$23,Sheet1!$B$21:$B$23)*Table1[[#This Row], [NUM OF MEM]]*(1+_xlfn.XLOOKUP(Table1[[#This Row], [DISGUISE]],Sheet1!$A$21:$A$23,Sheet1!$C$21:$C$23))</f>
        <v>15600</v>
      </c>
      <c r="H472" s="13" t="s">
        <v>63</v>
      </c>
      <c r="I472" s="4">
        <f>_xlfn.XLOOKUP(Table1[[#This Row], [WEAPON]],Sheet1!$A$27:$A$29,Sheet1!$B$27:$B$29)*Table1[[#This Row], [NUM OF MEM]]*(1+_xlfn.XLOOKUP(Table1[[#This Row], [WEAPON]],Sheet1!$A$27:$A$29,Sheet1!$C$27:$C$29))</f>
        <v>69000</v>
      </c>
      <c r="J472" t="s">
        <v>64</v>
      </c>
      <c r="K472" s="9">
        <f>Table1[[#This Row], [NUM OF MEM]]*Table1[[#This Row], [TOTAL TIME TAKEN]]*_xlfn.XLOOKUP(Table1[[#This Row], [EXIT]],Sheet1!$A$70:$A$71,Sheet1!$B$70:$B$71)*(1+_xlfn.XLOOKUP(Table1[[#This Row], [EXIT]],Sheet1!$A$70:$A$71,Sheet1!$C$70:$C$71))</f>
        <v>1801353.5999999994</v>
      </c>
      <c r="L472" s="13" t="s">
        <v>65</v>
      </c>
      <c r="M472" s="4">
        <f>IF(Table1[[#This Row], [EQUIPMENT]]="YES",Sheet1!$C$44*(1+Sheet1!$D$44),0)</f>
        <v>307500</v>
      </c>
      <c r="N472" s="4">
        <f>_xlfn.XLOOKUP(Table1[[#This Row], [ROOM]],Sheet1!$A$47:$A$66,Sheet1!$F$47:$F$66)</f>
        <v>18000000</v>
      </c>
      <c r="O472" s="9">
        <f>_xlfn.XLOOKUP(_xlfn.CONCAT(Table1[[#This Row], [TEAM]],Table1[[#This Row], [ROOM]]),'ROOM TIME'!$H$2:$H$121,'ROOM TIME'!$J$2:$J$121)</f>
        <v>40.9311111111111</v>
      </c>
      <c r="P472" s="9">
        <f>(INDEX(Sheet1!$X$48:$Z$67,MATCH(Table1[[#This Row], [ROOM]],Sheet1!$P$48:$P$67,0),MATCH(Table1[[#This Row], [WEAPON]],Sheet1!$X$47:$Z$47,0)))/Table1[[#This Row], [NUM OF MEM]]</f>
        <v>5.4000000000000012</v>
      </c>
      <c r="Q472" s="9">
        <f>Table1[[#This Row], [ROOM TIME]]+Table1[[#This Row], [GUARD TIME]]</f>
        <v>46.331111111111099</v>
      </c>
      <c r="R472" s="4">
        <f>Sheet1!$K$3*_xlfn.XLOOKUP(Table1[[#This Row], [DISGUISE]],Sheet1!$A$21:$A$23,Sheet1!$D$21:$D$23)</f>
        <v>66</v>
      </c>
      <c r="S472" s="9">
        <f>Table1[[#This Row], [TOTAL TIME]]-Table1[[#This Row], [TOTAL TIME TAKEN]]</f>
        <v>19.668888888888901</v>
      </c>
      <c r="T472" t="str">
        <f>IF(Table1[[#This Row], [TIME DIFFERENCE]]&gt;=0,"PASS","FAIL")</f>
        <v>PASS</v>
      </c>
      <c r="U472" s="9">
        <f>Table1[[#This Row], [TRC]]+Table1[[#This Row], [DRC]]+Table1[[#This Row], [WRC]]+Table1[[#This Row], [ERC]]+Table1[[#This Row], [EQRC]]</f>
        <v>8182203.5999999996</v>
      </c>
      <c r="V472" s="9">
        <f>Table1[[#This Row], [TOTAL COST]]+_xlfn.XLOOKUP(Table1[[#This Row], [TEAM]],Sheet1!$A$12:$A$17,Sheet1!$I$12:$I$17)</f>
        <v>8481641.0999999996</v>
      </c>
      <c r="W472" s="9">
        <f>Table1[[#This Row], [LOOT]]-Table1[[#This Row], [TOTAL COST]]</f>
        <v>9817796.4000000004</v>
      </c>
      <c r="X472" s="9">
        <f>IF(Table1[[#This Row], [PASS/FAIL]]="FAIL",0,Table1[[#This Row], [PROFIT]])</f>
        <v>9817796.4000000004</v>
      </c>
    </row>
    <row r="473" spans="1:24" ht="19.5" customHeight="1" x14ac:dyDescent="0.45">
      <c r="A473" t="s">
        <v>9</v>
      </c>
      <c r="B473" s="14">
        <f>_xlfn.XLOOKUP(Table1[[#This Row], [TEAM]],Sheet1!$A$12:$A$17,Sheet1!$F$12:$F$17)</f>
        <v>3</v>
      </c>
      <c r="C473" s="14">
        <f>_xlfn.XLOOKUP(Table1[[#This Row], [TEAM]],Sheet1!$A$12:$A$17,Sheet1!$G$12:$G$17)</f>
        <v>6238750</v>
      </c>
      <c r="D473" t="s">
        <v>33</v>
      </c>
      <c r="E473" s="4">
        <f>_xlfn.XLOOKUP(Table1[[#This Row], [ROOM]],Sheet1!$A$47:$A$66,Sheet1!$B$47:$B$66)</f>
        <v>356</v>
      </c>
      <c r="F473" t="s">
        <v>62</v>
      </c>
      <c r="G473" s="4">
        <f>_xlfn.XLOOKUP(Table1[[#This Row], [DISGUISE]],Sheet1!$A$21:$A$23,Sheet1!$B$21:$B$23)*Table1[[#This Row], [NUM OF MEM]]*(1+_xlfn.XLOOKUP(Table1[[#This Row], [DISGUISE]],Sheet1!$A$21:$A$23,Sheet1!$C$21:$C$23))</f>
        <v>15600</v>
      </c>
      <c r="H473" s="13" t="s">
        <v>59</v>
      </c>
      <c r="I473" s="4">
        <f>_xlfn.XLOOKUP(Table1[[#This Row], [WEAPON]],Sheet1!$A$27:$A$29,Sheet1!$B$27:$B$29)*Table1[[#This Row], [NUM OF MEM]]*(1+_xlfn.XLOOKUP(Table1[[#This Row], [WEAPON]],Sheet1!$A$27:$A$29,Sheet1!$C$27:$C$29))</f>
        <v>136500</v>
      </c>
      <c r="J473" t="s">
        <v>64</v>
      </c>
      <c r="K473" s="9">
        <f>Table1[[#This Row], [NUM OF MEM]]*Table1[[#This Row], [TOTAL TIME TAKEN]]*_xlfn.XLOOKUP(Table1[[#This Row], [EXIT]],Sheet1!$A$70:$A$71,Sheet1!$B$70:$B$71)*(1+_xlfn.XLOOKUP(Table1[[#This Row], [EXIT]],Sheet1!$A$70:$A$71,Sheet1!$C$70:$C$71))</f>
        <v>1584403.1999999997</v>
      </c>
      <c r="L473" s="13" t="s">
        <v>65</v>
      </c>
      <c r="M473" s="4">
        <f>IF(Table1[[#This Row], [EQUIPMENT]]="YES",Sheet1!$C$44*(1+Sheet1!$D$44),0)</f>
        <v>307500</v>
      </c>
      <c r="N473" s="4">
        <f>_xlfn.XLOOKUP(Table1[[#This Row], [ROOM]],Sheet1!$A$47:$A$66,Sheet1!$F$47:$F$66)</f>
        <v>18100000</v>
      </c>
      <c r="O473" s="9">
        <f>_xlfn.XLOOKUP(_xlfn.CONCAT(Table1[[#This Row], [TEAM]],Table1[[#This Row], [ROOM]]),'ROOM TIME'!$H$2:$H$121,'ROOM TIME'!$J$2:$J$121)</f>
        <v>36.151111111111099</v>
      </c>
      <c r="P473" s="9">
        <f>(INDEX(Sheet1!$X$48:$Z$67,MATCH(Table1[[#This Row], [ROOM]],Sheet1!$P$48:$P$67,0),MATCH(Table1[[#This Row], [WEAPON]],Sheet1!$X$47:$Z$47,0)))/Table1[[#This Row], [NUM OF MEM]]</f>
        <v>4.5999999999999996</v>
      </c>
      <c r="Q473" s="9">
        <f>Table1[[#This Row], [ROOM TIME]]+Table1[[#This Row], [GUARD TIME]]</f>
        <v>40.751111111111101</v>
      </c>
      <c r="R473" s="4">
        <f>Sheet1!$K$3*_xlfn.XLOOKUP(Table1[[#This Row], [DISGUISE]],Sheet1!$A$21:$A$23,Sheet1!$D$21:$D$23)</f>
        <v>66</v>
      </c>
      <c r="S473" s="9">
        <f>Table1[[#This Row], [TOTAL TIME]]-Table1[[#This Row], [TOTAL TIME TAKEN]]</f>
        <v>25.248888888888899</v>
      </c>
      <c r="T473" t="str">
        <f>IF(Table1[[#This Row], [TIME DIFFERENCE]]&gt;=0,"PASS","FAIL")</f>
        <v>PASS</v>
      </c>
      <c r="U473" s="9">
        <f>Table1[[#This Row], [TRC]]+Table1[[#This Row], [DRC]]+Table1[[#This Row], [WRC]]+Table1[[#This Row], [ERC]]+Table1[[#This Row], [EQRC]]</f>
        <v>8282753.1999999993</v>
      </c>
      <c r="V473" s="9">
        <f>Table1[[#This Row], [TOTAL COST]]+_xlfn.XLOOKUP(Table1[[#This Row], [TEAM]],Sheet1!$A$12:$A$17,Sheet1!$I$12:$I$17)</f>
        <v>8594690.6999999993</v>
      </c>
      <c r="W473" s="9">
        <f>Table1[[#This Row], [LOOT]]-Table1[[#This Row], [TOTAL COST]]</f>
        <v>9817246.8000000007</v>
      </c>
      <c r="X473" s="9">
        <f>IF(Table1[[#This Row], [PASS/FAIL]]="FAIL",0,Table1[[#This Row], [PROFIT]])</f>
        <v>9817246.8000000007</v>
      </c>
    </row>
    <row r="474" spans="1:24" ht="19.5" customHeight="1" x14ac:dyDescent="0.45">
      <c r="A474" t="s">
        <v>13</v>
      </c>
      <c r="B474" s="14">
        <f>_xlfn.XLOOKUP(Table1[[#This Row], [TEAM]],Sheet1!$A$12:$A$17,Sheet1!$F$12:$F$17)</f>
        <v>3</v>
      </c>
      <c r="C474" s="14">
        <f>_xlfn.XLOOKUP(Table1[[#This Row], [TEAM]],Sheet1!$A$12:$A$17,Sheet1!$G$12:$G$17)</f>
        <v>5930000</v>
      </c>
      <c r="D474" t="s">
        <v>18</v>
      </c>
      <c r="E474" s="4">
        <f>_xlfn.XLOOKUP(Table1[[#This Row], [ROOM]],Sheet1!$A$47:$A$66,Sheet1!$B$47:$B$66)</f>
        <v>134</v>
      </c>
      <c r="F474" t="s">
        <v>58</v>
      </c>
      <c r="G474" s="4">
        <f>_xlfn.XLOOKUP(Table1[[#This Row], [DISGUISE]],Sheet1!$A$21:$A$23,Sheet1!$B$21:$B$23)*Table1[[#This Row], [NUM OF MEM]]*(1+_xlfn.XLOOKUP(Table1[[#This Row], [DISGUISE]],Sheet1!$A$21:$A$23,Sheet1!$C$21:$C$23))</f>
        <v>38400</v>
      </c>
      <c r="H474" s="13" t="s">
        <v>66</v>
      </c>
      <c r="I474" s="4">
        <f>_xlfn.XLOOKUP(Table1[[#This Row], [WEAPON]],Sheet1!$A$27:$A$29,Sheet1!$B$27:$B$29)*Table1[[#This Row], [NUM OF MEM]]*(1+_xlfn.XLOOKUP(Table1[[#This Row], [WEAPON]],Sheet1!$A$27:$A$29,Sheet1!$C$27:$C$29))</f>
        <v>108000</v>
      </c>
      <c r="J474" t="s">
        <v>60</v>
      </c>
      <c r="K474" s="9">
        <f>Table1[[#This Row], [NUM OF MEM]]*Table1[[#This Row], [TOTAL TIME TAKEN]]*_xlfn.XLOOKUP(Table1[[#This Row], [EXIT]],Sheet1!$A$70:$A$71,Sheet1!$B$70:$B$71)*(1+_xlfn.XLOOKUP(Table1[[#This Row], [EXIT]],Sheet1!$A$70:$A$71,Sheet1!$C$70:$C$71))</f>
        <v>1849056.3124999995</v>
      </c>
      <c r="L474" s="13" t="s">
        <v>65</v>
      </c>
      <c r="M474" s="4">
        <f>IF(Table1[[#This Row], [EQUIPMENT]]="YES",Sheet1!$C$44*(1+Sheet1!$D$44),0)</f>
        <v>307500</v>
      </c>
      <c r="N474" s="4">
        <f>_xlfn.XLOOKUP(Table1[[#This Row], [ROOM]],Sheet1!$A$47:$A$66,Sheet1!$F$47:$F$66)</f>
        <v>18050000</v>
      </c>
      <c r="O474" s="9">
        <f>_xlfn.XLOOKUP(_xlfn.CONCAT(Table1[[#This Row], [TEAM]],Table1[[#This Row], [ROOM]]),'ROOM TIME'!$H$2:$H$121,'ROOM TIME'!$J$2:$J$121)</f>
        <v>43.030555555555544</v>
      </c>
      <c r="P474" s="4">
        <f>(INDEX(Sheet1!$X$48:$Z$67,MATCH(Table1[[#This Row], [ROOM]],Sheet1!$P$48:$P$67,0),MATCH(Table1[[#This Row], [WEAPON]],Sheet1!$X$47:$Z$47,0)))/Table1[[#This Row], [NUM OF MEM]]</f>
        <v>5</v>
      </c>
      <c r="Q474" s="9">
        <f>Table1[[#This Row], [ROOM TIME]]+Table1[[#This Row], [GUARD TIME]]</f>
        <v>48.030555555555544</v>
      </c>
      <c r="R474" s="4">
        <f>Sheet1!$K$3*_xlfn.XLOOKUP(Table1[[#This Row], [DISGUISE]],Sheet1!$A$21:$A$23,Sheet1!$D$21:$D$23)</f>
        <v>69</v>
      </c>
      <c r="S474" s="9">
        <f>Table1[[#This Row], [TOTAL TIME]]-Table1[[#This Row], [TOTAL TIME TAKEN]]</f>
        <v>20.969444444444456</v>
      </c>
      <c r="T474" t="str">
        <f>IF(Table1[[#This Row], [TIME DIFFERENCE]]&gt;=0,"PASS","FAIL")</f>
        <v>PASS</v>
      </c>
      <c r="U474" s="9">
        <f>Table1[[#This Row], [TRC]]+Table1[[#This Row], [DRC]]+Table1[[#This Row], [WRC]]+Table1[[#This Row], [ERC]]+Table1[[#This Row], [EQRC]]</f>
        <v>8232956.3125</v>
      </c>
      <c r="V474" s="9">
        <f>Table1[[#This Row], [TOTAL COST]]+_xlfn.XLOOKUP(Table1[[#This Row], [TEAM]],Sheet1!$A$12:$A$17,Sheet1!$I$12:$I$17)</f>
        <v>8529456.3125</v>
      </c>
      <c r="W474" s="9">
        <f>Table1[[#This Row], [LOOT]]-Table1[[#This Row], [TOTAL COST]]</f>
        <v>9817043.6875</v>
      </c>
      <c r="X474" s="9">
        <f>IF(Table1[[#This Row], [PASS/FAIL]]="FAIL",0,Table1[[#This Row], [PROFIT]])</f>
        <v>9817043.6875</v>
      </c>
    </row>
    <row r="475" spans="1:24" ht="19.5" customHeight="1" x14ac:dyDescent="0.45">
      <c r="A475" t="s">
        <v>16</v>
      </c>
      <c r="B475" s="14">
        <f>_xlfn.XLOOKUP(Table1[[#This Row], [TEAM]],Sheet1!$A$12:$A$17,Sheet1!$F$12:$F$17)</f>
        <v>2</v>
      </c>
      <c r="C475" s="14">
        <f>_xlfn.XLOOKUP(Table1[[#This Row], [TEAM]],Sheet1!$A$12:$A$17,Sheet1!$G$12:$G$17)</f>
        <v>6082800</v>
      </c>
      <c r="D475" t="s">
        <v>29</v>
      </c>
      <c r="E475" s="4">
        <f>_xlfn.XLOOKUP(Table1[[#This Row], [ROOM]],Sheet1!$A$47:$A$66,Sheet1!$B$47:$B$66)</f>
        <v>236</v>
      </c>
      <c r="F475" t="s">
        <v>62</v>
      </c>
      <c r="G475" s="4">
        <f>_xlfn.XLOOKUP(Table1[[#This Row], [DISGUISE]],Sheet1!$A$21:$A$23,Sheet1!$B$21:$B$23)*Table1[[#This Row], [NUM OF MEM]]*(1+_xlfn.XLOOKUP(Table1[[#This Row], [DISGUISE]],Sheet1!$A$21:$A$23,Sheet1!$C$21:$C$23))</f>
        <v>10400</v>
      </c>
      <c r="H475" s="13" t="s">
        <v>59</v>
      </c>
      <c r="I475" s="4">
        <f>_xlfn.XLOOKUP(Table1[[#This Row], [WEAPON]],Sheet1!$A$27:$A$29,Sheet1!$B$27:$B$29)*Table1[[#This Row], [NUM OF MEM]]*(1+_xlfn.XLOOKUP(Table1[[#This Row], [WEAPON]],Sheet1!$A$27:$A$29,Sheet1!$C$27:$C$29))</f>
        <v>91000</v>
      </c>
      <c r="J475" t="s">
        <v>60</v>
      </c>
      <c r="K475" s="9">
        <f>Table1[[#This Row], [NUM OF MEM]]*Table1[[#This Row], [TOTAL TIME TAKEN]]*_xlfn.XLOOKUP(Table1[[#This Row], [EXIT]],Sheet1!$A$70:$A$71,Sheet1!$B$70:$B$71)*(1+_xlfn.XLOOKUP(Table1[[#This Row], [EXIT]],Sheet1!$A$70:$A$71,Sheet1!$C$70:$C$71))</f>
        <v>1692189.6937499992</v>
      </c>
      <c r="L475" s="13" t="s">
        <v>65</v>
      </c>
      <c r="M475" s="4">
        <f>IF(Table1[[#This Row], [EQUIPMENT]]="YES",Sheet1!$C$44*(1+Sheet1!$D$44),0)</f>
        <v>307500</v>
      </c>
      <c r="N475" s="4">
        <f>_xlfn.XLOOKUP(Table1[[#This Row], [ROOM]],Sheet1!$A$47:$A$66,Sheet1!$F$47:$F$66)</f>
        <v>18000000</v>
      </c>
      <c r="O475" s="9">
        <f>_xlfn.XLOOKUP(_xlfn.CONCAT(Table1[[#This Row], [TEAM]],Table1[[#This Row], [ROOM]]),'ROOM TIME'!$H$2:$H$121,'ROOM TIME'!$J$2:$J$121)</f>
        <v>58.458749999999981</v>
      </c>
      <c r="P475" s="9">
        <f>(INDEX(Sheet1!$X$48:$Z$67,MATCH(Table1[[#This Row], [ROOM]],Sheet1!$P$48:$P$67,0),MATCH(Table1[[#This Row], [WEAPON]],Sheet1!$X$47:$Z$47,0)))/Table1[[#This Row], [NUM OF MEM]]</f>
        <v>7.4749999999999996</v>
      </c>
      <c r="Q475" s="9">
        <f>Table1[[#This Row], [ROOM TIME]]+Table1[[#This Row], [GUARD TIME]]</f>
        <v>65.933749999999975</v>
      </c>
      <c r="R475" s="4">
        <f>Sheet1!$K$3*_xlfn.XLOOKUP(Table1[[#This Row], [DISGUISE]],Sheet1!$A$21:$A$23,Sheet1!$D$21:$D$23)</f>
        <v>66</v>
      </c>
      <c r="S475" s="9">
        <f>Table1[[#This Row], [TOTAL TIME]]-Table1[[#This Row], [TOTAL TIME TAKEN]]</f>
        <v>6.6250000000025011E-2</v>
      </c>
      <c r="T475" t="str">
        <f>IF(Table1[[#This Row], [TIME DIFFERENCE]]&gt;=0,"PASS","FAIL")</f>
        <v>PASS</v>
      </c>
      <c r="U475" s="9">
        <f>Table1[[#This Row], [TRC]]+Table1[[#This Row], [DRC]]+Table1[[#This Row], [WRC]]+Table1[[#This Row], [ERC]]+Table1[[#This Row], [EQRC]]</f>
        <v>8183889.6937499996</v>
      </c>
      <c r="V475" s="9">
        <f>Table1[[#This Row], [TOTAL COST]]+_xlfn.XLOOKUP(Table1[[#This Row], [TEAM]],Sheet1!$A$12:$A$17,Sheet1!$I$12:$I$17)</f>
        <v>8488029.6937499996</v>
      </c>
      <c r="W475" s="9">
        <f>Table1[[#This Row], [LOOT]]-Table1[[#This Row], [TOTAL COST]]</f>
        <v>9816110.3062500004</v>
      </c>
      <c r="X475" s="9">
        <f>IF(Table1[[#This Row], [PASS/FAIL]]="FAIL",0,Table1[[#This Row], [PROFIT]])</f>
        <v>9816110.3062500004</v>
      </c>
    </row>
    <row r="476" spans="1:24" ht="19.5" customHeight="1" x14ac:dyDescent="0.45">
      <c r="A476" t="s">
        <v>16</v>
      </c>
      <c r="B476" s="14">
        <f>_xlfn.XLOOKUP(Table1[[#This Row], [TEAM]],Sheet1!$A$12:$A$17,Sheet1!$F$12:$F$17)</f>
        <v>2</v>
      </c>
      <c r="C476" s="14">
        <f>_xlfn.XLOOKUP(Table1[[#This Row], [TEAM]],Sheet1!$A$12:$A$17,Sheet1!$G$12:$G$17)</f>
        <v>6082800</v>
      </c>
      <c r="D476" t="s">
        <v>22</v>
      </c>
      <c r="E476" s="4">
        <f>_xlfn.XLOOKUP(Table1[[#This Row], [ROOM]],Sheet1!$A$47:$A$66,Sheet1!$B$47:$B$66)</f>
        <v>235</v>
      </c>
      <c r="F476" t="s">
        <v>58</v>
      </c>
      <c r="G476" s="4">
        <f>_xlfn.XLOOKUP(Table1[[#This Row], [DISGUISE]],Sheet1!$A$21:$A$23,Sheet1!$B$21:$B$23)*Table1[[#This Row], [NUM OF MEM]]*(1+_xlfn.XLOOKUP(Table1[[#This Row], [DISGUISE]],Sheet1!$A$21:$A$23,Sheet1!$C$21:$C$23))</f>
        <v>25600</v>
      </c>
      <c r="H476" s="13" t="s">
        <v>59</v>
      </c>
      <c r="I476" s="4">
        <f>_xlfn.XLOOKUP(Table1[[#This Row], [WEAPON]],Sheet1!$A$27:$A$29,Sheet1!$B$27:$B$29)*Table1[[#This Row], [NUM OF MEM]]*(1+_xlfn.XLOOKUP(Table1[[#This Row], [WEAPON]],Sheet1!$A$27:$A$29,Sheet1!$C$27:$C$29))</f>
        <v>91000</v>
      </c>
      <c r="J476" t="s">
        <v>64</v>
      </c>
      <c r="K476" s="9">
        <f>Table1[[#This Row], [NUM OF MEM]]*Table1[[#This Row], [TOTAL TIME TAKEN]]*_xlfn.XLOOKUP(Table1[[#This Row], [EXIT]],Sheet1!$A$70:$A$71,Sheet1!$B$70:$B$71)*(1+_xlfn.XLOOKUP(Table1[[#This Row], [EXIT]],Sheet1!$A$70:$A$71,Sheet1!$C$70:$C$71))</f>
        <v>1785337.1999999995</v>
      </c>
      <c r="L476" s="13" t="s">
        <v>61</v>
      </c>
      <c r="M476" s="4">
        <f>IF(Table1[[#This Row], [EQUIPMENT]]="YES",Sheet1!$C$44*(1+Sheet1!$D$44),0)</f>
        <v>0</v>
      </c>
      <c r="N476" s="4">
        <f>_xlfn.XLOOKUP(Table1[[#This Row], [ROOM]],Sheet1!$A$47:$A$66,Sheet1!$F$47:$F$66)</f>
        <v>17800000</v>
      </c>
      <c r="O476" s="9">
        <f>_xlfn.XLOOKUP(_xlfn.CONCAT(Table1[[#This Row], [TEAM]],Table1[[#This Row], [ROOM]]),'ROOM TIME'!$H$2:$H$121,'ROOM TIME'!$J$2:$J$121)</f>
        <v>61.978749999999984</v>
      </c>
      <c r="P476" s="9">
        <f>(INDEX(Sheet1!$X$48:$Z$67,MATCH(Table1[[#This Row], [ROOM]],Sheet1!$P$48:$P$67,0),MATCH(Table1[[#This Row], [WEAPON]],Sheet1!$X$47:$Z$47,0)))/Table1[[#This Row], [NUM OF MEM]]</f>
        <v>6.8999999999999995</v>
      </c>
      <c r="Q476" s="9">
        <f>Table1[[#This Row], [ROOM TIME]]+Table1[[#This Row], [GUARD TIME]]</f>
        <v>68.878749999999982</v>
      </c>
      <c r="R476" s="4">
        <f>Sheet1!$K$3*_xlfn.XLOOKUP(Table1[[#This Row], [DISGUISE]],Sheet1!$A$21:$A$23,Sheet1!$D$21:$D$23)</f>
        <v>69</v>
      </c>
      <c r="S476" s="9">
        <f>Table1[[#This Row], [TOTAL TIME]]-Table1[[#This Row], [TOTAL TIME TAKEN]]</f>
        <v>0.12125000000001762</v>
      </c>
      <c r="T476" t="str">
        <f>IF(Table1[[#This Row], [TIME DIFFERENCE]]&gt;=0,"PASS","FAIL")</f>
        <v>PASS</v>
      </c>
      <c r="U476" s="9">
        <f>Table1[[#This Row], [TRC]]+Table1[[#This Row], [DRC]]+Table1[[#This Row], [WRC]]+Table1[[#This Row], [ERC]]+Table1[[#This Row], [EQRC]]</f>
        <v>7984737.1999999993</v>
      </c>
      <c r="V476" s="9">
        <f>Table1[[#This Row], [TOTAL COST]]+_xlfn.XLOOKUP(Table1[[#This Row], [TEAM]],Sheet1!$A$12:$A$17,Sheet1!$I$12:$I$17)</f>
        <v>8288877.1999999993</v>
      </c>
      <c r="W476" s="9">
        <f>Table1[[#This Row], [LOOT]]-Table1[[#This Row], [TOTAL COST]]</f>
        <v>9815262.8000000007</v>
      </c>
      <c r="X476" s="9">
        <f>IF(Table1[[#This Row], [PASS/FAIL]]="FAIL",0,Table1[[#This Row], [PROFIT]])</f>
        <v>9815262.8000000007</v>
      </c>
    </row>
    <row r="477" spans="1:24" ht="19.5" customHeight="1" x14ac:dyDescent="0.45">
      <c r="A477" t="s">
        <v>14</v>
      </c>
      <c r="B477" s="14">
        <f>_xlfn.XLOOKUP(Table1[[#This Row], [TEAM]],Sheet1!$A$12:$A$17,Sheet1!$F$12:$F$17)</f>
        <v>2</v>
      </c>
      <c r="C477" s="14">
        <f>_xlfn.XLOOKUP(Table1[[#This Row], [TEAM]],Sheet1!$A$12:$A$17,Sheet1!$G$12:$G$17)</f>
        <v>5949600</v>
      </c>
      <c r="D477" t="s">
        <v>20</v>
      </c>
      <c r="E477" s="4">
        <f>_xlfn.XLOOKUP(Table1[[#This Row], [ROOM]],Sheet1!$A$47:$A$66,Sheet1!$B$47:$B$66)</f>
        <v>145</v>
      </c>
      <c r="F477" t="s">
        <v>62</v>
      </c>
      <c r="G477" s="4">
        <f>_xlfn.XLOOKUP(Table1[[#This Row], [DISGUISE]],Sheet1!$A$21:$A$23,Sheet1!$B$21:$B$23)*Table1[[#This Row], [NUM OF MEM]]*(1+_xlfn.XLOOKUP(Table1[[#This Row], [DISGUISE]],Sheet1!$A$21:$A$23,Sheet1!$C$21:$C$23))</f>
        <v>10400</v>
      </c>
      <c r="H477" s="13" t="s">
        <v>59</v>
      </c>
      <c r="I477" s="4">
        <f>_xlfn.XLOOKUP(Table1[[#This Row], [WEAPON]],Sheet1!$A$27:$A$29,Sheet1!$B$27:$B$29)*Table1[[#This Row], [NUM OF MEM]]*(1+_xlfn.XLOOKUP(Table1[[#This Row], [WEAPON]],Sheet1!$A$27:$A$29,Sheet1!$C$27:$C$29))</f>
        <v>91000</v>
      </c>
      <c r="J477" t="s">
        <v>60</v>
      </c>
      <c r="K477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477" s="13" t="s">
        <v>61</v>
      </c>
      <c r="M477" s="4">
        <f>IF(Table1[[#This Row], [EQUIPMENT]]="YES",Sheet1!$C$44*(1+Sheet1!$D$44),0)</f>
        <v>0</v>
      </c>
      <c r="N477" s="4">
        <f>_xlfn.XLOOKUP(Table1[[#This Row], [ROOM]],Sheet1!$A$47:$A$66,Sheet1!$F$47:$F$66)</f>
        <v>17550000</v>
      </c>
      <c r="O477" s="9">
        <f>_xlfn.XLOOKUP(_xlfn.CONCAT(Table1[[#This Row], [TEAM]],Table1[[#This Row], [ROOM]]),'ROOM TIME'!$H$2:$H$121,'ROOM TIME'!$J$2:$J$121)</f>
        <v>59.889999999999986</v>
      </c>
      <c r="P477" s="9">
        <f>(INDEX(Sheet1!$X$48:$Z$67,MATCH(Table1[[#This Row], [ROOM]],Sheet1!$P$48:$P$67,0),MATCH(Table1[[#This Row], [WEAPON]],Sheet1!$X$47:$Z$47,0)))/Table1[[#This Row], [NUM OF MEM]]</f>
        <v>5.75</v>
      </c>
      <c r="Q477" s="9">
        <f>Table1[[#This Row], [ROOM TIME]]+Table1[[#This Row], [GUARD TIME]]</f>
        <v>65.639999999999986</v>
      </c>
      <c r="R477" s="4">
        <f>Sheet1!$K$3*_xlfn.XLOOKUP(Table1[[#This Row], [DISGUISE]],Sheet1!$A$21:$A$23,Sheet1!$D$21:$D$23)</f>
        <v>66</v>
      </c>
      <c r="S477" s="9">
        <f>Table1[[#This Row], [TOTAL TIME]]-Table1[[#This Row], [TOTAL TIME TAKEN]]</f>
        <v>0.36000000000001364</v>
      </c>
      <c r="T477" t="str">
        <f>IF(Table1[[#This Row], [TIME DIFFERENCE]]&gt;=0,"PASS","FAIL")</f>
        <v>PASS</v>
      </c>
      <c r="U477" s="9">
        <f>Table1[[#This Row], [TRC]]+Table1[[#This Row], [DRC]]+Table1[[#This Row], [WRC]]+Table1[[#This Row], [ERC]]+Table1[[#This Row], [EQRC]]</f>
        <v>7735650.5999999996</v>
      </c>
      <c r="V477" s="9">
        <f>Table1[[#This Row], [TOTAL COST]]+_xlfn.XLOOKUP(Table1[[#This Row], [TEAM]],Sheet1!$A$12:$A$17,Sheet1!$I$12:$I$17)</f>
        <v>8033130.5999999996</v>
      </c>
      <c r="W477" s="9">
        <f>Table1[[#This Row], [LOOT]]-Table1[[#This Row], [TOTAL COST]]</f>
        <v>9814349.4000000004</v>
      </c>
      <c r="X477" s="9">
        <f>IF(Table1[[#This Row], [PASS/FAIL]]="FAIL",0,Table1[[#This Row], [PROFIT]])</f>
        <v>9814349.4000000004</v>
      </c>
    </row>
    <row r="478" spans="1:24" ht="19.5" customHeight="1" x14ac:dyDescent="0.45">
      <c r="A478" t="s">
        <v>12</v>
      </c>
      <c r="B478" s="14">
        <f>_xlfn.XLOOKUP(Table1[[#This Row], [TEAM]],Sheet1!$A$12:$A$17,Sheet1!$F$12:$F$17)</f>
        <v>3</v>
      </c>
      <c r="C478" s="14">
        <f>_xlfn.XLOOKUP(Table1[[#This Row], [TEAM]],Sheet1!$A$12:$A$17,Sheet1!$G$12:$G$17)</f>
        <v>5988750</v>
      </c>
      <c r="D478" t="s">
        <v>29</v>
      </c>
      <c r="E478" s="4">
        <f>_xlfn.XLOOKUP(Table1[[#This Row], [ROOM]],Sheet1!$A$47:$A$66,Sheet1!$B$47:$B$66)</f>
        <v>236</v>
      </c>
      <c r="F478" t="s">
        <v>58</v>
      </c>
      <c r="G478" s="4">
        <f>_xlfn.XLOOKUP(Table1[[#This Row], [DISGUISE]],Sheet1!$A$21:$A$23,Sheet1!$B$21:$B$23)*Table1[[#This Row], [NUM OF MEM]]*(1+_xlfn.XLOOKUP(Table1[[#This Row], [DISGUISE]],Sheet1!$A$21:$A$23,Sheet1!$C$21:$C$23))</f>
        <v>38400</v>
      </c>
      <c r="H478" s="13" t="s">
        <v>59</v>
      </c>
      <c r="I478" s="4">
        <f>_xlfn.XLOOKUP(Table1[[#This Row], [WEAPON]],Sheet1!$A$27:$A$29,Sheet1!$B$27:$B$29)*Table1[[#This Row], [NUM OF MEM]]*(1+_xlfn.XLOOKUP(Table1[[#This Row], [WEAPON]],Sheet1!$A$27:$A$29,Sheet1!$C$27:$C$29))</f>
        <v>136500</v>
      </c>
      <c r="J478" t="s">
        <v>64</v>
      </c>
      <c r="K478" s="9">
        <f>Table1[[#This Row], [NUM OF MEM]]*Table1[[#This Row], [TOTAL TIME TAKEN]]*_xlfn.XLOOKUP(Table1[[#This Row], [EXIT]],Sheet1!$A$70:$A$71,Sheet1!$B$70:$B$71)*(1+_xlfn.XLOOKUP(Table1[[#This Row], [EXIT]],Sheet1!$A$70:$A$71,Sheet1!$C$70:$C$71))</f>
        <v>1715860.7999999993</v>
      </c>
      <c r="L478" s="13" t="s">
        <v>65</v>
      </c>
      <c r="M478" s="4">
        <f>IF(Table1[[#This Row], [EQUIPMENT]]="YES",Sheet1!$C$44*(1+Sheet1!$D$44),0)</f>
        <v>307500</v>
      </c>
      <c r="N478" s="4">
        <f>_xlfn.XLOOKUP(Table1[[#This Row], [ROOM]],Sheet1!$A$47:$A$66,Sheet1!$F$47:$F$66)</f>
        <v>18000000</v>
      </c>
      <c r="O478" s="9">
        <f>_xlfn.XLOOKUP(_xlfn.CONCAT(Table1[[#This Row], [TEAM]],Table1[[#This Row], [ROOM]]),'ROOM TIME'!$H$2:$H$121,'ROOM TIME'!$J$2:$J$121)</f>
        <v>39.14888888888887</v>
      </c>
      <c r="P478" s="9">
        <f>(INDEX(Sheet1!$X$48:$Z$67,MATCH(Table1[[#This Row], [ROOM]],Sheet1!$P$48:$P$67,0),MATCH(Table1[[#This Row], [WEAPON]],Sheet1!$X$47:$Z$47,0)))/Table1[[#This Row], [NUM OF MEM]]</f>
        <v>4.9833333333333334</v>
      </c>
      <c r="Q478" s="9">
        <f>Table1[[#This Row], [ROOM TIME]]+Table1[[#This Row], [GUARD TIME]]</f>
        <v>44.132222222222204</v>
      </c>
      <c r="R478" s="4">
        <f>Sheet1!$K$3*_xlfn.XLOOKUP(Table1[[#This Row], [DISGUISE]],Sheet1!$A$21:$A$23,Sheet1!$D$21:$D$23)</f>
        <v>69</v>
      </c>
      <c r="S478" s="9">
        <f>Table1[[#This Row], [TOTAL TIME]]-Table1[[#This Row], [TOTAL TIME TAKEN]]</f>
        <v>24.867777777777796</v>
      </c>
      <c r="T478" t="str">
        <f>IF(Table1[[#This Row], [TIME DIFFERENCE]]&gt;=0,"PASS","FAIL")</f>
        <v>PASS</v>
      </c>
      <c r="U478" s="9">
        <f>Table1[[#This Row], [TRC]]+Table1[[#This Row], [DRC]]+Table1[[#This Row], [WRC]]+Table1[[#This Row], [ERC]]+Table1[[#This Row], [EQRC]]</f>
        <v>8187010.7999999989</v>
      </c>
      <c r="V478" s="9">
        <f>Table1[[#This Row], [TOTAL COST]]+_xlfn.XLOOKUP(Table1[[#This Row], [TEAM]],Sheet1!$A$12:$A$17,Sheet1!$I$12:$I$17)</f>
        <v>8486448.2999999989</v>
      </c>
      <c r="W478" s="9">
        <f>Table1[[#This Row], [LOOT]]-Table1[[#This Row], [TOTAL COST]]</f>
        <v>9812989.2000000011</v>
      </c>
      <c r="X478" s="9">
        <f>IF(Table1[[#This Row], [PASS/FAIL]]="FAIL",0,Table1[[#This Row], [PROFIT]])</f>
        <v>9812989.2000000011</v>
      </c>
    </row>
    <row r="479" spans="1:24" ht="19.5" customHeight="1" x14ac:dyDescent="0.45">
      <c r="A479" t="s">
        <v>15</v>
      </c>
      <c r="B479" s="14">
        <f>_xlfn.XLOOKUP(Table1[[#This Row], [TEAM]],Sheet1!$A$12:$A$17,Sheet1!$F$12:$F$17)</f>
        <v>2</v>
      </c>
      <c r="C479" s="14">
        <f>_xlfn.XLOOKUP(Table1[[#This Row], [TEAM]],Sheet1!$A$12:$A$17,Sheet1!$G$12:$G$17)</f>
        <v>5932950</v>
      </c>
      <c r="D479" t="s">
        <v>20</v>
      </c>
      <c r="E479" s="4">
        <f>_xlfn.XLOOKUP(Table1[[#This Row], [ROOM]],Sheet1!$A$47:$A$66,Sheet1!$B$47:$B$66)</f>
        <v>145</v>
      </c>
      <c r="F479" t="s">
        <v>58</v>
      </c>
      <c r="G479" s="4">
        <f>_xlfn.XLOOKUP(Table1[[#This Row], [DISGUISE]],Sheet1!$A$21:$A$23,Sheet1!$B$21:$B$23)*Table1[[#This Row], [NUM OF MEM]]*(1+_xlfn.XLOOKUP(Table1[[#This Row], [DISGUISE]],Sheet1!$A$21:$A$23,Sheet1!$C$21:$C$23))</f>
        <v>25600</v>
      </c>
      <c r="H479" s="13" t="s">
        <v>66</v>
      </c>
      <c r="I479" s="4">
        <f>_xlfn.XLOOKUP(Table1[[#This Row], [WEAPON]],Sheet1!$A$27:$A$29,Sheet1!$B$27:$B$29)*Table1[[#This Row], [NUM OF MEM]]*(1+_xlfn.XLOOKUP(Table1[[#This Row], [WEAPON]],Sheet1!$A$27:$A$29,Sheet1!$C$27:$C$29))</f>
        <v>72000</v>
      </c>
      <c r="J479" t="s">
        <v>64</v>
      </c>
      <c r="K479" s="9">
        <f>Table1[[#This Row], [NUM OF MEM]]*Table1[[#This Row], [TOTAL TIME TAKEN]]*_xlfn.XLOOKUP(Table1[[#This Row], [EXIT]],Sheet1!$A$70:$A$71,Sheet1!$B$70:$B$71)*(1+_xlfn.XLOOKUP(Table1[[#This Row], [EXIT]],Sheet1!$A$70:$A$71,Sheet1!$C$70:$C$71))</f>
        <v>1706605.1999999995</v>
      </c>
      <c r="L479" s="13" t="s">
        <v>61</v>
      </c>
      <c r="M479" s="4">
        <f>IF(Table1[[#This Row], [EQUIPMENT]]="YES",Sheet1!$C$44*(1+Sheet1!$D$44),0)</f>
        <v>0</v>
      </c>
      <c r="N479" s="4">
        <f>_xlfn.XLOOKUP(Table1[[#This Row], [ROOM]],Sheet1!$A$47:$A$66,Sheet1!$F$47:$F$66)</f>
        <v>17550000</v>
      </c>
      <c r="O479" s="9">
        <f>_xlfn.XLOOKUP(_xlfn.CONCAT(Table1[[#This Row], [TEAM]],Table1[[#This Row], [ROOM]]),'ROOM TIME'!$H$2:$H$121,'ROOM TIME'!$J$2:$J$121)</f>
        <v>59.591249999999981</v>
      </c>
      <c r="P479" s="9">
        <f>(INDEX(Sheet1!$X$48:$Z$67,MATCH(Table1[[#This Row], [ROOM]],Sheet1!$P$48:$P$67,0),MATCH(Table1[[#This Row], [WEAPON]],Sheet1!$X$47:$Z$47,0)))/Table1[[#This Row], [NUM OF MEM]]</f>
        <v>6.25</v>
      </c>
      <c r="Q479" s="9">
        <f>Table1[[#This Row], [ROOM TIME]]+Table1[[#This Row], [GUARD TIME]]</f>
        <v>65.841249999999974</v>
      </c>
      <c r="R479" s="4">
        <f>Sheet1!$K$3*_xlfn.XLOOKUP(Table1[[#This Row], [DISGUISE]],Sheet1!$A$21:$A$23,Sheet1!$D$21:$D$23)</f>
        <v>69</v>
      </c>
      <c r="S479" s="9">
        <f>Table1[[#This Row], [TOTAL TIME]]-Table1[[#This Row], [TOTAL TIME TAKEN]]</f>
        <v>3.1587500000000261</v>
      </c>
      <c r="T479" t="str">
        <f>IF(Table1[[#This Row], [TIME DIFFERENCE]]&gt;=0,"PASS","FAIL")</f>
        <v>PASS</v>
      </c>
      <c r="U479" s="9">
        <f>Table1[[#This Row], [TRC]]+Table1[[#This Row], [DRC]]+Table1[[#This Row], [WRC]]+Table1[[#This Row], [ERC]]+Table1[[#This Row], [EQRC]]</f>
        <v>7737155.1999999993</v>
      </c>
      <c r="V479" s="9">
        <f>Table1[[#This Row], [TOTAL COST]]+_xlfn.XLOOKUP(Table1[[#This Row], [TEAM]],Sheet1!$A$12:$A$17,Sheet1!$I$12:$I$17)</f>
        <v>8033802.6999999993</v>
      </c>
      <c r="W479" s="9">
        <f>Table1[[#This Row], [LOOT]]-Table1[[#This Row], [TOTAL COST]]</f>
        <v>9812844.8000000007</v>
      </c>
      <c r="X479" s="9">
        <f>IF(Table1[[#This Row], [PASS/FAIL]]="FAIL",0,Table1[[#This Row], [PROFIT]])</f>
        <v>9812844.8000000007</v>
      </c>
    </row>
    <row r="480" spans="1:24" ht="19.5" customHeight="1" x14ac:dyDescent="0.45">
      <c r="A480" t="s">
        <v>12</v>
      </c>
      <c r="B480" s="14">
        <f>_xlfn.XLOOKUP(Table1[[#This Row], [TEAM]],Sheet1!$A$12:$A$17,Sheet1!$F$12:$F$17)</f>
        <v>3</v>
      </c>
      <c r="C480" s="14">
        <f>_xlfn.XLOOKUP(Table1[[#This Row], [TEAM]],Sheet1!$A$12:$A$17,Sheet1!$G$12:$G$17)</f>
        <v>5988750</v>
      </c>
      <c r="D480" t="s">
        <v>24</v>
      </c>
      <c r="E480" s="4">
        <f>_xlfn.XLOOKUP(Table1[[#This Row], [ROOM]],Sheet1!$A$47:$A$66,Sheet1!$B$47:$B$66)</f>
        <v>345</v>
      </c>
      <c r="F480" t="s">
        <v>58</v>
      </c>
      <c r="G480" s="4">
        <f>_xlfn.XLOOKUP(Table1[[#This Row], [DISGUISE]],Sheet1!$A$21:$A$23,Sheet1!$B$21:$B$23)*Table1[[#This Row], [NUM OF MEM]]*(1+_xlfn.XLOOKUP(Table1[[#This Row], [DISGUISE]],Sheet1!$A$21:$A$23,Sheet1!$C$21:$C$23))</f>
        <v>38400</v>
      </c>
      <c r="H480" s="13" t="s">
        <v>63</v>
      </c>
      <c r="I480" s="4">
        <f>_xlfn.XLOOKUP(Table1[[#This Row], [WEAPON]],Sheet1!$A$27:$A$29,Sheet1!$B$27:$B$29)*Table1[[#This Row], [NUM OF MEM]]*(1+_xlfn.XLOOKUP(Table1[[#This Row], [WEAPON]],Sheet1!$A$27:$A$29,Sheet1!$C$27:$C$29))</f>
        <v>69000</v>
      </c>
      <c r="J480" t="s">
        <v>60</v>
      </c>
      <c r="K480" s="9">
        <f>Table1[[#This Row], [NUM OF MEM]]*Table1[[#This Row], [TOTAL TIME TAKEN]]*_xlfn.XLOOKUP(Table1[[#This Row], [EXIT]],Sheet1!$A$70:$A$71,Sheet1!$B$70:$B$71)*(1+_xlfn.XLOOKUP(Table1[[#This Row], [EXIT]],Sheet1!$A$70:$A$71,Sheet1!$C$70:$C$71))</f>
        <v>1783631.9499999993</v>
      </c>
      <c r="L480" s="13" t="s">
        <v>65</v>
      </c>
      <c r="M480" s="4">
        <f>IF(Table1[[#This Row], [EQUIPMENT]]="YES",Sheet1!$C$44*(1+Sheet1!$D$44),0)</f>
        <v>307500</v>
      </c>
      <c r="N480" s="4">
        <f>_xlfn.XLOOKUP(Table1[[#This Row], [ROOM]],Sheet1!$A$47:$A$66,Sheet1!$F$47:$F$66)</f>
        <v>18000000</v>
      </c>
      <c r="O480" s="9">
        <f>_xlfn.XLOOKUP(_xlfn.CONCAT(Table1[[#This Row], [TEAM]],Table1[[#This Row], [ROOM]]),'ROOM TIME'!$H$2:$H$121,'ROOM TIME'!$J$2:$J$121)</f>
        <v>40.9311111111111</v>
      </c>
      <c r="P480" s="9">
        <f>(INDEX(Sheet1!$X$48:$Z$67,MATCH(Table1[[#This Row], [ROOM]],Sheet1!$P$48:$P$67,0),MATCH(Table1[[#This Row], [WEAPON]],Sheet1!$X$47:$Z$47,0)))/Table1[[#This Row], [NUM OF MEM]]</f>
        <v>5.4000000000000012</v>
      </c>
      <c r="Q480" s="9">
        <f>Table1[[#This Row], [ROOM TIME]]+Table1[[#This Row], [GUARD TIME]]</f>
        <v>46.331111111111099</v>
      </c>
      <c r="R480" s="4">
        <f>Sheet1!$K$3*_xlfn.XLOOKUP(Table1[[#This Row], [DISGUISE]],Sheet1!$A$21:$A$23,Sheet1!$D$21:$D$23)</f>
        <v>69</v>
      </c>
      <c r="S480" s="9">
        <f>Table1[[#This Row], [TOTAL TIME]]-Table1[[#This Row], [TOTAL TIME TAKEN]]</f>
        <v>22.668888888888901</v>
      </c>
      <c r="T480" t="str">
        <f>IF(Table1[[#This Row], [TIME DIFFERENCE]]&gt;=0,"PASS","FAIL")</f>
        <v>PASS</v>
      </c>
      <c r="U480" s="9">
        <f>Table1[[#This Row], [TRC]]+Table1[[#This Row], [DRC]]+Table1[[#This Row], [WRC]]+Table1[[#This Row], [ERC]]+Table1[[#This Row], [EQRC]]</f>
        <v>8187281.9499999993</v>
      </c>
      <c r="V480" s="9">
        <f>Table1[[#This Row], [TOTAL COST]]+_xlfn.XLOOKUP(Table1[[#This Row], [TEAM]],Sheet1!$A$12:$A$17,Sheet1!$I$12:$I$17)</f>
        <v>8486719.4499999993</v>
      </c>
      <c r="W480" s="9">
        <f>Table1[[#This Row], [LOOT]]-Table1[[#This Row], [TOTAL COST]]</f>
        <v>9812718.0500000007</v>
      </c>
      <c r="X480" s="9">
        <f>IF(Table1[[#This Row], [PASS/FAIL]]="FAIL",0,Table1[[#This Row], [PROFIT]])</f>
        <v>9812718.0500000007</v>
      </c>
    </row>
    <row r="481" spans="1:24" ht="19.5" customHeight="1" x14ac:dyDescent="0.45">
      <c r="A481" t="s">
        <v>16</v>
      </c>
      <c r="B481" s="14">
        <f>_xlfn.XLOOKUP(Table1[[#This Row], [TEAM]],Sheet1!$A$12:$A$17,Sheet1!$F$12:$F$17)</f>
        <v>2</v>
      </c>
      <c r="C481" s="14">
        <f>_xlfn.XLOOKUP(Table1[[#This Row], [TEAM]],Sheet1!$A$12:$A$17,Sheet1!$G$12:$G$17)</f>
        <v>6082800</v>
      </c>
      <c r="D481" t="s">
        <v>29</v>
      </c>
      <c r="E481" s="4">
        <f>_xlfn.XLOOKUP(Table1[[#This Row], [ROOM]],Sheet1!$A$47:$A$66,Sheet1!$B$47:$B$66)</f>
        <v>236</v>
      </c>
      <c r="F481" t="s">
        <v>58</v>
      </c>
      <c r="G481" s="4">
        <f>_xlfn.XLOOKUP(Table1[[#This Row], [DISGUISE]],Sheet1!$A$21:$A$23,Sheet1!$B$21:$B$23)*Table1[[#This Row], [NUM OF MEM]]*(1+_xlfn.XLOOKUP(Table1[[#This Row], [DISGUISE]],Sheet1!$A$21:$A$23,Sheet1!$C$21:$C$23))</f>
        <v>25600</v>
      </c>
      <c r="H481" s="13" t="s">
        <v>63</v>
      </c>
      <c r="I481" s="4">
        <f>_xlfn.XLOOKUP(Table1[[#This Row], [WEAPON]],Sheet1!$A$27:$A$29,Sheet1!$B$27:$B$29)*Table1[[#This Row], [NUM OF MEM]]*(1+_xlfn.XLOOKUP(Table1[[#This Row], [WEAPON]],Sheet1!$A$27:$A$29,Sheet1!$C$27:$C$29))</f>
        <v>46000</v>
      </c>
      <c r="J481" t="s">
        <v>60</v>
      </c>
      <c r="K481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1725554.1937499996</v>
      </c>
      <c r="L481" s="13" t="s">
        <v>65</v>
      </c>
      <c r="M481" s="4">
        <f>IF(Table1[[#This Row], [EQUIPMENT]]="YES",Sheet1!$C$44*(1+Sheet1!$D$44),0)</f>
        <v>307500</v>
      </c>
      <c r="N481" s="4">
        <f>_xlfn.XLOOKUP(Table1[[#This Row], [ROOM]],Sheet1!$A$47:$A$66,Sheet1!$F$47:$F$66)</f>
        <v>18000000</v>
      </c>
      <c r="O481" s="9">
        <f>_xlfn.XLOOKUP(_xlfn.CONCAT(Table1[[#This Row], [TEAM]],Table1[[#This Row], [ROOM]]),'ROOM TIME'!$H$2:$H$121,'ROOM TIME'!$J$2:$J$121)</f>
        <v>58.458749999999981</v>
      </c>
      <c r="P481" s="9">
        <f>(INDEX(Sheet1!$X$48:$Z$67,MATCH(Table1[[#This Row], [ROOM]],Sheet1!$P$48:$P$67,0),MATCH(Table1[[#This Row], [WEAPON]],Sheet1!$X$47:$Z$47,0)))/Table1[[#This Row], [NUM OF MEM]]</f>
        <v>8.7750000000000004</v>
      </c>
      <c r="Q481" s="9">
        <f>Table1[[#This Row], [ROOM TIME]]+Table1[[#This Row], [GUARD TIME]]</f>
        <v>67.233749999999986</v>
      </c>
      <c r="R481" s="4">
        <f>Sheet1!$K$3*_xlfn.XLOOKUP(Table1[[#This Row], [DISGUISE]],Sheet1!$A$21:$A$23,Sheet1!$D$21:$D$23)</f>
        <v>69</v>
      </c>
      <c r="S481" s="9">
        <f>Table1[[#This Row], [TOTAL TIME]]-Table1[[#This Row], [TOTAL TIME TAKEN]]</f>
        <v>1.7662500000000136</v>
      </c>
      <c r="T481" t="str">
        <f>IF(Table1[[#This Row], [TIME DIFFERENCE]]&gt;=0,"PASS","FAIL")</f>
        <v>PASS</v>
      </c>
      <c r="U481" s="9">
        <f>Table1[[#This Row], [TRC]]+Table1[[#This Row], [DRC]]+Table1[[#This Row], [WRC]]+Table1[[#This Row], [ERC]]+Table1[[#This Row], [EQRC]]</f>
        <v>8187454.1937499996</v>
      </c>
      <c r="V481" s="9">
        <f>Table1[[#This Row], [TOTAL COST]]+_xlfn.XLOOKUP(Table1[[#This Row], [TEAM]],Sheet1!$A$12:$A$17,Sheet1!$I$12:$I$17)</f>
        <v>8491594.1937499996</v>
      </c>
      <c r="W481" s="9">
        <f>Table1[[#This Row], [LOOT]]-Table1[[#This Row], [TOTAL COST]]</f>
        <v>9812545.8062500004</v>
      </c>
      <c r="X481" s="9">
        <f>IF(Table1[[#This Row], [PASS/FAIL]]="FAIL",0,Table1[[#This Row], [PROFIT]])</f>
        <v>9812545.8062500004</v>
      </c>
    </row>
    <row r="482" spans="1:24" ht="19.5" customHeight="1" x14ac:dyDescent="0.45">
      <c r="A482" t="s">
        <v>12</v>
      </c>
      <c r="B482" s="14">
        <f>_xlfn.XLOOKUP(Table1[[#This Row], [TEAM]],Sheet1!$A$12:$A$17,Sheet1!$F$12:$F$17)</f>
        <v>3</v>
      </c>
      <c r="C482" s="14">
        <f>_xlfn.XLOOKUP(Table1[[#This Row], [TEAM]],Sheet1!$A$12:$A$17,Sheet1!$G$12:$G$17)</f>
        <v>5988750</v>
      </c>
      <c r="D482" t="s">
        <v>18</v>
      </c>
      <c r="E482" s="4">
        <f>_xlfn.XLOOKUP(Table1[[#This Row], [ROOM]],Sheet1!$A$47:$A$66,Sheet1!$B$47:$B$66)</f>
        <v>134</v>
      </c>
      <c r="F482" t="s">
        <v>62</v>
      </c>
      <c r="G482" s="4">
        <f>_xlfn.XLOOKUP(Table1[[#This Row], [DISGUISE]],Sheet1!$A$21:$A$23,Sheet1!$B$21:$B$23)*Table1[[#This Row], [NUM OF MEM]]*(1+_xlfn.XLOOKUP(Table1[[#This Row], [DISGUISE]],Sheet1!$A$21:$A$23,Sheet1!$C$21:$C$23))</f>
        <v>15600</v>
      </c>
      <c r="H482" s="13" t="s">
        <v>59</v>
      </c>
      <c r="I482" s="4">
        <f>_xlfn.XLOOKUP(Table1[[#This Row], [WEAPON]],Sheet1!$A$27:$A$29,Sheet1!$B$27:$B$29)*Table1[[#This Row], [NUM OF MEM]]*(1+_xlfn.XLOOKUP(Table1[[#This Row], [WEAPON]],Sheet1!$A$27:$A$29,Sheet1!$C$27:$C$29))</f>
        <v>136500</v>
      </c>
      <c r="J482" t="s">
        <v>64</v>
      </c>
      <c r="K482" s="9">
        <f>Table1[[#This Row], [NUM OF MEM]]*Table1[[#This Row], [TOTAL TIME TAKEN]]*_xlfn.XLOOKUP(Table1[[#This Row], [EXIT]],Sheet1!$A$70:$A$71,Sheet1!$B$70:$B$71)*(1+_xlfn.XLOOKUP(Table1[[#This Row], [EXIT]],Sheet1!$A$70:$A$71,Sheet1!$C$70:$C$71))</f>
        <v>1789214.3999999997</v>
      </c>
      <c r="L482" s="13" t="s">
        <v>65</v>
      </c>
      <c r="M482" s="4">
        <f>IF(Table1[[#This Row], [EQUIPMENT]]="YES",Sheet1!$C$44*(1+Sheet1!$D$44),0)</f>
        <v>307500</v>
      </c>
      <c r="N482" s="4">
        <f>_xlfn.XLOOKUP(Table1[[#This Row], [ROOM]],Sheet1!$A$47:$A$66,Sheet1!$F$47:$F$66)</f>
        <v>18050000</v>
      </c>
      <c r="O482" s="9">
        <f>_xlfn.XLOOKUP(_xlfn.CONCAT(Table1[[#This Row], [TEAM]],Table1[[#This Row], [ROOM]]),'ROOM TIME'!$H$2:$H$121,'ROOM TIME'!$J$2:$J$121)</f>
        <v>41.41888888888888</v>
      </c>
      <c r="P482" s="9">
        <f>(INDEX(Sheet1!$X$48:$Z$67,MATCH(Table1[[#This Row], [ROOM]],Sheet1!$P$48:$P$67,0),MATCH(Table1[[#This Row], [WEAPON]],Sheet1!$X$47:$Z$47,0)))/Table1[[#This Row], [NUM OF MEM]]</f>
        <v>4.5999999999999996</v>
      </c>
      <c r="Q482" s="9">
        <f>Table1[[#This Row], [ROOM TIME]]+Table1[[#This Row], [GUARD TIME]]</f>
        <v>46.018888888888881</v>
      </c>
      <c r="R482" s="4">
        <f>Sheet1!$K$3*_xlfn.XLOOKUP(Table1[[#This Row], [DISGUISE]],Sheet1!$A$21:$A$23,Sheet1!$D$21:$D$23)</f>
        <v>66</v>
      </c>
      <c r="S482" s="9">
        <f>Table1[[#This Row], [TOTAL TIME]]-Table1[[#This Row], [TOTAL TIME TAKEN]]</f>
        <v>19.981111111111119</v>
      </c>
      <c r="T482" t="str">
        <f>IF(Table1[[#This Row], [TIME DIFFERENCE]]&gt;=0,"PASS","FAIL")</f>
        <v>PASS</v>
      </c>
      <c r="U482" s="9">
        <f>Table1[[#This Row], [TRC]]+Table1[[#This Row], [DRC]]+Table1[[#This Row], [WRC]]+Table1[[#This Row], [ERC]]+Table1[[#This Row], [EQRC]]</f>
        <v>8237564.3999999994</v>
      </c>
      <c r="V482" s="9">
        <f>Table1[[#This Row], [TOTAL COST]]+_xlfn.XLOOKUP(Table1[[#This Row], [TEAM]],Sheet1!$A$12:$A$17,Sheet1!$I$12:$I$17)</f>
        <v>8537001.8999999985</v>
      </c>
      <c r="W482" s="9">
        <f>Table1[[#This Row], [LOOT]]-Table1[[#This Row], [TOTAL COST]]</f>
        <v>9812435.6000000015</v>
      </c>
      <c r="X482" s="9">
        <f>IF(Table1[[#This Row], [PASS/FAIL]]="FAIL",0,Table1[[#This Row], [PROFIT]])</f>
        <v>9812435.6000000015</v>
      </c>
    </row>
    <row r="483" spans="1:24" ht="19.5" customHeight="1" x14ac:dyDescent="0.45">
      <c r="A483" t="s">
        <v>13</v>
      </c>
      <c r="B483" s="14">
        <f>_xlfn.XLOOKUP(Table1[[#This Row], [TEAM]],Sheet1!$A$12:$A$17,Sheet1!$F$12:$F$17)</f>
        <v>3</v>
      </c>
      <c r="C483" s="14">
        <f>_xlfn.XLOOKUP(Table1[[#This Row], [TEAM]],Sheet1!$A$12:$A$17,Sheet1!$G$12:$G$17)</f>
        <v>5930000</v>
      </c>
      <c r="D483" t="s">
        <v>24</v>
      </c>
      <c r="E483" s="4">
        <f>_xlfn.XLOOKUP(Table1[[#This Row], [ROOM]],Sheet1!$A$47:$A$66,Sheet1!$B$47:$B$66)</f>
        <v>345</v>
      </c>
      <c r="F483" t="s">
        <v>62</v>
      </c>
      <c r="G483" s="4">
        <f>_xlfn.XLOOKUP(Table1[[#This Row], [DISGUISE]],Sheet1!$A$21:$A$23,Sheet1!$B$21:$B$23)*Table1[[#This Row], [NUM OF MEM]]*(1+_xlfn.XLOOKUP(Table1[[#This Row], [DISGUISE]],Sheet1!$A$21:$A$23,Sheet1!$C$21:$C$23))</f>
        <v>15600</v>
      </c>
      <c r="H483" s="13" t="s">
        <v>63</v>
      </c>
      <c r="I483" s="4">
        <f>_xlfn.XLOOKUP(Table1[[#This Row], [WEAPON]],Sheet1!$A$27:$A$29,Sheet1!$B$27:$B$29)*Table1[[#This Row], [NUM OF MEM]]*(1+_xlfn.XLOOKUP(Table1[[#This Row], [WEAPON]],Sheet1!$A$27:$A$29,Sheet1!$C$27:$C$29))</f>
        <v>69000</v>
      </c>
      <c r="J483" t="s">
        <v>64</v>
      </c>
      <c r="K483" s="9">
        <f>Table1[[#This Row], [NUM OF MEM]]*Table1[[#This Row], [TOTAL TIME TAKEN]]*_xlfn.XLOOKUP(Table1[[#This Row], [EXIT]],Sheet1!$A$70:$A$71,Sheet1!$B$70:$B$71)*(1+_xlfn.XLOOKUP(Table1[[#This Row], [EXIT]],Sheet1!$A$70:$A$71,Sheet1!$C$70:$C$71))</f>
        <v>1865764.7999999996</v>
      </c>
      <c r="L483" s="13" t="s">
        <v>65</v>
      </c>
      <c r="M483" s="4">
        <f>IF(Table1[[#This Row], [EQUIPMENT]]="YES",Sheet1!$C$44*(1+Sheet1!$D$44),0)</f>
        <v>307500</v>
      </c>
      <c r="N483" s="4">
        <f>_xlfn.XLOOKUP(Table1[[#This Row], [ROOM]],Sheet1!$A$47:$A$66,Sheet1!$F$47:$F$66)</f>
        <v>18000000</v>
      </c>
      <c r="O483" s="9">
        <f>_xlfn.XLOOKUP(_xlfn.CONCAT(Table1[[#This Row], [TEAM]],Table1[[#This Row], [ROOM]]),'ROOM TIME'!$H$2:$H$121,'ROOM TIME'!$J$2:$J$121)</f>
        <v>42.587777777777774</v>
      </c>
      <c r="P483" s="9">
        <f>(INDEX(Sheet1!$X$48:$Z$67,MATCH(Table1[[#This Row], [ROOM]],Sheet1!$P$48:$P$67,0),MATCH(Table1[[#This Row], [WEAPON]],Sheet1!$X$47:$Z$47,0)))/Table1[[#This Row], [NUM OF MEM]]</f>
        <v>5.4000000000000012</v>
      </c>
      <c r="Q483" s="9">
        <f>Table1[[#This Row], [ROOM TIME]]+Table1[[#This Row], [GUARD TIME]]</f>
        <v>47.987777777777772</v>
      </c>
      <c r="R483" s="4">
        <f>Sheet1!$K$3*_xlfn.XLOOKUP(Table1[[#This Row], [DISGUISE]],Sheet1!$A$21:$A$23,Sheet1!$D$21:$D$23)</f>
        <v>66</v>
      </c>
      <c r="S483" s="9">
        <f>Table1[[#This Row], [TOTAL TIME]]-Table1[[#This Row], [TOTAL TIME TAKEN]]</f>
        <v>18.012222222222228</v>
      </c>
      <c r="T483" t="str">
        <f>IF(Table1[[#This Row], [TIME DIFFERENCE]]&gt;=0,"PASS","FAIL")</f>
        <v>PASS</v>
      </c>
      <c r="U483" s="9">
        <f>Table1[[#This Row], [TRC]]+Table1[[#This Row], [DRC]]+Table1[[#This Row], [WRC]]+Table1[[#This Row], [ERC]]+Table1[[#This Row], [EQRC]]</f>
        <v>8187864.7999999998</v>
      </c>
      <c r="V483" s="9">
        <f>Table1[[#This Row], [TOTAL COST]]+_xlfn.XLOOKUP(Table1[[#This Row], [TEAM]],Sheet1!$A$12:$A$17,Sheet1!$I$12:$I$17)</f>
        <v>8484364.8000000007</v>
      </c>
      <c r="W483" s="9">
        <f>Table1[[#This Row], [LOOT]]-Table1[[#This Row], [TOTAL COST]]</f>
        <v>9812135.1999999993</v>
      </c>
      <c r="X483" s="9">
        <f>IF(Table1[[#This Row], [PASS/FAIL]]="FAIL",0,Table1[[#This Row], [PROFIT]])</f>
        <v>9812135.1999999993</v>
      </c>
    </row>
    <row r="484" spans="1:24" ht="19.5" customHeight="1" x14ac:dyDescent="0.45">
      <c r="A484" t="s">
        <v>15</v>
      </c>
      <c r="B484" s="14">
        <f>_xlfn.XLOOKUP(Table1[[#This Row], [TEAM]],Sheet1!$A$12:$A$17,Sheet1!$F$12:$F$17)</f>
        <v>2</v>
      </c>
      <c r="C484" s="14">
        <f>_xlfn.XLOOKUP(Table1[[#This Row], [TEAM]],Sheet1!$A$12:$A$17,Sheet1!$G$12:$G$17)</f>
        <v>5932950</v>
      </c>
      <c r="D484" t="s">
        <v>27</v>
      </c>
      <c r="E484" s="4">
        <f>_xlfn.XLOOKUP(Table1[[#This Row], [ROOM]],Sheet1!$A$47:$A$66,Sheet1!$B$47:$B$66)</f>
        <v>146</v>
      </c>
      <c r="F484" t="s">
        <v>62</v>
      </c>
      <c r="G484" s="4">
        <f>_xlfn.XLOOKUP(Table1[[#This Row], [DISGUISE]],Sheet1!$A$21:$A$23,Sheet1!$B$21:$B$23)*Table1[[#This Row], [NUM OF MEM]]*(1+_xlfn.XLOOKUP(Table1[[#This Row], [DISGUISE]],Sheet1!$A$21:$A$23,Sheet1!$C$21:$C$23))</f>
        <v>10400</v>
      </c>
      <c r="H484" s="13" t="s">
        <v>63</v>
      </c>
      <c r="I484" s="4">
        <f>_xlfn.XLOOKUP(Table1[[#This Row], [WEAPON]],Sheet1!$A$27:$A$29,Sheet1!$B$27:$B$29)*Table1[[#This Row], [NUM OF MEM]]*(1+_xlfn.XLOOKUP(Table1[[#This Row], [WEAPON]],Sheet1!$A$27:$A$29,Sheet1!$C$27:$C$29))</f>
        <v>46000</v>
      </c>
      <c r="J484" t="s">
        <v>60</v>
      </c>
      <c r="K484" s="9">
        <f>Table1[[#This Row], [NUM OF MEM]]*Table1[[#This Row], [TOTAL TIME TAKEN]]*_xlfn.XLOOKUP(Table1[[#This Row], [EXIT]],Sheet1!$A$70:$A$71,Sheet1!$B$70:$B$71)*(1+_xlfn.XLOOKUP(Table1[[#This Row], [EXIT]],Sheet1!$A$70:$A$71,Sheet1!$C$70:$C$71))</f>
        <v>1641052.1812499997</v>
      </c>
      <c r="L484" s="13" t="s">
        <v>65</v>
      </c>
      <c r="M484" s="4">
        <f>IF(Table1[[#This Row], [EQUIPMENT]]="YES",Sheet1!$C$44*(1+Sheet1!$D$44),0)</f>
        <v>307500</v>
      </c>
      <c r="N484" s="4">
        <f>_xlfn.XLOOKUP(Table1[[#This Row], [ROOM]],Sheet1!$A$47:$A$66,Sheet1!$F$47:$F$66)</f>
        <v>17750000</v>
      </c>
      <c r="O484" s="9">
        <f>_xlfn.XLOOKUP(_xlfn.CONCAT(Table1[[#This Row], [TEAM]],Table1[[#This Row], [ROOM]]),'ROOM TIME'!$H$2:$H$121,'ROOM TIME'!$J$2:$J$121)</f>
        <v>56.516249999999985</v>
      </c>
      <c r="P484" s="9">
        <f>(INDEX(Sheet1!$X$48:$Z$67,MATCH(Table1[[#This Row], [ROOM]],Sheet1!$P$48:$P$67,0),MATCH(Table1[[#This Row], [WEAPON]],Sheet1!$X$47:$Z$47,0)))/Table1[[#This Row], [NUM OF MEM]]</f>
        <v>7.4250000000000007</v>
      </c>
      <c r="Q484" s="9">
        <f>Table1[[#This Row], [ROOM TIME]]+Table1[[#This Row], [GUARD TIME]]</f>
        <v>63.941249999999982</v>
      </c>
      <c r="R484" s="4">
        <f>Sheet1!$K$3*_xlfn.XLOOKUP(Table1[[#This Row], [DISGUISE]],Sheet1!$A$21:$A$23,Sheet1!$D$21:$D$23)</f>
        <v>66</v>
      </c>
      <c r="S484" s="9">
        <f>Table1[[#This Row], [TOTAL TIME]]-Table1[[#This Row], [TOTAL TIME TAKEN]]</f>
        <v>2.0587500000000176</v>
      </c>
      <c r="T484" t="str">
        <f>IF(Table1[[#This Row], [TIME DIFFERENCE]]&gt;=0,"PASS","FAIL")</f>
        <v>PASS</v>
      </c>
      <c r="U484" s="9">
        <f>Table1[[#This Row], [TRC]]+Table1[[#This Row], [DRC]]+Table1[[#This Row], [WRC]]+Table1[[#This Row], [ERC]]+Table1[[#This Row], [EQRC]]</f>
        <v>7937902.1812499994</v>
      </c>
      <c r="V484" s="9">
        <f>Table1[[#This Row], [TOTAL COST]]+_xlfn.XLOOKUP(Table1[[#This Row], [TEAM]],Sheet1!$A$12:$A$17,Sheet1!$I$12:$I$17)</f>
        <v>8234549.6812499994</v>
      </c>
      <c r="W484" s="9">
        <f>Table1[[#This Row], [LOOT]]-Table1[[#This Row], [TOTAL COST]]</f>
        <v>9812097.8187500015</v>
      </c>
      <c r="X484" s="9">
        <f>IF(Table1[[#This Row], [PASS/FAIL]]="FAIL",0,Table1[[#This Row], [PROFIT]])</f>
        <v>9812097.8187500015</v>
      </c>
    </row>
    <row r="485" spans="1:24" ht="19.5" customHeight="1" x14ac:dyDescent="0.45">
      <c r="A485" t="s">
        <v>13</v>
      </c>
      <c r="B485" s="14">
        <f>_xlfn.XLOOKUP(Table1[[#This Row], [TEAM]],Sheet1!$A$12:$A$17,Sheet1!$F$12:$F$17)</f>
        <v>3</v>
      </c>
      <c r="C485" s="14">
        <f>_xlfn.XLOOKUP(Table1[[#This Row], [TEAM]],Sheet1!$A$12:$A$17,Sheet1!$G$12:$G$17)</f>
        <v>5930000</v>
      </c>
      <c r="D485" t="s">
        <v>29</v>
      </c>
      <c r="E485" s="4">
        <f>_xlfn.XLOOKUP(Table1[[#This Row], [ROOM]],Sheet1!$A$47:$A$66,Sheet1!$B$47:$B$66)</f>
        <v>236</v>
      </c>
      <c r="F485" t="s">
        <v>58</v>
      </c>
      <c r="G485" s="4">
        <f>_xlfn.XLOOKUP(Table1[[#This Row], [DISGUISE]],Sheet1!$A$21:$A$23,Sheet1!$B$21:$B$23)*Table1[[#This Row], [NUM OF MEM]]*(1+_xlfn.XLOOKUP(Table1[[#This Row], [DISGUISE]],Sheet1!$A$21:$A$23,Sheet1!$C$21:$C$23))</f>
        <v>38400</v>
      </c>
      <c r="H485" s="13" t="s">
        <v>59</v>
      </c>
      <c r="I485" s="4">
        <f>_xlfn.XLOOKUP(Table1[[#This Row], [WEAPON]],Sheet1!$A$27:$A$29,Sheet1!$B$27:$B$29)*Table1[[#This Row], [NUM OF MEM]]*(1+_xlfn.XLOOKUP(Table1[[#This Row], [WEAPON]],Sheet1!$A$27:$A$29,Sheet1!$C$27:$C$29))</f>
        <v>136500</v>
      </c>
      <c r="J485" t="s">
        <v>64</v>
      </c>
      <c r="K485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1775584.8</v>
      </c>
      <c r="L485" s="13" t="s">
        <v>65</v>
      </c>
      <c r="M485" s="4">
        <f>IF(Table1[[#This Row], [EQUIPMENT]]="YES",Sheet1!$C$44*(1+Sheet1!$D$44),0)</f>
        <v>307500</v>
      </c>
      <c r="N485" s="4">
        <f>_xlfn.XLOOKUP(Table1[[#This Row], [ROOM]],Sheet1!$A$47:$A$66,Sheet1!$F$47:$F$66)</f>
        <v>18000000</v>
      </c>
      <c r="O485" s="9">
        <f>_xlfn.XLOOKUP(_xlfn.CONCAT(Table1[[#This Row], [TEAM]],Table1[[#This Row], [ROOM]]),'ROOM TIME'!$H$2:$H$121,'ROOM TIME'!$J$2:$J$121)</f>
        <v>40.684999999999995</v>
      </c>
      <c r="P485" s="9">
        <f>(INDEX(Sheet1!$X$48:$Z$67,MATCH(Table1[[#This Row], [ROOM]],Sheet1!$P$48:$P$67,0),MATCH(Table1[[#This Row], [WEAPON]],Sheet1!$X$47:$Z$47,0)))/Table1[[#This Row], [NUM OF MEM]]</f>
        <v>4.9833333333333334</v>
      </c>
      <c r="Q485" s="9">
        <f>Table1[[#This Row], [ROOM TIME]]+Table1[[#This Row], [GUARD TIME]]</f>
        <v>45.668333333333329</v>
      </c>
      <c r="R485" s="4">
        <f>Sheet1!$K$3*_xlfn.XLOOKUP(Table1[[#This Row], [DISGUISE]],Sheet1!$A$21:$A$23,Sheet1!$D$21:$D$23)</f>
        <v>69</v>
      </c>
      <c r="S485" s="9">
        <f>Table1[[#This Row], [TOTAL TIME]]-Table1[[#This Row], [TOTAL TIME TAKEN]]</f>
        <v>23.331666666666671</v>
      </c>
      <c r="T485" t="str">
        <f>IF(Table1[[#This Row], [TIME DIFFERENCE]]&gt;=0,"PASS","FAIL")</f>
        <v>PASS</v>
      </c>
      <c r="U485" s="9">
        <f>Table1[[#This Row], [TRC]]+Table1[[#This Row], [DRC]]+Table1[[#This Row], [WRC]]+Table1[[#This Row], [ERC]]+Table1[[#This Row], [EQRC]]</f>
        <v>8187984.7999999998</v>
      </c>
      <c r="V485" s="9">
        <f>Table1[[#This Row], [TOTAL COST]]+_xlfn.XLOOKUP(Table1[[#This Row], [TEAM]],Sheet1!$A$12:$A$17,Sheet1!$I$12:$I$17)</f>
        <v>8484484.8000000007</v>
      </c>
      <c r="W485" s="9">
        <f>Table1[[#This Row], [LOOT]]-Table1[[#This Row], [TOTAL COST]]</f>
        <v>9812015.1999999993</v>
      </c>
      <c r="X485" s="9">
        <f>IF(Table1[[#This Row], [PASS/FAIL]]="FAIL",0,Table1[[#This Row], [PROFIT]])</f>
        <v>9812015.1999999993</v>
      </c>
    </row>
    <row r="486" spans="1:24" ht="19.5" customHeight="1" x14ac:dyDescent="0.45">
      <c r="A486" t="s">
        <v>12</v>
      </c>
      <c r="B486" s="14">
        <f>_xlfn.XLOOKUP(Table1[[#This Row], [TEAM]],Sheet1!$A$12:$A$17,Sheet1!$F$12:$F$17)</f>
        <v>3</v>
      </c>
      <c r="C486" s="14">
        <f>_xlfn.XLOOKUP(Table1[[#This Row], [TEAM]],Sheet1!$A$12:$A$17,Sheet1!$G$12:$G$17)</f>
        <v>5988750</v>
      </c>
      <c r="D486" t="s">
        <v>24</v>
      </c>
      <c r="E486" s="4">
        <f>_xlfn.XLOOKUP(Table1[[#This Row], [ROOM]],Sheet1!$A$47:$A$66,Sheet1!$B$47:$B$66)</f>
        <v>345</v>
      </c>
      <c r="F486" t="s">
        <v>62</v>
      </c>
      <c r="G486" s="4">
        <f>_xlfn.XLOOKUP(Table1[[#This Row], [DISGUISE]],Sheet1!$A$21:$A$23,Sheet1!$B$21:$B$23)*Table1[[#This Row], [NUM OF MEM]]*(1+_xlfn.XLOOKUP(Table1[[#This Row], [DISGUISE]],Sheet1!$A$21:$A$23,Sheet1!$C$21:$C$23))</f>
        <v>15600</v>
      </c>
      <c r="H486" s="13" t="s">
        <v>66</v>
      </c>
      <c r="I486" s="4">
        <f>_xlfn.XLOOKUP(Table1[[#This Row], [WEAPON]],Sheet1!$A$27:$A$29,Sheet1!$B$27:$B$29)*Table1[[#This Row], [NUM OF MEM]]*(1+_xlfn.XLOOKUP(Table1[[#This Row], [WEAPON]],Sheet1!$A$27:$A$29,Sheet1!$C$27:$C$29))</f>
        <v>108000</v>
      </c>
      <c r="J486" t="s">
        <v>60</v>
      </c>
      <c r="K486" s="9">
        <f>Table1[[#This Row], [NUM OF MEM]]*Table1[[#This Row], [TOTAL TIME TAKEN]]*_xlfn.XLOOKUP(Table1[[#This Row], [EXIT]],Sheet1!$A$70:$A$71,Sheet1!$B$70:$B$71)*(1+_xlfn.XLOOKUP(Table1[[#This Row], [EXIT]],Sheet1!$A$70:$A$71,Sheet1!$C$70:$C$71))</f>
        <v>1768232.9499999997</v>
      </c>
      <c r="L486" s="13" t="s">
        <v>65</v>
      </c>
      <c r="M486" s="4">
        <f>IF(Table1[[#This Row], [EQUIPMENT]]="YES",Sheet1!$C$44*(1+Sheet1!$D$44),0)</f>
        <v>307500</v>
      </c>
      <c r="N486" s="4">
        <f>_xlfn.XLOOKUP(Table1[[#This Row], [ROOM]],Sheet1!$A$47:$A$66,Sheet1!$F$47:$F$66)</f>
        <v>18000000</v>
      </c>
      <c r="O486" s="9">
        <f>_xlfn.XLOOKUP(_xlfn.CONCAT(Table1[[#This Row], [TEAM]],Table1[[#This Row], [ROOM]]),'ROOM TIME'!$H$2:$H$121,'ROOM TIME'!$J$2:$J$121)</f>
        <v>40.9311111111111</v>
      </c>
      <c r="P486" s="4">
        <f>(INDEX(Sheet1!$X$48:$Z$67,MATCH(Table1[[#This Row], [ROOM]],Sheet1!$P$48:$P$67,0),MATCH(Table1[[#This Row], [WEAPON]],Sheet1!$X$47:$Z$47,0)))/Table1[[#This Row], [NUM OF MEM]]</f>
        <v>5</v>
      </c>
      <c r="Q486" s="9">
        <f>Table1[[#This Row], [ROOM TIME]]+Table1[[#This Row], [GUARD TIME]]</f>
        <v>45.9311111111111</v>
      </c>
      <c r="R486" s="4">
        <f>Sheet1!$K$3*_xlfn.XLOOKUP(Table1[[#This Row], [DISGUISE]],Sheet1!$A$21:$A$23,Sheet1!$D$21:$D$23)</f>
        <v>66</v>
      </c>
      <c r="S486" s="9">
        <f>Table1[[#This Row], [TOTAL TIME]]-Table1[[#This Row], [TOTAL TIME TAKEN]]</f>
        <v>20.0688888888889</v>
      </c>
      <c r="T486" t="str">
        <f>IF(Table1[[#This Row], [TIME DIFFERENCE]]&gt;=0,"PASS","FAIL")</f>
        <v>PASS</v>
      </c>
      <c r="U486" s="9">
        <f>Table1[[#This Row], [TRC]]+Table1[[#This Row], [DRC]]+Table1[[#This Row], [WRC]]+Table1[[#This Row], [ERC]]+Table1[[#This Row], [EQRC]]</f>
        <v>8188082.9499999993</v>
      </c>
      <c r="V486" s="9">
        <f>Table1[[#This Row], [TOTAL COST]]+_xlfn.XLOOKUP(Table1[[#This Row], [TEAM]],Sheet1!$A$12:$A$17,Sheet1!$I$12:$I$17)</f>
        <v>8487520.4499999993</v>
      </c>
      <c r="W486" s="9">
        <f>Table1[[#This Row], [LOOT]]-Table1[[#This Row], [TOTAL COST]]</f>
        <v>9811917.0500000007</v>
      </c>
      <c r="X486" s="9">
        <f>IF(Table1[[#This Row], [PASS/FAIL]]="FAIL",0,Table1[[#This Row], [PROFIT]])</f>
        <v>9811917.0500000007</v>
      </c>
    </row>
    <row r="487" spans="1:24" ht="19.5" customHeight="1" x14ac:dyDescent="0.45">
      <c r="A487" t="s">
        <v>9</v>
      </c>
      <c r="B487" s="14">
        <f>_xlfn.XLOOKUP(Table1[[#This Row], [TEAM]],Sheet1!$A$12:$A$17,Sheet1!$F$12:$F$17)</f>
        <v>3</v>
      </c>
      <c r="C487" s="14">
        <f>_xlfn.XLOOKUP(Table1[[#This Row], [TEAM]],Sheet1!$A$12:$A$17,Sheet1!$G$12:$G$17)</f>
        <v>6238750</v>
      </c>
      <c r="D487" t="s">
        <v>33</v>
      </c>
      <c r="E487" s="4">
        <f>_xlfn.XLOOKUP(Table1[[#This Row], [ROOM]],Sheet1!$A$47:$A$66,Sheet1!$B$47:$B$66)</f>
        <v>356</v>
      </c>
      <c r="F487" t="s">
        <v>58</v>
      </c>
      <c r="G487" s="4">
        <f>_xlfn.XLOOKUP(Table1[[#This Row], [DISGUISE]],Sheet1!$A$21:$A$23,Sheet1!$B$21:$B$23)*Table1[[#This Row], [NUM OF MEM]]*(1+_xlfn.XLOOKUP(Table1[[#This Row], [DISGUISE]],Sheet1!$A$21:$A$23,Sheet1!$C$21:$C$23))</f>
        <v>38400</v>
      </c>
      <c r="H487" s="13" t="s">
        <v>59</v>
      </c>
      <c r="I487" s="4">
        <f>_xlfn.XLOOKUP(Table1[[#This Row], [WEAPON]],Sheet1!$A$27:$A$29,Sheet1!$B$27:$B$29)*Table1[[#This Row], [NUM OF MEM]]*(1+_xlfn.XLOOKUP(Table1[[#This Row], [WEAPON]],Sheet1!$A$27:$A$29,Sheet1!$C$27:$C$29))</f>
        <v>136500</v>
      </c>
      <c r="J487" t="s">
        <v>60</v>
      </c>
      <c r="K487" s="9">
        <f>Table1[[#This Row], [NUM OF MEM]]*Table1[[#This Row], [TOTAL TIME TAKEN]]*_xlfn.XLOOKUP(Table1[[#This Row], [EXIT]],Sheet1!$A$70:$A$71,Sheet1!$B$70:$B$71)*(1+_xlfn.XLOOKUP(Table1[[#This Row], [EXIT]],Sheet1!$A$70:$A$71,Sheet1!$C$70:$C$71))</f>
        <v>1568815.8999999997</v>
      </c>
      <c r="L487" s="13" t="s">
        <v>65</v>
      </c>
      <c r="M487" s="4">
        <f>IF(Table1[[#This Row], [EQUIPMENT]]="YES",Sheet1!$C$44*(1+Sheet1!$D$44),0)</f>
        <v>307500</v>
      </c>
      <c r="N487" s="4">
        <f>_xlfn.XLOOKUP(Table1[[#This Row], [ROOM]],Sheet1!$A$47:$A$66,Sheet1!$F$47:$F$66)</f>
        <v>18100000</v>
      </c>
      <c r="O487" s="9">
        <f>_xlfn.XLOOKUP(_xlfn.CONCAT(Table1[[#This Row], [TEAM]],Table1[[#This Row], [ROOM]]),'ROOM TIME'!$H$2:$H$121,'ROOM TIME'!$J$2:$J$121)</f>
        <v>36.151111111111099</v>
      </c>
      <c r="P487" s="9">
        <f>(INDEX(Sheet1!$X$48:$Z$67,MATCH(Table1[[#This Row], [ROOM]],Sheet1!$P$48:$P$67,0),MATCH(Table1[[#This Row], [WEAPON]],Sheet1!$X$47:$Z$47,0)))/Table1[[#This Row], [NUM OF MEM]]</f>
        <v>4.5999999999999996</v>
      </c>
      <c r="Q487" s="9">
        <f>Table1[[#This Row], [ROOM TIME]]+Table1[[#This Row], [GUARD TIME]]</f>
        <v>40.751111111111101</v>
      </c>
      <c r="R487" s="4">
        <f>Sheet1!$K$3*_xlfn.XLOOKUP(Table1[[#This Row], [DISGUISE]],Sheet1!$A$21:$A$23,Sheet1!$D$21:$D$23)</f>
        <v>69</v>
      </c>
      <c r="S487" s="9">
        <f>Table1[[#This Row], [TOTAL TIME]]-Table1[[#This Row], [TOTAL TIME TAKEN]]</f>
        <v>28.248888888888899</v>
      </c>
      <c r="T487" t="str">
        <f>IF(Table1[[#This Row], [TIME DIFFERENCE]]&gt;=0,"PASS","FAIL")</f>
        <v>PASS</v>
      </c>
      <c r="U487" s="9">
        <f>Table1[[#This Row], [TRC]]+Table1[[#This Row], [DRC]]+Table1[[#This Row], [WRC]]+Table1[[#This Row], [ERC]]+Table1[[#This Row], [EQRC]]</f>
        <v>8289965.8999999994</v>
      </c>
      <c r="V487" s="9">
        <f>Table1[[#This Row], [TOTAL COST]]+_xlfn.XLOOKUP(Table1[[#This Row], [TEAM]],Sheet1!$A$12:$A$17,Sheet1!$I$12:$I$17)</f>
        <v>8601903.3999999985</v>
      </c>
      <c r="W487" s="9">
        <f>Table1[[#This Row], [LOOT]]-Table1[[#This Row], [TOTAL COST]]</f>
        <v>9810034.1000000015</v>
      </c>
      <c r="X487" s="9">
        <f>IF(Table1[[#This Row], [PASS/FAIL]]="FAIL",0,Table1[[#This Row], [PROFIT]])</f>
        <v>9810034.1000000015</v>
      </c>
    </row>
    <row r="488" spans="1:24" ht="19.5" customHeight="1" x14ac:dyDescent="0.45">
      <c r="A488" t="s">
        <v>14</v>
      </c>
      <c r="B488" s="14">
        <f>_xlfn.XLOOKUP(Table1[[#This Row], [TEAM]],Sheet1!$A$12:$A$17,Sheet1!$F$12:$F$17)</f>
        <v>2</v>
      </c>
      <c r="C488" s="14">
        <f>_xlfn.XLOOKUP(Table1[[#This Row], [TEAM]],Sheet1!$A$12:$A$17,Sheet1!$G$12:$G$17)</f>
        <v>5949600</v>
      </c>
      <c r="D488" t="s">
        <v>19</v>
      </c>
      <c r="E488" s="4">
        <f>_xlfn.XLOOKUP(Table1[[#This Row], [ROOM]],Sheet1!$A$47:$A$66,Sheet1!$B$47:$B$66)</f>
        <v>135</v>
      </c>
      <c r="F488" t="s">
        <v>58</v>
      </c>
      <c r="G488" s="4">
        <f>_xlfn.XLOOKUP(Table1[[#This Row], [DISGUISE]],Sheet1!$A$21:$A$23,Sheet1!$B$21:$B$23)*Table1[[#This Row], [NUM OF MEM]]*(1+_xlfn.XLOOKUP(Table1[[#This Row], [DISGUISE]],Sheet1!$A$21:$A$23,Sheet1!$C$21:$C$23))</f>
        <v>25600</v>
      </c>
      <c r="H488" s="13" t="s">
        <v>66</v>
      </c>
      <c r="I488" s="4">
        <f>_xlfn.XLOOKUP(Table1[[#This Row], [WEAPON]],Sheet1!$A$27:$A$29,Sheet1!$B$27:$B$29)*Table1[[#This Row], [NUM OF MEM]]*(1+_xlfn.XLOOKUP(Table1[[#This Row], [WEAPON]],Sheet1!$A$27:$A$29,Sheet1!$C$27:$C$29))</f>
        <v>72000</v>
      </c>
      <c r="J488" t="s">
        <v>64</v>
      </c>
      <c r="K488" s="9">
        <f>Table1[[#This Row], [NUM OF MEM]]*Table1[[#This Row], [TOTAL TIME TAKEN]]*_xlfn.XLOOKUP(Table1[[#This Row], [EXIT]],Sheet1!$A$70:$A$71,Sheet1!$B$70:$B$71)*(1+_xlfn.XLOOKUP(Table1[[#This Row], [EXIT]],Sheet1!$A$70:$A$71,Sheet1!$C$70:$C$71))</f>
        <v>1786438.7999999996</v>
      </c>
      <c r="L488" s="13" t="s">
        <v>65</v>
      </c>
      <c r="M488" s="4">
        <f>IF(Table1[[#This Row], [EQUIPMENT]]="YES",Sheet1!$C$44*(1+Sheet1!$D$44),0)</f>
        <v>307500</v>
      </c>
      <c r="N488" s="4">
        <f>_xlfn.XLOOKUP(Table1[[#This Row], [ROOM]],Sheet1!$A$47:$A$66,Sheet1!$F$47:$F$66)</f>
        <v>17950000</v>
      </c>
      <c r="O488" s="9">
        <f>_xlfn.XLOOKUP(_xlfn.CONCAT(Table1[[#This Row], [TEAM]],Table1[[#This Row], [ROOM]]),'ROOM TIME'!$H$2:$H$121,'ROOM TIME'!$J$2:$J$121)</f>
        <v>62.046249999999986</v>
      </c>
      <c r="P488" s="9">
        <f>(INDEX(Sheet1!$X$48:$Z$67,MATCH(Table1[[#This Row], [ROOM]],Sheet1!$P$48:$P$67,0),MATCH(Table1[[#This Row], [WEAPON]],Sheet1!$X$47:$Z$47,0)))/Table1[[#This Row], [NUM OF MEM]]</f>
        <v>6.875</v>
      </c>
      <c r="Q488" s="9">
        <f>Table1[[#This Row], [ROOM TIME]]+Table1[[#This Row], [GUARD TIME]]</f>
        <v>68.921249999999986</v>
      </c>
      <c r="R488" s="4">
        <f>Sheet1!$K$3*_xlfn.XLOOKUP(Table1[[#This Row], [DISGUISE]],Sheet1!$A$21:$A$23,Sheet1!$D$21:$D$23)</f>
        <v>69</v>
      </c>
      <c r="S488" s="9">
        <f>Table1[[#This Row], [TOTAL TIME]]-Table1[[#This Row], [TOTAL TIME TAKEN]]</f>
        <v>7.8750000000013642E-2</v>
      </c>
      <c r="T488" t="str">
        <f>IF(Table1[[#This Row], [TIME DIFFERENCE]]&gt;=0,"PASS","FAIL")</f>
        <v>PASS</v>
      </c>
      <c r="U488" s="9">
        <f>Table1[[#This Row], [TRC]]+Table1[[#This Row], [DRC]]+Table1[[#This Row], [WRC]]+Table1[[#This Row], [ERC]]+Table1[[#This Row], [EQRC]]</f>
        <v>8141138.7999999998</v>
      </c>
      <c r="V488" s="9">
        <f>Table1[[#This Row], [TOTAL COST]]+_xlfn.XLOOKUP(Table1[[#This Row], [TEAM]],Sheet1!$A$12:$A$17,Sheet1!$I$12:$I$17)</f>
        <v>8438618.8000000007</v>
      </c>
      <c r="W488" s="9">
        <f>Table1[[#This Row], [LOOT]]-Table1[[#This Row], [TOTAL COST]]</f>
        <v>9808861.1999999993</v>
      </c>
      <c r="X488" s="9">
        <f>IF(Table1[[#This Row], [PASS/FAIL]]="FAIL",0,Table1[[#This Row], [PROFIT]])</f>
        <v>9808861.1999999993</v>
      </c>
    </row>
    <row r="489" spans="1:24" ht="19.5" customHeight="1" x14ac:dyDescent="0.45">
      <c r="A489" t="s">
        <v>13</v>
      </c>
      <c r="B489" s="14">
        <f>_xlfn.XLOOKUP(Table1[[#This Row], [TEAM]],Sheet1!$A$12:$A$17,Sheet1!$F$12:$F$17)</f>
        <v>3</v>
      </c>
      <c r="C489" s="14">
        <f>_xlfn.XLOOKUP(Table1[[#This Row], [TEAM]],Sheet1!$A$12:$A$17,Sheet1!$G$12:$G$17)</f>
        <v>5930000</v>
      </c>
      <c r="D489" t="s">
        <v>18</v>
      </c>
      <c r="E489" s="4">
        <f>_xlfn.XLOOKUP(Table1[[#This Row], [ROOM]],Sheet1!$A$47:$A$66,Sheet1!$B$47:$B$66)</f>
        <v>134</v>
      </c>
      <c r="F489" t="s">
        <v>62</v>
      </c>
      <c r="G489" s="4">
        <f>_xlfn.XLOOKUP(Table1[[#This Row], [DISGUISE]],Sheet1!$A$21:$A$23,Sheet1!$B$21:$B$23)*Table1[[#This Row], [NUM OF MEM]]*(1+_xlfn.XLOOKUP(Table1[[#This Row], [DISGUISE]],Sheet1!$A$21:$A$23,Sheet1!$C$21:$C$23))</f>
        <v>15600</v>
      </c>
      <c r="H489" s="13" t="s">
        <v>59</v>
      </c>
      <c r="I489" s="4">
        <f>_xlfn.XLOOKUP(Table1[[#This Row], [WEAPON]],Sheet1!$A$27:$A$29,Sheet1!$B$27:$B$29)*Table1[[#This Row], [NUM OF MEM]]*(1+_xlfn.XLOOKUP(Table1[[#This Row], [WEAPON]],Sheet1!$A$27:$A$29,Sheet1!$C$27:$C$29))</f>
        <v>136500</v>
      </c>
      <c r="J489" t="s">
        <v>64</v>
      </c>
      <c r="K489" s="9">
        <f>Table1[[#This Row], [NUM OF MEM]]*Table1[[#This Row], [TOTAL TIME TAKEN]]*_xlfn.XLOOKUP(Table1[[#This Row], [EXIT]],Sheet1!$A$70:$A$71,Sheet1!$B$70:$B$71)*(1+_xlfn.XLOOKUP(Table1[[#This Row], [EXIT]],Sheet1!$A$70:$A$71,Sheet1!$C$70:$C$71))</f>
        <v>1851875.9999999998</v>
      </c>
      <c r="L489" s="13" t="s">
        <v>65</v>
      </c>
      <c r="M489" s="4">
        <f>IF(Table1[[#This Row], [EQUIPMENT]]="YES",Sheet1!$C$44*(1+Sheet1!$D$44),0)</f>
        <v>307500</v>
      </c>
      <c r="N489" s="4">
        <f>_xlfn.XLOOKUP(Table1[[#This Row], [ROOM]],Sheet1!$A$47:$A$66,Sheet1!$F$47:$F$66)</f>
        <v>18050000</v>
      </c>
      <c r="O489" s="9">
        <f>_xlfn.XLOOKUP(_xlfn.CONCAT(Table1[[#This Row], [TEAM]],Table1[[#This Row], [ROOM]]),'ROOM TIME'!$H$2:$H$121,'ROOM TIME'!$J$2:$J$121)</f>
        <v>43.030555555555544</v>
      </c>
      <c r="P489" s="9">
        <f>(INDEX(Sheet1!$X$48:$Z$67,MATCH(Table1[[#This Row], [ROOM]],Sheet1!$P$48:$P$67,0),MATCH(Table1[[#This Row], [WEAPON]],Sheet1!$X$47:$Z$47,0)))/Table1[[#This Row], [NUM OF MEM]]</f>
        <v>4.5999999999999996</v>
      </c>
      <c r="Q489" s="9">
        <f>Table1[[#This Row], [ROOM TIME]]+Table1[[#This Row], [GUARD TIME]]</f>
        <v>47.630555555555546</v>
      </c>
      <c r="R489" s="4">
        <f>Sheet1!$K$3*_xlfn.XLOOKUP(Table1[[#This Row], [DISGUISE]],Sheet1!$A$21:$A$23,Sheet1!$D$21:$D$23)</f>
        <v>66</v>
      </c>
      <c r="S489" s="9">
        <f>Table1[[#This Row], [TOTAL TIME]]-Table1[[#This Row], [TOTAL TIME TAKEN]]</f>
        <v>18.369444444444454</v>
      </c>
      <c r="T489" t="str">
        <f>IF(Table1[[#This Row], [TIME DIFFERENCE]]&gt;=0,"PASS","FAIL")</f>
        <v>PASS</v>
      </c>
      <c r="U489" s="4">
        <f>Table1[[#This Row], [TRC]]+Table1[[#This Row], [DRC]]+Table1[[#This Row], [WRC]]+Table1[[#This Row], [ERC]]+Table1[[#This Row], [EQRC]]</f>
        <v>8241476</v>
      </c>
      <c r="V489" s="4">
        <f>Table1[[#This Row], [TOTAL COST]]+_xlfn.XLOOKUP(Table1[[#This Row], [TEAM]],Sheet1!$A$12:$A$17,Sheet1!$I$12:$I$17)</f>
        <v>8537976</v>
      </c>
      <c r="W489" s="4">
        <f>Table1[[#This Row], [LOOT]]-Table1[[#This Row], [TOTAL COST]]</f>
        <v>9808524</v>
      </c>
      <c r="X489" s="4">
        <f>IF(Table1[[#This Row], [PASS/FAIL]]="FAIL",0,Table1[[#This Row], [PROFIT]])</f>
        <v>9808524</v>
      </c>
    </row>
    <row r="490" spans="1:24" ht="19.5" customHeight="1" x14ac:dyDescent="0.45">
      <c r="A490" t="s">
        <v>13</v>
      </c>
      <c r="B490" s="14">
        <f>_xlfn.XLOOKUP(Table1[[#This Row], [TEAM]],Sheet1!$A$12:$A$17,Sheet1!$F$12:$F$17)</f>
        <v>3</v>
      </c>
      <c r="C490" s="14">
        <f>_xlfn.XLOOKUP(Table1[[#This Row], [TEAM]],Sheet1!$A$12:$A$17,Sheet1!$G$12:$G$17)</f>
        <v>5930000</v>
      </c>
      <c r="D490" t="s">
        <v>24</v>
      </c>
      <c r="E490" s="4">
        <f>_xlfn.XLOOKUP(Table1[[#This Row], [ROOM]],Sheet1!$A$47:$A$66,Sheet1!$B$47:$B$66)</f>
        <v>345</v>
      </c>
      <c r="F490" t="s">
        <v>58</v>
      </c>
      <c r="G490" s="4">
        <f>_xlfn.XLOOKUP(Table1[[#This Row], [DISGUISE]],Sheet1!$A$21:$A$23,Sheet1!$B$21:$B$23)*Table1[[#This Row], [NUM OF MEM]]*(1+_xlfn.XLOOKUP(Table1[[#This Row], [DISGUISE]],Sheet1!$A$21:$A$23,Sheet1!$C$21:$C$23))</f>
        <v>38400</v>
      </c>
      <c r="H490" s="13" t="s">
        <v>63</v>
      </c>
      <c r="I490" s="4">
        <f>_xlfn.XLOOKUP(Table1[[#This Row], [WEAPON]],Sheet1!$A$27:$A$29,Sheet1!$B$27:$B$29)*Table1[[#This Row], [NUM OF MEM]]*(1+_xlfn.XLOOKUP(Table1[[#This Row], [WEAPON]],Sheet1!$A$27:$A$29,Sheet1!$C$27:$C$29))</f>
        <v>69000</v>
      </c>
      <c r="J490" t="s">
        <v>60</v>
      </c>
      <c r="K490" s="9">
        <f>Table1[[#This Row], [NUM OF MEM]]*Table1[[#This Row], [TOTAL TIME TAKEN]]*_xlfn.XLOOKUP(Table1[[#This Row], [EXIT]],Sheet1!$A$70:$A$71,Sheet1!$B$70:$B$71)*(1+_xlfn.XLOOKUP(Table1[[#This Row], [EXIT]],Sheet1!$A$70:$A$71,Sheet1!$C$70:$C$71))</f>
        <v>1847409.4749999996</v>
      </c>
      <c r="L490" s="13" t="s">
        <v>65</v>
      </c>
      <c r="M490" s="4">
        <f>IF(Table1[[#This Row], [EQUIPMENT]]="YES",Sheet1!$C$44*(1+Sheet1!$D$44),0)</f>
        <v>307500</v>
      </c>
      <c r="N490" s="4">
        <f>_xlfn.XLOOKUP(Table1[[#This Row], [ROOM]],Sheet1!$A$47:$A$66,Sheet1!$F$47:$F$66)</f>
        <v>18000000</v>
      </c>
      <c r="O490" s="9">
        <f>_xlfn.XLOOKUP(_xlfn.CONCAT(Table1[[#This Row], [TEAM]],Table1[[#This Row], [ROOM]]),'ROOM TIME'!$H$2:$H$121,'ROOM TIME'!$J$2:$J$121)</f>
        <v>42.587777777777774</v>
      </c>
      <c r="P490" s="9">
        <f>(INDEX(Sheet1!$X$48:$Z$67,MATCH(Table1[[#This Row], [ROOM]],Sheet1!$P$48:$P$67,0),MATCH(Table1[[#This Row], [WEAPON]],Sheet1!$X$47:$Z$47,0)))/Table1[[#This Row], [NUM OF MEM]]</f>
        <v>5.4000000000000012</v>
      </c>
      <c r="Q490" s="9">
        <f>Table1[[#This Row], [ROOM TIME]]+Table1[[#This Row], [GUARD TIME]]</f>
        <v>47.987777777777772</v>
      </c>
      <c r="R490" s="4">
        <f>Sheet1!$K$3*_xlfn.XLOOKUP(Table1[[#This Row], [DISGUISE]],Sheet1!$A$21:$A$23,Sheet1!$D$21:$D$23)</f>
        <v>69</v>
      </c>
      <c r="S490" s="9">
        <f>Table1[[#This Row], [TOTAL TIME]]-Table1[[#This Row], [TOTAL TIME TAKEN]]</f>
        <v>21.012222222222228</v>
      </c>
      <c r="T490" t="str">
        <f>IF(Table1[[#This Row], [TIME DIFFERENCE]]&gt;=0,"PASS","FAIL")</f>
        <v>PASS</v>
      </c>
      <c r="U490" s="9">
        <f>Table1[[#This Row], [TRC]]+Table1[[#This Row], [DRC]]+Table1[[#This Row], [WRC]]+Table1[[#This Row], [ERC]]+Table1[[#This Row], [EQRC]]</f>
        <v>8192309.4749999996</v>
      </c>
      <c r="V490" s="9">
        <f>Table1[[#This Row], [TOTAL COST]]+_xlfn.XLOOKUP(Table1[[#This Row], [TEAM]],Sheet1!$A$12:$A$17,Sheet1!$I$12:$I$17)</f>
        <v>8488809.4749999996</v>
      </c>
      <c r="W490" s="9">
        <f>Table1[[#This Row], [LOOT]]-Table1[[#This Row], [TOTAL COST]]</f>
        <v>9807690.5250000004</v>
      </c>
      <c r="X490" s="9">
        <f>IF(Table1[[#This Row], [PASS/FAIL]]="FAIL",0,Table1[[#This Row], [PROFIT]])</f>
        <v>9807690.5250000004</v>
      </c>
    </row>
    <row r="491" spans="1:24" ht="19.5" customHeight="1" x14ac:dyDescent="0.45">
      <c r="A491" t="s">
        <v>9</v>
      </c>
      <c r="B491" s="14">
        <f>_xlfn.XLOOKUP(Table1[[#This Row], [TEAM]],Sheet1!$A$12:$A$17,Sheet1!$F$12:$F$17)</f>
        <v>3</v>
      </c>
      <c r="C491" s="14">
        <f>_xlfn.XLOOKUP(Table1[[#This Row], [TEAM]],Sheet1!$A$12:$A$17,Sheet1!$G$12:$G$17)</f>
        <v>6238750</v>
      </c>
      <c r="D491" t="s">
        <v>33</v>
      </c>
      <c r="E491" s="4">
        <f>_xlfn.XLOOKUP(Table1[[#This Row], [ROOM]],Sheet1!$A$47:$A$66,Sheet1!$B$47:$B$66)</f>
        <v>356</v>
      </c>
      <c r="F491" t="s">
        <v>58</v>
      </c>
      <c r="G491" s="4">
        <f>_xlfn.XLOOKUP(Table1[[#This Row], [DISGUISE]],Sheet1!$A$21:$A$23,Sheet1!$B$21:$B$23)*Table1[[#This Row], [NUM OF MEM]]*(1+_xlfn.XLOOKUP(Table1[[#This Row], [DISGUISE]],Sheet1!$A$21:$A$23,Sheet1!$C$21:$C$23))</f>
        <v>38400</v>
      </c>
      <c r="H491" s="13" t="s">
        <v>66</v>
      </c>
      <c r="I491" s="4">
        <f>_xlfn.XLOOKUP(Table1[[#This Row], [WEAPON]],Sheet1!$A$27:$A$29,Sheet1!$B$27:$B$29)*Table1[[#This Row], [NUM OF MEM]]*(1+_xlfn.XLOOKUP(Table1[[#This Row], [WEAPON]],Sheet1!$A$27:$A$29,Sheet1!$C$27:$C$29))</f>
        <v>108000</v>
      </c>
      <c r="J491" t="s">
        <v>64</v>
      </c>
      <c r="K491" s="9">
        <f>Table1[[#This Row], [NUM OF MEM]]*Table1[[#This Row], [TOTAL TIME TAKEN]]*_xlfn.XLOOKUP(Table1[[#This Row], [EXIT]],Sheet1!$A$70:$A$71,Sheet1!$B$70:$B$71)*(1+_xlfn.XLOOKUP(Table1[[#This Row], [EXIT]],Sheet1!$A$70:$A$71,Sheet1!$C$70:$C$71))</f>
        <v>1599955.1999999995</v>
      </c>
      <c r="L491" s="13" t="s">
        <v>65</v>
      </c>
      <c r="M491" s="4">
        <f>IF(Table1[[#This Row], [EQUIPMENT]]="YES",Sheet1!$C$44*(1+Sheet1!$D$44),0)</f>
        <v>307500</v>
      </c>
      <c r="N491" s="4">
        <f>_xlfn.XLOOKUP(Table1[[#This Row], [ROOM]],Sheet1!$A$47:$A$66,Sheet1!$F$47:$F$66)</f>
        <v>18100000</v>
      </c>
      <c r="O491" s="9">
        <f>_xlfn.XLOOKUP(_xlfn.CONCAT(Table1[[#This Row], [TEAM]],Table1[[#This Row], [ROOM]]),'ROOM TIME'!$H$2:$H$121,'ROOM TIME'!$J$2:$J$121)</f>
        <v>36.151111111111099</v>
      </c>
      <c r="P491" s="4">
        <f>(INDEX(Sheet1!$X$48:$Z$67,MATCH(Table1[[#This Row], [ROOM]],Sheet1!$P$48:$P$67,0),MATCH(Table1[[#This Row], [WEAPON]],Sheet1!$X$47:$Z$47,0)))/Table1[[#This Row], [NUM OF MEM]]</f>
        <v>5</v>
      </c>
      <c r="Q491" s="9">
        <f>Table1[[#This Row], [ROOM TIME]]+Table1[[#This Row], [GUARD TIME]]</f>
        <v>41.151111111111099</v>
      </c>
      <c r="R491" s="4">
        <f>Sheet1!$K$3*_xlfn.XLOOKUP(Table1[[#This Row], [DISGUISE]],Sheet1!$A$21:$A$23,Sheet1!$D$21:$D$23)</f>
        <v>69</v>
      </c>
      <c r="S491" s="9">
        <f>Table1[[#This Row], [TOTAL TIME]]-Table1[[#This Row], [TOTAL TIME TAKEN]]</f>
        <v>27.848888888888901</v>
      </c>
      <c r="T491" t="str">
        <f>IF(Table1[[#This Row], [TIME DIFFERENCE]]&gt;=0,"PASS","FAIL")</f>
        <v>PASS</v>
      </c>
      <c r="U491" s="9">
        <f>Table1[[#This Row], [TRC]]+Table1[[#This Row], [DRC]]+Table1[[#This Row], [WRC]]+Table1[[#This Row], [ERC]]+Table1[[#This Row], [EQRC]]</f>
        <v>8292605.1999999993</v>
      </c>
      <c r="V491" s="9">
        <f>Table1[[#This Row], [TOTAL COST]]+_xlfn.XLOOKUP(Table1[[#This Row], [TEAM]],Sheet1!$A$12:$A$17,Sheet1!$I$12:$I$17)</f>
        <v>8604542.6999999993</v>
      </c>
      <c r="W491" s="9">
        <f>Table1[[#This Row], [LOOT]]-Table1[[#This Row], [TOTAL COST]]</f>
        <v>9807394.8000000007</v>
      </c>
      <c r="X491" s="9">
        <f>IF(Table1[[#This Row], [PASS/FAIL]]="FAIL",0,Table1[[#This Row], [PROFIT]])</f>
        <v>9807394.8000000007</v>
      </c>
    </row>
    <row r="492" spans="1:24" ht="19.5" customHeight="1" x14ac:dyDescent="0.45">
      <c r="A492" t="s">
        <v>12</v>
      </c>
      <c r="B492" s="14">
        <f>_xlfn.XLOOKUP(Table1[[#This Row], [TEAM]],Sheet1!$A$12:$A$17,Sheet1!$F$12:$F$17)</f>
        <v>3</v>
      </c>
      <c r="C492" s="14">
        <f>_xlfn.XLOOKUP(Table1[[#This Row], [TEAM]],Sheet1!$A$12:$A$17,Sheet1!$G$12:$G$17)</f>
        <v>5988750</v>
      </c>
      <c r="D492" t="s">
        <v>18</v>
      </c>
      <c r="E492" s="4">
        <f>_xlfn.XLOOKUP(Table1[[#This Row], [ROOM]],Sheet1!$A$47:$A$66,Sheet1!$B$47:$B$66)</f>
        <v>134</v>
      </c>
      <c r="F492" t="s">
        <v>58</v>
      </c>
      <c r="G492" s="4">
        <f>_xlfn.XLOOKUP(Table1[[#This Row], [DISGUISE]],Sheet1!$A$21:$A$23,Sheet1!$B$21:$B$23)*Table1[[#This Row], [NUM OF MEM]]*(1+_xlfn.XLOOKUP(Table1[[#This Row], [DISGUISE]],Sheet1!$A$21:$A$23,Sheet1!$C$21:$C$23))</f>
        <v>38400</v>
      </c>
      <c r="H492" s="13" t="s">
        <v>59</v>
      </c>
      <c r="I492" s="4">
        <f>_xlfn.XLOOKUP(Table1[[#This Row], [WEAPON]],Sheet1!$A$27:$A$29,Sheet1!$B$27:$B$29)*Table1[[#This Row], [NUM OF MEM]]*(1+_xlfn.XLOOKUP(Table1[[#This Row], [WEAPON]],Sheet1!$A$27:$A$29,Sheet1!$C$27:$C$29))</f>
        <v>136500</v>
      </c>
      <c r="J492" t="s">
        <v>60</v>
      </c>
      <c r="K492" s="9">
        <f>Table1[[#This Row], [NUM OF MEM]]*Table1[[#This Row], [TOTAL TIME TAKEN]]*_xlfn.XLOOKUP(Table1[[#This Row], [EXIT]],Sheet1!$A$70:$A$71,Sheet1!$B$70:$B$71)*(1+_xlfn.XLOOKUP(Table1[[#This Row], [EXIT]],Sheet1!$A$70:$A$71,Sheet1!$C$70:$C$71))</f>
        <v>1771612.1749999996</v>
      </c>
      <c r="L492" s="13" t="s">
        <v>65</v>
      </c>
      <c r="M492" s="4">
        <f>IF(Table1[[#This Row], [EQUIPMENT]]="YES",Sheet1!$C$44*(1+Sheet1!$D$44),0)</f>
        <v>307500</v>
      </c>
      <c r="N492" s="4">
        <f>_xlfn.XLOOKUP(Table1[[#This Row], [ROOM]],Sheet1!$A$47:$A$66,Sheet1!$F$47:$F$66)</f>
        <v>18050000</v>
      </c>
      <c r="O492" s="9">
        <f>_xlfn.XLOOKUP(_xlfn.CONCAT(Table1[[#This Row], [TEAM]],Table1[[#This Row], [ROOM]]),'ROOM TIME'!$H$2:$H$121,'ROOM TIME'!$J$2:$J$121)</f>
        <v>41.41888888888888</v>
      </c>
      <c r="P492" s="9">
        <f>(INDEX(Sheet1!$X$48:$Z$67,MATCH(Table1[[#This Row], [ROOM]],Sheet1!$P$48:$P$67,0),MATCH(Table1[[#This Row], [WEAPON]],Sheet1!$X$47:$Z$47,0)))/Table1[[#This Row], [NUM OF MEM]]</f>
        <v>4.5999999999999996</v>
      </c>
      <c r="Q492" s="9">
        <f>Table1[[#This Row], [ROOM TIME]]+Table1[[#This Row], [GUARD TIME]]</f>
        <v>46.018888888888881</v>
      </c>
      <c r="R492" s="4">
        <f>Sheet1!$K$3*_xlfn.XLOOKUP(Table1[[#This Row], [DISGUISE]],Sheet1!$A$21:$A$23,Sheet1!$D$21:$D$23)</f>
        <v>69</v>
      </c>
      <c r="S492" s="9">
        <f>Table1[[#This Row], [TOTAL TIME]]-Table1[[#This Row], [TOTAL TIME TAKEN]]</f>
        <v>22.981111111111119</v>
      </c>
      <c r="T492" t="str">
        <f>IF(Table1[[#This Row], [TIME DIFFERENCE]]&gt;=0,"PASS","FAIL")</f>
        <v>PASS</v>
      </c>
      <c r="U492" s="9">
        <f>Table1[[#This Row], [TRC]]+Table1[[#This Row], [DRC]]+Table1[[#This Row], [WRC]]+Table1[[#This Row], [ERC]]+Table1[[#This Row], [EQRC]]</f>
        <v>8242762.1749999998</v>
      </c>
      <c r="V492" s="9">
        <f>Table1[[#This Row], [TOTAL COST]]+_xlfn.XLOOKUP(Table1[[#This Row], [TEAM]],Sheet1!$A$12:$A$17,Sheet1!$I$12:$I$17)</f>
        <v>8542199.6750000007</v>
      </c>
      <c r="W492" s="9">
        <f>Table1[[#This Row], [LOOT]]-Table1[[#This Row], [TOTAL COST]]</f>
        <v>9807237.8249999993</v>
      </c>
      <c r="X492" s="9">
        <f>IF(Table1[[#This Row], [PASS/FAIL]]="FAIL",0,Table1[[#This Row], [PROFIT]])</f>
        <v>9807237.8249999993</v>
      </c>
    </row>
    <row r="493" spans="1:24" ht="19.5" customHeight="1" x14ac:dyDescent="0.45">
      <c r="A493" t="s">
        <v>13</v>
      </c>
      <c r="B493" s="14">
        <f>_xlfn.XLOOKUP(Table1[[#This Row], [TEAM]],Sheet1!$A$12:$A$17,Sheet1!$F$12:$F$17)</f>
        <v>3</v>
      </c>
      <c r="C493" s="14">
        <f>_xlfn.XLOOKUP(Table1[[#This Row], [TEAM]],Sheet1!$A$12:$A$17,Sheet1!$G$12:$G$17)</f>
        <v>5930000</v>
      </c>
      <c r="D493" t="s">
        <v>24</v>
      </c>
      <c r="E493" s="4">
        <f>_xlfn.XLOOKUP(Table1[[#This Row], [ROOM]],Sheet1!$A$47:$A$66,Sheet1!$B$47:$B$66)</f>
        <v>345</v>
      </c>
      <c r="F493" t="s">
        <v>62</v>
      </c>
      <c r="G493" s="4">
        <f>_xlfn.XLOOKUP(Table1[[#This Row], [DISGUISE]],Sheet1!$A$21:$A$23,Sheet1!$B$21:$B$23)*Table1[[#This Row], [NUM OF MEM]]*(1+_xlfn.XLOOKUP(Table1[[#This Row], [DISGUISE]],Sheet1!$A$21:$A$23,Sheet1!$C$21:$C$23))</f>
        <v>15600</v>
      </c>
      <c r="H493" s="13" t="s">
        <v>66</v>
      </c>
      <c r="I493" s="4">
        <f>_xlfn.XLOOKUP(Table1[[#This Row], [WEAPON]],Sheet1!$A$27:$A$29,Sheet1!$B$27:$B$29)*Table1[[#This Row], [NUM OF MEM]]*(1+_xlfn.XLOOKUP(Table1[[#This Row], [WEAPON]],Sheet1!$A$27:$A$29,Sheet1!$C$27:$C$29))</f>
        <v>108000</v>
      </c>
      <c r="J493" t="s">
        <v>60</v>
      </c>
      <c r="K493" s="9">
        <f>Table1[[#This Row], [NUM OF MEM]]*Table1[[#This Row], [TOTAL TIME TAKEN]]*_xlfn.XLOOKUP(Table1[[#This Row], [EXIT]],Sheet1!$A$70:$A$71,Sheet1!$B$70:$B$71)*(1+_xlfn.XLOOKUP(Table1[[#This Row], [EXIT]],Sheet1!$A$70:$A$71,Sheet1!$C$70:$C$71))</f>
        <v>1832010.4749999999</v>
      </c>
      <c r="L493" s="13" t="s">
        <v>65</v>
      </c>
      <c r="M493" s="4">
        <f>IF(Table1[[#This Row], [EQUIPMENT]]="YES",Sheet1!$C$44*(1+Sheet1!$D$44),0)</f>
        <v>307500</v>
      </c>
      <c r="N493" s="4">
        <f>_xlfn.XLOOKUP(Table1[[#This Row], [ROOM]],Sheet1!$A$47:$A$66,Sheet1!$F$47:$F$66)</f>
        <v>18000000</v>
      </c>
      <c r="O493" s="9">
        <f>_xlfn.XLOOKUP(_xlfn.CONCAT(Table1[[#This Row], [TEAM]],Table1[[#This Row], [ROOM]]),'ROOM TIME'!$H$2:$H$121,'ROOM TIME'!$J$2:$J$121)</f>
        <v>42.587777777777774</v>
      </c>
      <c r="P493" s="4">
        <f>(INDEX(Sheet1!$X$48:$Z$67,MATCH(Table1[[#This Row], [ROOM]],Sheet1!$P$48:$P$67,0),MATCH(Table1[[#This Row], [WEAPON]],Sheet1!$X$47:$Z$47,0)))/Table1[[#This Row], [NUM OF MEM]]</f>
        <v>5</v>
      </c>
      <c r="Q493" s="9">
        <f>Table1[[#This Row], [ROOM TIME]]+Table1[[#This Row], [GUARD TIME]]</f>
        <v>47.587777777777774</v>
      </c>
      <c r="R493" s="4">
        <f>Sheet1!$K$3*_xlfn.XLOOKUP(Table1[[#This Row], [DISGUISE]],Sheet1!$A$21:$A$23,Sheet1!$D$21:$D$23)</f>
        <v>66</v>
      </c>
      <c r="S493" s="9">
        <f>Table1[[#This Row], [TOTAL TIME]]-Table1[[#This Row], [TOTAL TIME TAKEN]]</f>
        <v>18.412222222222226</v>
      </c>
      <c r="T493" t="str">
        <f>IF(Table1[[#This Row], [TIME DIFFERENCE]]&gt;=0,"PASS","FAIL")</f>
        <v>PASS</v>
      </c>
      <c r="U493" s="9">
        <f>Table1[[#This Row], [TRC]]+Table1[[#This Row], [DRC]]+Table1[[#This Row], [WRC]]+Table1[[#This Row], [ERC]]+Table1[[#This Row], [EQRC]]</f>
        <v>8193110.4749999996</v>
      </c>
      <c r="V493" s="9">
        <f>Table1[[#This Row], [TOTAL COST]]+_xlfn.XLOOKUP(Table1[[#This Row], [TEAM]],Sheet1!$A$12:$A$17,Sheet1!$I$12:$I$17)</f>
        <v>8489610.4749999996</v>
      </c>
      <c r="W493" s="9">
        <f>Table1[[#This Row], [LOOT]]-Table1[[#This Row], [TOTAL COST]]</f>
        <v>9806889.5250000004</v>
      </c>
      <c r="X493" s="9">
        <f>IF(Table1[[#This Row], [PASS/FAIL]]="FAIL",0,Table1[[#This Row], [PROFIT]])</f>
        <v>9806889.5250000004</v>
      </c>
    </row>
    <row r="494" spans="1:24" ht="19.5" customHeight="1" x14ac:dyDescent="0.45">
      <c r="A494" t="s">
        <v>15</v>
      </c>
      <c r="B494" s="14">
        <f>_xlfn.XLOOKUP(Table1[[#This Row], [TEAM]],Sheet1!$A$12:$A$17,Sheet1!$F$12:$F$17)</f>
        <v>2</v>
      </c>
      <c r="C494" s="14">
        <f>_xlfn.XLOOKUP(Table1[[#This Row], [TEAM]],Sheet1!$A$12:$A$17,Sheet1!$G$12:$G$17)</f>
        <v>5932950</v>
      </c>
      <c r="D494" t="s">
        <v>20</v>
      </c>
      <c r="E494" s="4">
        <f>_xlfn.XLOOKUP(Table1[[#This Row], [ROOM]],Sheet1!$A$47:$A$66,Sheet1!$B$47:$B$66)</f>
        <v>145</v>
      </c>
      <c r="F494" t="s">
        <v>58</v>
      </c>
      <c r="G494" s="4">
        <f>_xlfn.XLOOKUP(Table1[[#This Row], [DISGUISE]],Sheet1!$A$21:$A$23,Sheet1!$B$21:$B$23)*Table1[[#This Row], [NUM OF MEM]]*(1+_xlfn.XLOOKUP(Table1[[#This Row], [DISGUISE]],Sheet1!$A$21:$A$23,Sheet1!$C$21:$C$23))</f>
        <v>25600</v>
      </c>
      <c r="H494" s="13" t="s">
        <v>59</v>
      </c>
      <c r="I494" s="4">
        <f>_xlfn.XLOOKUP(Table1[[#This Row], [WEAPON]],Sheet1!$A$27:$A$29,Sheet1!$B$27:$B$29)*Table1[[#This Row], [NUM OF MEM]]*(1+_xlfn.XLOOKUP(Table1[[#This Row], [WEAPON]],Sheet1!$A$27:$A$29,Sheet1!$C$27:$C$29))</f>
        <v>91000</v>
      </c>
      <c r="J494" t="s">
        <v>64</v>
      </c>
      <c r="K494" s="9">
        <f>Table1[[#This Row], [NUM OF MEM]]*Table1[[#This Row], [TOTAL TIME TAKEN]]*_xlfn.XLOOKUP(Table1[[#This Row], [EXIT]],Sheet1!$A$70:$A$71,Sheet1!$B$70:$B$71)*(1+_xlfn.XLOOKUP(Table1[[#This Row], [EXIT]],Sheet1!$A$70:$A$71,Sheet1!$C$70:$C$71))</f>
        <v>1693645.1999999995</v>
      </c>
      <c r="L494" s="13" t="s">
        <v>61</v>
      </c>
      <c r="M494" s="4">
        <f>IF(Table1[[#This Row], [EQUIPMENT]]="YES",Sheet1!$C$44*(1+Sheet1!$D$44),0)</f>
        <v>0</v>
      </c>
      <c r="N494" s="4">
        <f>_xlfn.XLOOKUP(Table1[[#This Row], [ROOM]],Sheet1!$A$47:$A$66,Sheet1!$F$47:$F$66)</f>
        <v>17550000</v>
      </c>
      <c r="O494" s="9">
        <f>_xlfn.XLOOKUP(_xlfn.CONCAT(Table1[[#This Row], [TEAM]],Table1[[#This Row], [ROOM]]),'ROOM TIME'!$H$2:$H$121,'ROOM TIME'!$J$2:$J$121)</f>
        <v>59.591249999999981</v>
      </c>
      <c r="P494" s="9">
        <f>(INDEX(Sheet1!$X$48:$Z$67,MATCH(Table1[[#This Row], [ROOM]],Sheet1!$P$48:$P$67,0),MATCH(Table1[[#This Row], [WEAPON]],Sheet1!$X$47:$Z$47,0)))/Table1[[#This Row], [NUM OF MEM]]</f>
        <v>5.75</v>
      </c>
      <c r="Q494" s="9">
        <f>Table1[[#This Row], [ROOM TIME]]+Table1[[#This Row], [GUARD TIME]]</f>
        <v>65.341249999999974</v>
      </c>
      <c r="R494" s="4">
        <f>Sheet1!$K$3*_xlfn.XLOOKUP(Table1[[#This Row], [DISGUISE]],Sheet1!$A$21:$A$23,Sheet1!$D$21:$D$23)</f>
        <v>69</v>
      </c>
      <c r="S494" s="9">
        <f>Table1[[#This Row], [TOTAL TIME]]-Table1[[#This Row], [TOTAL TIME TAKEN]]</f>
        <v>3.6587500000000261</v>
      </c>
      <c r="T494" t="str">
        <f>IF(Table1[[#This Row], [TIME DIFFERENCE]]&gt;=0,"PASS","FAIL")</f>
        <v>PASS</v>
      </c>
      <c r="U494" s="9">
        <f>Table1[[#This Row], [TRC]]+Table1[[#This Row], [DRC]]+Table1[[#This Row], [WRC]]+Table1[[#This Row], [ERC]]+Table1[[#This Row], [EQRC]]</f>
        <v>7743195.1999999993</v>
      </c>
      <c r="V494" s="9">
        <f>Table1[[#This Row], [TOTAL COST]]+_xlfn.XLOOKUP(Table1[[#This Row], [TEAM]],Sheet1!$A$12:$A$17,Sheet1!$I$12:$I$17)</f>
        <v>8039842.6999999993</v>
      </c>
      <c r="W494" s="9">
        <f>Table1[[#This Row], [LOOT]]-Table1[[#This Row], [TOTAL COST]]</f>
        <v>9806804.8000000007</v>
      </c>
      <c r="X494" s="9">
        <f>IF(Table1[[#This Row], [PASS/FAIL]]="FAIL",0,Table1[[#This Row], [PROFIT]])</f>
        <v>9806804.8000000007</v>
      </c>
    </row>
    <row r="495" spans="1:24" ht="19.5" customHeight="1" x14ac:dyDescent="0.45">
      <c r="A495" t="s">
        <v>14</v>
      </c>
      <c r="B495" s="14">
        <f>_xlfn.XLOOKUP(Table1[[#This Row], [TEAM]],Sheet1!$A$12:$A$17,Sheet1!$F$12:$F$17)</f>
        <v>2</v>
      </c>
      <c r="C495" s="14">
        <f>_xlfn.XLOOKUP(Table1[[#This Row], [TEAM]],Sheet1!$A$12:$A$17,Sheet1!$G$12:$G$17)</f>
        <v>5949600</v>
      </c>
      <c r="D495" t="s">
        <v>27</v>
      </c>
      <c r="E495" s="4">
        <f>_xlfn.XLOOKUP(Table1[[#This Row], [ROOM]],Sheet1!$A$47:$A$66,Sheet1!$B$47:$B$66)</f>
        <v>146</v>
      </c>
      <c r="F495" t="s">
        <v>62</v>
      </c>
      <c r="G495" s="4">
        <f>_xlfn.XLOOKUP(Table1[[#This Row], [DISGUISE]],Sheet1!$A$21:$A$23,Sheet1!$B$21:$B$23)*Table1[[#This Row], [NUM OF MEM]]*(1+_xlfn.XLOOKUP(Table1[[#This Row], [DISGUISE]],Sheet1!$A$21:$A$23,Sheet1!$C$21:$C$23))</f>
        <v>10400</v>
      </c>
      <c r="H495" s="13" t="s">
        <v>63</v>
      </c>
      <c r="I495" s="4">
        <f>_xlfn.XLOOKUP(Table1[[#This Row], [WEAPON]],Sheet1!$A$27:$A$29,Sheet1!$B$27:$B$29)*Table1[[#This Row], [NUM OF MEM]]*(1+_xlfn.XLOOKUP(Table1[[#This Row], [WEAPON]],Sheet1!$A$27:$A$29,Sheet1!$C$27:$C$29))</f>
        <v>46000</v>
      </c>
      <c r="J495" t="s">
        <v>60</v>
      </c>
      <c r="K495" s="9">
        <f>Table1[[#This Row], [NUM OF MEM]]*Table1[[#This Row], [TOTAL TIME TAKEN]]*_xlfn.XLOOKUP(Table1[[#This Row], [EXIT]],Sheet1!$A$70:$A$71,Sheet1!$B$70:$B$71)*(1+_xlfn.XLOOKUP(Table1[[#This Row], [EXIT]],Sheet1!$A$70:$A$71,Sheet1!$C$70:$C$71))</f>
        <v>1629984.1499999997</v>
      </c>
      <c r="L495" s="13" t="s">
        <v>65</v>
      </c>
      <c r="M495" s="4">
        <f>IF(Table1[[#This Row], [EQUIPMENT]]="YES",Sheet1!$C$44*(1+Sheet1!$D$44),0)</f>
        <v>307500</v>
      </c>
      <c r="N495" s="4">
        <f>_xlfn.XLOOKUP(Table1[[#This Row], [ROOM]],Sheet1!$A$47:$A$66,Sheet1!$F$47:$F$66)</f>
        <v>17750000</v>
      </c>
      <c r="O495" s="9">
        <f>_xlfn.XLOOKUP(_xlfn.CONCAT(Table1[[#This Row], [TEAM]],Table1[[#This Row], [ROOM]]),'ROOM TIME'!$H$2:$H$121,'ROOM TIME'!$J$2:$J$121)</f>
        <v>56.084999999999987</v>
      </c>
      <c r="P495" s="9">
        <f>(INDEX(Sheet1!$X$48:$Z$67,MATCH(Table1[[#This Row], [ROOM]],Sheet1!$P$48:$P$67,0),MATCH(Table1[[#This Row], [WEAPON]],Sheet1!$X$47:$Z$47,0)))/Table1[[#This Row], [NUM OF MEM]]</f>
        <v>7.4250000000000007</v>
      </c>
      <c r="Q495" s="9">
        <f>Table1[[#This Row], [ROOM TIME]]+Table1[[#This Row], [GUARD TIME]]</f>
        <v>63.509999999999991</v>
      </c>
      <c r="R495" s="4">
        <f>Sheet1!$K$3*_xlfn.XLOOKUP(Table1[[#This Row], [DISGUISE]],Sheet1!$A$21:$A$23,Sheet1!$D$21:$D$23)</f>
        <v>66</v>
      </c>
      <c r="S495" s="9">
        <f>Table1[[#This Row], [TOTAL TIME]]-Table1[[#This Row], [TOTAL TIME TAKEN]]</f>
        <v>2.4900000000000091</v>
      </c>
      <c r="T495" t="str">
        <f>IF(Table1[[#This Row], [TIME DIFFERENCE]]&gt;=0,"PASS","FAIL")</f>
        <v>PASS</v>
      </c>
      <c r="U495" s="9">
        <f>Table1[[#This Row], [TRC]]+Table1[[#This Row], [DRC]]+Table1[[#This Row], [WRC]]+Table1[[#This Row], [ERC]]+Table1[[#This Row], [EQRC]]</f>
        <v>7943484.1499999994</v>
      </c>
      <c r="V495" s="9">
        <f>Table1[[#This Row], [TOTAL COST]]+_xlfn.XLOOKUP(Table1[[#This Row], [TEAM]],Sheet1!$A$12:$A$17,Sheet1!$I$12:$I$17)</f>
        <v>8240964.1499999994</v>
      </c>
      <c r="W495" s="9">
        <f>Table1[[#This Row], [LOOT]]-Table1[[#This Row], [TOTAL COST]]</f>
        <v>9806515.8500000015</v>
      </c>
      <c r="X495" s="9">
        <f>IF(Table1[[#This Row], [PASS/FAIL]]="FAIL",0,Table1[[#This Row], [PROFIT]])</f>
        <v>9806515.8500000015</v>
      </c>
    </row>
    <row r="496" spans="1:24" ht="19.5" customHeight="1" x14ac:dyDescent="0.45">
      <c r="A496" t="s">
        <v>9</v>
      </c>
      <c r="B496" s="14">
        <f>_xlfn.XLOOKUP(Table1[[#This Row], [TEAM]],Sheet1!$A$12:$A$17,Sheet1!$F$12:$F$17)</f>
        <v>3</v>
      </c>
      <c r="C496" s="14">
        <f>_xlfn.XLOOKUP(Table1[[#This Row], [TEAM]],Sheet1!$A$12:$A$17,Sheet1!$G$12:$G$17)</f>
        <v>6238750</v>
      </c>
      <c r="D496" t="s">
        <v>21</v>
      </c>
      <c r="E496" s="4">
        <f>_xlfn.XLOOKUP(Table1[[#This Row], [ROOM]],Sheet1!$A$47:$A$66,Sheet1!$B$47:$B$66)</f>
        <v>234</v>
      </c>
      <c r="F496" t="s">
        <v>62</v>
      </c>
      <c r="G496" s="4">
        <f>_xlfn.XLOOKUP(Table1[[#This Row], [DISGUISE]],Sheet1!$A$21:$A$23,Sheet1!$B$21:$B$23)*Table1[[#This Row], [NUM OF MEM]]*(1+_xlfn.XLOOKUP(Table1[[#This Row], [DISGUISE]],Sheet1!$A$21:$A$23,Sheet1!$C$21:$C$23))</f>
        <v>15600</v>
      </c>
      <c r="H496" s="13" t="s">
        <v>63</v>
      </c>
      <c r="I496" s="4">
        <f>_xlfn.XLOOKUP(Table1[[#This Row], [WEAPON]],Sheet1!$A$27:$A$29,Sheet1!$B$27:$B$29)*Table1[[#This Row], [NUM OF MEM]]*(1+_xlfn.XLOOKUP(Table1[[#This Row], [WEAPON]],Sheet1!$A$27:$A$29,Sheet1!$C$27:$C$29))</f>
        <v>69000</v>
      </c>
      <c r="J496" t="s">
        <v>64</v>
      </c>
      <c r="K496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1770940.7999999996</v>
      </c>
      <c r="L496" s="13" t="s">
        <v>61</v>
      </c>
      <c r="M496" s="4">
        <f>IF(Table1[[#This Row], [EQUIPMENT]]="YES",Sheet1!$C$44*(1+Sheet1!$D$44),0)</f>
        <v>0</v>
      </c>
      <c r="N496" s="4">
        <f>_xlfn.XLOOKUP(Table1[[#This Row], [ROOM]],Sheet1!$A$47:$A$66,Sheet1!$F$47:$F$66)</f>
        <v>17900000</v>
      </c>
      <c r="O496" s="9">
        <f>_xlfn.XLOOKUP(_xlfn.CONCAT(Table1[[#This Row], [TEAM]],Table1[[#This Row], [ROOM]]),'ROOM TIME'!$H$2:$H$121,'ROOM TIME'!$J$2:$J$121)</f>
        <v>39.698888888888881</v>
      </c>
      <c r="P496" s="9">
        <f>(INDEX(Sheet1!$X$48:$Z$67,MATCH(Table1[[#This Row], [ROOM]],Sheet1!$P$48:$P$67,0),MATCH(Table1[[#This Row], [WEAPON]],Sheet1!$X$47:$Z$47,0)))/Table1[[#This Row], [NUM OF MEM]]</f>
        <v>5.8500000000000005</v>
      </c>
      <c r="Q496" s="9">
        <f>Table1[[#This Row], [ROOM TIME]]+Table1[[#This Row], [GUARD TIME]]</f>
        <v>45.548888888888882</v>
      </c>
      <c r="R496" s="4">
        <f>Sheet1!$K$3*_xlfn.XLOOKUP(Table1[[#This Row], [DISGUISE]],Sheet1!$A$21:$A$23,Sheet1!$D$21:$D$23)</f>
        <v>66</v>
      </c>
      <c r="S496" s="9">
        <f>Table1[[#This Row], [TOTAL TIME]]-Table1[[#This Row], [TOTAL TIME TAKEN]]</f>
        <v>20.451111111111118</v>
      </c>
      <c r="T496" t="str">
        <f>IF(Table1[[#This Row], [TIME DIFFERENCE]]&gt;=0,"PASS","FAIL")</f>
        <v>PASS</v>
      </c>
      <c r="U496" s="9">
        <f>Table1[[#This Row], [TRC]]+Table1[[#This Row], [DRC]]+Table1[[#This Row], [WRC]]+Table1[[#This Row], [ERC]]+Table1[[#This Row], [EQRC]]</f>
        <v>8094290.7999999998</v>
      </c>
      <c r="V496" s="9">
        <f>Table1[[#This Row], [TOTAL COST]]+_xlfn.XLOOKUP(Table1[[#This Row], [TEAM]],Sheet1!$A$12:$A$17,Sheet1!$I$12:$I$17)</f>
        <v>8406228.3000000007</v>
      </c>
      <c r="W496" s="9">
        <f>Table1[[#This Row], [LOOT]]-Table1[[#This Row], [TOTAL COST]]</f>
        <v>9805709.1999999993</v>
      </c>
      <c r="X496" s="9">
        <f>IF(Table1[[#This Row], [PASS/FAIL]]="FAIL",0,Table1[[#This Row], [PROFIT]])</f>
        <v>9805709.1999999993</v>
      </c>
    </row>
    <row r="497" spans="1:24" ht="19.5" customHeight="1" x14ac:dyDescent="0.45">
      <c r="A497" t="s">
        <v>14</v>
      </c>
      <c r="B497" s="14">
        <f>_xlfn.XLOOKUP(Table1[[#This Row], [TEAM]],Sheet1!$A$12:$A$17,Sheet1!$F$12:$F$17)</f>
        <v>2</v>
      </c>
      <c r="C497" s="14">
        <f>_xlfn.XLOOKUP(Table1[[#This Row], [TEAM]],Sheet1!$A$12:$A$17,Sheet1!$G$12:$G$17)</f>
        <v>5949600</v>
      </c>
      <c r="D497" t="s">
        <v>20</v>
      </c>
      <c r="E497" s="4">
        <f>_xlfn.XLOOKUP(Table1[[#This Row], [ROOM]],Sheet1!$A$47:$A$66,Sheet1!$B$47:$B$66)</f>
        <v>145</v>
      </c>
      <c r="F497" t="s">
        <v>58</v>
      </c>
      <c r="G497" s="4">
        <f>_xlfn.XLOOKUP(Table1[[#This Row], [DISGUISE]],Sheet1!$A$21:$A$23,Sheet1!$B$21:$B$23)*Table1[[#This Row], [NUM OF MEM]]*(1+_xlfn.XLOOKUP(Table1[[#This Row], [DISGUISE]],Sheet1!$A$21:$A$23,Sheet1!$C$21:$C$23))</f>
        <v>25600</v>
      </c>
      <c r="H497" s="13" t="s">
        <v>66</v>
      </c>
      <c r="I497" s="4">
        <f>_xlfn.XLOOKUP(Table1[[#This Row], [WEAPON]],Sheet1!$A$27:$A$29,Sheet1!$B$27:$B$29)*Table1[[#This Row], [NUM OF MEM]]*(1+_xlfn.XLOOKUP(Table1[[#This Row], [WEAPON]],Sheet1!$A$27:$A$29,Sheet1!$C$27:$C$29))</f>
        <v>72000</v>
      </c>
      <c r="J497" t="s">
        <v>60</v>
      </c>
      <c r="K497" s="9">
        <f>Table1[[#This Row], [NUM OF MEM]]*Table1[[#This Row], [TOTAL TIME TAKEN]]*_xlfn.XLOOKUP(Table1[[#This Row], [EXIT]],Sheet1!$A$70:$A$71,Sheet1!$B$70:$B$71)*(1+_xlfn.XLOOKUP(Table1[[#This Row], [EXIT]],Sheet1!$A$70:$A$71,Sheet1!$C$70:$C$71))</f>
        <v>1697483.0999999996</v>
      </c>
      <c r="L497" s="13" t="s">
        <v>61</v>
      </c>
      <c r="M497" s="4">
        <f>IF(Table1[[#This Row], [EQUIPMENT]]="YES",Sheet1!$C$44*(1+Sheet1!$D$44),0)</f>
        <v>0</v>
      </c>
      <c r="N497" s="4">
        <f>_xlfn.XLOOKUP(Table1[[#This Row], [ROOM]],Sheet1!$A$47:$A$66,Sheet1!$F$47:$F$66)</f>
        <v>17550000</v>
      </c>
      <c r="O497" s="9">
        <f>_xlfn.XLOOKUP(_xlfn.CONCAT(Table1[[#This Row], [TEAM]],Table1[[#This Row], [ROOM]]),'ROOM TIME'!$H$2:$H$121,'ROOM TIME'!$J$2:$J$121)</f>
        <v>59.889999999999986</v>
      </c>
      <c r="P497" s="9">
        <f>(INDEX(Sheet1!$X$48:$Z$67,MATCH(Table1[[#This Row], [ROOM]],Sheet1!$P$48:$P$67,0),MATCH(Table1[[#This Row], [WEAPON]],Sheet1!$X$47:$Z$47,0)))/Table1[[#This Row], [NUM OF MEM]]</f>
        <v>6.25</v>
      </c>
      <c r="Q497" s="9">
        <f>Table1[[#This Row], [ROOM TIME]]+Table1[[#This Row], [GUARD TIME]]</f>
        <v>66.139999999999986</v>
      </c>
      <c r="R497" s="4">
        <f>Sheet1!$K$3*_xlfn.XLOOKUP(Table1[[#This Row], [DISGUISE]],Sheet1!$A$21:$A$23,Sheet1!$D$21:$D$23)</f>
        <v>69</v>
      </c>
      <c r="S497" s="9">
        <f>Table1[[#This Row], [TOTAL TIME]]-Table1[[#This Row], [TOTAL TIME TAKEN]]</f>
        <v>2.8600000000000136</v>
      </c>
      <c r="T497" t="str">
        <f>IF(Table1[[#This Row], [TIME DIFFERENCE]]&gt;=0,"PASS","FAIL")</f>
        <v>PASS</v>
      </c>
      <c r="U497" s="9">
        <f>Table1[[#This Row], [TRC]]+Table1[[#This Row], [DRC]]+Table1[[#This Row], [WRC]]+Table1[[#This Row], [ERC]]+Table1[[#This Row], [EQRC]]</f>
        <v>7744683.0999999996</v>
      </c>
      <c r="V497" s="9">
        <f>Table1[[#This Row], [TOTAL COST]]+_xlfn.XLOOKUP(Table1[[#This Row], [TEAM]],Sheet1!$A$12:$A$17,Sheet1!$I$12:$I$17)</f>
        <v>8042163.0999999996</v>
      </c>
      <c r="W497" s="9">
        <f>Table1[[#This Row], [LOOT]]-Table1[[#This Row], [TOTAL COST]]</f>
        <v>9805316.9000000004</v>
      </c>
      <c r="X497" s="9">
        <f>IF(Table1[[#This Row], [PASS/FAIL]]="FAIL",0,Table1[[#This Row], [PROFIT]])</f>
        <v>9805316.9000000004</v>
      </c>
    </row>
    <row r="498" spans="1:24" ht="19.5" customHeight="1" x14ac:dyDescent="0.45">
      <c r="A498" t="s">
        <v>14</v>
      </c>
      <c r="B498" s="14">
        <f>_xlfn.XLOOKUP(Table1[[#This Row], [TEAM]],Sheet1!$A$12:$A$17,Sheet1!$F$12:$F$17)</f>
        <v>2</v>
      </c>
      <c r="C498" s="14">
        <f>_xlfn.XLOOKUP(Table1[[#This Row], [TEAM]],Sheet1!$A$12:$A$17,Sheet1!$G$12:$G$17)</f>
        <v>5949600</v>
      </c>
      <c r="D498" t="s">
        <v>19</v>
      </c>
      <c r="E498" s="4">
        <f>_xlfn.XLOOKUP(Table1[[#This Row], [ROOM]],Sheet1!$A$47:$A$66,Sheet1!$B$47:$B$66)</f>
        <v>135</v>
      </c>
      <c r="F498" t="s">
        <v>58</v>
      </c>
      <c r="G498" s="4">
        <f>_xlfn.XLOOKUP(Table1[[#This Row], [DISGUISE]],Sheet1!$A$21:$A$23,Sheet1!$B$21:$B$23)*Table1[[#This Row], [NUM OF MEM]]*(1+_xlfn.XLOOKUP(Table1[[#This Row], [DISGUISE]],Sheet1!$A$21:$A$23,Sheet1!$C$21:$C$23))</f>
        <v>25600</v>
      </c>
      <c r="H498" s="13" t="s">
        <v>59</v>
      </c>
      <c r="I498" s="4">
        <f>_xlfn.XLOOKUP(Table1[[#This Row], [WEAPON]],Sheet1!$A$27:$A$29,Sheet1!$B$27:$B$29)*Table1[[#This Row], [NUM OF MEM]]*(1+_xlfn.XLOOKUP(Table1[[#This Row], [WEAPON]],Sheet1!$A$27:$A$29,Sheet1!$C$27:$C$29))</f>
        <v>91000</v>
      </c>
      <c r="J498" t="s">
        <v>64</v>
      </c>
      <c r="K498" s="9">
        <f>Table1[[#This Row], [NUM OF MEM]]*Table1[[#This Row], [TOTAL TIME TAKEN]]*_xlfn.XLOOKUP(Table1[[#This Row], [EXIT]],Sheet1!$A$70:$A$71,Sheet1!$B$70:$B$71)*(1+_xlfn.XLOOKUP(Table1[[#This Row], [EXIT]],Sheet1!$A$70:$A$71,Sheet1!$C$70:$C$71))</f>
        <v>1772182.7999999996</v>
      </c>
      <c r="L498" s="13" t="s">
        <v>65</v>
      </c>
      <c r="M498" s="4">
        <f>IF(Table1[[#This Row], [EQUIPMENT]]="YES",Sheet1!$C$44*(1+Sheet1!$D$44),0)</f>
        <v>307500</v>
      </c>
      <c r="N498" s="4">
        <f>_xlfn.XLOOKUP(Table1[[#This Row], [ROOM]],Sheet1!$A$47:$A$66,Sheet1!$F$47:$F$66)</f>
        <v>17950000</v>
      </c>
      <c r="O498" s="9">
        <f>_xlfn.XLOOKUP(_xlfn.CONCAT(Table1[[#This Row], [TEAM]],Table1[[#This Row], [ROOM]]),'ROOM TIME'!$H$2:$H$121,'ROOM TIME'!$J$2:$J$121)</f>
        <v>62.046249999999986</v>
      </c>
      <c r="P498" s="9">
        <f>(INDEX(Sheet1!$X$48:$Z$67,MATCH(Table1[[#This Row], [ROOM]],Sheet1!$P$48:$P$67,0),MATCH(Table1[[#This Row], [WEAPON]],Sheet1!$X$47:$Z$47,0)))/Table1[[#This Row], [NUM OF MEM]]</f>
        <v>6.3249999999999993</v>
      </c>
      <c r="Q498" s="9">
        <f>Table1[[#This Row], [ROOM TIME]]+Table1[[#This Row], [GUARD TIME]]</f>
        <v>68.371249999999989</v>
      </c>
      <c r="R498" s="4">
        <f>Sheet1!$K$3*_xlfn.XLOOKUP(Table1[[#This Row], [DISGUISE]],Sheet1!$A$21:$A$23,Sheet1!$D$21:$D$23)</f>
        <v>69</v>
      </c>
      <c r="S498" s="9">
        <f>Table1[[#This Row], [TOTAL TIME]]-Table1[[#This Row], [TOTAL TIME TAKEN]]</f>
        <v>0.6287500000000108</v>
      </c>
      <c r="T498" t="str">
        <f>IF(Table1[[#This Row], [TIME DIFFERENCE]]&gt;=0,"PASS","FAIL")</f>
        <v>PASS</v>
      </c>
      <c r="U498" s="9">
        <f>Table1[[#This Row], [TRC]]+Table1[[#This Row], [DRC]]+Table1[[#This Row], [WRC]]+Table1[[#This Row], [ERC]]+Table1[[#This Row], [EQRC]]</f>
        <v>8145882.7999999998</v>
      </c>
      <c r="V498" s="9">
        <f>Table1[[#This Row], [TOTAL COST]]+_xlfn.XLOOKUP(Table1[[#This Row], [TEAM]],Sheet1!$A$12:$A$17,Sheet1!$I$12:$I$17)</f>
        <v>8443362.8000000007</v>
      </c>
      <c r="W498" s="9">
        <f>Table1[[#This Row], [LOOT]]-Table1[[#This Row], [TOTAL COST]]</f>
        <v>9804117.1999999993</v>
      </c>
      <c r="X498" s="9">
        <f>IF(Table1[[#This Row], [PASS/FAIL]]="FAIL",0,Table1[[#This Row], [PROFIT]])</f>
        <v>9804117.1999999993</v>
      </c>
    </row>
    <row r="499" spans="1:24" ht="19.5" customHeight="1" x14ac:dyDescent="0.45">
      <c r="A499" t="s">
        <v>13</v>
      </c>
      <c r="B499" s="14">
        <f>_xlfn.XLOOKUP(Table1[[#This Row], [TEAM]],Sheet1!$A$12:$A$17,Sheet1!$F$12:$F$17)</f>
        <v>3</v>
      </c>
      <c r="C499" s="14">
        <f>_xlfn.XLOOKUP(Table1[[#This Row], [TEAM]],Sheet1!$A$12:$A$17,Sheet1!$G$12:$G$17)</f>
        <v>5930000</v>
      </c>
      <c r="D499" t="s">
        <v>18</v>
      </c>
      <c r="E499" s="4">
        <f>_xlfn.XLOOKUP(Table1[[#This Row], [ROOM]],Sheet1!$A$47:$A$66,Sheet1!$B$47:$B$66)</f>
        <v>134</v>
      </c>
      <c r="F499" t="s">
        <v>58</v>
      </c>
      <c r="G499" s="4">
        <f>_xlfn.XLOOKUP(Table1[[#This Row], [DISGUISE]],Sheet1!$A$21:$A$23,Sheet1!$B$21:$B$23)*Table1[[#This Row], [NUM OF MEM]]*(1+_xlfn.XLOOKUP(Table1[[#This Row], [DISGUISE]],Sheet1!$A$21:$A$23,Sheet1!$C$21:$C$23))</f>
        <v>38400</v>
      </c>
      <c r="H499" s="13" t="s">
        <v>59</v>
      </c>
      <c r="I499" s="4">
        <f>_xlfn.XLOOKUP(Table1[[#This Row], [WEAPON]],Sheet1!$A$27:$A$29,Sheet1!$B$27:$B$29)*Table1[[#This Row], [NUM OF MEM]]*(1+_xlfn.XLOOKUP(Table1[[#This Row], [WEAPON]],Sheet1!$A$27:$A$29,Sheet1!$C$27:$C$29))</f>
        <v>136500</v>
      </c>
      <c r="J499" t="s">
        <v>60</v>
      </c>
      <c r="K499" s="9">
        <f>Table1[[#This Row], [NUM OF MEM]]*Table1[[#This Row], [TOTAL TIME TAKEN]]*_xlfn.XLOOKUP(Table1[[#This Row], [EXIT]],Sheet1!$A$70:$A$71,Sheet1!$B$70:$B$71)*(1+_xlfn.XLOOKUP(Table1[[#This Row], [EXIT]],Sheet1!$A$70:$A$71,Sheet1!$C$70:$C$71))</f>
        <v>1833657.3124999995</v>
      </c>
      <c r="L499" s="13" t="s">
        <v>65</v>
      </c>
      <c r="M499" s="4">
        <f>IF(Table1[[#This Row], [EQUIPMENT]]="YES",Sheet1!$C$44*(1+Sheet1!$D$44),0)</f>
        <v>307500</v>
      </c>
      <c r="N499" s="4">
        <f>_xlfn.XLOOKUP(Table1[[#This Row], [ROOM]],Sheet1!$A$47:$A$66,Sheet1!$F$47:$F$66)</f>
        <v>18050000</v>
      </c>
      <c r="O499" s="9">
        <f>_xlfn.XLOOKUP(_xlfn.CONCAT(Table1[[#This Row], [TEAM]],Table1[[#This Row], [ROOM]]),'ROOM TIME'!$H$2:$H$121,'ROOM TIME'!$J$2:$J$121)</f>
        <v>43.030555555555544</v>
      </c>
      <c r="P499" s="9">
        <f>(INDEX(Sheet1!$X$48:$Z$67,MATCH(Table1[[#This Row], [ROOM]],Sheet1!$P$48:$P$67,0),MATCH(Table1[[#This Row], [WEAPON]],Sheet1!$X$47:$Z$47,0)))/Table1[[#This Row], [NUM OF MEM]]</f>
        <v>4.5999999999999996</v>
      </c>
      <c r="Q499" s="9">
        <f>Table1[[#This Row], [ROOM TIME]]+Table1[[#This Row], [GUARD TIME]]</f>
        <v>47.630555555555546</v>
      </c>
      <c r="R499" s="4">
        <f>Sheet1!$K$3*_xlfn.XLOOKUP(Table1[[#This Row], [DISGUISE]],Sheet1!$A$21:$A$23,Sheet1!$D$21:$D$23)</f>
        <v>69</v>
      </c>
      <c r="S499" s="9">
        <f>Table1[[#This Row], [TOTAL TIME]]-Table1[[#This Row], [TOTAL TIME TAKEN]]</f>
        <v>21.369444444444454</v>
      </c>
      <c r="T499" t="str">
        <f>IF(Table1[[#This Row], [TIME DIFFERENCE]]&gt;=0,"PASS","FAIL")</f>
        <v>PASS</v>
      </c>
      <c r="U499" s="9">
        <f>Table1[[#This Row], [TRC]]+Table1[[#This Row], [DRC]]+Table1[[#This Row], [WRC]]+Table1[[#This Row], [ERC]]+Table1[[#This Row], [EQRC]]</f>
        <v>8246057.3125</v>
      </c>
      <c r="V499" s="9">
        <f>Table1[[#This Row], [TOTAL COST]]+_xlfn.XLOOKUP(Table1[[#This Row], [TEAM]],Sheet1!$A$12:$A$17,Sheet1!$I$12:$I$17)</f>
        <v>8542557.3125</v>
      </c>
      <c r="W499" s="9">
        <f>Table1[[#This Row], [LOOT]]-Table1[[#This Row], [TOTAL COST]]</f>
        <v>9803942.6875</v>
      </c>
      <c r="X499" s="9">
        <f>IF(Table1[[#This Row], [PASS/FAIL]]="FAIL",0,Table1[[#This Row], [PROFIT]])</f>
        <v>9803942.6875</v>
      </c>
    </row>
    <row r="500" spans="1:24" ht="19.5" customHeight="1" x14ac:dyDescent="0.45">
      <c r="A500" t="s">
        <v>16</v>
      </c>
      <c r="B500" s="14">
        <f>_xlfn.XLOOKUP(Table1[[#This Row], [TEAM]],Sheet1!$A$12:$A$17,Sheet1!$F$12:$F$17)</f>
        <v>2</v>
      </c>
      <c r="C500" s="14">
        <f>_xlfn.XLOOKUP(Table1[[#This Row], [TEAM]],Sheet1!$A$12:$A$17,Sheet1!$G$12:$G$17)</f>
        <v>6082800</v>
      </c>
      <c r="D500" t="s">
        <v>29</v>
      </c>
      <c r="E500" s="4">
        <f>_xlfn.XLOOKUP(Table1[[#This Row], [ROOM]],Sheet1!$A$47:$A$66,Sheet1!$B$47:$B$66)</f>
        <v>236</v>
      </c>
      <c r="F500" t="s">
        <v>58</v>
      </c>
      <c r="G500" s="4">
        <f>_xlfn.XLOOKUP(Table1[[#This Row], [DISGUISE]],Sheet1!$A$21:$A$23,Sheet1!$B$21:$B$23)*Table1[[#This Row], [NUM OF MEM]]*(1+_xlfn.XLOOKUP(Table1[[#This Row], [DISGUISE]],Sheet1!$A$21:$A$23,Sheet1!$C$21:$C$23))</f>
        <v>25600</v>
      </c>
      <c r="H500" s="13" t="s">
        <v>66</v>
      </c>
      <c r="I500" s="4">
        <f>_xlfn.XLOOKUP(Table1[[#This Row], [WEAPON]],Sheet1!$A$27:$A$29,Sheet1!$B$27:$B$29)*Table1[[#This Row], [NUM OF MEM]]*(1+_xlfn.XLOOKUP(Table1[[#This Row], [WEAPON]],Sheet1!$A$27:$A$29,Sheet1!$C$27:$C$29))</f>
        <v>72000</v>
      </c>
      <c r="J500" t="s">
        <v>60</v>
      </c>
      <c r="K500" s="9">
        <f>Table1[[#This Row], [NUM OF MEM]]*Table1[[#This Row], [TOTAL TIME TAKEN]]*_xlfn.XLOOKUP(Table1[[#This Row], [EXIT]],Sheet1!$A$70:$A$71,Sheet1!$B$70:$B$71)*(1+_xlfn.XLOOKUP(Table1[[#This Row], [EXIT]],Sheet1!$A$70:$A$71,Sheet1!$C$70:$C$71))</f>
        <v>1708871.9437499996</v>
      </c>
      <c r="L500" s="13" t="s">
        <v>65</v>
      </c>
      <c r="M500" s="4">
        <f>IF(Table1[[#This Row], [EQUIPMENT]]="YES",Sheet1!$C$44*(1+Sheet1!$D$44),0)</f>
        <v>307500</v>
      </c>
      <c r="N500" s="4">
        <f>_xlfn.XLOOKUP(Table1[[#This Row], [ROOM]],Sheet1!$A$47:$A$66,Sheet1!$F$47:$F$66)</f>
        <v>18000000</v>
      </c>
      <c r="O500" s="9">
        <f>_xlfn.XLOOKUP(_xlfn.CONCAT(Table1[[#This Row], [TEAM]],Table1[[#This Row], [ROOM]]),'ROOM TIME'!$H$2:$H$121,'ROOM TIME'!$J$2:$J$121)</f>
        <v>58.458749999999981</v>
      </c>
      <c r="P500" s="9">
        <f>(INDEX(Sheet1!$X$48:$Z$67,MATCH(Table1[[#This Row], [ROOM]],Sheet1!$P$48:$P$67,0),MATCH(Table1[[#This Row], [WEAPON]],Sheet1!$X$47:$Z$47,0)))/Table1[[#This Row], [NUM OF MEM]]</f>
        <v>8.125</v>
      </c>
      <c r="Q500" s="9">
        <f>Table1[[#This Row], [ROOM TIME]]+Table1[[#This Row], [GUARD TIME]]</f>
        <v>66.583749999999981</v>
      </c>
      <c r="R500" s="4">
        <f>Sheet1!$K$3*_xlfn.XLOOKUP(Table1[[#This Row], [DISGUISE]],Sheet1!$A$21:$A$23,Sheet1!$D$21:$D$23)</f>
        <v>69</v>
      </c>
      <c r="S500" s="9">
        <f>Table1[[#This Row], [TOTAL TIME]]-Table1[[#This Row], [TOTAL TIME TAKEN]]</f>
        <v>2.4162500000000193</v>
      </c>
      <c r="T500" t="str">
        <f>IF(Table1[[#This Row], [TIME DIFFERENCE]]&gt;=0,"PASS","FAIL")</f>
        <v>PASS</v>
      </c>
      <c r="U500" s="9">
        <f>Table1[[#This Row], [TRC]]+Table1[[#This Row], [DRC]]+Table1[[#This Row], [WRC]]+Table1[[#This Row], [ERC]]+Table1[[#This Row], [EQRC]]</f>
        <v>8196771.9437499996</v>
      </c>
      <c r="V500" s="9">
        <f>Table1[[#This Row], [TOTAL COST]]+_xlfn.XLOOKUP(Table1[[#This Row], [TEAM]],Sheet1!$A$12:$A$17,Sheet1!$I$12:$I$17)</f>
        <v>8500911.9437499996</v>
      </c>
      <c r="W500" s="9">
        <f>Table1[[#This Row], [LOOT]]-Table1[[#This Row], [TOTAL COST]]</f>
        <v>9803228.0562500004</v>
      </c>
      <c r="X500" s="9">
        <f>IF(Table1[[#This Row], [PASS/FAIL]]="FAIL",0,Table1[[#This Row], [PROFIT]])</f>
        <v>9803228.0562500004</v>
      </c>
    </row>
    <row r="501" spans="1:24" ht="19.5" customHeight="1" x14ac:dyDescent="0.45">
      <c r="A501" t="s">
        <v>12</v>
      </c>
      <c r="B501" s="14">
        <f>_xlfn.XLOOKUP(Table1[[#This Row], [TEAM]],Sheet1!$A$12:$A$17,Sheet1!$F$12:$F$17)</f>
        <v>3</v>
      </c>
      <c r="C501" s="14">
        <f>_xlfn.XLOOKUP(Table1[[#This Row], [TEAM]],Sheet1!$A$12:$A$17,Sheet1!$G$12:$G$17)</f>
        <v>5988750</v>
      </c>
      <c r="D501" t="s">
        <v>18</v>
      </c>
      <c r="E501" s="4">
        <f>_xlfn.XLOOKUP(Table1[[#This Row], [ROOM]],Sheet1!$A$47:$A$66,Sheet1!$B$47:$B$66)</f>
        <v>134</v>
      </c>
      <c r="F501" t="s">
        <v>58</v>
      </c>
      <c r="G501" s="4">
        <f>_xlfn.XLOOKUP(Table1[[#This Row], [DISGUISE]],Sheet1!$A$21:$A$23,Sheet1!$B$21:$B$23)*Table1[[#This Row], [NUM OF MEM]]*(1+_xlfn.XLOOKUP(Table1[[#This Row], [DISGUISE]],Sheet1!$A$21:$A$23,Sheet1!$C$21:$C$23))</f>
        <v>38400</v>
      </c>
      <c r="H501" s="13" t="s">
        <v>66</v>
      </c>
      <c r="I501" s="4">
        <f>_xlfn.XLOOKUP(Table1[[#This Row], [WEAPON]],Sheet1!$A$27:$A$29,Sheet1!$B$27:$B$29)*Table1[[#This Row], [NUM OF MEM]]*(1+_xlfn.XLOOKUP(Table1[[#This Row], [WEAPON]],Sheet1!$A$27:$A$29,Sheet1!$C$27:$C$29))</f>
        <v>108000</v>
      </c>
      <c r="J501" t="s">
        <v>64</v>
      </c>
      <c r="K501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1804766.3999999994</v>
      </c>
      <c r="L501" s="13" t="s">
        <v>65</v>
      </c>
      <c r="M501" s="4">
        <f>IF(Table1[[#This Row], [EQUIPMENT]]="YES",Sheet1!$C$44*(1+Sheet1!$D$44),0)</f>
        <v>307500</v>
      </c>
      <c r="N501" s="4">
        <f>_xlfn.XLOOKUP(Table1[[#This Row], [ROOM]],Sheet1!$A$47:$A$66,Sheet1!$F$47:$F$66)</f>
        <v>18050000</v>
      </c>
      <c r="O501" s="9">
        <f>_xlfn.XLOOKUP(_xlfn.CONCAT(Table1[[#This Row], [TEAM]],Table1[[#This Row], [ROOM]]),'ROOM TIME'!$H$2:$H$121,'ROOM TIME'!$J$2:$J$121)</f>
        <v>41.41888888888888</v>
      </c>
      <c r="P501" s="4">
        <f>(INDEX(Sheet1!$X$48:$Z$67,MATCH(Table1[[#This Row], [ROOM]],Sheet1!$P$48:$P$67,0),MATCH(Table1[[#This Row], [WEAPON]],Sheet1!$X$47:$Z$47,0)))/Table1[[#This Row], [NUM OF MEM]]</f>
        <v>5</v>
      </c>
      <c r="Q501" s="9">
        <f>Table1[[#This Row], [ROOM TIME]]+Table1[[#This Row], [GUARD TIME]]</f>
        <v>46.41888888888888</v>
      </c>
      <c r="R501" s="4">
        <f>Sheet1!$K$3*_xlfn.XLOOKUP(Table1[[#This Row], [DISGUISE]],Sheet1!$A$21:$A$23,Sheet1!$D$21:$D$23)</f>
        <v>69</v>
      </c>
      <c r="S501" s="9">
        <f>Table1[[#This Row], [TOTAL TIME]]-Table1[[#This Row], [TOTAL TIME TAKEN]]</f>
        <v>22.58111111111112</v>
      </c>
      <c r="T501" t="str">
        <f>IF(Table1[[#This Row], [TIME DIFFERENCE]]&gt;=0,"PASS","FAIL")</f>
        <v>PASS</v>
      </c>
      <c r="U501" s="9">
        <f>Table1[[#This Row], [TRC]]+Table1[[#This Row], [DRC]]+Table1[[#This Row], [WRC]]+Table1[[#This Row], [ERC]]+Table1[[#This Row], [EQRC]]</f>
        <v>8247416.3999999994</v>
      </c>
      <c r="V501" s="9">
        <f>Table1[[#This Row], [TOTAL COST]]+_xlfn.XLOOKUP(Table1[[#This Row], [TEAM]],Sheet1!$A$12:$A$17,Sheet1!$I$12:$I$17)</f>
        <v>8546853.8999999985</v>
      </c>
      <c r="W501" s="9">
        <f>Table1[[#This Row], [LOOT]]-Table1[[#This Row], [TOTAL COST]]</f>
        <v>9802583.6000000015</v>
      </c>
      <c r="X501" s="9">
        <f>IF(Table1[[#This Row], [PASS/FAIL]]="FAIL",0,Table1[[#This Row], [PROFIT]])</f>
        <v>9802583.6000000015</v>
      </c>
    </row>
    <row r="502" spans="1:24" ht="19.5" customHeight="1" x14ac:dyDescent="0.45">
      <c r="A502" t="s">
        <v>14</v>
      </c>
      <c r="B502" s="14">
        <f>_xlfn.XLOOKUP(Table1[[#This Row], [TEAM]],Sheet1!$A$12:$A$17,Sheet1!$F$12:$F$17)</f>
        <v>2</v>
      </c>
      <c r="C502" s="14">
        <f>_xlfn.XLOOKUP(Table1[[#This Row], [TEAM]],Sheet1!$A$12:$A$17,Sheet1!$G$12:$G$17)</f>
        <v>5949600</v>
      </c>
      <c r="D502" t="s">
        <v>20</v>
      </c>
      <c r="E502" s="4">
        <f>_xlfn.XLOOKUP(Table1[[#This Row], [ROOM]],Sheet1!$A$47:$A$66,Sheet1!$B$47:$B$66)</f>
        <v>145</v>
      </c>
      <c r="F502" t="s">
        <v>58</v>
      </c>
      <c r="G502" s="4">
        <f>_xlfn.XLOOKUP(Table1[[#This Row], [DISGUISE]],Sheet1!$A$21:$A$23,Sheet1!$B$21:$B$23)*Table1[[#This Row], [NUM OF MEM]]*(1+_xlfn.XLOOKUP(Table1[[#This Row], [DISGUISE]],Sheet1!$A$21:$A$23,Sheet1!$C$21:$C$23))</f>
        <v>25600</v>
      </c>
      <c r="H502" s="13" t="s">
        <v>63</v>
      </c>
      <c r="I502" s="4">
        <f>_xlfn.XLOOKUP(Table1[[#This Row], [WEAPON]],Sheet1!$A$27:$A$29,Sheet1!$B$27:$B$29)*Table1[[#This Row], [NUM OF MEM]]*(1+_xlfn.XLOOKUP(Table1[[#This Row], [WEAPON]],Sheet1!$A$27:$A$29,Sheet1!$C$27:$C$29))</f>
        <v>46000</v>
      </c>
      <c r="J502" t="s">
        <v>64</v>
      </c>
      <c r="K502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1727308.7999999996</v>
      </c>
      <c r="L502" s="13" t="s">
        <v>61</v>
      </c>
      <c r="M502" s="4">
        <f>IF(Table1[[#This Row], [EQUIPMENT]]="YES",Sheet1!$C$44*(1+Sheet1!$D$44),0)</f>
        <v>0</v>
      </c>
      <c r="N502" s="4">
        <f>_xlfn.XLOOKUP(Table1[[#This Row], [ROOM]],Sheet1!$A$47:$A$66,Sheet1!$F$47:$F$66)</f>
        <v>17550000</v>
      </c>
      <c r="O502" s="9">
        <f>_xlfn.XLOOKUP(_xlfn.CONCAT(Table1[[#This Row], [TEAM]],Table1[[#This Row], [ROOM]]),'ROOM TIME'!$H$2:$H$121,'ROOM TIME'!$J$2:$J$121)</f>
        <v>59.889999999999986</v>
      </c>
      <c r="P502" s="9">
        <f>(INDEX(Sheet1!$X$48:$Z$67,MATCH(Table1[[#This Row], [ROOM]],Sheet1!$P$48:$P$67,0),MATCH(Table1[[#This Row], [WEAPON]],Sheet1!$X$47:$Z$47,0)))/Table1[[#This Row], [NUM OF MEM]]</f>
        <v>6.75</v>
      </c>
      <c r="Q502" s="9">
        <f>Table1[[#This Row], [ROOM TIME]]+Table1[[#This Row], [GUARD TIME]]</f>
        <v>66.639999999999986</v>
      </c>
      <c r="R502" s="4">
        <f>Sheet1!$K$3*_xlfn.XLOOKUP(Table1[[#This Row], [DISGUISE]],Sheet1!$A$21:$A$23,Sheet1!$D$21:$D$23)</f>
        <v>69</v>
      </c>
      <c r="S502" s="9">
        <f>Table1[[#This Row], [TOTAL TIME]]-Table1[[#This Row], [TOTAL TIME TAKEN]]</f>
        <v>2.3600000000000136</v>
      </c>
      <c r="T502" t="str">
        <f>IF(Table1[[#This Row], [TIME DIFFERENCE]]&gt;=0,"PASS","FAIL")</f>
        <v>PASS</v>
      </c>
      <c r="U502" s="9">
        <f>Table1[[#This Row], [TRC]]+Table1[[#This Row], [DRC]]+Table1[[#This Row], [WRC]]+Table1[[#This Row], [ERC]]+Table1[[#This Row], [EQRC]]</f>
        <v>7748508.7999999998</v>
      </c>
      <c r="V502" s="9">
        <f>Table1[[#This Row], [TOTAL COST]]+_xlfn.XLOOKUP(Table1[[#This Row], [TEAM]],Sheet1!$A$12:$A$17,Sheet1!$I$12:$I$17)</f>
        <v>8045988.7999999998</v>
      </c>
      <c r="W502" s="9">
        <f>Table1[[#This Row], [LOOT]]-Table1[[#This Row], [TOTAL COST]]</f>
        <v>9801491.1999999993</v>
      </c>
      <c r="X502" s="9">
        <f>IF(Table1[[#This Row], [PASS/FAIL]]="FAIL",0,Table1[[#This Row], [PROFIT]])</f>
        <v>9801491.1999999993</v>
      </c>
    </row>
    <row r="503" spans="1:24" ht="19.5" customHeight="1" x14ac:dyDescent="0.45">
      <c r="A503" t="s">
        <v>16</v>
      </c>
      <c r="B503" s="14">
        <f>_xlfn.XLOOKUP(Table1[[#This Row], [TEAM]],Sheet1!$A$12:$A$17,Sheet1!$F$12:$F$17)</f>
        <v>2</v>
      </c>
      <c r="C503" s="14">
        <f>_xlfn.XLOOKUP(Table1[[#This Row], [TEAM]],Sheet1!$A$12:$A$17,Sheet1!$G$12:$G$17)</f>
        <v>6082800</v>
      </c>
      <c r="D503" t="s">
        <v>29</v>
      </c>
      <c r="E503" s="4">
        <f>_xlfn.XLOOKUP(Table1[[#This Row], [ROOM]],Sheet1!$A$47:$A$66,Sheet1!$B$47:$B$66)</f>
        <v>236</v>
      </c>
      <c r="F503" t="s">
        <v>58</v>
      </c>
      <c r="G503" s="4">
        <f>_xlfn.XLOOKUP(Table1[[#This Row], [DISGUISE]],Sheet1!$A$21:$A$23,Sheet1!$B$21:$B$23)*Table1[[#This Row], [NUM OF MEM]]*(1+_xlfn.XLOOKUP(Table1[[#This Row], [DISGUISE]],Sheet1!$A$21:$A$23,Sheet1!$C$21:$C$23))</f>
        <v>25600</v>
      </c>
      <c r="H503" s="13" t="s">
        <v>59</v>
      </c>
      <c r="I503" s="4">
        <f>_xlfn.XLOOKUP(Table1[[#This Row], [WEAPON]],Sheet1!$A$27:$A$29,Sheet1!$B$27:$B$29)*Table1[[#This Row], [NUM OF MEM]]*(1+_xlfn.XLOOKUP(Table1[[#This Row], [WEAPON]],Sheet1!$A$27:$A$29,Sheet1!$C$27:$C$29))</f>
        <v>91000</v>
      </c>
      <c r="J503" t="s">
        <v>60</v>
      </c>
      <c r="K503" s="9">
        <f>Table1[[#This Row], [NUM OF MEM]]*Table1[[#This Row], [TOTAL TIME TAKEN]]*_xlfn.XLOOKUP(Table1[[#This Row], [EXIT]],Sheet1!$A$70:$A$71,Sheet1!$B$70:$B$71)*(1+_xlfn.XLOOKUP(Table1[[#This Row], [EXIT]],Sheet1!$A$70:$A$71,Sheet1!$C$70:$C$71))</f>
        <v>1692189.6937499992</v>
      </c>
      <c r="L503" s="13" t="s">
        <v>65</v>
      </c>
      <c r="M503" s="4">
        <f>IF(Table1[[#This Row], [EQUIPMENT]]="YES",Sheet1!$C$44*(1+Sheet1!$D$44),0)</f>
        <v>307500</v>
      </c>
      <c r="N503" s="4">
        <f>_xlfn.XLOOKUP(Table1[[#This Row], [ROOM]],Sheet1!$A$47:$A$66,Sheet1!$F$47:$F$66)</f>
        <v>18000000</v>
      </c>
      <c r="O503" s="9">
        <f>_xlfn.XLOOKUP(_xlfn.CONCAT(Table1[[#This Row], [TEAM]],Table1[[#This Row], [ROOM]]),'ROOM TIME'!$H$2:$H$121,'ROOM TIME'!$J$2:$J$121)</f>
        <v>58.458749999999981</v>
      </c>
      <c r="P503" s="9">
        <f>(INDEX(Sheet1!$X$48:$Z$67,MATCH(Table1[[#This Row], [ROOM]],Sheet1!$P$48:$P$67,0),MATCH(Table1[[#This Row], [WEAPON]],Sheet1!$X$47:$Z$47,0)))/Table1[[#This Row], [NUM OF MEM]]</f>
        <v>7.4749999999999996</v>
      </c>
      <c r="Q503" s="9">
        <f>Table1[[#This Row], [ROOM TIME]]+Table1[[#This Row], [GUARD TIME]]</f>
        <v>65.933749999999975</v>
      </c>
      <c r="R503" s="4">
        <f>Sheet1!$K$3*_xlfn.XLOOKUP(Table1[[#This Row], [DISGUISE]],Sheet1!$A$21:$A$23,Sheet1!$D$21:$D$23)</f>
        <v>69</v>
      </c>
      <c r="S503" s="9">
        <f>Table1[[#This Row], [TOTAL TIME]]-Table1[[#This Row], [TOTAL TIME TAKEN]]</f>
        <v>3.066250000000025</v>
      </c>
      <c r="T503" t="str">
        <f>IF(Table1[[#This Row], [TIME DIFFERENCE]]&gt;=0,"PASS","FAIL")</f>
        <v>PASS</v>
      </c>
      <c r="U503" s="9">
        <f>Table1[[#This Row], [TRC]]+Table1[[#This Row], [DRC]]+Table1[[#This Row], [WRC]]+Table1[[#This Row], [ERC]]+Table1[[#This Row], [EQRC]]</f>
        <v>8199089.6937499996</v>
      </c>
      <c r="V503" s="9">
        <f>Table1[[#This Row], [TOTAL COST]]+_xlfn.XLOOKUP(Table1[[#This Row], [TEAM]],Sheet1!$A$12:$A$17,Sheet1!$I$12:$I$17)</f>
        <v>8503229.6937499996</v>
      </c>
      <c r="W503" s="9">
        <f>Table1[[#This Row], [LOOT]]-Table1[[#This Row], [TOTAL COST]]</f>
        <v>9800910.3062500004</v>
      </c>
      <c r="X503" s="9">
        <f>IF(Table1[[#This Row], [PASS/FAIL]]="FAIL",0,Table1[[#This Row], [PROFIT]])</f>
        <v>9800910.3062500004</v>
      </c>
    </row>
    <row r="504" spans="1:24" ht="19.5" customHeight="1" x14ac:dyDescent="0.45">
      <c r="A504" t="s">
        <v>9</v>
      </c>
      <c r="B504" s="14">
        <f>_xlfn.XLOOKUP(Table1[[#This Row], [TEAM]],Sheet1!$A$12:$A$17,Sheet1!$F$12:$F$17)</f>
        <v>3</v>
      </c>
      <c r="C504" s="14">
        <f>_xlfn.XLOOKUP(Table1[[#This Row], [TEAM]],Sheet1!$A$12:$A$17,Sheet1!$G$12:$G$17)</f>
        <v>6238750</v>
      </c>
      <c r="D504" t="s">
        <v>21</v>
      </c>
      <c r="E504" s="4">
        <f>_xlfn.XLOOKUP(Table1[[#This Row], [ROOM]],Sheet1!$A$47:$A$66,Sheet1!$B$47:$B$66)</f>
        <v>234</v>
      </c>
      <c r="F504" t="s">
        <v>62</v>
      </c>
      <c r="G504" s="4">
        <f>_xlfn.XLOOKUP(Table1[[#This Row], [DISGUISE]],Sheet1!$A$21:$A$23,Sheet1!$B$21:$B$23)*Table1[[#This Row], [NUM OF MEM]]*(1+_xlfn.XLOOKUP(Table1[[#This Row], [DISGUISE]],Sheet1!$A$21:$A$23,Sheet1!$C$21:$C$23))</f>
        <v>15600</v>
      </c>
      <c r="H504" s="13" t="s">
        <v>66</v>
      </c>
      <c r="I504" s="4">
        <f>_xlfn.XLOOKUP(Table1[[#This Row], [WEAPON]],Sheet1!$A$27:$A$29,Sheet1!$B$27:$B$29)*Table1[[#This Row], [NUM OF MEM]]*(1+_xlfn.XLOOKUP(Table1[[#This Row], [WEAPON]],Sheet1!$A$27:$A$29,Sheet1!$C$27:$C$29))</f>
        <v>108000</v>
      </c>
      <c r="J504" t="s">
        <v>60</v>
      </c>
      <c r="K504" s="9">
        <f>Table1[[#This Row], [NUM OF MEM]]*Table1[[#This Row], [TOTAL TIME TAKEN]]*_xlfn.XLOOKUP(Table1[[#This Row], [EXIT]],Sheet1!$A$70:$A$71,Sheet1!$B$70:$B$71)*(1+_xlfn.XLOOKUP(Table1[[#This Row], [EXIT]],Sheet1!$A$70:$A$71,Sheet1!$C$70:$C$71))</f>
        <v>1736836.0999999996</v>
      </c>
      <c r="L504" s="13" t="s">
        <v>61</v>
      </c>
      <c r="M504" s="4">
        <f>IF(Table1[[#This Row], [EQUIPMENT]]="YES",Sheet1!$C$44*(1+Sheet1!$D$44),0)</f>
        <v>0</v>
      </c>
      <c r="N504" s="4">
        <f>_xlfn.XLOOKUP(Table1[[#This Row], [ROOM]],Sheet1!$A$47:$A$66,Sheet1!$F$47:$F$66)</f>
        <v>17900000</v>
      </c>
      <c r="O504" s="9">
        <f>_xlfn.XLOOKUP(_xlfn.CONCAT(Table1[[#This Row], [TEAM]],Table1[[#This Row], [ROOM]]),'ROOM TIME'!$H$2:$H$121,'ROOM TIME'!$J$2:$J$121)</f>
        <v>39.698888888888881</v>
      </c>
      <c r="P504" s="9">
        <f>(INDEX(Sheet1!$X$48:$Z$67,MATCH(Table1[[#This Row], [ROOM]],Sheet1!$P$48:$P$67,0),MATCH(Table1[[#This Row], [WEAPON]],Sheet1!$X$47:$Z$47,0)))/Table1[[#This Row], [NUM OF MEM]]</f>
        <v>5.416666666666667</v>
      </c>
      <c r="Q504" s="9">
        <f>Table1[[#This Row], [ROOM TIME]]+Table1[[#This Row], [GUARD TIME]]</f>
        <v>45.115555555555545</v>
      </c>
      <c r="R504" s="4">
        <f>Sheet1!$K$3*_xlfn.XLOOKUP(Table1[[#This Row], [DISGUISE]],Sheet1!$A$21:$A$23,Sheet1!$D$21:$D$23)</f>
        <v>66</v>
      </c>
      <c r="S504" s="9">
        <f>Table1[[#This Row], [TOTAL TIME]]-Table1[[#This Row], [TOTAL TIME TAKEN]]</f>
        <v>20.884444444444455</v>
      </c>
      <c r="T504" t="str">
        <f>IF(Table1[[#This Row], [TIME DIFFERENCE]]&gt;=0,"PASS","FAIL")</f>
        <v>PASS</v>
      </c>
      <c r="U504" s="9">
        <f>Table1[[#This Row], [TRC]]+Table1[[#This Row], [DRC]]+Table1[[#This Row], [WRC]]+Table1[[#This Row], [ERC]]+Table1[[#This Row], [EQRC]]</f>
        <v>8099186.0999999996</v>
      </c>
      <c r="V504" s="9">
        <f>Table1[[#This Row], [TOTAL COST]]+_xlfn.XLOOKUP(Table1[[#This Row], [TEAM]],Sheet1!$A$12:$A$17,Sheet1!$I$12:$I$17)</f>
        <v>8411123.5999999996</v>
      </c>
      <c r="W504" s="9">
        <f>Table1[[#This Row], [LOOT]]-Table1[[#This Row], [TOTAL COST]]</f>
        <v>9800813.9000000004</v>
      </c>
      <c r="X504" s="9">
        <f>IF(Table1[[#This Row], [PASS/FAIL]]="FAIL",0,Table1[[#This Row], [PROFIT]])</f>
        <v>9800813.9000000004</v>
      </c>
    </row>
    <row r="505" spans="1:24" ht="19.5" customHeight="1" x14ac:dyDescent="0.45">
      <c r="A505" t="s">
        <v>9</v>
      </c>
      <c r="B505" s="14">
        <f>_xlfn.XLOOKUP(Table1[[#This Row], [TEAM]],Sheet1!$A$12:$A$17,Sheet1!$F$12:$F$17)</f>
        <v>3</v>
      </c>
      <c r="C505" s="14">
        <f>_xlfn.XLOOKUP(Table1[[#This Row], [TEAM]],Sheet1!$A$12:$A$17,Sheet1!$G$12:$G$17)</f>
        <v>6238750</v>
      </c>
      <c r="D505" t="s">
        <v>21</v>
      </c>
      <c r="E505" s="4">
        <f>_xlfn.XLOOKUP(Table1[[#This Row], [ROOM]],Sheet1!$A$47:$A$66,Sheet1!$B$47:$B$66)</f>
        <v>234</v>
      </c>
      <c r="F505" t="s">
        <v>58</v>
      </c>
      <c r="G505" s="4">
        <f>_xlfn.XLOOKUP(Table1[[#This Row], [DISGUISE]],Sheet1!$A$21:$A$23,Sheet1!$B$21:$B$23)*Table1[[#This Row], [NUM OF MEM]]*(1+_xlfn.XLOOKUP(Table1[[#This Row], [DISGUISE]],Sheet1!$A$21:$A$23,Sheet1!$C$21:$C$23))</f>
        <v>38400</v>
      </c>
      <c r="H505" s="13" t="s">
        <v>63</v>
      </c>
      <c r="I505" s="4">
        <f>_xlfn.XLOOKUP(Table1[[#This Row], [WEAPON]],Sheet1!$A$27:$A$29,Sheet1!$B$27:$B$29)*Table1[[#This Row], [NUM OF MEM]]*(1+_xlfn.XLOOKUP(Table1[[#This Row], [WEAPON]],Sheet1!$A$27:$A$29,Sheet1!$C$27:$C$29))</f>
        <v>69000</v>
      </c>
      <c r="J505" t="s">
        <v>60</v>
      </c>
      <c r="K505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1753518.3499999996</v>
      </c>
      <c r="L505" s="13" t="s">
        <v>61</v>
      </c>
      <c r="M505" s="4">
        <f>IF(Table1[[#This Row], [EQUIPMENT]]="YES",Sheet1!$C$44*(1+Sheet1!$D$44),0)</f>
        <v>0</v>
      </c>
      <c r="N505" s="4">
        <f>_xlfn.XLOOKUP(Table1[[#This Row], [ROOM]],Sheet1!$A$47:$A$66,Sheet1!$F$47:$F$66)</f>
        <v>17900000</v>
      </c>
      <c r="O505" s="9">
        <f>_xlfn.XLOOKUP(_xlfn.CONCAT(Table1[[#This Row], [TEAM]],Table1[[#This Row], [ROOM]]),'ROOM TIME'!$H$2:$H$121,'ROOM TIME'!$J$2:$J$121)</f>
        <v>39.698888888888881</v>
      </c>
      <c r="P505" s="9">
        <f>(INDEX(Sheet1!$X$48:$Z$67,MATCH(Table1[[#This Row], [ROOM]],Sheet1!$P$48:$P$67,0),MATCH(Table1[[#This Row], [WEAPON]],Sheet1!$X$47:$Z$47,0)))/Table1[[#This Row], [NUM OF MEM]]</f>
        <v>5.8500000000000005</v>
      </c>
      <c r="Q505" s="9">
        <f>Table1[[#This Row], [ROOM TIME]]+Table1[[#This Row], [GUARD TIME]]</f>
        <v>45.548888888888882</v>
      </c>
      <c r="R505" s="4">
        <f>Sheet1!$K$3*_xlfn.XLOOKUP(Table1[[#This Row], [DISGUISE]],Sheet1!$A$21:$A$23,Sheet1!$D$21:$D$23)</f>
        <v>69</v>
      </c>
      <c r="S505" s="9">
        <f>Table1[[#This Row], [TOTAL TIME]]-Table1[[#This Row], [TOTAL TIME TAKEN]]</f>
        <v>23.451111111111118</v>
      </c>
      <c r="T505" t="str">
        <f>IF(Table1[[#This Row], [TIME DIFFERENCE]]&gt;=0,"PASS","FAIL")</f>
        <v>PASS</v>
      </c>
      <c r="U505" s="9">
        <f>Table1[[#This Row], [TRC]]+Table1[[#This Row], [DRC]]+Table1[[#This Row], [WRC]]+Table1[[#This Row], [ERC]]+Table1[[#This Row], [EQRC]]</f>
        <v>8099668.3499999996</v>
      </c>
      <c r="V505" s="9">
        <f>Table1[[#This Row], [TOTAL COST]]+_xlfn.XLOOKUP(Table1[[#This Row], [TEAM]],Sheet1!$A$12:$A$17,Sheet1!$I$12:$I$17)</f>
        <v>8411605.8499999996</v>
      </c>
      <c r="W505" s="9">
        <f>Table1[[#This Row], [LOOT]]-Table1[[#This Row], [TOTAL COST]]</f>
        <v>9800331.6500000004</v>
      </c>
      <c r="X505" s="9">
        <f>IF(Table1[[#This Row], [PASS/FAIL]]="FAIL",0,Table1[[#This Row], [PROFIT]])</f>
        <v>9800331.6500000004</v>
      </c>
    </row>
    <row r="506" spans="1:24" ht="19.5" customHeight="1" x14ac:dyDescent="0.45">
      <c r="A506" t="s">
        <v>15</v>
      </c>
      <c r="B506" s="14">
        <f>_xlfn.XLOOKUP(Table1[[#This Row], [TEAM]],Sheet1!$A$12:$A$17,Sheet1!$F$12:$F$17)</f>
        <v>2</v>
      </c>
      <c r="C506" s="14">
        <f>_xlfn.XLOOKUP(Table1[[#This Row], [TEAM]],Sheet1!$A$12:$A$17,Sheet1!$G$12:$G$17)</f>
        <v>5932950</v>
      </c>
      <c r="D506" t="s">
        <v>27</v>
      </c>
      <c r="E506" s="4">
        <f>_xlfn.XLOOKUP(Table1[[#This Row], [ROOM]],Sheet1!$A$47:$A$66,Sheet1!$B$47:$B$66)</f>
        <v>146</v>
      </c>
      <c r="F506" t="s">
        <v>62</v>
      </c>
      <c r="G506" s="4">
        <f>_xlfn.XLOOKUP(Table1[[#This Row], [DISGUISE]],Sheet1!$A$21:$A$23,Sheet1!$B$21:$B$23)*Table1[[#This Row], [NUM OF MEM]]*(1+_xlfn.XLOOKUP(Table1[[#This Row], [DISGUISE]],Sheet1!$A$21:$A$23,Sheet1!$C$21:$C$23))</f>
        <v>10400</v>
      </c>
      <c r="H506" s="13" t="s">
        <v>66</v>
      </c>
      <c r="I506" s="4">
        <f>_xlfn.XLOOKUP(Table1[[#This Row], [WEAPON]],Sheet1!$A$27:$A$29,Sheet1!$B$27:$B$29)*Table1[[#This Row], [NUM OF MEM]]*(1+_xlfn.XLOOKUP(Table1[[#This Row], [WEAPON]],Sheet1!$A$27:$A$29,Sheet1!$C$27:$C$29))</f>
        <v>72000</v>
      </c>
      <c r="J506" t="s">
        <v>60</v>
      </c>
      <c r="K506" s="9">
        <f>Table1[[#This Row], [NUM OF MEM]]*Table1[[#This Row], [TOTAL TIME TAKEN]]*_xlfn.XLOOKUP(Table1[[#This Row], [EXIT]],Sheet1!$A$70:$A$71,Sheet1!$B$70:$B$71)*(1+_xlfn.XLOOKUP(Table1[[#This Row], [EXIT]],Sheet1!$A$70:$A$71,Sheet1!$C$70:$C$71))</f>
        <v>1626936.4312499997</v>
      </c>
      <c r="L506" s="13" t="s">
        <v>65</v>
      </c>
      <c r="M506" s="4">
        <f>IF(Table1[[#This Row], [EQUIPMENT]]="YES",Sheet1!$C$44*(1+Sheet1!$D$44),0)</f>
        <v>307500</v>
      </c>
      <c r="N506" s="4">
        <f>_xlfn.XLOOKUP(Table1[[#This Row], [ROOM]],Sheet1!$A$47:$A$66,Sheet1!$F$47:$F$66)</f>
        <v>17750000</v>
      </c>
      <c r="O506" s="9">
        <f>_xlfn.XLOOKUP(_xlfn.CONCAT(Table1[[#This Row], [TEAM]],Table1[[#This Row], [ROOM]]),'ROOM TIME'!$H$2:$H$121,'ROOM TIME'!$J$2:$J$121)</f>
        <v>56.516249999999985</v>
      </c>
      <c r="P506" s="9">
        <f>(INDEX(Sheet1!$X$48:$Z$67,MATCH(Table1[[#This Row], [ROOM]],Sheet1!$P$48:$P$67,0),MATCH(Table1[[#This Row], [WEAPON]],Sheet1!$X$47:$Z$47,0)))/Table1[[#This Row], [NUM OF MEM]]</f>
        <v>6.875</v>
      </c>
      <c r="Q506" s="9">
        <f>Table1[[#This Row], [ROOM TIME]]+Table1[[#This Row], [GUARD TIME]]</f>
        <v>63.391249999999985</v>
      </c>
      <c r="R506" s="4">
        <f>Sheet1!$K$3*_xlfn.XLOOKUP(Table1[[#This Row], [DISGUISE]],Sheet1!$A$21:$A$23,Sheet1!$D$21:$D$23)</f>
        <v>66</v>
      </c>
      <c r="S506" s="9">
        <f>Table1[[#This Row], [TOTAL TIME]]-Table1[[#This Row], [TOTAL TIME TAKEN]]</f>
        <v>2.6087500000000148</v>
      </c>
      <c r="T506" t="str">
        <f>IF(Table1[[#This Row], [TIME DIFFERENCE]]&gt;=0,"PASS","FAIL")</f>
        <v>PASS</v>
      </c>
      <c r="U506" s="9">
        <f>Table1[[#This Row], [TRC]]+Table1[[#This Row], [DRC]]+Table1[[#This Row], [WRC]]+Table1[[#This Row], [ERC]]+Table1[[#This Row], [EQRC]]</f>
        <v>7949786.4312499994</v>
      </c>
      <c r="V506" s="9">
        <f>Table1[[#This Row], [TOTAL COST]]+_xlfn.XLOOKUP(Table1[[#This Row], [TEAM]],Sheet1!$A$12:$A$17,Sheet1!$I$12:$I$17)</f>
        <v>8246433.9312499994</v>
      </c>
      <c r="W506" s="9">
        <f>Table1[[#This Row], [LOOT]]-Table1[[#This Row], [TOTAL COST]]</f>
        <v>9800213.5687500015</v>
      </c>
      <c r="X506" s="9">
        <f>IF(Table1[[#This Row], [PASS/FAIL]]="FAIL",0,Table1[[#This Row], [PROFIT]])</f>
        <v>9800213.5687500015</v>
      </c>
    </row>
    <row r="507" spans="1:24" ht="19.5" customHeight="1" x14ac:dyDescent="0.45">
      <c r="A507" t="s">
        <v>16</v>
      </c>
      <c r="B507" s="14">
        <f>_xlfn.XLOOKUP(Table1[[#This Row], [TEAM]],Sheet1!$A$12:$A$17,Sheet1!$F$12:$F$17)</f>
        <v>2</v>
      </c>
      <c r="C507" s="14">
        <f>_xlfn.XLOOKUP(Table1[[#This Row], [TEAM]],Sheet1!$A$12:$A$17,Sheet1!$G$12:$G$17)</f>
        <v>6082800</v>
      </c>
      <c r="D507" t="s">
        <v>29</v>
      </c>
      <c r="E507" s="4">
        <f>_xlfn.XLOOKUP(Table1[[#This Row], [ROOM]],Sheet1!$A$47:$A$66,Sheet1!$B$47:$B$66)</f>
        <v>236</v>
      </c>
      <c r="F507" t="s">
        <v>62</v>
      </c>
      <c r="G507" s="4">
        <f>_xlfn.XLOOKUP(Table1[[#This Row], [DISGUISE]],Sheet1!$A$21:$A$23,Sheet1!$B$21:$B$23)*Table1[[#This Row], [NUM OF MEM]]*(1+_xlfn.XLOOKUP(Table1[[#This Row], [DISGUISE]],Sheet1!$A$21:$A$23,Sheet1!$C$21:$C$23))</f>
        <v>10400</v>
      </c>
      <c r="H507" s="13" t="s">
        <v>59</v>
      </c>
      <c r="I507" s="4">
        <f>_xlfn.XLOOKUP(Table1[[#This Row], [WEAPON]],Sheet1!$A$27:$A$29,Sheet1!$B$27:$B$29)*Table1[[#This Row], [NUM OF MEM]]*(1+_xlfn.XLOOKUP(Table1[[#This Row], [WEAPON]],Sheet1!$A$27:$A$29,Sheet1!$C$27:$C$29))</f>
        <v>91000</v>
      </c>
      <c r="J507" t="s">
        <v>64</v>
      </c>
      <c r="K507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1709002.7999999993</v>
      </c>
      <c r="L507" s="13" t="s">
        <v>65</v>
      </c>
      <c r="M507" s="4">
        <f>IF(Table1[[#This Row], [EQUIPMENT]]="YES",Sheet1!$C$44*(1+Sheet1!$D$44),0)</f>
        <v>307500</v>
      </c>
      <c r="N507" s="4">
        <f>_xlfn.XLOOKUP(Table1[[#This Row], [ROOM]],Sheet1!$A$47:$A$66,Sheet1!$F$47:$F$66)</f>
        <v>18000000</v>
      </c>
      <c r="O507" s="9">
        <f>_xlfn.XLOOKUP(_xlfn.CONCAT(Table1[[#This Row], [TEAM]],Table1[[#This Row], [ROOM]]),'ROOM TIME'!$H$2:$H$121,'ROOM TIME'!$J$2:$J$121)</f>
        <v>58.458749999999981</v>
      </c>
      <c r="P507" s="9">
        <f>(INDEX(Sheet1!$X$48:$Z$67,MATCH(Table1[[#This Row], [ROOM]],Sheet1!$P$48:$P$67,0),MATCH(Table1[[#This Row], [WEAPON]],Sheet1!$X$47:$Z$47,0)))/Table1[[#This Row], [NUM OF MEM]]</f>
        <v>7.4749999999999996</v>
      </c>
      <c r="Q507" s="9">
        <f>Table1[[#This Row], [ROOM TIME]]+Table1[[#This Row], [GUARD TIME]]</f>
        <v>65.933749999999975</v>
      </c>
      <c r="R507" s="4">
        <f>Sheet1!$K$3*_xlfn.XLOOKUP(Table1[[#This Row], [DISGUISE]],Sheet1!$A$21:$A$23,Sheet1!$D$21:$D$23)</f>
        <v>66</v>
      </c>
      <c r="S507" s="9">
        <f>Table1[[#This Row], [TOTAL TIME]]-Table1[[#This Row], [TOTAL TIME TAKEN]]</f>
        <v>6.6250000000025011E-2</v>
      </c>
      <c r="T507" t="str">
        <f>IF(Table1[[#This Row], [TIME DIFFERENCE]]&gt;=0,"PASS","FAIL")</f>
        <v>PASS</v>
      </c>
      <c r="U507" s="9">
        <f>Table1[[#This Row], [TRC]]+Table1[[#This Row], [DRC]]+Table1[[#This Row], [WRC]]+Table1[[#This Row], [ERC]]+Table1[[#This Row], [EQRC]]</f>
        <v>8200702.7999999989</v>
      </c>
      <c r="V507" s="9">
        <f>Table1[[#This Row], [TOTAL COST]]+_xlfn.XLOOKUP(Table1[[#This Row], [TEAM]],Sheet1!$A$12:$A$17,Sheet1!$I$12:$I$17)</f>
        <v>8504842.7999999989</v>
      </c>
      <c r="W507" s="9">
        <f>Table1[[#This Row], [LOOT]]-Table1[[#This Row], [TOTAL COST]]</f>
        <v>9799297.2000000011</v>
      </c>
      <c r="X507" s="9">
        <f>IF(Table1[[#This Row], [PASS/FAIL]]="FAIL",0,Table1[[#This Row], [PROFIT]])</f>
        <v>9799297.2000000011</v>
      </c>
    </row>
    <row r="508" spans="1:24" ht="19.5" customHeight="1" x14ac:dyDescent="0.45">
      <c r="A508" t="s">
        <v>14</v>
      </c>
      <c r="B508" s="14">
        <f>_xlfn.XLOOKUP(Table1[[#This Row], [TEAM]],Sheet1!$A$12:$A$17,Sheet1!$F$12:$F$17)</f>
        <v>2</v>
      </c>
      <c r="C508" s="14">
        <f>_xlfn.XLOOKUP(Table1[[#This Row], [TEAM]],Sheet1!$A$12:$A$17,Sheet1!$G$12:$G$17)</f>
        <v>5949600</v>
      </c>
      <c r="D508" t="s">
        <v>20</v>
      </c>
      <c r="E508" s="4">
        <f>_xlfn.XLOOKUP(Table1[[#This Row], [ROOM]],Sheet1!$A$47:$A$66,Sheet1!$B$47:$B$66)</f>
        <v>145</v>
      </c>
      <c r="F508" t="s">
        <v>58</v>
      </c>
      <c r="G508" s="4">
        <f>_xlfn.XLOOKUP(Table1[[#This Row], [DISGUISE]],Sheet1!$A$21:$A$23,Sheet1!$B$21:$B$23)*Table1[[#This Row], [NUM OF MEM]]*(1+_xlfn.XLOOKUP(Table1[[#This Row], [DISGUISE]],Sheet1!$A$21:$A$23,Sheet1!$C$21:$C$23))</f>
        <v>25600</v>
      </c>
      <c r="H508" s="13" t="s">
        <v>59</v>
      </c>
      <c r="I508" s="4">
        <f>_xlfn.XLOOKUP(Table1[[#This Row], [WEAPON]],Sheet1!$A$27:$A$29,Sheet1!$B$27:$B$29)*Table1[[#This Row], [NUM OF MEM]]*(1+_xlfn.XLOOKUP(Table1[[#This Row], [WEAPON]],Sheet1!$A$27:$A$29,Sheet1!$C$27:$C$29))</f>
        <v>91000</v>
      </c>
      <c r="J508" t="s">
        <v>60</v>
      </c>
      <c r="K508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508" s="13" t="s">
        <v>61</v>
      </c>
      <c r="M508" s="4">
        <f>IF(Table1[[#This Row], [EQUIPMENT]]="YES",Sheet1!$C$44*(1+Sheet1!$D$44),0)</f>
        <v>0</v>
      </c>
      <c r="N508" s="4">
        <f>_xlfn.XLOOKUP(Table1[[#This Row], [ROOM]],Sheet1!$A$47:$A$66,Sheet1!$F$47:$F$66)</f>
        <v>17550000</v>
      </c>
      <c r="O508" s="9">
        <f>_xlfn.XLOOKUP(_xlfn.CONCAT(Table1[[#This Row], [TEAM]],Table1[[#This Row], [ROOM]]),'ROOM TIME'!$H$2:$H$121,'ROOM TIME'!$J$2:$J$121)</f>
        <v>59.889999999999986</v>
      </c>
      <c r="P508" s="9">
        <f>(INDEX(Sheet1!$X$48:$Z$67,MATCH(Table1[[#This Row], [ROOM]],Sheet1!$P$48:$P$67,0),MATCH(Table1[[#This Row], [WEAPON]],Sheet1!$X$47:$Z$47,0)))/Table1[[#This Row], [NUM OF MEM]]</f>
        <v>5.75</v>
      </c>
      <c r="Q508" s="9">
        <f>Table1[[#This Row], [ROOM TIME]]+Table1[[#This Row], [GUARD TIME]]</f>
        <v>65.639999999999986</v>
      </c>
      <c r="R508" s="4">
        <f>Sheet1!$K$3*_xlfn.XLOOKUP(Table1[[#This Row], [DISGUISE]],Sheet1!$A$21:$A$23,Sheet1!$D$21:$D$23)</f>
        <v>69</v>
      </c>
      <c r="S508" s="9">
        <f>Table1[[#This Row], [TOTAL TIME]]-Table1[[#This Row], [TOTAL TIME TAKEN]]</f>
        <v>3.3600000000000136</v>
      </c>
      <c r="T508" t="str">
        <f>IF(Table1[[#This Row], [TIME DIFFERENCE]]&gt;=0,"PASS","FAIL")</f>
        <v>PASS</v>
      </c>
      <c r="U508" s="9">
        <f>Table1[[#This Row], [TRC]]+Table1[[#This Row], [DRC]]+Table1[[#This Row], [WRC]]+Table1[[#This Row], [ERC]]+Table1[[#This Row], [EQRC]]</f>
        <v>7750850.5999999996</v>
      </c>
      <c r="V508" s="9">
        <f>Table1[[#This Row], [TOTAL COST]]+_xlfn.XLOOKUP(Table1[[#This Row], [TEAM]],Sheet1!$A$12:$A$17,Sheet1!$I$12:$I$17)</f>
        <v>8048330.5999999996</v>
      </c>
      <c r="W508" s="9">
        <f>Table1[[#This Row], [LOOT]]-Table1[[#This Row], [TOTAL COST]]</f>
        <v>9799149.4000000004</v>
      </c>
      <c r="X508" s="9">
        <f>IF(Table1[[#This Row], [PASS/FAIL]]="FAIL",0,Table1[[#This Row], [PROFIT]])</f>
        <v>9799149.4000000004</v>
      </c>
    </row>
    <row r="509" spans="1:24" ht="19.5" customHeight="1" x14ac:dyDescent="0.45">
      <c r="A509" t="s">
        <v>12</v>
      </c>
      <c r="B509" s="14">
        <f>_xlfn.XLOOKUP(Table1[[#This Row], [TEAM]],Sheet1!$A$12:$A$17,Sheet1!$F$12:$F$17)</f>
        <v>3</v>
      </c>
      <c r="C509" s="14">
        <f>_xlfn.XLOOKUP(Table1[[#This Row], [TEAM]],Sheet1!$A$12:$A$17,Sheet1!$G$12:$G$17)</f>
        <v>5988750</v>
      </c>
      <c r="D509" t="s">
        <v>24</v>
      </c>
      <c r="E509" s="4">
        <f>_xlfn.XLOOKUP(Table1[[#This Row], [ROOM]],Sheet1!$A$47:$A$66,Sheet1!$B$47:$B$66)</f>
        <v>345</v>
      </c>
      <c r="F509" t="s">
        <v>62</v>
      </c>
      <c r="G509" s="4">
        <f>_xlfn.XLOOKUP(Table1[[#This Row], [DISGUISE]],Sheet1!$A$21:$A$23,Sheet1!$B$21:$B$23)*Table1[[#This Row], [NUM OF MEM]]*(1+_xlfn.XLOOKUP(Table1[[#This Row], [DISGUISE]],Sheet1!$A$21:$A$23,Sheet1!$C$21:$C$23))</f>
        <v>15600</v>
      </c>
      <c r="H509" s="13" t="s">
        <v>59</v>
      </c>
      <c r="I509" s="4">
        <f>_xlfn.XLOOKUP(Table1[[#This Row], [WEAPON]],Sheet1!$A$27:$A$29,Sheet1!$B$27:$B$29)*Table1[[#This Row], [NUM OF MEM]]*(1+_xlfn.XLOOKUP(Table1[[#This Row], [WEAPON]],Sheet1!$A$27:$A$29,Sheet1!$C$27:$C$29))</f>
        <v>136500</v>
      </c>
      <c r="J509" t="s">
        <v>60</v>
      </c>
      <c r="K509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1752833.9499999997</v>
      </c>
      <c r="L509" s="13" t="s">
        <v>65</v>
      </c>
      <c r="M509" s="4">
        <f>IF(Table1[[#This Row], [EQUIPMENT]]="YES",Sheet1!$C$44*(1+Sheet1!$D$44),0)</f>
        <v>307500</v>
      </c>
      <c r="N509" s="4">
        <f>_xlfn.XLOOKUP(Table1[[#This Row], [ROOM]],Sheet1!$A$47:$A$66,Sheet1!$F$47:$F$66)</f>
        <v>18000000</v>
      </c>
      <c r="O509" s="9">
        <f>_xlfn.XLOOKUP(_xlfn.CONCAT(Table1[[#This Row], [TEAM]],Table1[[#This Row], [ROOM]]),'ROOM TIME'!$H$2:$H$121,'ROOM TIME'!$J$2:$J$121)</f>
        <v>40.9311111111111</v>
      </c>
      <c r="P509" s="9">
        <f>(INDEX(Sheet1!$X$48:$Z$67,MATCH(Table1[[#This Row], [ROOM]],Sheet1!$P$48:$P$67,0),MATCH(Table1[[#This Row], [WEAPON]],Sheet1!$X$47:$Z$47,0)))/Table1[[#This Row], [NUM OF MEM]]</f>
        <v>4.5999999999999996</v>
      </c>
      <c r="Q509" s="9">
        <f>Table1[[#This Row], [ROOM TIME]]+Table1[[#This Row], [GUARD TIME]]</f>
        <v>45.531111111111102</v>
      </c>
      <c r="R509" s="4">
        <f>Sheet1!$K$3*_xlfn.XLOOKUP(Table1[[#This Row], [DISGUISE]],Sheet1!$A$21:$A$23,Sheet1!$D$21:$D$23)</f>
        <v>66</v>
      </c>
      <c r="S509" s="9">
        <f>Table1[[#This Row], [TOTAL TIME]]-Table1[[#This Row], [TOTAL TIME TAKEN]]</f>
        <v>20.468888888888898</v>
      </c>
      <c r="T509" t="str">
        <f>IF(Table1[[#This Row], [TIME DIFFERENCE]]&gt;=0,"PASS","FAIL")</f>
        <v>PASS</v>
      </c>
      <c r="U509" s="9">
        <f>Table1[[#This Row], [TRC]]+Table1[[#This Row], [DRC]]+Table1[[#This Row], [WRC]]+Table1[[#This Row], [ERC]]+Table1[[#This Row], [EQRC]]</f>
        <v>8201183.9499999993</v>
      </c>
      <c r="V509" s="9">
        <f>Table1[[#This Row], [TOTAL COST]]+_xlfn.XLOOKUP(Table1[[#This Row], [TEAM]],Sheet1!$A$12:$A$17,Sheet1!$I$12:$I$17)</f>
        <v>8500621.4499999993</v>
      </c>
      <c r="W509" s="9">
        <f>Table1[[#This Row], [LOOT]]-Table1[[#This Row], [TOTAL COST]]</f>
        <v>9798816.0500000007</v>
      </c>
      <c r="X509" s="9">
        <f>IF(Table1[[#This Row], [PASS/FAIL]]="FAIL",0,Table1[[#This Row], [PROFIT]])</f>
        <v>9798816.0500000007</v>
      </c>
    </row>
    <row r="510" spans="1:24" ht="19.5" customHeight="1" x14ac:dyDescent="0.45">
      <c r="A510" t="s">
        <v>13</v>
      </c>
      <c r="B510" s="14">
        <f>_xlfn.XLOOKUP(Table1[[#This Row], [TEAM]],Sheet1!$A$12:$A$17,Sheet1!$F$12:$F$17)</f>
        <v>3</v>
      </c>
      <c r="C510" s="14">
        <f>_xlfn.XLOOKUP(Table1[[#This Row], [TEAM]],Sheet1!$A$12:$A$17,Sheet1!$G$12:$G$17)</f>
        <v>5930000</v>
      </c>
      <c r="D510" t="s">
        <v>18</v>
      </c>
      <c r="E510" s="4">
        <f>_xlfn.XLOOKUP(Table1[[#This Row], [ROOM]],Sheet1!$A$47:$A$66,Sheet1!$B$47:$B$66)</f>
        <v>134</v>
      </c>
      <c r="F510" t="s">
        <v>58</v>
      </c>
      <c r="G510" s="4">
        <f>_xlfn.XLOOKUP(Table1[[#This Row], [DISGUISE]],Sheet1!$A$21:$A$23,Sheet1!$B$21:$B$23)*Table1[[#This Row], [NUM OF MEM]]*(1+_xlfn.XLOOKUP(Table1[[#This Row], [DISGUISE]],Sheet1!$A$21:$A$23,Sheet1!$C$21:$C$23))</f>
        <v>38400</v>
      </c>
      <c r="H510" s="13" t="s">
        <v>66</v>
      </c>
      <c r="I510" s="4">
        <f>_xlfn.XLOOKUP(Table1[[#This Row], [WEAPON]],Sheet1!$A$27:$A$29,Sheet1!$B$27:$B$29)*Table1[[#This Row], [NUM OF MEM]]*(1+_xlfn.XLOOKUP(Table1[[#This Row], [WEAPON]],Sheet1!$A$27:$A$29,Sheet1!$C$27:$C$29))</f>
        <v>108000</v>
      </c>
      <c r="J510" t="s">
        <v>64</v>
      </c>
      <c r="K510" s="9">
        <f>Table1[[#This Row], [NUM OF MEM]]*Table1[[#This Row], [TOTAL TIME TAKEN]]*_xlfn.XLOOKUP(Table1[[#This Row], [EXIT]],Sheet1!$A$70:$A$71,Sheet1!$B$70:$B$71)*(1+_xlfn.XLOOKUP(Table1[[#This Row], [EXIT]],Sheet1!$A$70:$A$71,Sheet1!$C$70:$C$71))</f>
        <v>1867427.9999999998</v>
      </c>
      <c r="L510" s="13" t="s">
        <v>65</v>
      </c>
      <c r="M510" s="4">
        <f>IF(Table1[[#This Row], [EQUIPMENT]]="YES",Sheet1!$C$44*(1+Sheet1!$D$44),0)</f>
        <v>307500</v>
      </c>
      <c r="N510" s="4">
        <f>_xlfn.XLOOKUP(Table1[[#This Row], [ROOM]],Sheet1!$A$47:$A$66,Sheet1!$F$47:$F$66)</f>
        <v>18050000</v>
      </c>
      <c r="O510" s="9">
        <f>_xlfn.XLOOKUP(_xlfn.CONCAT(Table1[[#This Row], [TEAM]],Table1[[#This Row], [ROOM]]),'ROOM TIME'!$H$2:$H$121,'ROOM TIME'!$J$2:$J$121)</f>
        <v>43.030555555555544</v>
      </c>
      <c r="P510" s="4">
        <f>(INDEX(Sheet1!$X$48:$Z$67,MATCH(Table1[[#This Row], [ROOM]],Sheet1!$P$48:$P$67,0),MATCH(Table1[[#This Row], [WEAPON]],Sheet1!$X$47:$Z$47,0)))/Table1[[#This Row], [NUM OF MEM]]</f>
        <v>5</v>
      </c>
      <c r="Q510" s="9">
        <f>Table1[[#This Row], [ROOM TIME]]+Table1[[#This Row], [GUARD TIME]]</f>
        <v>48.030555555555544</v>
      </c>
      <c r="R510" s="4">
        <f>Sheet1!$K$3*_xlfn.XLOOKUP(Table1[[#This Row], [DISGUISE]],Sheet1!$A$21:$A$23,Sheet1!$D$21:$D$23)</f>
        <v>69</v>
      </c>
      <c r="S510" s="9">
        <f>Table1[[#This Row], [TOTAL TIME]]-Table1[[#This Row], [TOTAL TIME TAKEN]]</f>
        <v>20.969444444444456</v>
      </c>
      <c r="T510" t="str">
        <f>IF(Table1[[#This Row], [TIME DIFFERENCE]]&gt;=0,"PASS","FAIL")</f>
        <v>PASS</v>
      </c>
      <c r="U510" s="4">
        <f>Table1[[#This Row], [TRC]]+Table1[[#This Row], [DRC]]+Table1[[#This Row], [WRC]]+Table1[[#This Row], [ERC]]+Table1[[#This Row], [EQRC]]</f>
        <v>8251328</v>
      </c>
      <c r="V510" s="4">
        <f>Table1[[#This Row], [TOTAL COST]]+_xlfn.XLOOKUP(Table1[[#This Row], [TEAM]],Sheet1!$A$12:$A$17,Sheet1!$I$12:$I$17)</f>
        <v>8547828</v>
      </c>
      <c r="W510" s="4">
        <f>Table1[[#This Row], [LOOT]]-Table1[[#This Row], [TOTAL COST]]</f>
        <v>9798672</v>
      </c>
      <c r="X510" s="4">
        <f>IF(Table1[[#This Row], [PASS/FAIL]]="FAIL",0,Table1[[#This Row], [PROFIT]])</f>
        <v>9798672</v>
      </c>
    </row>
    <row r="511" spans="1:24" ht="19.5" customHeight="1" x14ac:dyDescent="0.45">
      <c r="A511" t="s">
        <v>14</v>
      </c>
      <c r="B511" s="14">
        <f>_xlfn.XLOOKUP(Table1[[#This Row], [TEAM]],Sheet1!$A$12:$A$17,Sheet1!$F$12:$F$17)</f>
        <v>2</v>
      </c>
      <c r="C511" s="14">
        <f>_xlfn.XLOOKUP(Table1[[#This Row], [TEAM]],Sheet1!$A$12:$A$17,Sheet1!$G$12:$G$17)</f>
        <v>5949600</v>
      </c>
      <c r="D511" t="s">
        <v>20</v>
      </c>
      <c r="E511" s="4">
        <f>_xlfn.XLOOKUP(Table1[[#This Row], [ROOM]],Sheet1!$A$47:$A$66,Sheet1!$B$47:$B$66)</f>
        <v>145</v>
      </c>
      <c r="F511" t="s">
        <v>62</v>
      </c>
      <c r="G511" s="4">
        <f>_xlfn.XLOOKUP(Table1[[#This Row], [DISGUISE]],Sheet1!$A$21:$A$23,Sheet1!$B$21:$B$23)*Table1[[#This Row], [NUM OF MEM]]*(1+_xlfn.XLOOKUP(Table1[[#This Row], [DISGUISE]],Sheet1!$A$21:$A$23,Sheet1!$C$21:$C$23))</f>
        <v>10400</v>
      </c>
      <c r="H511" s="13" t="s">
        <v>59</v>
      </c>
      <c r="I511" s="4">
        <f>_xlfn.XLOOKUP(Table1[[#This Row], [WEAPON]],Sheet1!$A$27:$A$29,Sheet1!$B$27:$B$29)*Table1[[#This Row], [NUM OF MEM]]*(1+_xlfn.XLOOKUP(Table1[[#This Row], [WEAPON]],Sheet1!$A$27:$A$29,Sheet1!$C$27:$C$29))</f>
        <v>91000</v>
      </c>
      <c r="J511" t="s">
        <v>64</v>
      </c>
      <c r="K511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511" s="13" t="s">
        <v>61</v>
      </c>
      <c r="M511" s="4">
        <f>IF(Table1[[#This Row], [EQUIPMENT]]="YES",Sheet1!$C$44*(1+Sheet1!$D$44),0)</f>
        <v>0</v>
      </c>
      <c r="N511" s="4">
        <f>_xlfn.XLOOKUP(Table1[[#This Row], [ROOM]],Sheet1!$A$47:$A$66,Sheet1!$F$47:$F$66)</f>
        <v>17550000</v>
      </c>
      <c r="O511" s="9">
        <f>_xlfn.XLOOKUP(_xlfn.CONCAT(Table1[[#This Row], [TEAM]],Table1[[#This Row], [ROOM]]),'ROOM TIME'!$H$2:$H$121,'ROOM TIME'!$J$2:$J$121)</f>
        <v>59.889999999999986</v>
      </c>
      <c r="P511" s="9">
        <f>(INDEX(Sheet1!$X$48:$Z$67,MATCH(Table1[[#This Row], [ROOM]],Sheet1!$P$48:$P$67,0),MATCH(Table1[[#This Row], [WEAPON]],Sheet1!$X$47:$Z$47,0)))/Table1[[#This Row], [NUM OF MEM]]</f>
        <v>5.75</v>
      </c>
      <c r="Q511" s="9">
        <f>Table1[[#This Row], [ROOM TIME]]+Table1[[#This Row], [GUARD TIME]]</f>
        <v>65.639999999999986</v>
      </c>
      <c r="R511" s="4">
        <f>Sheet1!$K$3*_xlfn.XLOOKUP(Table1[[#This Row], [DISGUISE]],Sheet1!$A$21:$A$23,Sheet1!$D$21:$D$23)</f>
        <v>66</v>
      </c>
      <c r="S511" s="9">
        <f>Table1[[#This Row], [TOTAL TIME]]-Table1[[#This Row], [TOTAL TIME TAKEN]]</f>
        <v>0.36000000000001364</v>
      </c>
      <c r="T511" t="str">
        <f>IF(Table1[[#This Row], [TIME DIFFERENCE]]&gt;=0,"PASS","FAIL")</f>
        <v>PASS</v>
      </c>
      <c r="U511" s="9">
        <f>Table1[[#This Row], [TRC]]+Table1[[#This Row], [DRC]]+Table1[[#This Row], [WRC]]+Table1[[#This Row], [ERC]]+Table1[[#This Row], [EQRC]]</f>
        <v>7752388.7999999998</v>
      </c>
      <c r="V511" s="9">
        <f>Table1[[#This Row], [TOTAL COST]]+_xlfn.XLOOKUP(Table1[[#This Row], [TEAM]],Sheet1!$A$12:$A$17,Sheet1!$I$12:$I$17)</f>
        <v>8049868.7999999998</v>
      </c>
      <c r="W511" s="9">
        <f>Table1[[#This Row], [LOOT]]-Table1[[#This Row], [TOTAL COST]]</f>
        <v>9797611.1999999993</v>
      </c>
      <c r="X511" s="9">
        <f>IF(Table1[[#This Row], [PASS/FAIL]]="FAIL",0,Table1[[#This Row], [PROFIT]])</f>
        <v>9797611.1999999993</v>
      </c>
    </row>
    <row r="512" spans="1:24" ht="19.5" customHeight="1" x14ac:dyDescent="0.45">
      <c r="A512" t="s">
        <v>15</v>
      </c>
      <c r="B512" s="14">
        <f>_xlfn.XLOOKUP(Table1[[#This Row], [TEAM]],Sheet1!$A$12:$A$17,Sheet1!$F$12:$F$17)</f>
        <v>2</v>
      </c>
      <c r="C512" s="14">
        <f>_xlfn.XLOOKUP(Table1[[#This Row], [TEAM]],Sheet1!$A$12:$A$17,Sheet1!$G$12:$G$17)</f>
        <v>5932950</v>
      </c>
      <c r="D512" t="s">
        <v>27</v>
      </c>
      <c r="E512" s="4">
        <f>_xlfn.XLOOKUP(Table1[[#This Row], [ROOM]],Sheet1!$A$47:$A$66,Sheet1!$B$47:$B$66)</f>
        <v>146</v>
      </c>
      <c r="F512" t="s">
        <v>58</v>
      </c>
      <c r="G512" s="4">
        <f>_xlfn.XLOOKUP(Table1[[#This Row], [DISGUISE]],Sheet1!$A$21:$A$23,Sheet1!$B$21:$B$23)*Table1[[#This Row], [NUM OF MEM]]*(1+_xlfn.XLOOKUP(Table1[[#This Row], [DISGUISE]],Sheet1!$A$21:$A$23,Sheet1!$C$21:$C$23))</f>
        <v>25600</v>
      </c>
      <c r="H512" s="13" t="s">
        <v>63</v>
      </c>
      <c r="I512" s="4">
        <f>_xlfn.XLOOKUP(Table1[[#This Row], [WEAPON]],Sheet1!$A$27:$A$29,Sheet1!$B$27:$B$29)*Table1[[#This Row], [NUM OF MEM]]*(1+_xlfn.XLOOKUP(Table1[[#This Row], [WEAPON]],Sheet1!$A$27:$A$29,Sheet1!$C$27:$C$29))</f>
        <v>46000</v>
      </c>
      <c r="J512" t="s">
        <v>60</v>
      </c>
      <c r="K512" s="9">
        <f>Table1[[#This Row], [NUM OF MEM]]*Table1[[#This Row], [TOTAL TIME TAKEN]]*_xlfn.XLOOKUP(Table1[[#This Row], [EXIT]],Sheet1!$A$70:$A$71,Sheet1!$B$70:$B$71)*(1+_xlfn.XLOOKUP(Table1[[#This Row], [EXIT]],Sheet1!$A$70:$A$71,Sheet1!$C$70:$C$71))</f>
        <v>1641052.1812499997</v>
      </c>
      <c r="L512" s="13" t="s">
        <v>65</v>
      </c>
      <c r="M512" s="4">
        <f>IF(Table1[[#This Row], [EQUIPMENT]]="YES",Sheet1!$C$44*(1+Sheet1!$D$44),0)</f>
        <v>307500</v>
      </c>
      <c r="N512" s="4">
        <f>_xlfn.XLOOKUP(Table1[[#This Row], [ROOM]],Sheet1!$A$47:$A$66,Sheet1!$F$47:$F$66)</f>
        <v>17750000</v>
      </c>
      <c r="O512" s="9">
        <f>_xlfn.XLOOKUP(_xlfn.CONCAT(Table1[[#This Row], [TEAM]],Table1[[#This Row], [ROOM]]),'ROOM TIME'!$H$2:$H$121,'ROOM TIME'!$J$2:$J$121)</f>
        <v>56.516249999999985</v>
      </c>
      <c r="P512" s="9">
        <f>(INDEX(Sheet1!$X$48:$Z$67,MATCH(Table1[[#This Row], [ROOM]],Sheet1!$P$48:$P$67,0),MATCH(Table1[[#This Row], [WEAPON]],Sheet1!$X$47:$Z$47,0)))/Table1[[#This Row], [NUM OF MEM]]</f>
        <v>7.4250000000000007</v>
      </c>
      <c r="Q512" s="9">
        <f>Table1[[#This Row], [ROOM TIME]]+Table1[[#This Row], [GUARD TIME]]</f>
        <v>63.941249999999982</v>
      </c>
      <c r="R512" s="4">
        <f>Sheet1!$K$3*_xlfn.XLOOKUP(Table1[[#This Row], [DISGUISE]],Sheet1!$A$21:$A$23,Sheet1!$D$21:$D$23)</f>
        <v>69</v>
      </c>
      <c r="S512" s="9">
        <f>Table1[[#This Row], [TOTAL TIME]]-Table1[[#This Row], [TOTAL TIME TAKEN]]</f>
        <v>5.0587500000000176</v>
      </c>
      <c r="T512" t="str">
        <f>IF(Table1[[#This Row], [TIME DIFFERENCE]]&gt;=0,"PASS","FAIL")</f>
        <v>PASS</v>
      </c>
      <c r="U512" s="9">
        <f>Table1[[#This Row], [TRC]]+Table1[[#This Row], [DRC]]+Table1[[#This Row], [WRC]]+Table1[[#This Row], [ERC]]+Table1[[#This Row], [EQRC]]</f>
        <v>7953102.1812499994</v>
      </c>
      <c r="V512" s="9">
        <f>Table1[[#This Row], [TOTAL COST]]+_xlfn.XLOOKUP(Table1[[#This Row], [TEAM]],Sheet1!$A$12:$A$17,Sheet1!$I$12:$I$17)</f>
        <v>8249749.6812499994</v>
      </c>
      <c r="W512" s="9">
        <f>Table1[[#This Row], [LOOT]]-Table1[[#This Row], [TOTAL COST]]</f>
        <v>9796897.8187500015</v>
      </c>
      <c r="X512" s="9">
        <f>IF(Table1[[#This Row], [PASS/FAIL]]="FAIL",0,Table1[[#This Row], [PROFIT]])</f>
        <v>9796897.8187500015</v>
      </c>
    </row>
    <row r="513" spans="1:24" ht="19.5" customHeight="1" x14ac:dyDescent="0.45">
      <c r="A513" t="s">
        <v>15</v>
      </c>
      <c r="B513" s="14">
        <f>_xlfn.XLOOKUP(Table1[[#This Row], [TEAM]],Sheet1!$A$12:$A$17,Sheet1!$F$12:$F$17)</f>
        <v>2</v>
      </c>
      <c r="C513" s="14">
        <f>_xlfn.XLOOKUP(Table1[[#This Row], [TEAM]],Sheet1!$A$12:$A$17,Sheet1!$G$12:$G$17)</f>
        <v>5932950</v>
      </c>
      <c r="D513" t="s">
        <v>27</v>
      </c>
      <c r="E513" s="4">
        <f>_xlfn.XLOOKUP(Table1[[#This Row], [ROOM]],Sheet1!$A$47:$A$66,Sheet1!$B$47:$B$66)</f>
        <v>146</v>
      </c>
      <c r="F513" t="s">
        <v>62</v>
      </c>
      <c r="G513" s="4">
        <f>_xlfn.XLOOKUP(Table1[[#This Row], [DISGUISE]],Sheet1!$A$21:$A$23,Sheet1!$B$21:$B$23)*Table1[[#This Row], [NUM OF MEM]]*(1+_xlfn.XLOOKUP(Table1[[#This Row], [DISGUISE]],Sheet1!$A$21:$A$23,Sheet1!$C$21:$C$23))</f>
        <v>10400</v>
      </c>
      <c r="H513" s="13" t="s">
        <v>63</v>
      </c>
      <c r="I513" s="4">
        <f>_xlfn.XLOOKUP(Table1[[#This Row], [WEAPON]],Sheet1!$A$27:$A$29,Sheet1!$B$27:$B$29)*Table1[[#This Row], [NUM OF MEM]]*(1+_xlfn.XLOOKUP(Table1[[#This Row], [WEAPON]],Sheet1!$A$27:$A$29,Sheet1!$C$27:$C$29))</f>
        <v>46000</v>
      </c>
      <c r="J513" t="s">
        <v>64</v>
      </c>
      <c r="K513" s="9">
        <f>Table1[[#This Row], [NUM OF MEM]]*Table1[[#This Row], [TOTAL TIME TAKEN]]*_xlfn.XLOOKUP(Table1[[#This Row], [EXIT]],Sheet1!$A$70:$A$71,Sheet1!$B$70:$B$71)*(1+_xlfn.XLOOKUP(Table1[[#This Row], [EXIT]],Sheet1!$A$70:$A$71,Sheet1!$C$70:$C$71))</f>
        <v>1657357.1999999995</v>
      </c>
      <c r="L513" s="13" t="s">
        <v>65</v>
      </c>
      <c r="M513" s="4">
        <f>IF(Table1[[#This Row], [EQUIPMENT]]="YES",Sheet1!$C$44*(1+Sheet1!$D$44),0)</f>
        <v>307500</v>
      </c>
      <c r="N513" s="4">
        <f>_xlfn.XLOOKUP(Table1[[#This Row], [ROOM]],Sheet1!$A$47:$A$66,Sheet1!$F$47:$F$66)</f>
        <v>17750000</v>
      </c>
      <c r="O513" s="9">
        <f>_xlfn.XLOOKUP(_xlfn.CONCAT(Table1[[#This Row], [TEAM]],Table1[[#This Row], [ROOM]]),'ROOM TIME'!$H$2:$H$121,'ROOM TIME'!$J$2:$J$121)</f>
        <v>56.516249999999985</v>
      </c>
      <c r="P513" s="9">
        <f>(INDEX(Sheet1!$X$48:$Z$67,MATCH(Table1[[#This Row], [ROOM]],Sheet1!$P$48:$P$67,0),MATCH(Table1[[#This Row], [WEAPON]],Sheet1!$X$47:$Z$47,0)))/Table1[[#This Row], [NUM OF MEM]]</f>
        <v>7.4250000000000007</v>
      </c>
      <c r="Q513" s="9">
        <f>Table1[[#This Row], [ROOM TIME]]+Table1[[#This Row], [GUARD TIME]]</f>
        <v>63.941249999999982</v>
      </c>
      <c r="R513" s="4">
        <f>Sheet1!$K$3*_xlfn.XLOOKUP(Table1[[#This Row], [DISGUISE]],Sheet1!$A$21:$A$23,Sheet1!$D$21:$D$23)</f>
        <v>66</v>
      </c>
      <c r="S513" s="9">
        <f>Table1[[#This Row], [TOTAL TIME]]-Table1[[#This Row], [TOTAL TIME TAKEN]]</f>
        <v>2.0587500000000176</v>
      </c>
      <c r="T513" t="str">
        <f>IF(Table1[[#This Row], [TIME DIFFERENCE]]&gt;=0,"PASS","FAIL")</f>
        <v>PASS</v>
      </c>
      <c r="U513" s="9">
        <f>Table1[[#This Row], [TRC]]+Table1[[#This Row], [DRC]]+Table1[[#This Row], [WRC]]+Table1[[#This Row], [ERC]]+Table1[[#This Row], [EQRC]]</f>
        <v>7954207.1999999993</v>
      </c>
      <c r="V513" s="9">
        <f>Table1[[#This Row], [TOTAL COST]]+_xlfn.XLOOKUP(Table1[[#This Row], [TEAM]],Sheet1!$A$12:$A$17,Sheet1!$I$12:$I$17)</f>
        <v>8250854.6999999993</v>
      </c>
      <c r="W513" s="9">
        <f>Table1[[#This Row], [LOOT]]-Table1[[#This Row], [TOTAL COST]]</f>
        <v>9795792.8000000007</v>
      </c>
      <c r="X513" s="9">
        <f>IF(Table1[[#This Row], [PASS/FAIL]]="FAIL",0,Table1[[#This Row], [PROFIT]])</f>
        <v>9795792.8000000007</v>
      </c>
    </row>
    <row r="514" spans="1:24" ht="19.5" customHeight="1" x14ac:dyDescent="0.45">
      <c r="A514" t="s">
        <v>16</v>
      </c>
      <c r="B514" s="14">
        <f>_xlfn.XLOOKUP(Table1[[#This Row], [TEAM]],Sheet1!$A$12:$A$17,Sheet1!$F$12:$F$17)</f>
        <v>2</v>
      </c>
      <c r="C514" s="14">
        <f>_xlfn.XLOOKUP(Table1[[#This Row], [TEAM]],Sheet1!$A$12:$A$17,Sheet1!$G$12:$G$17)</f>
        <v>6082800</v>
      </c>
      <c r="D514" t="s">
        <v>29</v>
      </c>
      <c r="E514" s="4">
        <f>_xlfn.XLOOKUP(Table1[[#This Row], [ROOM]],Sheet1!$A$47:$A$66,Sheet1!$B$47:$B$66)</f>
        <v>236</v>
      </c>
      <c r="F514" t="s">
        <v>58</v>
      </c>
      <c r="G514" s="4">
        <f>_xlfn.XLOOKUP(Table1[[#This Row], [DISGUISE]],Sheet1!$A$21:$A$23,Sheet1!$B$21:$B$23)*Table1[[#This Row], [NUM OF MEM]]*(1+_xlfn.XLOOKUP(Table1[[#This Row], [DISGUISE]],Sheet1!$A$21:$A$23,Sheet1!$C$21:$C$23))</f>
        <v>25600</v>
      </c>
      <c r="H514" s="13" t="s">
        <v>63</v>
      </c>
      <c r="I514" s="4">
        <f>_xlfn.XLOOKUP(Table1[[#This Row], [WEAPON]],Sheet1!$A$27:$A$29,Sheet1!$B$27:$B$29)*Table1[[#This Row], [NUM OF MEM]]*(1+_xlfn.XLOOKUP(Table1[[#This Row], [WEAPON]],Sheet1!$A$27:$A$29,Sheet1!$C$27:$C$29))</f>
        <v>46000</v>
      </c>
      <c r="J514" t="s">
        <v>64</v>
      </c>
      <c r="K514" s="9">
        <f>Table1[[#This Row], [NUM OF MEM]]*Table1[[#This Row], [TOTAL TIME TAKEN]]*_xlfn.XLOOKUP(Table1[[#This Row], [EXIT]],Sheet1!$A$70:$A$71,Sheet1!$B$70:$B$71)*(1+_xlfn.XLOOKUP(Table1[[#This Row], [EXIT]],Sheet1!$A$70:$A$71,Sheet1!$C$70:$C$71))</f>
        <v>1742698.7999999996</v>
      </c>
      <c r="L514" s="13" t="s">
        <v>65</v>
      </c>
      <c r="M514" s="4">
        <f>IF(Table1[[#This Row], [EQUIPMENT]]="YES",Sheet1!$C$44*(1+Sheet1!$D$44),0)</f>
        <v>307500</v>
      </c>
      <c r="N514" s="4">
        <f>_xlfn.XLOOKUP(Table1[[#This Row], [ROOM]],Sheet1!$A$47:$A$66,Sheet1!$F$47:$F$66)</f>
        <v>18000000</v>
      </c>
      <c r="O514" s="9">
        <f>_xlfn.XLOOKUP(_xlfn.CONCAT(Table1[[#This Row], [TEAM]],Table1[[#This Row], [ROOM]]),'ROOM TIME'!$H$2:$H$121,'ROOM TIME'!$J$2:$J$121)</f>
        <v>58.458749999999981</v>
      </c>
      <c r="P514" s="9">
        <f>(INDEX(Sheet1!$X$48:$Z$67,MATCH(Table1[[#This Row], [ROOM]],Sheet1!$P$48:$P$67,0),MATCH(Table1[[#This Row], [WEAPON]],Sheet1!$X$47:$Z$47,0)))/Table1[[#This Row], [NUM OF MEM]]</f>
        <v>8.7750000000000004</v>
      </c>
      <c r="Q514" s="9">
        <f>Table1[[#This Row], [ROOM TIME]]+Table1[[#This Row], [GUARD TIME]]</f>
        <v>67.233749999999986</v>
      </c>
      <c r="R514" s="4">
        <f>Sheet1!$K$3*_xlfn.XLOOKUP(Table1[[#This Row], [DISGUISE]],Sheet1!$A$21:$A$23,Sheet1!$D$21:$D$23)</f>
        <v>69</v>
      </c>
      <c r="S514" s="9">
        <f>Table1[[#This Row], [TOTAL TIME]]-Table1[[#This Row], [TOTAL TIME TAKEN]]</f>
        <v>1.7662500000000136</v>
      </c>
      <c r="T514" t="str">
        <f>IF(Table1[[#This Row], [TIME DIFFERENCE]]&gt;=0,"PASS","FAIL")</f>
        <v>PASS</v>
      </c>
      <c r="U514" s="9">
        <f>Table1[[#This Row], [TRC]]+Table1[[#This Row], [DRC]]+Table1[[#This Row], [WRC]]+Table1[[#This Row], [ERC]]+Table1[[#This Row], [EQRC]]</f>
        <v>8204598.7999999998</v>
      </c>
      <c r="V514" s="9">
        <f>Table1[[#This Row], [TOTAL COST]]+_xlfn.XLOOKUP(Table1[[#This Row], [TEAM]],Sheet1!$A$12:$A$17,Sheet1!$I$12:$I$17)</f>
        <v>8508738.8000000007</v>
      </c>
      <c r="W514" s="9">
        <f>Table1[[#This Row], [LOOT]]-Table1[[#This Row], [TOTAL COST]]</f>
        <v>9795401.1999999993</v>
      </c>
      <c r="X514" s="9">
        <f>IF(Table1[[#This Row], [PASS/FAIL]]="FAIL",0,Table1[[#This Row], [PROFIT]])</f>
        <v>9795401.1999999993</v>
      </c>
    </row>
    <row r="515" spans="1:24" ht="19.5" customHeight="1" x14ac:dyDescent="0.45">
      <c r="A515" t="s">
        <v>15</v>
      </c>
      <c r="B515" s="14">
        <f>_xlfn.XLOOKUP(Table1[[#This Row], [TEAM]],Sheet1!$A$12:$A$17,Sheet1!$F$12:$F$17)</f>
        <v>2</v>
      </c>
      <c r="C515" s="14">
        <f>_xlfn.XLOOKUP(Table1[[#This Row], [TEAM]],Sheet1!$A$12:$A$17,Sheet1!$G$12:$G$17)</f>
        <v>5932950</v>
      </c>
      <c r="D515" t="s">
        <v>27</v>
      </c>
      <c r="E515" s="4">
        <f>_xlfn.XLOOKUP(Table1[[#This Row], [ROOM]],Sheet1!$A$47:$A$66,Sheet1!$B$47:$B$66)</f>
        <v>146</v>
      </c>
      <c r="F515" t="s">
        <v>62</v>
      </c>
      <c r="G515" s="4">
        <f>_xlfn.XLOOKUP(Table1[[#This Row], [DISGUISE]],Sheet1!$A$21:$A$23,Sheet1!$B$21:$B$23)*Table1[[#This Row], [NUM OF MEM]]*(1+_xlfn.XLOOKUP(Table1[[#This Row], [DISGUISE]],Sheet1!$A$21:$A$23,Sheet1!$C$21:$C$23))</f>
        <v>10400</v>
      </c>
      <c r="H515" s="13" t="s">
        <v>59</v>
      </c>
      <c r="I515" s="4">
        <f>_xlfn.XLOOKUP(Table1[[#This Row], [WEAPON]],Sheet1!$A$27:$A$29,Sheet1!$B$27:$B$29)*Table1[[#This Row], [NUM OF MEM]]*(1+_xlfn.XLOOKUP(Table1[[#This Row], [WEAPON]],Sheet1!$A$27:$A$29,Sheet1!$C$27:$C$29))</f>
        <v>91000</v>
      </c>
      <c r="J515" t="s">
        <v>60</v>
      </c>
      <c r="K515" s="9">
        <f>Table1[[#This Row], [NUM OF MEM]]*Table1[[#This Row], [TOTAL TIME TAKEN]]*_xlfn.XLOOKUP(Table1[[#This Row], [EXIT]],Sheet1!$A$70:$A$71,Sheet1!$B$70:$B$71)*(1+_xlfn.XLOOKUP(Table1[[#This Row], [EXIT]],Sheet1!$A$70:$A$71,Sheet1!$C$70:$C$71))</f>
        <v>1612820.6812499997</v>
      </c>
      <c r="L515" s="13" t="s">
        <v>65</v>
      </c>
      <c r="M515" s="4">
        <f>IF(Table1[[#This Row], [EQUIPMENT]]="YES",Sheet1!$C$44*(1+Sheet1!$D$44),0)</f>
        <v>307500</v>
      </c>
      <c r="N515" s="4">
        <f>_xlfn.XLOOKUP(Table1[[#This Row], [ROOM]],Sheet1!$A$47:$A$66,Sheet1!$F$47:$F$66)</f>
        <v>17750000</v>
      </c>
      <c r="O515" s="9">
        <f>_xlfn.XLOOKUP(_xlfn.CONCAT(Table1[[#This Row], [TEAM]],Table1[[#This Row], [ROOM]]),'ROOM TIME'!$H$2:$H$121,'ROOM TIME'!$J$2:$J$121)</f>
        <v>56.516249999999985</v>
      </c>
      <c r="P515" s="9">
        <f>(INDEX(Sheet1!$X$48:$Z$67,MATCH(Table1[[#This Row], [ROOM]],Sheet1!$P$48:$P$67,0),MATCH(Table1[[#This Row], [WEAPON]],Sheet1!$X$47:$Z$47,0)))/Table1[[#This Row], [NUM OF MEM]]</f>
        <v>6.3249999999999993</v>
      </c>
      <c r="Q515" s="9">
        <f>Table1[[#This Row], [ROOM TIME]]+Table1[[#This Row], [GUARD TIME]]</f>
        <v>62.841249999999988</v>
      </c>
      <c r="R515" s="4">
        <f>Sheet1!$K$3*_xlfn.XLOOKUP(Table1[[#This Row], [DISGUISE]],Sheet1!$A$21:$A$23,Sheet1!$D$21:$D$23)</f>
        <v>66</v>
      </c>
      <c r="S515" s="9">
        <f>Table1[[#This Row], [TOTAL TIME]]-Table1[[#This Row], [TOTAL TIME TAKEN]]</f>
        <v>3.1587500000000119</v>
      </c>
      <c r="T515" t="str">
        <f>IF(Table1[[#This Row], [TIME DIFFERENCE]]&gt;=0,"PASS","FAIL")</f>
        <v>PASS</v>
      </c>
      <c r="U515" s="9">
        <f>Table1[[#This Row], [TRC]]+Table1[[#This Row], [DRC]]+Table1[[#This Row], [WRC]]+Table1[[#This Row], [ERC]]+Table1[[#This Row], [EQRC]]</f>
        <v>7954670.6812499994</v>
      </c>
      <c r="V515" s="9">
        <f>Table1[[#This Row], [TOTAL COST]]+_xlfn.XLOOKUP(Table1[[#This Row], [TEAM]],Sheet1!$A$12:$A$17,Sheet1!$I$12:$I$17)</f>
        <v>8251318.1812499994</v>
      </c>
      <c r="W515" s="9">
        <f>Table1[[#This Row], [LOOT]]-Table1[[#This Row], [TOTAL COST]]</f>
        <v>9795329.3187500015</v>
      </c>
      <c r="X515" s="9">
        <f>IF(Table1[[#This Row], [PASS/FAIL]]="FAIL",0,Table1[[#This Row], [PROFIT]])</f>
        <v>9795329.3187500015</v>
      </c>
    </row>
    <row r="516" spans="1:24" ht="19.5" customHeight="1" x14ac:dyDescent="0.45">
      <c r="A516" t="s">
        <v>12</v>
      </c>
      <c r="B516" s="14">
        <f>_xlfn.XLOOKUP(Table1[[#This Row], [TEAM]],Sheet1!$A$12:$A$17,Sheet1!$F$12:$F$17)</f>
        <v>3</v>
      </c>
      <c r="C516" s="14">
        <f>_xlfn.XLOOKUP(Table1[[#This Row], [TEAM]],Sheet1!$A$12:$A$17,Sheet1!$G$12:$G$17)</f>
        <v>5988750</v>
      </c>
      <c r="D516" t="s">
        <v>24</v>
      </c>
      <c r="E516" s="4">
        <f>_xlfn.XLOOKUP(Table1[[#This Row], [ROOM]],Sheet1!$A$47:$A$66,Sheet1!$B$47:$B$66)</f>
        <v>345</v>
      </c>
      <c r="F516" t="s">
        <v>58</v>
      </c>
      <c r="G516" s="4">
        <f>_xlfn.XLOOKUP(Table1[[#This Row], [DISGUISE]],Sheet1!$A$21:$A$23,Sheet1!$B$21:$B$23)*Table1[[#This Row], [NUM OF MEM]]*(1+_xlfn.XLOOKUP(Table1[[#This Row], [DISGUISE]],Sheet1!$A$21:$A$23,Sheet1!$C$21:$C$23))</f>
        <v>38400</v>
      </c>
      <c r="H516" s="13" t="s">
        <v>63</v>
      </c>
      <c r="I516" s="4">
        <f>_xlfn.XLOOKUP(Table1[[#This Row], [WEAPON]],Sheet1!$A$27:$A$29,Sheet1!$B$27:$B$29)*Table1[[#This Row], [NUM OF MEM]]*(1+_xlfn.XLOOKUP(Table1[[#This Row], [WEAPON]],Sheet1!$A$27:$A$29,Sheet1!$C$27:$C$29))</f>
        <v>69000</v>
      </c>
      <c r="J516" t="s">
        <v>64</v>
      </c>
      <c r="K516" s="9">
        <f>Table1[[#This Row], [NUM OF MEM]]*Table1[[#This Row], [TOTAL TIME TAKEN]]*_xlfn.XLOOKUP(Table1[[#This Row], [EXIT]],Sheet1!$A$70:$A$71,Sheet1!$B$70:$B$71)*(1+_xlfn.XLOOKUP(Table1[[#This Row], [EXIT]],Sheet1!$A$70:$A$71,Sheet1!$C$70:$C$71))</f>
        <v>1801353.5999999994</v>
      </c>
      <c r="L516" s="13" t="s">
        <v>65</v>
      </c>
      <c r="M516" s="4">
        <f>IF(Table1[[#This Row], [EQUIPMENT]]="YES",Sheet1!$C$44*(1+Sheet1!$D$44),0)</f>
        <v>307500</v>
      </c>
      <c r="N516" s="4">
        <f>_xlfn.XLOOKUP(Table1[[#This Row], [ROOM]],Sheet1!$A$47:$A$66,Sheet1!$F$47:$F$66)</f>
        <v>18000000</v>
      </c>
      <c r="O516" s="9">
        <f>_xlfn.XLOOKUP(_xlfn.CONCAT(Table1[[#This Row], [TEAM]],Table1[[#This Row], [ROOM]]),'ROOM TIME'!$H$2:$H$121,'ROOM TIME'!$J$2:$J$121)</f>
        <v>40.9311111111111</v>
      </c>
      <c r="P516" s="9">
        <f>(INDEX(Sheet1!$X$48:$Z$67,MATCH(Table1[[#This Row], [ROOM]],Sheet1!$P$48:$P$67,0),MATCH(Table1[[#This Row], [WEAPON]],Sheet1!$X$47:$Z$47,0)))/Table1[[#This Row], [NUM OF MEM]]</f>
        <v>5.4000000000000012</v>
      </c>
      <c r="Q516" s="9">
        <f>Table1[[#This Row], [ROOM TIME]]+Table1[[#This Row], [GUARD TIME]]</f>
        <v>46.331111111111099</v>
      </c>
      <c r="R516" s="4">
        <f>Sheet1!$K$3*_xlfn.XLOOKUP(Table1[[#This Row], [DISGUISE]],Sheet1!$A$21:$A$23,Sheet1!$D$21:$D$23)</f>
        <v>69</v>
      </c>
      <c r="S516" s="9">
        <f>Table1[[#This Row], [TOTAL TIME]]-Table1[[#This Row], [TOTAL TIME TAKEN]]</f>
        <v>22.668888888888901</v>
      </c>
      <c r="T516" t="str">
        <f>IF(Table1[[#This Row], [TIME DIFFERENCE]]&gt;=0,"PASS","FAIL")</f>
        <v>PASS</v>
      </c>
      <c r="U516" s="9">
        <f>Table1[[#This Row], [TRC]]+Table1[[#This Row], [DRC]]+Table1[[#This Row], [WRC]]+Table1[[#This Row], [ERC]]+Table1[[#This Row], [EQRC]]</f>
        <v>8205003.5999999996</v>
      </c>
      <c r="V516" s="9">
        <f>Table1[[#This Row], [TOTAL COST]]+_xlfn.XLOOKUP(Table1[[#This Row], [TEAM]],Sheet1!$A$12:$A$17,Sheet1!$I$12:$I$17)</f>
        <v>8504441.0999999996</v>
      </c>
      <c r="W516" s="9">
        <f>Table1[[#This Row], [LOOT]]-Table1[[#This Row], [TOTAL COST]]</f>
        <v>9794996.4000000004</v>
      </c>
      <c r="X516" s="9">
        <f>IF(Table1[[#This Row], [PASS/FAIL]]="FAIL",0,Table1[[#This Row], [PROFIT]])</f>
        <v>9794996.4000000004</v>
      </c>
    </row>
    <row r="517" spans="1:24" ht="19.5" customHeight="1" x14ac:dyDescent="0.45">
      <c r="A517" t="s">
        <v>14</v>
      </c>
      <c r="B517" s="14">
        <f>_xlfn.XLOOKUP(Table1[[#This Row], [TEAM]],Sheet1!$A$12:$A$17,Sheet1!$F$12:$F$17)</f>
        <v>2</v>
      </c>
      <c r="C517" s="14">
        <f>_xlfn.XLOOKUP(Table1[[#This Row], [TEAM]],Sheet1!$A$12:$A$17,Sheet1!$G$12:$G$17)</f>
        <v>5949600</v>
      </c>
      <c r="D517" t="s">
        <v>27</v>
      </c>
      <c r="E517" s="4">
        <f>_xlfn.XLOOKUP(Table1[[#This Row], [ROOM]],Sheet1!$A$47:$A$66,Sheet1!$B$47:$B$66)</f>
        <v>146</v>
      </c>
      <c r="F517" t="s">
        <v>62</v>
      </c>
      <c r="G517" s="4">
        <f>_xlfn.XLOOKUP(Table1[[#This Row], [DISGUISE]],Sheet1!$A$21:$A$23,Sheet1!$B$21:$B$23)*Table1[[#This Row], [NUM OF MEM]]*(1+_xlfn.XLOOKUP(Table1[[#This Row], [DISGUISE]],Sheet1!$A$21:$A$23,Sheet1!$C$21:$C$23))</f>
        <v>10400</v>
      </c>
      <c r="H517" s="13" t="s">
        <v>66</v>
      </c>
      <c r="I517" s="4">
        <f>_xlfn.XLOOKUP(Table1[[#This Row], [WEAPON]],Sheet1!$A$27:$A$29,Sheet1!$B$27:$B$29)*Table1[[#This Row], [NUM OF MEM]]*(1+_xlfn.XLOOKUP(Table1[[#This Row], [WEAPON]],Sheet1!$A$27:$A$29,Sheet1!$C$27:$C$29))</f>
        <v>72000</v>
      </c>
      <c r="J517" t="s">
        <v>60</v>
      </c>
      <c r="K517" s="9">
        <f>Table1[[#This Row], [NUM OF MEM]]*Table1[[#This Row], [TOTAL TIME TAKEN]]*_xlfn.XLOOKUP(Table1[[#This Row], [EXIT]],Sheet1!$A$70:$A$71,Sheet1!$B$70:$B$71)*(1+_xlfn.XLOOKUP(Table1[[#This Row], [EXIT]],Sheet1!$A$70:$A$71,Sheet1!$C$70:$C$71))</f>
        <v>1615868.3999999997</v>
      </c>
      <c r="L517" s="13" t="s">
        <v>65</v>
      </c>
      <c r="M517" s="4">
        <f>IF(Table1[[#This Row], [EQUIPMENT]]="YES",Sheet1!$C$44*(1+Sheet1!$D$44),0)</f>
        <v>307500</v>
      </c>
      <c r="N517" s="4">
        <f>_xlfn.XLOOKUP(Table1[[#This Row], [ROOM]],Sheet1!$A$47:$A$66,Sheet1!$F$47:$F$66)</f>
        <v>17750000</v>
      </c>
      <c r="O517" s="9">
        <f>_xlfn.XLOOKUP(_xlfn.CONCAT(Table1[[#This Row], [TEAM]],Table1[[#This Row], [ROOM]]),'ROOM TIME'!$H$2:$H$121,'ROOM TIME'!$J$2:$J$121)</f>
        <v>56.084999999999987</v>
      </c>
      <c r="P517" s="9">
        <f>(INDEX(Sheet1!$X$48:$Z$67,MATCH(Table1[[#This Row], [ROOM]],Sheet1!$P$48:$P$67,0),MATCH(Table1[[#This Row], [WEAPON]],Sheet1!$X$47:$Z$47,0)))/Table1[[#This Row], [NUM OF MEM]]</f>
        <v>6.875</v>
      </c>
      <c r="Q517" s="9">
        <f>Table1[[#This Row], [ROOM TIME]]+Table1[[#This Row], [GUARD TIME]]</f>
        <v>62.959999999999987</v>
      </c>
      <c r="R517" s="4">
        <f>Sheet1!$K$3*_xlfn.XLOOKUP(Table1[[#This Row], [DISGUISE]],Sheet1!$A$21:$A$23,Sheet1!$D$21:$D$23)</f>
        <v>66</v>
      </c>
      <c r="S517" s="9">
        <f>Table1[[#This Row], [TOTAL TIME]]-Table1[[#This Row], [TOTAL TIME TAKEN]]</f>
        <v>3.0400000000000134</v>
      </c>
      <c r="T517" t="str">
        <f>IF(Table1[[#This Row], [TIME DIFFERENCE]]&gt;=0,"PASS","FAIL")</f>
        <v>PASS</v>
      </c>
      <c r="U517" s="9">
        <f>Table1[[#This Row], [TRC]]+Table1[[#This Row], [DRC]]+Table1[[#This Row], [WRC]]+Table1[[#This Row], [ERC]]+Table1[[#This Row], [EQRC]]</f>
        <v>7955368.3999999994</v>
      </c>
      <c r="V517" s="9">
        <f>Table1[[#This Row], [TOTAL COST]]+_xlfn.XLOOKUP(Table1[[#This Row], [TEAM]],Sheet1!$A$12:$A$17,Sheet1!$I$12:$I$17)</f>
        <v>8252848.3999999994</v>
      </c>
      <c r="W517" s="9">
        <f>Table1[[#This Row], [LOOT]]-Table1[[#This Row], [TOTAL COST]]</f>
        <v>9794631.6000000015</v>
      </c>
      <c r="X517" s="9">
        <f>IF(Table1[[#This Row], [PASS/FAIL]]="FAIL",0,Table1[[#This Row], [PROFIT]])</f>
        <v>9794631.6000000015</v>
      </c>
    </row>
    <row r="518" spans="1:24" ht="19.5" customHeight="1" x14ac:dyDescent="0.45">
      <c r="A518" t="s">
        <v>9</v>
      </c>
      <c r="B518" s="14">
        <f>_xlfn.XLOOKUP(Table1[[#This Row], [TEAM]],Sheet1!$A$12:$A$17,Sheet1!$F$12:$F$17)</f>
        <v>3</v>
      </c>
      <c r="C518" s="14">
        <f>_xlfn.XLOOKUP(Table1[[#This Row], [TEAM]],Sheet1!$A$12:$A$17,Sheet1!$G$12:$G$17)</f>
        <v>6238750</v>
      </c>
      <c r="D518" t="s">
        <v>33</v>
      </c>
      <c r="E518" s="4">
        <f>_xlfn.XLOOKUP(Table1[[#This Row], [ROOM]],Sheet1!$A$47:$A$66,Sheet1!$B$47:$B$66)</f>
        <v>356</v>
      </c>
      <c r="F518" t="s">
        <v>58</v>
      </c>
      <c r="G518" s="4">
        <f>_xlfn.XLOOKUP(Table1[[#This Row], [DISGUISE]],Sheet1!$A$21:$A$23,Sheet1!$B$21:$B$23)*Table1[[#This Row], [NUM OF MEM]]*(1+_xlfn.XLOOKUP(Table1[[#This Row], [DISGUISE]],Sheet1!$A$21:$A$23,Sheet1!$C$21:$C$23))</f>
        <v>38400</v>
      </c>
      <c r="H518" s="13" t="s">
        <v>59</v>
      </c>
      <c r="I518" s="4">
        <f>_xlfn.XLOOKUP(Table1[[#This Row], [WEAPON]],Sheet1!$A$27:$A$29,Sheet1!$B$27:$B$29)*Table1[[#This Row], [NUM OF MEM]]*(1+_xlfn.XLOOKUP(Table1[[#This Row], [WEAPON]],Sheet1!$A$27:$A$29,Sheet1!$C$27:$C$29))</f>
        <v>136500</v>
      </c>
      <c r="J518" t="s">
        <v>64</v>
      </c>
      <c r="K518" s="9">
        <f>Table1[[#This Row], [NUM OF MEM]]*Table1[[#This Row], [TOTAL TIME TAKEN]]*_xlfn.XLOOKUP(Table1[[#This Row], [EXIT]],Sheet1!$A$70:$A$71,Sheet1!$B$70:$B$71)*(1+_xlfn.XLOOKUP(Table1[[#This Row], [EXIT]],Sheet1!$A$70:$A$71,Sheet1!$C$70:$C$71))</f>
        <v>1584403.1999999997</v>
      </c>
      <c r="L518" s="13" t="s">
        <v>65</v>
      </c>
      <c r="M518" s="4">
        <f>IF(Table1[[#This Row], [EQUIPMENT]]="YES",Sheet1!$C$44*(1+Sheet1!$D$44),0)</f>
        <v>307500</v>
      </c>
      <c r="N518" s="4">
        <f>_xlfn.XLOOKUP(Table1[[#This Row], [ROOM]],Sheet1!$A$47:$A$66,Sheet1!$F$47:$F$66)</f>
        <v>18100000</v>
      </c>
      <c r="O518" s="9">
        <f>_xlfn.XLOOKUP(_xlfn.CONCAT(Table1[[#This Row], [TEAM]],Table1[[#This Row], [ROOM]]),'ROOM TIME'!$H$2:$H$121,'ROOM TIME'!$J$2:$J$121)</f>
        <v>36.151111111111099</v>
      </c>
      <c r="P518" s="9">
        <f>(INDEX(Sheet1!$X$48:$Z$67,MATCH(Table1[[#This Row], [ROOM]],Sheet1!$P$48:$P$67,0),MATCH(Table1[[#This Row], [WEAPON]],Sheet1!$X$47:$Z$47,0)))/Table1[[#This Row], [NUM OF MEM]]</f>
        <v>4.5999999999999996</v>
      </c>
      <c r="Q518" s="9">
        <f>Table1[[#This Row], [ROOM TIME]]+Table1[[#This Row], [GUARD TIME]]</f>
        <v>40.751111111111101</v>
      </c>
      <c r="R518" s="4">
        <f>Sheet1!$K$3*_xlfn.XLOOKUP(Table1[[#This Row], [DISGUISE]],Sheet1!$A$21:$A$23,Sheet1!$D$21:$D$23)</f>
        <v>69</v>
      </c>
      <c r="S518" s="9">
        <f>Table1[[#This Row], [TOTAL TIME]]-Table1[[#This Row], [TOTAL TIME TAKEN]]</f>
        <v>28.248888888888899</v>
      </c>
      <c r="T518" t="str">
        <f>IF(Table1[[#This Row], [TIME DIFFERENCE]]&gt;=0,"PASS","FAIL")</f>
        <v>PASS</v>
      </c>
      <c r="U518" s="9">
        <f>Table1[[#This Row], [TRC]]+Table1[[#This Row], [DRC]]+Table1[[#This Row], [WRC]]+Table1[[#This Row], [ERC]]+Table1[[#This Row], [EQRC]]</f>
        <v>8305553.1999999993</v>
      </c>
      <c r="V518" s="9">
        <f>Table1[[#This Row], [TOTAL COST]]+_xlfn.XLOOKUP(Table1[[#This Row], [TEAM]],Sheet1!$A$12:$A$17,Sheet1!$I$12:$I$17)</f>
        <v>8617490.6999999993</v>
      </c>
      <c r="W518" s="9">
        <f>Table1[[#This Row], [LOOT]]-Table1[[#This Row], [TOTAL COST]]</f>
        <v>9794446.8000000007</v>
      </c>
      <c r="X518" s="9">
        <f>IF(Table1[[#This Row], [PASS/FAIL]]="FAIL",0,Table1[[#This Row], [PROFIT]])</f>
        <v>9794446.8000000007</v>
      </c>
    </row>
    <row r="519" spans="1:24" ht="19.5" customHeight="1" x14ac:dyDescent="0.45">
      <c r="A519" t="s">
        <v>12</v>
      </c>
      <c r="B519" s="14">
        <f>_xlfn.XLOOKUP(Table1[[#This Row], [TEAM]],Sheet1!$A$12:$A$17,Sheet1!$F$12:$F$17)</f>
        <v>3</v>
      </c>
      <c r="C519" s="14">
        <f>_xlfn.XLOOKUP(Table1[[#This Row], [TEAM]],Sheet1!$A$12:$A$17,Sheet1!$G$12:$G$17)</f>
        <v>5988750</v>
      </c>
      <c r="D519" t="s">
        <v>19</v>
      </c>
      <c r="E519" s="4">
        <f>_xlfn.XLOOKUP(Table1[[#This Row], [ROOM]],Sheet1!$A$47:$A$66,Sheet1!$B$47:$B$66)</f>
        <v>135</v>
      </c>
      <c r="F519" t="s">
        <v>62</v>
      </c>
      <c r="G519" s="4">
        <f>_xlfn.XLOOKUP(Table1[[#This Row], [DISGUISE]],Sheet1!$A$21:$A$23,Sheet1!$B$21:$B$23)*Table1[[#This Row], [NUM OF MEM]]*(1+_xlfn.XLOOKUP(Table1[[#This Row], [DISGUISE]],Sheet1!$A$21:$A$23,Sheet1!$C$21:$C$23))</f>
        <v>15600</v>
      </c>
      <c r="H519" s="13" t="s">
        <v>63</v>
      </c>
      <c r="I519" s="4">
        <f>_xlfn.XLOOKUP(Table1[[#This Row], [WEAPON]],Sheet1!$A$27:$A$29,Sheet1!$B$27:$B$29)*Table1[[#This Row], [NUM OF MEM]]*(1+_xlfn.XLOOKUP(Table1[[#This Row], [WEAPON]],Sheet1!$A$27:$A$29,Sheet1!$C$27:$C$29))</f>
        <v>69000</v>
      </c>
      <c r="J519" t="s">
        <v>60</v>
      </c>
      <c r="K519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1774734.7499999993</v>
      </c>
      <c r="L519" s="13" t="s">
        <v>65</v>
      </c>
      <c r="M519" s="4">
        <f>IF(Table1[[#This Row], [EQUIPMENT]]="YES",Sheet1!$C$44*(1+Sheet1!$D$44),0)</f>
        <v>307500</v>
      </c>
      <c r="N519" s="4">
        <f>_xlfn.XLOOKUP(Table1[[#This Row], [ROOM]],Sheet1!$A$47:$A$66,Sheet1!$F$47:$F$66)</f>
        <v>17950000</v>
      </c>
      <c r="O519" s="9">
        <f>_xlfn.XLOOKUP(_xlfn.CONCAT(Table1[[#This Row], [TEAM]],Table1[[#This Row], [ROOM]]),'ROOM TIME'!$H$2:$H$121,'ROOM TIME'!$J$2:$J$121)</f>
        <v>41.149999999999984</v>
      </c>
      <c r="P519" s="9">
        <f>(INDEX(Sheet1!$X$48:$Z$67,MATCH(Table1[[#This Row], [ROOM]],Sheet1!$P$48:$P$67,0),MATCH(Table1[[#This Row], [WEAPON]],Sheet1!$X$47:$Z$47,0)))/Table1[[#This Row], [NUM OF MEM]]</f>
        <v>4.95</v>
      </c>
      <c r="Q519" s="9">
        <f>Table1[[#This Row], [ROOM TIME]]+Table1[[#This Row], [GUARD TIME]]</f>
        <v>46.099999999999987</v>
      </c>
      <c r="R519" s="4">
        <f>Sheet1!$K$3*_xlfn.XLOOKUP(Table1[[#This Row], [DISGUISE]],Sheet1!$A$21:$A$23,Sheet1!$D$21:$D$23)</f>
        <v>66</v>
      </c>
      <c r="S519" s="9">
        <f>Table1[[#This Row], [TOTAL TIME]]-Table1[[#This Row], [TOTAL TIME TAKEN]]</f>
        <v>19.900000000000013</v>
      </c>
      <c r="T519" t="str">
        <f>IF(Table1[[#This Row], [TIME DIFFERENCE]]&gt;=0,"PASS","FAIL")</f>
        <v>PASS</v>
      </c>
      <c r="U519" s="9">
        <f>Table1[[#This Row], [TRC]]+Table1[[#This Row], [DRC]]+Table1[[#This Row], [WRC]]+Table1[[#This Row], [ERC]]+Table1[[#This Row], [EQRC]]</f>
        <v>8155584.7499999991</v>
      </c>
      <c r="V519" s="9">
        <f>Table1[[#This Row], [TOTAL COST]]+_xlfn.XLOOKUP(Table1[[#This Row], [TEAM]],Sheet1!$A$12:$A$17,Sheet1!$I$12:$I$17)</f>
        <v>8455022.25</v>
      </c>
      <c r="W519" s="9">
        <f>Table1[[#This Row], [LOOT]]-Table1[[#This Row], [TOTAL COST]]</f>
        <v>9794415.25</v>
      </c>
      <c r="X519" s="9">
        <f>IF(Table1[[#This Row], [PASS/FAIL]]="FAIL",0,Table1[[#This Row], [PROFIT]])</f>
        <v>9794415.25</v>
      </c>
    </row>
    <row r="520" spans="1:24" ht="19.5" customHeight="1" x14ac:dyDescent="0.45">
      <c r="A520" t="s">
        <v>13</v>
      </c>
      <c r="B520" s="14">
        <f>_xlfn.XLOOKUP(Table1[[#This Row], [TEAM]],Sheet1!$A$12:$A$17,Sheet1!$F$12:$F$17)</f>
        <v>3</v>
      </c>
      <c r="C520" s="14">
        <f>_xlfn.XLOOKUP(Table1[[#This Row], [TEAM]],Sheet1!$A$12:$A$17,Sheet1!$G$12:$G$17)</f>
        <v>5930000</v>
      </c>
      <c r="D520" t="s">
        <v>19</v>
      </c>
      <c r="E520" s="4">
        <f>_xlfn.XLOOKUP(Table1[[#This Row], [ROOM]],Sheet1!$A$47:$A$66,Sheet1!$B$47:$B$66)</f>
        <v>135</v>
      </c>
      <c r="F520" t="s">
        <v>62</v>
      </c>
      <c r="G520" s="4">
        <f>_xlfn.XLOOKUP(Table1[[#This Row], [DISGUISE]],Sheet1!$A$21:$A$23,Sheet1!$B$21:$B$23)*Table1[[#This Row], [NUM OF MEM]]*(1+_xlfn.XLOOKUP(Table1[[#This Row], [DISGUISE]],Sheet1!$A$21:$A$23,Sheet1!$C$21:$C$23))</f>
        <v>15600</v>
      </c>
      <c r="H520" s="13" t="s">
        <v>63</v>
      </c>
      <c r="I520" s="4">
        <f>_xlfn.XLOOKUP(Table1[[#This Row], [WEAPON]],Sheet1!$A$27:$A$29,Sheet1!$B$27:$B$29)*Table1[[#This Row], [NUM OF MEM]]*(1+_xlfn.XLOOKUP(Table1[[#This Row], [WEAPON]],Sheet1!$A$27:$A$29,Sheet1!$C$27:$C$29))</f>
        <v>69000</v>
      </c>
      <c r="J520" t="s">
        <v>60</v>
      </c>
      <c r="K520" s="9">
        <f>Table1[[#This Row], [NUM OF MEM]]*Table1[[#This Row], [TOTAL TIME TAKEN]]*_xlfn.XLOOKUP(Table1[[#This Row], [EXIT]],Sheet1!$A$70:$A$71,Sheet1!$B$70:$B$71)*(1+_xlfn.XLOOKUP(Table1[[#This Row], [EXIT]],Sheet1!$A$70:$A$71,Sheet1!$C$70:$C$71))</f>
        <v>1833507.5999999996</v>
      </c>
      <c r="L520" s="13" t="s">
        <v>65</v>
      </c>
      <c r="M520" s="4">
        <f>IF(Table1[[#This Row], [EQUIPMENT]]="YES",Sheet1!$C$44*(1+Sheet1!$D$44),0)</f>
        <v>307500</v>
      </c>
      <c r="N520" s="4">
        <f>_xlfn.XLOOKUP(Table1[[#This Row], [ROOM]],Sheet1!$A$47:$A$66,Sheet1!$F$47:$F$66)</f>
        <v>17950000</v>
      </c>
      <c r="O520" s="9">
        <f>_xlfn.XLOOKUP(_xlfn.CONCAT(Table1[[#This Row], [TEAM]],Table1[[#This Row], [ROOM]]),'ROOM TIME'!$H$2:$H$121,'ROOM TIME'!$J$2:$J$121)</f>
        <v>42.676666666666655</v>
      </c>
      <c r="P520" s="9">
        <f>(INDEX(Sheet1!$X$48:$Z$67,MATCH(Table1[[#This Row], [ROOM]],Sheet1!$P$48:$P$67,0),MATCH(Table1[[#This Row], [WEAPON]],Sheet1!$X$47:$Z$47,0)))/Table1[[#This Row], [NUM OF MEM]]</f>
        <v>4.95</v>
      </c>
      <c r="Q520" s="9">
        <f>Table1[[#This Row], [ROOM TIME]]+Table1[[#This Row], [GUARD TIME]]</f>
        <v>47.626666666666658</v>
      </c>
      <c r="R520" s="4">
        <f>Sheet1!$K$3*_xlfn.XLOOKUP(Table1[[#This Row], [DISGUISE]],Sheet1!$A$21:$A$23,Sheet1!$D$21:$D$23)</f>
        <v>66</v>
      </c>
      <c r="S520" s="9">
        <f>Table1[[#This Row], [TOTAL TIME]]-Table1[[#This Row], [TOTAL TIME TAKEN]]</f>
        <v>18.373333333333342</v>
      </c>
      <c r="T520" t="str">
        <f>IF(Table1[[#This Row], [TIME DIFFERENCE]]&gt;=0,"PASS","FAIL")</f>
        <v>PASS</v>
      </c>
      <c r="U520" s="9">
        <f>Table1[[#This Row], [TRC]]+Table1[[#This Row], [DRC]]+Table1[[#This Row], [WRC]]+Table1[[#This Row], [ERC]]+Table1[[#This Row], [EQRC]]</f>
        <v>8155607.5999999996</v>
      </c>
      <c r="V520" s="9">
        <f>Table1[[#This Row], [TOTAL COST]]+_xlfn.XLOOKUP(Table1[[#This Row], [TEAM]],Sheet1!$A$12:$A$17,Sheet1!$I$12:$I$17)</f>
        <v>8452107.5999999996</v>
      </c>
      <c r="W520" s="9">
        <f>Table1[[#This Row], [LOOT]]-Table1[[#This Row], [TOTAL COST]]</f>
        <v>9794392.4000000004</v>
      </c>
      <c r="X520" s="9">
        <f>IF(Table1[[#This Row], [PASS/FAIL]]="FAIL",0,Table1[[#This Row], [PROFIT]])</f>
        <v>9794392.4000000004</v>
      </c>
    </row>
    <row r="521" spans="1:24" ht="19.5" customHeight="1" x14ac:dyDescent="0.45">
      <c r="A521" t="s">
        <v>12</v>
      </c>
      <c r="B521" s="14">
        <f>_xlfn.XLOOKUP(Table1[[#This Row], [TEAM]],Sheet1!$A$12:$A$17,Sheet1!$F$12:$F$17)</f>
        <v>3</v>
      </c>
      <c r="C521" s="14">
        <f>_xlfn.XLOOKUP(Table1[[#This Row], [TEAM]],Sheet1!$A$12:$A$17,Sheet1!$G$12:$G$17)</f>
        <v>5988750</v>
      </c>
      <c r="D521" t="s">
        <v>24</v>
      </c>
      <c r="E521" s="4">
        <f>_xlfn.XLOOKUP(Table1[[#This Row], [ROOM]],Sheet1!$A$47:$A$66,Sheet1!$B$47:$B$66)</f>
        <v>345</v>
      </c>
      <c r="F521" t="s">
        <v>62</v>
      </c>
      <c r="G521" s="4">
        <f>_xlfn.XLOOKUP(Table1[[#This Row], [DISGUISE]],Sheet1!$A$21:$A$23,Sheet1!$B$21:$B$23)*Table1[[#This Row], [NUM OF MEM]]*(1+_xlfn.XLOOKUP(Table1[[#This Row], [DISGUISE]],Sheet1!$A$21:$A$23,Sheet1!$C$21:$C$23))</f>
        <v>15600</v>
      </c>
      <c r="H521" s="13" t="s">
        <v>66</v>
      </c>
      <c r="I521" s="4">
        <f>_xlfn.XLOOKUP(Table1[[#This Row], [WEAPON]],Sheet1!$A$27:$A$29,Sheet1!$B$27:$B$29)*Table1[[#This Row], [NUM OF MEM]]*(1+_xlfn.XLOOKUP(Table1[[#This Row], [WEAPON]],Sheet1!$A$27:$A$29,Sheet1!$C$27:$C$29))</f>
        <v>108000</v>
      </c>
      <c r="J521" t="s">
        <v>64</v>
      </c>
      <c r="K521" s="9">
        <f>Table1[[#This Row], [NUM OF MEM]]*Table1[[#This Row], [TOTAL TIME TAKEN]]*_xlfn.XLOOKUP(Table1[[#This Row], [EXIT]],Sheet1!$A$70:$A$71,Sheet1!$B$70:$B$71)*(1+_xlfn.XLOOKUP(Table1[[#This Row], [EXIT]],Sheet1!$A$70:$A$71,Sheet1!$C$70:$C$71))</f>
        <v>1785801.5999999994</v>
      </c>
      <c r="L521" s="13" t="s">
        <v>65</v>
      </c>
      <c r="M521" s="4">
        <f>IF(Table1[[#This Row], [EQUIPMENT]]="YES",Sheet1!$C$44*(1+Sheet1!$D$44),0)</f>
        <v>307500</v>
      </c>
      <c r="N521" s="4">
        <f>_xlfn.XLOOKUP(Table1[[#This Row], [ROOM]],Sheet1!$A$47:$A$66,Sheet1!$F$47:$F$66)</f>
        <v>18000000</v>
      </c>
      <c r="O521" s="9">
        <f>_xlfn.XLOOKUP(_xlfn.CONCAT(Table1[[#This Row], [TEAM]],Table1[[#This Row], [ROOM]]),'ROOM TIME'!$H$2:$H$121,'ROOM TIME'!$J$2:$J$121)</f>
        <v>40.9311111111111</v>
      </c>
      <c r="P521" s="4">
        <f>(INDEX(Sheet1!$X$48:$Z$67,MATCH(Table1[[#This Row], [ROOM]],Sheet1!$P$48:$P$67,0),MATCH(Table1[[#This Row], [WEAPON]],Sheet1!$X$47:$Z$47,0)))/Table1[[#This Row], [NUM OF MEM]]</f>
        <v>5</v>
      </c>
      <c r="Q521" s="9">
        <f>Table1[[#This Row], [ROOM TIME]]+Table1[[#This Row], [GUARD TIME]]</f>
        <v>45.9311111111111</v>
      </c>
      <c r="R521" s="4">
        <f>Sheet1!$K$3*_xlfn.XLOOKUP(Table1[[#This Row], [DISGUISE]],Sheet1!$A$21:$A$23,Sheet1!$D$21:$D$23)</f>
        <v>66</v>
      </c>
      <c r="S521" s="9">
        <f>Table1[[#This Row], [TOTAL TIME]]-Table1[[#This Row], [TOTAL TIME TAKEN]]</f>
        <v>20.0688888888889</v>
      </c>
      <c r="T521" t="str">
        <f>IF(Table1[[#This Row], [TIME DIFFERENCE]]&gt;=0,"PASS","FAIL")</f>
        <v>PASS</v>
      </c>
      <c r="U521" s="9">
        <f>Table1[[#This Row], [TRC]]+Table1[[#This Row], [DRC]]+Table1[[#This Row], [WRC]]+Table1[[#This Row], [ERC]]+Table1[[#This Row], [EQRC]]</f>
        <v>8205651.5999999996</v>
      </c>
      <c r="V521" s="9">
        <f>Table1[[#This Row], [TOTAL COST]]+_xlfn.XLOOKUP(Table1[[#This Row], [TEAM]],Sheet1!$A$12:$A$17,Sheet1!$I$12:$I$17)</f>
        <v>8505089.0999999996</v>
      </c>
      <c r="W521" s="9">
        <f>Table1[[#This Row], [LOOT]]-Table1[[#This Row], [TOTAL COST]]</f>
        <v>9794348.4000000004</v>
      </c>
      <c r="X521" s="9">
        <f>IF(Table1[[#This Row], [PASS/FAIL]]="FAIL",0,Table1[[#This Row], [PROFIT]])</f>
        <v>9794348.4000000004</v>
      </c>
    </row>
    <row r="522" spans="1:24" ht="19.5" customHeight="1" x14ac:dyDescent="0.45">
      <c r="A522" t="s">
        <v>13</v>
      </c>
      <c r="B522" s="14">
        <f>_xlfn.XLOOKUP(Table1[[#This Row], [TEAM]],Sheet1!$A$12:$A$17,Sheet1!$F$12:$F$17)</f>
        <v>3</v>
      </c>
      <c r="C522" s="14">
        <f>_xlfn.XLOOKUP(Table1[[#This Row], [TEAM]],Sheet1!$A$12:$A$17,Sheet1!$G$12:$G$17)</f>
        <v>5930000</v>
      </c>
      <c r="D522" t="s">
        <v>24</v>
      </c>
      <c r="E522" s="4">
        <f>_xlfn.XLOOKUP(Table1[[#This Row], [ROOM]],Sheet1!$A$47:$A$66,Sheet1!$B$47:$B$66)</f>
        <v>345</v>
      </c>
      <c r="F522" t="s">
        <v>62</v>
      </c>
      <c r="G522" s="4">
        <f>_xlfn.XLOOKUP(Table1[[#This Row], [DISGUISE]],Sheet1!$A$21:$A$23,Sheet1!$B$21:$B$23)*Table1[[#This Row], [NUM OF MEM]]*(1+_xlfn.XLOOKUP(Table1[[#This Row], [DISGUISE]],Sheet1!$A$21:$A$23,Sheet1!$C$21:$C$23))</f>
        <v>15600</v>
      </c>
      <c r="H522" s="13" t="s">
        <v>59</v>
      </c>
      <c r="I522" s="4">
        <f>_xlfn.XLOOKUP(Table1[[#This Row], [WEAPON]],Sheet1!$A$27:$A$29,Sheet1!$B$27:$B$29)*Table1[[#This Row], [NUM OF MEM]]*(1+_xlfn.XLOOKUP(Table1[[#This Row], [WEAPON]],Sheet1!$A$27:$A$29,Sheet1!$C$27:$C$29))</f>
        <v>136500</v>
      </c>
      <c r="J522" t="s">
        <v>60</v>
      </c>
      <c r="K522" s="9">
        <f>Table1[[#This Row], [NUM OF MEM]]*Table1[[#This Row], [TOTAL TIME TAKEN]]*_xlfn.XLOOKUP(Table1[[#This Row], [EXIT]],Sheet1!$A$70:$A$71,Sheet1!$B$70:$B$71)*(1+_xlfn.XLOOKUP(Table1[[#This Row], [EXIT]],Sheet1!$A$70:$A$71,Sheet1!$C$70:$C$71))</f>
        <v>1816611.4749999999</v>
      </c>
      <c r="L522" s="13" t="s">
        <v>65</v>
      </c>
      <c r="M522" s="4">
        <f>IF(Table1[[#This Row], [EQUIPMENT]]="YES",Sheet1!$C$44*(1+Sheet1!$D$44),0)</f>
        <v>307500</v>
      </c>
      <c r="N522" s="4">
        <f>_xlfn.XLOOKUP(Table1[[#This Row], [ROOM]],Sheet1!$A$47:$A$66,Sheet1!$F$47:$F$66)</f>
        <v>18000000</v>
      </c>
      <c r="O522" s="9">
        <f>_xlfn.XLOOKUP(_xlfn.CONCAT(Table1[[#This Row], [TEAM]],Table1[[#This Row], [ROOM]]),'ROOM TIME'!$H$2:$H$121,'ROOM TIME'!$J$2:$J$121)</f>
        <v>42.587777777777774</v>
      </c>
      <c r="P522" s="9">
        <f>(INDEX(Sheet1!$X$48:$Z$67,MATCH(Table1[[#This Row], [ROOM]],Sheet1!$P$48:$P$67,0),MATCH(Table1[[#This Row], [WEAPON]],Sheet1!$X$47:$Z$47,0)))/Table1[[#This Row], [NUM OF MEM]]</f>
        <v>4.5999999999999996</v>
      </c>
      <c r="Q522" s="9">
        <f>Table1[[#This Row], [ROOM TIME]]+Table1[[#This Row], [GUARD TIME]]</f>
        <v>47.187777777777775</v>
      </c>
      <c r="R522" s="4">
        <f>Sheet1!$K$3*_xlfn.XLOOKUP(Table1[[#This Row], [DISGUISE]],Sheet1!$A$21:$A$23,Sheet1!$D$21:$D$23)</f>
        <v>66</v>
      </c>
      <c r="S522" s="9">
        <f>Table1[[#This Row], [TOTAL TIME]]-Table1[[#This Row], [TOTAL TIME TAKEN]]</f>
        <v>18.812222222222225</v>
      </c>
      <c r="T522" t="str">
        <f>IF(Table1[[#This Row], [TIME DIFFERENCE]]&gt;=0,"PASS","FAIL")</f>
        <v>PASS</v>
      </c>
      <c r="U522" s="9">
        <f>Table1[[#This Row], [TRC]]+Table1[[#This Row], [DRC]]+Table1[[#This Row], [WRC]]+Table1[[#This Row], [ERC]]+Table1[[#This Row], [EQRC]]</f>
        <v>8206211.4749999996</v>
      </c>
      <c r="V522" s="9">
        <f>Table1[[#This Row], [TOTAL COST]]+_xlfn.XLOOKUP(Table1[[#This Row], [TEAM]],Sheet1!$A$12:$A$17,Sheet1!$I$12:$I$17)</f>
        <v>8502711.4749999996</v>
      </c>
      <c r="W522" s="9">
        <f>Table1[[#This Row], [LOOT]]-Table1[[#This Row], [TOTAL COST]]</f>
        <v>9793788.5250000004</v>
      </c>
      <c r="X522" s="9">
        <f>IF(Table1[[#This Row], [PASS/FAIL]]="FAIL",0,Table1[[#This Row], [PROFIT]])</f>
        <v>9793788.5250000004</v>
      </c>
    </row>
    <row r="523" spans="1:24" ht="19.5" customHeight="1" x14ac:dyDescent="0.45">
      <c r="A523" t="s">
        <v>9</v>
      </c>
      <c r="B523" s="14">
        <f>_xlfn.XLOOKUP(Table1[[#This Row], [TEAM]],Sheet1!$A$12:$A$17,Sheet1!$F$12:$F$17)</f>
        <v>3</v>
      </c>
      <c r="C523" s="14">
        <f>_xlfn.XLOOKUP(Table1[[#This Row], [TEAM]],Sheet1!$A$12:$A$17,Sheet1!$G$12:$G$17)</f>
        <v>6238750</v>
      </c>
      <c r="D523" t="s">
        <v>10</v>
      </c>
      <c r="E523" s="4">
        <f>_xlfn.XLOOKUP(Table1[[#This Row], [ROOM]],Sheet1!$A$47:$A$66,Sheet1!$B$47:$B$66)</f>
        <v>123</v>
      </c>
      <c r="F523" t="s">
        <v>62</v>
      </c>
      <c r="G523" s="4">
        <f>_xlfn.XLOOKUP(Table1[[#This Row], [DISGUISE]],Sheet1!$A$21:$A$23,Sheet1!$B$21:$B$23)*Table1[[#This Row], [NUM OF MEM]]*(1+_xlfn.XLOOKUP(Table1[[#This Row], [DISGUISE]],Sheet1!$A$21:$A$23,Sheet1!$C$21:$C$23))</f>
        <v>15600</v>
      </c>
      <c r="H523" s="13" t="s">
        <v>63</v>
      </c>
      <c r="I523" s="4">
        <f>_xlfn.XLOOKUP(Table1[[#This Row], [WEAPON]],Sheet1!$A$27:$A$29,Sheet1!$B$27:$B$29)*Table1[[#This Row], [NUM OF MEM]]*(1+_xlfn.XLOOKUP(Table1[[#This Row], [WEAPON]],Sheet1!$A$27:$A$29,Sheet1!$C$27:$C$29))</f>
        <v>69000</v>
      </c>
      <c r="J523" t="s">
        <v>60</v>
      </c>
      <c r="K523" s="9">
        <f>Table1[[#This Row], [NUM OF MEM]]*Table1[[#This Row], [TOTAL TIME TAKEN]]*_xlfn.XLOOKUP(Table1[[#This Row], [EXIT]],Sheet1!$A$70:$A$71,Sheet1!$B$70:$B$71)*(1+_xlfn.XLOOKUP(Table1[[#This Row], [EXIT]],Sheet1!$A$70:$A$71,Sheet1!$C$70:$C$71))</f>
        <v>1733777.6874999993</v>
      </c>
      <c r="L523" s="13" t="s">
        <v>61</v>
      </c>
      <c r="M523" s="4">
        <f>IF(Table1[[#This Row], [EQUIPMENT]]="YES",Sheet1!$C$44*(1+Sheet1!$D$44),0)</f>
        <v>0</v>
      </c>
      <c r="N523" s="4">
        <f>_xlfn.XLOOKUP(Table1[[#This Row], [ROOM]],Sheet1!$A$47:$A$66,Sheet1!$F$47:$F$66)</f>
        <v>17850000</v>
      </c>
      <c r="O523" s="9">
        <f>_xlfn.XLOOKUP(_xlfn.CONCAT(Table1[[#This Row], [TEAM]],Table1[[#This Row], [ROOM]]),'ROOM TIME'!$H$2:$H$121,'ROOM TIME'!$J$2:$J$121)</f>
        <v>39.636111111111099</v>
      </c>
      <c r="P523" s="9">
        <f>(INDEX(Sheet1!$X$48:$Z$67,MATCH(Table1[[#This Row], [ROOM]],Sheet1!$P$48:$P$67,0),MATCH(Table1[[#This Row], [WEAPON]],Sheet1!$X$47:$Z$47,0)))/Table1[[#This Row], [NUM OF MEM]]</f>
        <v>5.4000000000000012</v>
      </c>
      <c r="Q523" s="9">
        <f>Table1[[#This Row], [ROOM TIME]]+Table1[[#This Row], [GUARD TIME]]</f>
        <v>45.036111111111097</v>
      </c>
      <c r="R523" s="4">
        <f>Sheet1!$K$3*_xlfn.XLOOKUP(Table1[[#This Row], [DISGUISE]],Sheet1!$A$21:$A$23,Sheet1!$D$21:$D$23)</f>
        <v>66</v>
      </c>
      <c r="S523" s="9">
        <f>Table1[[#This Row], [TOTAL TIME]]-Table1[[#This Row], [TOTAL TIME TAKEN]]</f>
        <v>20.963888888888903</v>
      </c>
      <c r="T523" t="str">
        <f>IF(Table1[[#This Row], [TIME DIFFERENCE]]&gt;=0,"PASS","FAIL")</f>
        <v>PASS</v>
      </c>
      <c r="U523" s="9">
        <f>Table1[[#This Row], [TRC]]+Table1[[#This Row], [DRC]]+Table1[[#This Row], [WRC]]+Table1[[#This Row], [ERC]]+Table1[[#This Row], [EQRC]]</f>
        <v>8057127.6874999991</v>
      </c>
      <c r="V523" s="9">
        <f>Table1[[#This Row], [TOTAL COST]]+_xlfn.XLOOKUP(Table1[[#This Row], [TEAM]],Sheet1!$A$12:$A$17,Sheet1!$I$12:$I$17)</f>
        <v>8369065.1874999991</v>
      </c>
      <c r="W523" s="9">
        <f>Table1[[#This Row], [LOOT]]-Table1[[#This Row], [TOTAL COST]]</f>
        <v>9792872.3125</v>
      </c>
      <c r="X523" s="9">
        <f>IF(Table1[[#This Row], [PASS/FAIL]]="FAIL",0,Table1[[#This Row], [PROFIT]])</f>
        <v>9792872.3125</v>
      </c>
    </row>
    <row r="524" spans="1:24" ht="19.5" customHeight="1" x14ac:dyDescent="0.45">
      <c r="A524" t="s">
        <v>14</v>
      </c>
      <c r="B524" s="14">
        <f>_xlfn.XLOOKUP(Table1[[#This Row], [TEAM]],Sheet1!$A$12:$A$17,Sheet1!$F$12:$F$17)</f>
        <v>2</v>
      </c>
      <c r="C524" s="14">
        <f>_xlfn.XLOOKUP(Table1[[#This Row], [TEAM]],Sheet1!$A$12:$A$17,Sheet1!$G$12:$G$17)</f>
        <v>5949600</v>
      </c>
      <c r="D524" t="s">
        <v>27</v>
      </c>
      <c r="E524" s="4">
        <f>_xlfn.XLOOKUP(Table1[[#This Row], [ROOM]],Sheet1!$A$47:$A$66,Sheet1!$B$47:$B$66)</f>
        <v>146</v>
      </c>
      <c r="F524" t="s">
        <v>58</v>
      </c>
      <c r="G524" s="4">
        <f>_xlfn.XLOOKUP(Table1[[#This Row], [DISGUISE]],Sheet1!$A$21:$A$23,Sheet1!$B$21:$B$23)*Table1[[#This Row], [NUM OF MEM]]*(1+_xlfn.XLOOKUP(Table1[[#This Row], [DISGUISE]],Sheet1!$A$21:$A$23,Sheet1!$C$21:$C$23))</f>
        <v>25600</v>
      </c>
      <c r="H524" s="13" t="s">
        <v>63</v>
      </c>
      <c r="I524" s="4">
        <f>_xlfn.XLOOKUP(Table1[[#This Row], [WEAPON]],Sheet1!$A$27:$A$29,Sheet1!$B$27:$B$29)*Table1[[#This Row], [NUM OF MEM]]*(1+_xlfn.XLOOKUP(Table1[[#This Row], [WEAPON]],Sheet1!$A$27:$A$29,Sheet1!$C$27:$C$29))</f>
        <v>46000</v>
      </c>
      <c r="J524" t="s">
        <v>60</v>
      </c>
      <c r="K524" s="9">
        <f>Table1[[#This Row], [NUM OF MEM]]*Table1[[#This Row], [TOTAL TIME TAKEN]]*_xlfn.XLOOKUP(Table1[[#This Row], [EXIT]],Sheet1!$A$70:$A$71,Sheet1!$B$70:$B$71)*(1+_xlfn.XLOOKUP(Table1[[#This Row], [EXIT]],Sheet1!$A$70:$A$71,Sheet1!$C$70:$C$71))</f>
        <v>1629984.1499999997</v>
      </c>
      <c r="L524" s="13" t="s">
        <v>65</v>
      </c>
      <c r="M524" s="4">
        <f>IF(Table1[[#This Row], [EQUIPMENT]]="YES",Sheet1!$C$44*(1+Sheet1!$D$44),0)</f>
        <v>307500</v>
      </c>
      <c r="N524" s="4">
        <f>_xlfn.XLOOKUP(Table1[[#This Row], [ROOM]],Sheet1!$A$47:$A$66,Sheet1!$F$47:$F$66)</f>
        <v>17750000</v>
      </c>
      <c r="O524" s="9">
        <f>_xlfn.XLOOKUP(_xlfn.CONCAT(Table1[[#This Row], [TEAM]],Table1[[#This Row], [ROOM]]),'ROOM TIME'!$H$2:$H$121,'ROOM TIME'!$J$2:$J$121)</f>
        <v>56.084999999999987</v>
      </c>
      <c r="P524" s="9">
        <f>(INDEX(Sheet1!$X$48:$Z$67,MATCH(Table1[[#This Row], [ROOM]],Sheet1!$P$48:$P$67,0),MATCH(Table1[[#This Row], [WEAPON]],Sheet1!$X$47:$Z$47,0)))/Table1[[#This Row], [NUM OF MEM]]</f>
        <v>7.4250000000000007</v>
      </c>
      <c r="Q524" s="9">
        <f>Table1[[#This Row], [ROOM TIME]]+Table1[[#This Row], [GUARD TIME]]</f>
        <v>63.509999999999991</v>
      </c>
      <c r="R524" s="4">
        <f>Sheet1!$K$3*_xlfn.XLOOKUP(Table1[[#This Row], [DISGUISE]],Sheet1!$A$21:$A$23,Sheet1!$D$21:$D$23)</f>
        <v>69</v>
      </c>
      <c r="S524" s="9">
        <f>Table1[[#This Row], [TOTAL TIME]]-Table1[[#This Row], [TOTAL TIME TAKEN]]</f>
        <v>5.4900000000000091</v>
      </c>
      <c r="T524" t="str">
        <f>IF(Table1[[#This Row], [TIME DIFFERENCE]]&gt;=0,"PASS","FAIL")</f>
        <v>PASS</v>
      </c>
      <c r="U524" s="9">
        <f>Table1[[#This Row], [TRC]]+Table1[[#This Row], [DRC]]+Table1[[#This Row], [WRC]]+Table1[[#This Row], [ERC]]+Table1[[#This Row], [EQRC]]</f>
        <v>7958684.1499999994</v>
      </c>
      <c r="V524" s="9">
        <f>Table1[[#This Row], [TOTAL COST]]+_xlfn.XLOOKUP(Table1[[#This Row], [TEAM]],Sheet1!$A$12:$A$17,Sheet1!$I$12:$I$17)</f>
        <v>8256164.1499999994</v>
      </c>
      <c r="W524" s="9">
        <f>Table1[[#This Row], [LOOT]]-Table1[[#This Row], [TOTAL COST]]</f>
        <v>9791315.8500000015</v>
      </c>
      <c r="X524" s="9">
        <f>IF(Table1[[#This Row], [PASS/FAIL]]="FAIL",0,Table1[[#This Row], [PROFIT]])</f>
        <v>9791315.8500000015</v>
      </c>
    </row>
    <row r="525" spans="1:24" ht="19.5" customHeight="1" x14ac:dyDescent="0.45">
      <c r="A525" t="s">
        <v>14</v>
      </c>
      <c r="B525" s="14">
        <f>_xlfn.XLOOKUP(Table1[[#This Row], [TEAM]],Sheet1!$A$12:$A$17,Sheet1!$F$12:$F$17)</f>
        <v>2</v>
      </c>
      <c r="C525" s="14">
        <f>_xlfn.XLOOKUP(Table1[[#This Row], [TEAM]],Sheet1!$A$12:$A$17,Sheet1!$G$12:$G$17)</f>
        <v>5949600</v>
      </c>
      <c r="D525" t="s">
        <v>27</v>
      </c>
      <c r="E525" s="4">
        <f>_xlfn.XLOOKUP(Table1[[#This Row], [ROOM]],Sheet1!$A$47:$A$66,Sheet1!$B$47:$B$66)</f>
        <v>146</v>
      </c>
      <c r="F525" t="s">
        <v>62</v>
      </c>
      <c r="G525" s="4">
        <f>_xlfn.XLOOKUP(Table1[[#This Row], [DISGUISE]],Sheet1!$A$21:$A$23,Sheet1!$B$21:$B$23)*Table1[[#This Row], [NUM OF MEM]]*(1+_xlfn.XLOOKUP(Table1[[#This Row], [DISGUISE]],Sheet1!$A$21:$A$23,Sheet1!$C$21:$C$23))</f>
        <v>10400</v>
      </c>
      <c r="H525" s="13" t="s">
        <v>63</v>
      </c>
      <c r="I525" s="4">
        <f>_xlfn.XLOOKUP(Table1[[#This Row], [WEAPON]],Sheet1!$A$27:$A$29,Sheet1!$B$27:$B$29)*Table1[[#This Row], [NUM OF MEM]]*(1+_xlfn.XLOOKUP(Table1[[#This Row], [WEAPON]],Sheet1!$A$27:$A$29,Sheet1!$C$27:$C$29))</f>
        <v>46000</v>
      </c>
      <c r="J525" t="s">
        <v>64</v>
      </c>
      <c r="K525" s="9">
        <f>Table1[[#This Row], [NUM OF MEM]]*Table1[[#This Row], [TOTAL TIME TAKEN]]*_xlfn.XLOOKUP(Table1[[#This Row], [EXIT]],Sheet1!$A$70:$A$71,Sheet1!$B$70:$B$71)*(1+_xlfn.XLOOKUP(Table1[[#This Row], [EXIT]],Sheet1!$A$70:$A$71,Sheet1!$C$70:$C$71))</f>
        <v>1646179.1999999997</v>
      </c>
      <c r="L525" s="13" t="s">
        <v>65</v>
      </c>
      <c r="M525" s="4">
        <f>IF(Table1[[#This Row], [EQUIPMENT]]="YES",Sheet1!$C$44*(1+Sheet1!$D$44),0)</f>
        <v>307500</v>
      </c>
      <c r="N525" s="4">
        <f>_xlfn.XLOOKUP(Table1[[#This Row], [ROOM]],Sheet1!$A$47:$A$66,Sheet1!$F$47:$F$66)</f>
        <v>17750000</v>
      </c>
      <c r="O525" s="9">
        <f>_xlfn.XLOOKUP(_xlfn.CONCAT(Table1[[#This Row], [TEAM]],Table1[[#This Row], [ROOM]]),'ROOM TIME'!$H$2:$H$121,'ROOM TIME'!$J$2:$J$121)</f>
        <v>56.084999999999987</v>
      </c>
      <c r="P525" s="9">
        <f>(INDEX(Sheet1!$X$48:$Z$67,MATCH(Table1[[#This Row], [ROOM]],Sheet1!$P$48:$P$67,0),MATCH(Table1[[#This Row], [WEAPON]],Sheet1!$X$47:$Z$47,0)))/Table1[[#This Row], [NUM OF MEM]]</f>
        <v>7.4250000000000007</v>
      </c>
      <c r="Q525" s="9">
        <f>Table1[[#This Row], [ROOM TIME]]+Table1[[#This Row], [GUARD TIME]]</f>
        <v>63.509999999999991</v>
      </c>
      <c r="R525" s="4">
        <f>Sheet1!$K$3*_xlfn.XLOOKUP(Table1[[#This Row], [DISGUISE]],Sheet1!$A$21:$A$23,Sheet1!$D$21:$D$23)</f>
        <v>66</v>
      </c>
      <c r="S525" s="9">
        <f>Table1[[#This Row], [TOTAL TIME]]-Table1[[#This Row], [TOTAL TIME TAKEN]]</f>
        <v>2.4900000000000091</v>
      </c>
      <c r="T525" t="str">
        <f>IF(Table1[[#This Row], [TIME DIFFERENCE]]&gt;=0,"PASS","FAIL")</f>
        <v>PASS</v>
      </c>
      <c r="U525" s="9">
        <f>Table1[[#This Row], [TRC]]+Table1[[#This Row], [DRC]]+Table1[[#This Row], [WRC]]+Table1[[#This Row], [ERC]]+Table1[[#This Row], [EQRC]]</f>
        <v>7959679.1999999993</v>
      </c>
      <c r="V525" s="9">
        <f>Table1[[#This Row], [TOTAL COST]]+_xlfn.XLOOKUP(Table1[[#This Row], [TEAM]],Sheet1!$A$12:$A$17,Sheet1!$I$12:$I$17)</f>
        <v>8257159.1999999993</v>
      </c>
      <c r="W525" s="9">
        <f>Table1[[#This Row], [LOOT]]-Table1[[#This Row], [TOTAL COST]]</f>
        <v>9790320.8000000007</v>
      </c>
      <c r="X525" s="9">
        <f>IF(Table1[[#This Row], [PASS/FAIL]]="FAIL",0,Table1[[#This Row], [PROFIT]])</f>
        <v>9790320.8000000007</v>
      </c>
    </row>
    <row r="526" spans="1:24" ht="19.5" customHeight="1" x14ac:dyDescent="0.45">
      <c r="A526" t="s">
        <v>14</v>
      </c>
      <c r="B526" s="14">
        <f>_xlfn.XLOOKUP(Table1[[#This Row], [TEAM]],Sheet1!$A$12:$A$17,Sheet1!$F$12:$F$17)</f>
        <v>2</v>
      </c>
      <c r="C526" s="14">
        <f>_xlfn.XLOOKUP(Table1[[#This Row], [TEAM]],Sheet1!$A$12:$A$17,Sheet1!$G$12:$G$17)</f>
        <v>5949600</v>
      </c>
      <c r="D526" t="s">
        <v>27</v>
      </c>
      <c r="E526" s="4">
        <f>_xlfn.XLOOKUP(Table1[[#This Row], [ROOM]],Sheet1!$A$47:$A$66,Sheet1!$B$47:$B$66)</f>
        <v>146</v>
      </c>
      <c r="F526" t="s">
        <v>62</v>
      </c>
      <c r="G526" s="4">
        <f>_xlfn.XLOOKUP(Table1[[#This Row], [DISGUISE]],Sheet1!$A$21:$A$23,Sheet1!$B$21:$B$23)*Table1[[#This Row], [NUM OF MEM]]*(1+_xlfn.XLOOKUP(Table1[[#This Row], [DISGUISE]],Sheet1!$A$21:$A$23,Sheet1!$C$21:$C$23))</f>
        <v>10400</v>
      </c>
      <c r="H526" s="13" t="s">
        <v>59</v>
      </c>
      <c r="I526" s="4">
        <f>_xlfn.XLOOKUP(Table1[[#This Row], [WEAPON]],Sheet1!$A$27:$A$29,Sheet1!$B$27:$B$29)*Table1[[#This Row], [NUM OF MEM]]*(1+_xlfn.XLOOKUP(Table1[[#This Row], [WEAPON]],Sheet1!$A$27:$A$29,Sheet1!$C$27:$C$29))</f>
        <v>91000</v>
      </c>
      <c r="J526" t="s">
        <v>60</v>
      </c>
      <c r="K526" s="9">
        <f>Table1[[#This Row], [NUM OF MEM]]*Table1[[#This Row], [TOTAL TIME TAKEN]]*_xlfn.XLOOKUP(Table1[[#This Row], [EXIT]],Sheet1!$A$70:$A$71,Sheet1!$B$70:$B$71)*(1+_xlfn.XLOOKUP(Table1[[#This Row], [EXIT]],Sheet1!$A$70:$A$71,Sheet1!$C$70:$C$71))</f>
        <v>1601752.6499999997</v>
      </c>
      <c r="L526" s="13" t="s">
        <v>65</v>
      </c>
      <c r="M526" s="4">
        <f>IF(Table1[[#This Row], [EQUIPMENT]]="YES",Sheet1!$C$44*(1+Sheet1!$D$44),0)</f>
        <v>307500</v>
      </c>
      <c r="N526" s="4">
        <f>_xlfn.XLOOKUP(Table1[[#This Row], [ROOM]],Sheet1!$A$47:$A$66,Sheet1!$F$47:$F$66)</f>
        <v>17750000</v>
      </c>
      <c r="O526" s="9">
        <f>_xlfn.XLOOKUP(_xlfn.CONCAT(Table1[[#This Row], [TEAM]],Table1[[#This Row], [ROOM]]),'ROOM TIME'!$H$2:$H$121,'ROOM TIME'!$J$2:$J$121)</f>
        <v>56.084999999999987</v>
      </c>
      <c r="P526" s="9">
        <f>(INDEX(Sheet1!$X$48:$Z$67,MATCH(Table1[[#This Row], [ROOM]],Sheet1!$P$48:$P$67,0),MATCH(Table1[[#This Row], [WEAPON]],Sheet1!$X$47:$Z$47,0)))/Table1[[#This Row], [NUM OF MEM]]</f>
        <v>6.3249999999999993</v>
      </c>
      <c r="Q526" s="9">
        <f>Table1[[#This Row], [ROOM TIME]]+Table1[[#This Row], [GUARD TIME]]</f>
        <v>62.409999999999982</v>
      </c>
      <c r="R526" s="4">
        <f>Sheet1!$K$3*_xlfn.XLOOKUP(Table1[[#This Row], [DISGUISE]],Sheet1!$A$21:$A$23,Sheet1!$D$21:$D$23)</f>
        <v>66</v>
      </c>
      <c r="S526" s="9">
        <f>Table1[[#This Row], [TOTAL TIME]]-Table1[[#This Row], [TOTAL TIME TAKEN]]</f>
        <v>3.5900000000000176</v>
      </c>
      <c r="T526" t="str">
        <f>IF(Table1[[#This Row], [TIME DIFFERENCE]]&gt;=0,"PASS","FAIL")</f>
        <v>PASS</v>
      </c>
      <c r="U526" s="9">
        <f>Table1[[#This Row], [TRC]]+Table1[[#This Row], [DRC]]+Table1[[#This Row], [WRC]]+Table1[[#This Row], [ERC]]+Table1[[#This Row], [EQRC]]</f>
        <v>7960252.6499999994</v>
      </c>
      <c r="V526" s="9">
        <f>Table1[[#This Row], [TOTAL COST]]+_xlfn.XLOOKUP(Table1[[#This Row], [TEAM]],Sheet1!$A$12:$A$17,Sheet1!$I$12:$I$17)</f>
        <v>8257732.6499999994</v>
      </c>
      <c r="W526" s="9">
        <f>Table1[[#This Row], [LOOT]]-Table1[[#This Row], [TOTAL COST]]</f>
        <v>9789747.3500000015</v>
      </c>
      <c r="X526" s="9">
        <f>IF(Table1[[#This Row], [PASS/FAIL]]="FAIL",0,Table1[[#This Row], [PROFIT]])</f>
        <v>9789747.3500000015</v>
      </c>
    </row>
    <row r="527" spans="1:24" ht="19.5" customHeight="1" x14ac:dyDescent="0.45">
      <c r="A527" t="s">
        <v>12</v>
      </c>
      <c r="B527" s="14">
        <f>_xlfn.XLOOKUP(Table1[[#This Row], [TEAM]],Sheet1!$A$12:$A$17,Sheet1!$F$12:$F$17)</f>
        <v>3</v>
      </c>
      <c r="C527" s="14">
        <f>_xlfn.XLOOKUP(Table1[[#This Row], [TEAM]],Sheet1!$A$12:$A$17,Sheet1!$G$12:$G$17)</f>
        <v>5988750</v>
      </c>
      <c r="D527" t="s">
        <v>18</v>
      </c>
      <c r="E527" s="4">
        <f>_xlfn.XLOOKUP(Table1[[#This Row], [ROOM]],Sheet1!$A$47:$A$66,Sheet1!$B$47:$B$66)</f>
        <v>134</v>
      </c>
      <c r="F527" t="s">
        <v>58</v>
      </c>
      <c r="G527" s="4">
        <f>_xlfn.XLOOKUP(Table1[[#This Row], [DISGUISE]],Sheet1!$A$21:$A$23,Sheet1!$B$21:$B$23)*Table1[[#This Row], [NUM OF MEM]]*(1+_xlfn.XLOOKUP(Table1[[#This Row], [DISGUISE]],Sheet1!$A$21:$A$23,Sheet1!$C$21:$C$23))</f>
        <v>38400</v>
      </c>
      <c r="H527" s="13" t="s">
        <v>59</v>
      </c>
      <c r="I527" s="4">
        <f>_xlfn.XLOOKUP(Table1[[#This Row], [WEAPON]],Sheet1!$A$27:$A$29,Sheet1!$B$27:$B$29)*Table1[[#This Row], [NUM OF MEM]]*(1+_xlfn.XLOOKUP(Table1[[#This Row], [WEAPON]],Sheet1!$A$27:$A$29,Sheet1!$C$27:$C$29))</f>
        <v>136500</v>
      </c>
      <c r="J527" t="s">
        <v>64</v>
      </c>
      <c r="K527" s="9">
        <f>Table1[[#This Row], [NUM OF MEM]]*Table1[[#This Row], [TOTAL TIME TAKEN]]*_xlfn.XLOOKUP(Table1[[#This Row], [EXIT]],Sheet1!$A$70:$A$71,Sheet1!$B$70:$B$71)*(1+_xlfn.XLOOKUP(Table1[[#This Row], [EXIT]],Sheet1!$A$70:$A$71,Sheet1!$C$70:$C$71))</f>
        <v>1789214.3999999997</v>
      </c>
      <c r="L527" s="13" t="s">
        <v>65</v>
      </c>
      <c r="M527" s="4">
        <f>IF(Table1[[#This Row], [EQUIPMENT]]="YES",Sheet1!$C$44*(1+Sheet1!$D$44),0)</f>
        <v>307500</v>
      </c>
      <c r="N527" s="4">
        <f>_xlfn.XLOOKUP(Table1[[#This Row], [ROOM]],Sheet1!$A$47:$A$66,Sheet1!$F$47:$F$66)</f>
        <v>18050000</v>
      </c>
      <c r="O527" s="9">
        <f>_xlfn.XLOOKUP(_xlfn.CONCAT(Table1[[#This Row], [TEAM]],Table1[[#This Row], [ROOM]]),'ROOM TIME'!$H$2:$H$121,'ROOM TIME'!$J$2:$J$121)</f>
        <v>41.41888888888888</v>
      </c>
      <c r="P527" s="9">
        <f>(INDEX(Sheet1!$X$48:$Z$67,MATCH(Table1[[#This Row], [ROOM]],Sheet1!$P$48:$P$67,0),MATCH(Table1[[#This Row], [WEAPON]],Sheet1!$X$47:$Z$47,0)))/Table1[[#This Row], [NUM OF MEM]]</f>
        <v>4.5999999999999996</v>
      </c>
      <c r="Q527" s="9">
        <f>Table1[[#This Row], [ROOM TIME]]+Table1[[#This Row], [GUARD TIME]]</f>
        <v>46.018888888888881</v>
      </c>
      <c r="R527" s="4">
        <f>Sheet1!$K$3*_xlfn.XLOOKUP(Table1[[#This Row], [DISGUISE]],Sheet1!$A$21:$A$23,Sheet1!$D$21:$D$23)</f>
        <v>69</v>
      </c>
      <c r="S527" s="9">
        <f>Table1[[#This Row], [TOTAL TIME]]-Table1[[#This Row], [TOTAL TIME TAKEN]]</f>
        <v>22.981111111111119</v>
      </c>
      <c r="T527" t="str">
        <f>IF(Table1[[#This Row], [TIME DIFFERENCE]]&gt;=0,"PASS","FAIL")</f>
        <v>PASS</v>
      </c>
      <c r="U527" s="9">
        <f>Table1[[#This Row], [TRC]]+Table1[[#This Row], [DRC]]+Table1[[#This Row], [WRC]]+Table1[[#This Row], [ERC]]+Table1[[#This Row], [EQRC]]</f>
        <v>8260364.3999999994</v>
      </c>
      <c r="V527" s="9">
        <f>Table1[[#This Row], [TOTAL COST]]+_xlfn.XLOOKUP(Table1[[#This Row], [TEAM]],Sheet1!$A$12:$A$17,Sheet1!$I$12:$I$17)</f>
        <v>8559801.8999999985</v>
      </c>
      <c r="W527" s="9">
        <f>Table1[[#This Row], [LOOT]]-Table1[[#This Row], [TOTAL COST]]</f>
        <v>9789635.6000000015</v>
      </c>
      <c r="X527" s="9">
        <f>IF(Table1[[#This Row], [PASS/FAIL]]="FAIL",0,Table1[[#This Row], [PROFIT]])</f>
        <v>9789635.6000000015</v>
      </c>
    </row>
    <row r="528" spans="1:24" ht="19.5" customHeight="1" x14ac:dyDescent="0.45">
      <c r="A528" t="s">
        <v>15</v>
      </c>
      <c r="B528" s="14">
        <f>_xlfn.XLOOKUP(Table1[[#This Row], [TEAM]],Sheet1!$A$12:$A$17,Sheet1!$F$12:$F$17)</f>
        <v>2</v>
      </c>
      <c r="C528" s="14">
        <f>_xlfn.XLOOKUP(Table1[[#This Row], [TEAM]],Sheet1!$A$12:$A$17,Sheet1!$G$12:$G$17)</f>
        <v>5932950</v>
      </c>
      <c r="D528" t="s">
        <v>34</v>
      </c>
      <c r="E528" s="4">
        <f>_xlfn.XLOOKUP(Table1[[#This Row], [ROOM]],Sheet1!$A$47:$A$66,Sheet1!$B$47:$B$66)</f>
        <v>456</v>
      </c>
      <c r="F528" t="s">
        <v>62</v>
      </c>
      <c r="G528" s="4">
        <f>_xlfn.XLOOKUP(Table1[[#This Row], [DISGUISE]],Sheet1!$A$21:$A$23,Sheet1!$B$21:$B$23)*Table1[[#This Row], [NUM OF MEM]]*(1+_xlfn.XLOOKUP(Table1[[#This Row], [DISGUISE]],Sheet1!$A$21:$A$23,Sheet1!$C$21:$C$23))</f>
        <v>10400</v>
      </c>
      <c r="H528" s="13" t="s">
        <v>63</v>
      </c>
      <c r="I528" s="4">
        <f>_xlfn.XLOOKUP(Table1[[#This Row], [WEAPON]],Sheet1!$A$27:$A$29,Sheet1!$B$27:$B$29)*Table1[[#This Row], [NUM OF MEM]]*(1+_xlfn.XLOOKUP(Table1[[#This Row], [WEAPON]],Sheet1!$A$27:$A$29,Sheet1!$C$27:$C$29))</f>
        <v>46000</v>
      </c>
      <c r="J528" t="s">
        <v>60</v>
      </c>
      <c r="K528" s="9">
        <f>Table1[[#This Row], [NUM OF MEM]]*Table1[[#This Row], [TOTAL TIME TAKEN]]*_xlfn.XLOOKUP(Table1[[#This Row], [EXIT]],Sheet1!$A$70:$A$71,Sheet1!$B$70:$B$71)*(1+_xlfn.XLOOKUP(Table1[[#This Row], [EXIT]],Sheet1!$A$70:$A$71,Sheet1!$C$70:$C$71))</f>
        <v>1613526.4687499995</v>
      </c>
      <c r="L528" s="13" t="s">
        <v>65</v>
      </c>
      <c r="M528" s="4">
        <f>IF(Table1[[#This Row], [EQUIPMENT]]="YES",Sheet1!$C$44*(1+Sheet1!$D$44),0)</f>
        <v>307500</v>
      </c>
      <c r="N528" s="4">
        <f>_xlfn.XLOOKUP(Table1[[#This Row], [ROOM]],Sheet1!$A$47:$A$66,Sheet1!$F$47:$F$66)</f>
        <v>17700000</v>
      </c>
      <c r="O528" s="9">
        <f>_xlfn.XLOOKUP(_xlfn.CONCAT(Table1[[#This Row], [TEAM]],Table1[[#This Row], [ROOM]]),'ROOM TIME'!$H$2:$H$121,'ROOM TIME'!$J$2:$J$121)</f>
        <v>55.443749999999994</v>
      </c>
      <c r="P528" s="9">
        <f>(INDEX(Sheet1!$X$48:$Z$67,MATCH(Table1[[#This Row], [ROOM]],Sheet1!$P$48:$P$67,0),MATCH(Table1[[#This Row], [WEAPON]],Sheet1!$X$47:$Z$47,0)))/Table1[[#This Row], [NUM OF MEM]]</f>
        <v>7.4250000000000007</v>
      </c>
      <c r="Q528" s="9">
        <f>Table1[[#This Row], [ROOM TIME]]+Table1[[#This Row], [GUARD TIME]]</f>
        <v>62.868749999999991</v>
      </c>
      <c r="R528" s="4">
        <f>Sheet1!$K$3*_xlfn.XLOOKUP(Table1[[#This Row], [DISGUISE]],Sheet1!$A$21:$A$23,Sheet1!$D$21:$D$23)</f>
        <v>66</v>
      </c>
      <c r="S528" s="9">
        <f>Table1[[#This Row], [TOTAL TIME]]-Table1[[#This Row], [TOTAL TIME TAKEN]]</f>
        <v>3.1312500000000085</v>
      </c>
      <c r="T528" t="str">
        <f>IF(Table1[[#This Row], [TIME DIFFERENCE]]&gt;=0,"PASS","FAIL")</f>
        <v>PASS</v>
      </c>
      <c r="U528" s="9">
        <f>Table1[[#This Row], [TRC]]+Table1[[#This Row], [DRC]]+Table1[[#This Row], [WRC]]+Table1[[#This Row], [ERC]]+Table1[[#This Row], [EQRC]]</f>
        <v>7910376.46875</v>
      </c>
      <c r="V528" s="9">
        <f>Table1[[#This Row], [TOTAL COST]]+_xlfn.XLOOKUP(Table1[[#This Row], [TEAM]],Sheet1!$A$12:$A$17,Sheet1!$I$12:$I$17)</f>
        <v>8207023.96875</v>
      </c>
      <c r="W528" s="9">
        <f>Table1[[#This Row], [LOOT]]-Table1[[#This Row], [TOTAL COST]]</f>
        <v>9789623.53125</v>
      </c>
      <c r="X528" s="9">
        <f>IF(Table1[[#This Row], [PASS/FAIL]]="FAIL",0,Table1[[#This Row], [PROFIT]])</f>
        <v>9789623.53125</v>
      </c>
    </row>
    <row r="529" spans="1:24" ht="19.5" customHeight="1" x14ac:dyDescent="0.45">
      <c r="A529" t="s">
        <v>13</v>
      </c>
      <c r="B529" s="14">
        <f>_xlfn.XLOOKUP(Table1[[#This Row], [TEAM]],Sheet1!$A$12:$A$17,Sheet1!$F$12:$F$17)</f>
        <v>3</v>
      </c>
      <c r="C529" s="14">
        <f>_xlfn.XLOOKUP(Table1[[#This Row], [TEAM]],Sheet1!$A$12:$A$17,Sheet1!$G$12:$G$17)</f>
        <v>5930000</v>
      </c>
      <c r="D529" t="s">
        <v>24</v>
      </c>
      <c r="E529" s="4">
        <f>_xlfn.XLOOKUP(Table1[[#This Row], [ROOM]],Sheet1!$A$47:$A$66,Sheet1!$B$47:$B$66)</f>
        <v>345</v>
      </c>
      <c r="F529" t="s">
        <v>58</v>
      </c>
      <c r="G529" s="4">
        <f>_xlfn.XLOOKUP(Table1[[#This Row], [DISGUISE]],Sheet1!$A$21:$A$23,Sheet1!$B$21:$B$23)*Table1[[#This Row], [NUM OF MEM]]*(1+_xlfn.XLOOKUP(Table1[[#This Row], [DISGUISE]],Sheet1!$A$21:$A$23,Sheet1!$C$21:$C$23))</f>
        <v>38400</v>
      </c>
      <c r="H529" s="13" t="s">
        <v>63</v>
      </c>
      <c r="I529" s="4">
        <f>_xlfn.XLOOKUP(Table1[[#This Row], [WEAPON]],Sheet1!$A$27:$A$29,Sheet1!$B$27:$B$29)*Table1[[#This Row], [NUM OF MEM]]*(1+_xlfn.XLOOKUP(Table1[[#This Row], [WEAPON]],Sheet1!$A$27:$A$29,Sheet1!$C$27:$C$29))</f>
        <v>69000</v>
      </c>
      <c r="J529" t="s">
        <v>64</v>
      </c>
      <c r="K529" s="9">
        <f>Table1[[#This Row], [NUM OF MEM]]*Table1[[#This Row], [TOTAL TIME TAKEN]]*_xlfn.XLOOKUP(Table1[[#This Row], [EXIT]],Sheet1!$A$70:$A$71,Sheet1!$B$70:$B$71)*(1+_xlfn.XLOOKUP(Table1[[#This Row], [EXIT]],Sheet1!$A$70:$A$71,Sheet1!$C$70:$C$71))</f>
        <v>1865764.7999999996</v>
      </c>
      <c r="L529" s="13" t="s">
        <v>65</v>
      </c>
      <c r="M529" s="4">
        <f>IF(Table1[[#This Row], [EQUIPMENT]]="YES",Sheet1!$C$44*(1+Sheet1!$D$44),0)</f>
        <v>307500</v>
      </c>
      <c r="N529" s="4">
        <f>_xlfn.XLOOKUP(Table1[[#This Row], [ROOM]],Sheet1!$A$47:$A$66,Sheet1!$F$47:$F$66)</f>
        <v>18000000</v>
      </c>
      <c r="O529" s="9">
        <f>_xlfn.XLOOKUP(_xlfn.CONCAT(Table1[[#This Row], [TEAM]],Table1[[#This Row], [ROOM]]),'ROOM TIME'!$H$2:$H$121,'ROOM TIME'!$J$2:$J$121)</f>
        <v>42.587777777777774</v>
      </c>
      <c r="P529" s="9">
        <f>(INDEX(Sheet1!$X$48:$Z$67,MATCH(Table1[[#This Row], [ROOM]],Sheet1!$P$48:$P$67,0),MATCH(Table1[[#This Row], [WEAPON]],Sheet1!$X$47:$Z$47,0)))/Table1[[#This Row], [NUM OF MEM]]</f>
        <v>5.4000000000000012</v>
      </c>
      <c r="Q529" s="9">
        <f>Table1[[#This Row], [ROOM TIME]]+Table1[[#This Row], [GUARD TIME]]</f>
        <v>47.987777777777772</v>
      </c>
      <c r="R529" s="4">
        <f>Sheet1!$K$3*_xlfn.XLOOKUP(Table1[[#This Row], [DISGUISE]],Sheet1!$A$21:$A$23,Sheet1!$D$21:$D$23)</f>
        <v>69</v>
      </c>
      <c r="S529" s="9">
        <f>Table1[[#This Row], [TOTAL TIME]]-Table1[[#This Row], [TOTAL TIME TAKEN]]</f>
        <v>21.012222222222228</v>
      </c>
      <c r="T529" t="str">
        <f>IF(Table1[[#This Row], [TIME DIFFERENCE]]&gt;=0,"PASS","FAIL")</f>
        <v>PASS</v>
      </c>
      <c r="U529" s="9">
        <f>Table1[[#This Row], [TRC]]+Table1[[#This Row], [DRC]]+Table1[[#This Row], [WRC]]+Table1[[#This Row], [ERC]]+Table1[[#This Row], [EQRC]]</f>
        <v>8210664.7999999998</v>
      </c>
      <c r="V529" s="9">
        <f>Table1[[#This Row], [TOTAL COST]]+_xlfn.XLOOKUP(Table1[[#This Row], [TEAM]],Sheet1!$A$12:$A$17,Sheet1!$I$12:$I$17)</f>
        <v>8507164.8000000007</v>
      </c>
      <c r="W529" s="9">
        <f>Table1[[#This Row], [LOOT]]-Table1[[#This Row], [TOTAL COST]]</f>
        <v>9789335.1999999993</v>
      </c>
      <c r="X529" s="9">
        <f>IF(Table1[[#This Row], [PASS/FAIL]]="FAIL",0,Table1[[#This Row], [PROFIT]])</f>
        <v>9789335.1999999993</v>
      </c>
    </row>
    <row r="530" spans="1:24" ht="19.5" customHeight="1" x14ac:dyDescent="0.45">
      <c r="A530" t="s">
        <v>12</v>
      </c>
      <c r="B530" s="14">
        <f>_xlfn.XLOOKUP(Table1[[#This Row], [TEAM]],Sheet1!$A$12:$A$17,Sheet1!$F$12:$F$17)</f>
        <v>3</v>
      </c>
      <c r="C530" s="14">
        <f>_xlfn.XLOOKUP(Table1[[#This Row], [TEAM]],Sheet1!$A$12:$A$17,Sheet1!$G$12:$G$17)</f>
        <v>5988750</v>
      </c>
      <c r="D530" t="s">
        <v>24</v>
      </c>
      <c r="E530" s="4">
        <f>_xlfn.XLOOKUP(Table1[[#This Row], [ROOM]],Sheet1!$A$47:$A$66,Sheet1!$B$47:$B$66)</f>
        <v>345</v>
      </c>
      <c r="F530" t="s">
        <v>58</v>
      </c>
      <c r="G530" s="4">
        <f>_xlfn.XLOOKUP(Table1[[#This Row], [DISGUISE]],Sheet1!$A$21:$A$23,Sheet1!$B$21:$B$23)*Table1[[#This Row], [NUM OF MEM]]*(1+_xlfn.XLOOKUP(Table1[[#This Row], [DISGUISE]],Sheet1!$A$21:$A$23,Sheet1!$C$21:$C$23))</f>
        <v>38400</v>
      </c>
      <c r="H530" s="13" t="s">
        <v>66</v>
      </c>
      <c r="I530" s="4">
        <f>_xlfn.XLOOKUP(Table1[[#This Row], [WEAPON]],Sheet1!$A$27:$A$29,Sheet1!$B$27:$B$29)*Table1[[#This Row], [NUM OF MEM]]*(1+_xlfn.XLOOKUP(Table1[[#This Row], [WEAPON]],Sheet1!$A$27:$A$29,Sheet1!$C$27:$C$29))</f>
        <v>108000</v>
      </c>
      <c r="J530" t="s">
        <v>60</v>
      </c>
      <c r="K530" s="9">
        <f>Table1[[#This Row], [NUM OF MEM]]*Table1[[#This Row], [TOTAL TIME TAKEN]]*_xlfn.XLOOKUP(Table1[[#This Row], [EXIT]],Sheet1!$A$70:$A$71,Sheet1!$B$70:$B$71)*(1+_xlfn.XLOOKUP(Table1[[#This Row], [EXIT]],Sheet1!$A$70:$A$71,Sheet1!$C$70:$C$71))</f>
        <v>1768232.9499999997</v>
      </c>
      <c r="L530" s="13" t="s">
        <v>65</v>
      </c>
      <c r="M530" s="4">
        <f>IF(Table1[[#This Row], [EQUIPMENT]]="YES",Sheet1!$C$44*(1+Sheet1!$D$44),0)</f>
        <v>307500</v>
      </c>
      <c r="N530" s="4">
        <f>_xlfn.XLOOKUP(Table1[[#This Row], [ROOM]],Sheet1!$A$47:$A$66,Sheet1!$F$47:$F$66)</f>
        <v>18000000</v>
      </c>
      <c r="O530" s="9">
        <f>_xlfn.XLOOKUP(_xlfn.CONCAT(Table1[[#This Row], [TEAM]],Table1[[#This Row], [ROOM]]),'ROOM TIME'!$H$2:$H$121,'ROOM TIME'!$J$2:$J$121)</f>
        <v>40.9311111111111</v>
      </c>
      <c r="P530" s="4">
        <f>(INDEX(Sheet1!$X$48:$Z$67,MATCH(Table1[[#This Row], [ROOM]],Sheet1!$P$48:$P$67,0),MATCH(Table1[[#This Row], [WEAPON]],Sheet1!$X$47:$Z$47,0)))/Table1[[#This Row], [NUM OF MEM]]</f>
        <v>5</v>
      </c>
      <c r="Q530" s="9">
        <f>Table1[[#This Row], [ROOM TIME]]+Table1[[#This Row], [GUARD TIME]]</f>
        <v>45.9311111111111</v>
      </c>
      <c r="R530" s="4">
        <f>Sheet1!$K$3*_xlfn.XLOOKUP(Table1[[#This Row], [DISGUISE]],Sheet1!$A$21:$A$23,Sheet1!$D$21:$D$23)</f>
        <v>69</v>
      </c>
      <c r="S530" s="9">
        <f>Table1[[#This Row], [TOTAL TIME]]-Table1[[#This Row], [TOTAL TIME TAKEN]]</f>
        <v>23.0688888888889</v>
      </c>
      <c r="T530" t="str">
        <f>IF(Table1[[#This Row], [TIME DIFFERENCE]]&gt;=0,"PASS","FAIL")</f>
        <v>PASS</v>
      </c>
      <c r="U530" s="9">
        <f>Table1[[#This Row], [TRC]]+Table1[[#This Row], [DRC]]+Table1[[#This Row], [WRC]]+Table1[[#This Row], [ERC]]+Table1[[#This Row], [EQRC]]</f>
        <v>8210882.9499999993</v>
      </c>
      <c r="V530" s="9">
        <f>Table1[[#This Row], [TOTAL COST]]+_xlfn.XLOOKUP(Table1[[#This Row], [TEAM]],Sheet1!$A$12:$A$17,Sheet1!$I$12:$I$17)</f>
        <v>8510320.4499999993</v>
      </c>
      <c r="W530" s="9">
        <f>Table1[[#This Row], [LOOT]]-Table1[[#This Row], [TOTAL COST]]</f>
        <v>9789117.0500000007</v>
      </c>
      <c r="X530" s="9">
        <f>IF(Table1[[#This Row], [PASS/FAIL]]="FAIL",0,Table1[[#This Row], [PROFIT]])</f>
        <v>9789117.0500000007</v>
      </c>
    </row>
    <row r="531" spans="1:24" ht="19.5" customHeight="1" x14ac:dyDescent="0.45">
      <c r="A531" t="s">
        <v>9</v>
      </c>
      <c r="B531" s="14">
        <f>_xlfn.XLOOKUP(Table1[[#This Row], [TEAM]],Sheet1!$A$12:$A$17,Sheet1!$F$12:$F$17)</f>
        <v>3</v>
      </c>
      <c r="C531" s="14">
        <f>_xlfn.XLOOKUP(Table1[[#This Row], [TEAM]],Sheet1!$A$12:$A$17,Sheet1!$G$12:$G$17)</f>
        <v>6238750</v>
      </c>
      <c r="D531" t="s">
        <v>21</v>
      </c>
      <c r="E531" s="4">
        <f>_xlfn.XLOOKUP(Table1[[#This Row], [ROOM]],Sheet1!$A$47:$A$66,Sheet1!$B$47:$B$66)</f>
        <v>234</v>
      </c>
      <c r="F531" t="s">
        <v>62</v>
      </c>
      <c r="G531" s="4">
        <f>_xlfn.XLOOKUP(Table1[[#This Row], [DISGUISE]],Sheet1!$A$21:$A$23,Sheet1!$B$21:$B$23)*Table1[[#This Row], [NUM OF MEM]]*(1+_xlfn.XLOOKUP(Table1[[#This Row], [DISGUISE]],Sheet1!$A$21:$A$23,Sheet1!$C$21:$C$23))</f>
        <v>15600</v>
      </c>
      <c r="H531" s="13" t="s">
        <v>59</v>
      </c>
      <c r="I531" s="4">
        <f>_xlfn.XLOOKUP(Table1[[#This Row], [WEAPON]],Sheet1!$A$27:$A$29,Sheet1!$B$27:$B$29)*Table1[[#This Row], [NUM OF MEM]]*(1+_xlfn.XLOOKUP(Table1[[#This Row], [WEAPON]],Sheet1!$A$27:$A$29,Sheet1!$C$27:$C$29))</f>
        <v>136500</v>
      </c>
      <c r="J531" t="s">
        <v>60</v>
      </c>
      <c r="K531" s="9">
        <f>Table1[[#This Row], [NUM OF MEM]]*Table1[[#This Row], [TOTAL TIME TAKEN]]*_xlfn.XLOOKUP(Table1[[#This Row], [EXIT]],Sheet1!$A$70:$A$71,Sheet1!$B$70:$B$71)*(1+_xlfn.XLOOKUP(Table1[[#This Row], [EXIT]],Sheet1!$A$70:$A$71,Sheet1!$C$70:$C$71))</f>
        <v>1720153.8499999996</v>
      </c>
      <c r="L531" s="13" t="s">
        <v>61</v>
      </c>
      <c r="M531" s="4">
        <f>IF(Table1[[#This Row], [EQUIPMENT]]="YES",Sheet1!$C$44*(1+Sheet1!$D$44),0)</f>
        <v>0</v>
      </c>
      <c r="N531" s="4">
        <f>_xlfn.XLOOKUP(Table1[[#This Row], [ROOM]],Sheet1!$A$47:$A$66,Sheet1!$F$47:$F$66)</f>
        <v>17900000</v>
      </c>
      <c r="O531" s="9">
        <f>_xlfn.XLOOKUP(_xlfn.CONCAT(Table1[[#This Row], [TEAM]],Table1[[#This Row], [ROOM]]),'ROOM TIME'!$H$2:$H$121,'ROOM TIME'!$J$2:$J$121)</f>
        <v>39.698888888888881</v>
      </c>
      <c r="P531" s="9">
        <f>(INDEX(Sheet1!$X$48:$Z$67,MATCH(Table1[[#This Row], [ROOM]],Sheet1!$P$48:$P$67,0),MATCH(Table1[[#This Row], [WEAPON]],Sheet1!$X$47:$Z$47,0)))/Table1[[#This Row], [NUM OF MEM]]</f>
        <v>4.9833333333333334</v>
      </c>
      <c r="Q531" s="9">
        <f>Table1[[#This Row], [ROOM TIME]]+Table1[[#This Row], [GUARD TIME]]</f>
        <v>44.682222222222215</v>
      </c>
      <c r="R531" s="4">
        <f>Sheet1!$K$3*_xlfn.XLOOKUP(Table1[[#This Row], [DISGUISE]],Sheet1!$A$21:$A$23,Sheet1!$D$21:$D$23)</f>
        <v>66</v>
      </c>
      <c r="S531" s="9">
        <f>Table1[[#This Row], [TOTAL TIME]]-Table1[[#This Row], [TOTAL TIME TAKEN]]</f>
        <v>21.317777777777785</v>
      </c>
      <c r="T531" t="str">
        <f>IF(Table1[[#This Row], [TIME DIFFERENCE]]&gt;=0,"PASS","FAIL")</f>
        <v>PASS</v>
      </c>
      <c r="U531" s="9">
        <f>Table1[[#This Row], [TRC]]+Table1[[#This Row], [DRC]]+Table1[[#This Row], [WRC]]+Table1[[#This Row], [ERC]]+Table1[[#This Row], [EQRC]]</f>
        <v>8111003.8499999996</v>
      </c>
      <c r="V531" s="9">
        <f>Table1[[#This Row], [TOTAL COST]]+_xlfn.XLOOKUP(Table1[[#This Row], [TEAM]],Sheet1!$A$12:$A$17,Sheet1!$I$12:$I$17)</f>
        <v>8422941.3499999996</v>
      </c>
      <c r="W531" s="9">
        <f>Table1[[#This Row], [LOOT]]-Table1[[#This Row], [TOTAL COST]]</f>
        <v>9788996.1500000004</v>
      </c>
      <c r="X531" s="9">
        <f>IF(Table1[[#This Row], [PASS/FAIL]]="FAIL",0,Table1[[#This Row], [PROFIT]])</f>
        <v>9788996.1500000004</v>
      </c>
    </row>
    <row r="532" spans="1:24" ht="19.5" customHeight="1" x14ac:dyDescent="0.45">
      <c r="A532" t="s">
        <v>13</v>
      </c>
      <c r="B532" s="14">
        <f>_xlfn.XLOOKUP(Table1[[#This Row], [TEAM]],Sheet1!$A$12:$A$17,Sheet1!$F$12:$F$17)</f>
        <v>3</v>
      </c>
      <c r="C532" s="14">
        <f>_xlfn.XLOOKUP(Table1[[#This Row], [TEAM]],Sheet1!$A$12:$A$17,Sheet1!$G$12:$G$17)</f>
        <v>5930000</v>
      </c>
      <c r="D532" t="s">
        <v>24</v>
      </c>
      <c r="E532" s="4">
        <f>_xlfn.XLOOKUP(Table1[[#This Row], [ROOM]],Sheet1!$A$47:$A$66,Sheet1!$B$47:$B$66)</f>
        <v>345</v>
      </c>
      <c r="F532" t="s">
        <v>62</v>
      </c>
      <c r="G532" s="4">
        <f>_xlfn.XLOOKUP(Table1[[#This Row], [DISGUISE]],Sheet1!$A$21:$A$23,Sheet1!$B$21:$B$23)*Table1[[#This Row], [NUM OF MEM]]*(1+_xlfn.XLOOKUP(Table1[[#This Row], [DISGUISE]],Sheet1!$A$21:$A$23,Sheet1!$C$21:$C$23))</f>
        <v>15600</v>
      </c>
      <c r="H532" s="13" t="s">
        <v>66</v>
      </c>
      <c r="I532" s="4">
        <f>_xlfn.XLOOKUP(Table1[[#This Row], [WEAPON]],Sheet1!$A$27:$A$29,Sheet1!$B$27:$B$29)*Table1[[#This Row], [NUM OF MEM]]*(1+_xlfn.XLOOKUP(Table1[[#This Row], [WEAPON]],Sheet1!$A$27:$A$29,Sheet1!$C$27:$C$29))</f>
        <v>108000</v>
      </c>
      <c r="J532" t="s">
        <v>64</v>
      </c>
      <c r="K532" s="9">
        <f>Table1[[#This Row], [NUM OF MEM]]*Table1[[#This Row], [TOTAL TIME TAKEN]]*_xlfn.XLOOKUP(Table1[[#This Row], [EXIT]],Sheet1!$A$70:$A$71,Sheet1!$B$70:$B$71)*(1+_xlfn.XLOOKUP(Table1[[#This Row], [EXIT]],Sheet1!$A$70:$A$71,Sheet1!$C$70:$C$71))</f>
        <v>1850212.7999999996</v>
      </c>
      <c r="L532" s="13" t="s">
        <v>65</v>
      </c>
      <c r="M532" s="4">
        <f>IF(Table1[[#This Row], [EQUIPMENT]]="YES",Sheet1!$C$44*(1+Sheet1!$D$44),0)</f>
        <v>307500</v>
      </c>
      <c r="N532" s="4">
        <f>_xlfn.XLOOKUP(Table1[[#This Row], [ROOM]],Sheet1!$A$47:$A$66,Sheet1!$F$47:$F$66)</f>
        <v>18000000</v>
      </c>
      <c r="O532" s="9">
        <f>_xlfn.XLOOKUP(_xlfn.CONCAT(Table1[[#This Row], [TEAM]],Table1[[#This Row], [ROOM]]),'ROOM TIME'!$H$2:$H$121,'ROOM TIME'!$J$2:$J$121)</f>
        <v>42.587777777777774</v>
      </c>
      <c r="P532" s="4">
        <f>(INDEX(Sheet1!$X$48:$Z$67,MATCH(Table1[[#This Row], [ROOM]],Sheet1!$P$48:$P$67,0),MATCH(Table1[[#This Row], [WEAPON]],Sheet1!$X$47:$Z$47,0)))/Table1[[#This Row], [NUM OF MEM]]</f>
        <v>5</v>
      </c>
      <c r="Q532" s="9">
        <f>Table1[[#This Row], [ROOM TIME]]+Table1[[#This Row], [GUARD TIME]]</f>
        <v>47.587777777777774</v>
      </c>
      <c r="R532" s="4">
        <f>Sheet1!$K$3*_xlfn.XLOOKUP(Table1[[#This Row], [DISGUISE]],Sheet1!$A$21:$A$23,Sheet1!$D$21:$D$23)</f>
        <v>66</v>
      </c>
      <c r="S532" s="9">
        <f>Table1[[#This Row], [TOTAL TIME]]-Table1[[#This Row], [TOTAL TIME TAKEN]]</f>
        <v>18.412222222222226</v>
      </c>
      <c r="T532" t="str">
        <f>IF(Table1[[#This Row], [TIME DIFFERENCE]]&gt;=0,"PASS","FAIL")</f>
        <v>PASS</v>
      </c>
      <c r="U532" s="9">
        <f>Table1[[#This Row], [TRC]]+Table1[[#This Row], [DRC]]+Table1[[#This Row], [WRC]]+Table1[[#This Row], [ERC]]+Table1[[#This Row], [EQRC]]</f>
        <v>8211312.7999999998</v>
      </c>
      <c r="V532" s="9">
        <f>Table1[[#This Row], [TOTAL COST]]+_xlfn.XLOOKUP(Table1[[#This Row], [TEAM]],Sheet1!$A$12:$A$17,Sheet1!$I$12:$I$17)</f>
        <v>8507812.8000000007</v>
      </c>
      <c r="W532" s="9">
        <f>Table1[[#This Row], [LOOT]]-Table1[[#This Row], [TOTAL COST]]</f>
        <v>9788687.1999999993</v>
      </c>
      <c r="X532" s="9">
        <f>IF(Table1[[#This Row], [PASS/FAIL]]="FAIL",0,Table1[[#This Row], [PROFIT]])</f>
        <v>9788687.1999999993</v>
      </c>
    </row>
    <row r="533" spans="1:24" ht="19.5" customHeight="1" x14ac:dyDescent="0.45">
      <c r="A533" t="s">
        <v>14</v>
      </c>
      <c r="B533" s="14">
        <f>_xlfn.XLOOKUP(Table1[[#This Row], [TEAM]],Sheet1!$A$12:$A$17,Sheet1!$F$12:$F$17)</f>
        <v>2</v>
      </c>
      <c r="C533" s="14">
        <f>_xlfn.XLOOKUP(Table1[[#This Row], [TEAM]],Sheet1!$A$12:$A$17,Sheet1!$G$12:$G$17)</f>
        <v>5949600</v>
      </c>
      <c r="D533" t="s">
        <v>20</v>
      </c>
      <c r="E533" s="4">
        <f>_xlfn.XLOOKUP(Table1[[#This Row], [ROOM]],Sheet1!$A$47:$A$66,Sheet1!$B$47:$B$66)</f>
        <v>145</v>
      </c>
      <c r="F533" t="s">
        <v>58</v>
      </c>
      <c r="G533" s="4">
        <f>_xlfn.XLOOKUP(Table1[[#This Row], [DISGUISE]],Sheet1!$A$21:$A$23,Sheet1!$B$21:$B$23)*Table1[[#This Row], [NUM OF MEM]]*(1+_xlfn.XLOOKUP(Table1[[#This Row], [DISGUISE]],Sheet1!$A$21:$A$23,Sheet1!$C$21:$C$23))</f>
        <v>25600</v>
      </c>
      <c r="H533" s="13" t="s">
        <v>66</v>
      </c>
      <c r="I533" s="4">
        <f>_xlfn.XLOOKUP(Table1[[#This Row], [WEAPON]],Sheet1!$A$27:$A$29,Sheet1!$B$27:$B$29)*Table1[[#This Row], [NUM OF MEM]]*(1+_xlfn.XLOOKUP(Table1[[#This Row], [WEAPON]],Sheet1!$A$27:$A$29,Sheet1!$C$27:$C$29))</f>
        <v>72000</v>
      </c>
      <c r="J533" t="s">
        <v>64</v>
      </c>
      <c r="K533" s="9">
        <f>Table1[[#This Row], [NUM OF MEM]]*Table1[[#This Row], [TOTAL TIME TAKEN]]*_xlfn.XLOOKUP(Table1[[#This Row], [EXIT]],Sheet1!$A$70:$A$71,Sheet1!$B$70:$B$71)*(1+_xlfn.XLOOKUP(Table1[[#This Row], [EXIT]],Sheet1!$A$70:$A$71,Sheet1!$C$70:$C$71))</f>
        <v>1714348.7999999996</v>
      </c>
      <c r="L533" s="13" t="s">
        <v>61</v>
      </c>
      <c r="M533" s="4">
        <f>IF(Table1[[#This Row], [EQUIPMENT]]="YES",Sheet1!$C$44*(1+Sheet1!$D$44),0)</f>
        <v>0</v>
      </c>
      <c r="N533" s="4">
        <f>_xlfn.XLOOKUP(Table1[[#This Row], [ROOM]],Sheet1!$A$47:$A$66,Sheet1!$F$47:$F$66)</f>
        <v>17550000</v>
      </c>
      <c r="O533" s="9">
        <f>_xlfn.XLOOKUP(_xlfn.CONCAT(Table1[[#This Row], [TEAM]],Table1[[#This Row], [ROOM]]),'ROOM TIME'!$H$2:$H$121,'ROOM TIME'!$J$2:$J$121)</f>
        <v>59.889999999999986</v>
      </c>
      <c r="P533" s="9">
        <f>(INDEX(Sheet1!$X$48:$Z$67,MATCH(Table1[[#This Row], [ROOM]],Sheet1!$P$48:$P$67,0),MATCH(Table1[[#This Row], [WEAPON]],Sheet1!$X$47:$Z$47,0)))/Table1[[#This Row], [NUM OF MEM]]</f>
        <v>6.25</v>
      </c>
      <c r="Q533" s="9">
        <f>Table1[[#This Row], [ROOM TIME]]+Table1[[#This Row], [GUARD TIME]]</f>
        <v>66.139999999999986</v>
      </c>
      <c r="R533" s="4">
        <f>Sheet1!$K$3*_xlfn.XLOOKUP(Table1[[#This Row], [DISGUISE]],Sheet1!$A$21:$A$23,Sheet1!$D$21:$D$23)</f>
        <v>69</v>
      </c>
      <c r="S533" s="9">
        <f>Table1[[#This Row], [TOTAL TIME]]-Table1[[#This Row], [TOTAL TIME TAKEN]]</f>
        <v>2.8600000000000136</v>
      </c>
      <c r="T533" t="str">
        <f>IF(Table1[[#This Row], [TIME DIFFERENCE]]&gt;=0,"PASS","FAIL")</f>
        <v>PASS</v>
      </c>
      <c r="U533" s="9">
        <f>Table1[[#This Row], [TRC]]+Table1[[#This Row], [DRC]]+Table1[[#This Row], [WRC]]+Table1[[#This Row], [ERC]]+Table1[[#This Row], [EQRC]]</f>
        <v>7761548.7999999998</v>
      </c>
      <c r="V533" s="9">
        <f>Table1[[#This Row], [TOTAL COST]]+_xlfn.XLOOKUP(Table1[[#This Row], [TEAM]],Sheet1!$A$12:$A$17,Sheet1!$I$12:$I$17)</f>
        <v>8059028.7999999998</v>
      </c>
      <c r="W533" s="9">
        <f>Table1[[#This Row], [LOOT]]-Table1[[#This Row], [TOTAL COST]]</f>
        <v>9788451.1999999993</v>
      </c>
      <c r="X533" s="9">
        <f>IF(Table1[[#This Row], [PASS/FAIL]]="FAIL",0,Table1[[#This Row], [PROFIT]])</f>
        <v>9788451.1999999993</v>
      </c>
    </row>
    <row r="534" spans="1:24" ht="19.5" customHeight="1" x14ac:dyDescent="0.45">
      <c r="A534" t="s">
        <v>16</v>
      </c>
      <c r="B534" s="14">
        <f>_xlfn.XLOOKUP(Table1[[#This Row], [TEAM]],Sheet1!$A$12:$A$17,Sheet1!$F$12:$F$17)</f>
        <v>2</v>
      </c>
      <c r="C534" s="14">
        <f>_xlfn.XLOOKUP(Table1[[#This Row], [TEAM]],Sheet1!$A$12:$A$17,Sheet1!$G$12:$G$17)</f>
        <v>6082800</v>
      </c>
      <c r="D534" t="s">
        <v>29</v>
      </c>
      <c r="E534" s="4">
        <f>_xlfn.XLOOKUP(Table1[[#This Row], [ROOM]],Sheet1!$A$47:$A$66,Sheet1!$B$47:$B$66)</f>
        <v>236</v>
      </c>
      <c r="F534" t="s">
        <v>58</v>
      </c>
      <c r="G534" s="4">
        <f>_xlfn.XLOOKUP(Table1[[#This Row], [DISGUISE]],Sheet1!$A$21:$A$23,Sheet1!$B$21:$B$23)*Table1[[#This Row], [NUM OF MEM]]*(1+_xlfn.XLOOKUP(Table1[[#This Row], [DISGUISE]],Sheet1!$A$21:$A$23,Sheet1!$C$21:$C$23))</f>
        <v>25600</v>
      </c>
      <c r="H534" s="13" t="s">
        <v>66</v>
      </c>
      <c r="I534" s="4">
        <f>_xlfn.XLOOKUP(Table1[[#This Row], [WEAPON]],Sheet1!$A$27:$A$29,Sheet1!$B$27:$B$29)*Table1[[#This Row], [NUM OF MEM]]*(1+_xlfn.XLOOKUP(Table1[[#This Row], [WEAPON]],Sheet1!$A$27:$A$29,Sheet1!$C$27:$C$29))</f>
        <v>72000</v>
      </c>
      <c r="J534" t="s">
        <v>64</v>
      </c>
      <c r="K534" s="9">
        <f>Table1[[#This Row], [NUM OF MEM]]*Table1[[#This Row], [TOTAL TIME TAKEN]]*_xlfn.XLOOKUP(Table1[[#This Row], [EXIT]],Sheet1!$A$70:$A$71,Sheet1!$B$70:$B$71)*(1+_xlfn.XLOOKUP(Table1[[#This Row], [EXIT]],Sheet1!$A$70:$A$71,Sheet1!$C$70:$C$71))</f>
        <v>1725850.7999999993</v>
      </c>
      <c r="L534" s="13" t="s">
        <v>65</v>
      </c>
      <c r="M534" s="4">
        <f>IF(Table1[[#This Row], [EQUIPMENT]]="YES",Sheet1!$C$44*(1+Sheet1!$D$44),0)</f>
        <v>307500</v>
      </c>
      <c r="N534" s="4">
        <f>_xlfn.XLOOKUP(Table1[[#This Row], [ROOM]],Sheet1!$A$47:$A$66,Sheet1!$F$47:$F$66)</f>
        <v>18000000</v>
      </c>
      <c r="O534" s="9">
        <f>_xlfn.XLOOKUP(_xlfn.CONCAT(Table1[[#This Row], [TEAM]],Table1[[#This Row], [ROOM]]),'ROOM TIME'!$H$2:$H$121,'ROOM TIME'!$J$2:$J$121)</f>
        <v>58.458749999999981</v>
      </c>
      <c r="P534" s="9">
        <f>(INDEX(Sheet1!$X$48:$Z$67,MATCH(Table1[[#This Row], [ROOM]],Sheet1!$P$48:$P$67,0),MATCH(Table1[[#This Row], [WEAPON]],Sheet1!$X$47:$Z$47,0)))/Table1[[#This Row], [NUM OF MEM]]</f>
        <v>8.125</v>
      </c>
      <c r="Q534" s="9">
        <f>Table1[[#This Row], [ROOM TIME]]+Table1[[#This Row], [GUARD TIME]]</f>
        <v>66.583749999999981</v>
      </c>
      <c r="R534" s="4">
        <f>Sheet1!$K$3*_xlfn.XLOOKUP(Table1[[#This Row], [DISGUISE]],Sheet1!$A$21:$A$23,Sheet1!$D$21:$D$23)</f>
        <v>69</v>
      </c>
      <c r="S534" s="9">
        <f>Table1[[#This Row], [TOTAL TIME]]-Table1[[#This Row], [TOTAL TIME TAKEN]]</f>
        <v>2.4162500000000193</v>
      </c>
      <c r="T534" t="str">
        <f>IF(Table1[[#This Row], [TIME DIFFERENCE]]&gt;=0,"PASS","FAIL")</f>
        <v>PASS</v>
      </c>
      <c r="U534" s="9">
        <f>Table1[[#This Row], [TRC]]+Table1[[#This Row], [DRC]]+Table1[[#This Row], [WRC]]+Table1[[#This Row], [ERC]]+Table1[[#This Row], [EQRC]]</f>
        <v>8213750.7999999989</v>
      </c>
      <c r="V534" s="9">
        <f>Table1[[#This Row], [TOTAL COST]]+_xlfn.XLOOKUP(Table1[[#This Row], [TEAM]],Sheet1!$A$12:$A$17,Sheet1!$I$12:$I$17)</f>
        <v>8517890.7999999989</v>
      </c>
      <c r="W534" s="9">
        <f>Table1[[#This Row], [LOOT]]-Table1[[#This Row], [TOTAL COST]]</f>
        <v>9786249.2000000011</v>
      </c>
      <c r="X534" s="9">
        <f>IF(Table1[[#This Row], [PASS/FAIL]]="FAIL",0,Table1[[#This Row], [PROFIT]])</f>
        <v>9786249.2000000011</v>
      </c>
    </row>
    <row r="535" spans="1:24" ht="19.5" customHeight="1" x14ac:dyDescent="0.45">
      <c r="A535" t="s">
        <v>13</v>
      </c>
      <c r="B535" s="14">
        <f>_xlfn.XLOOKUP(Table1[[#This Row], [TEAM]],Sheet1!$A$12:$A$17,Sheet1!$F$12:$F$17)</f>
        <v>3</v>
      </c>
      <c r="C535" s="14">
        <f>_xlfn.XLOOKUP(Table1[[#This Row], [TEAM]],Sheet1!$A$12:$A$17,Sheet1!$G$12:$G$17)</f>
        <v>5930000</v>
      </c>
      <c r="D535" t="s">
        <v>18</v>
      </c>
      <c r="E535" s="4">
        <f>_xlfn.XLOOKUP(Table1[[#This Row], [ROOM]],Sheet1!$A$47:$A$66,Sheet1!$B$47:$B$66)</f>
        <v>134</v>
      </c>
      <c r="F535" t="s">
        <v>58</v>
      </c>
      <c r="G535" s="4">
        <f>_xlfn.XLOOKUP(Table1[[#This Row], [DISGUISE]],Sheet1!$A$21:$A$23,Sheet1!$B$21:$B$23)*Table1[[#This Row], [NUM OF MEM]]*(1+_xlfn.XLOOKUP(Table1[[#This Row], [DISGUISE]],Sheet1!$A$21:$A$23,Sheet1!$C$21:$C$23))</f>
        <v>38400</v>
      </c>
      <c r="H535" s="13" t="s">
        <v>59</v>
      </c>
      <c r="I535" s="4">
        <f>_xlfn.XLOOKUP(Table1[[#This Row], [WEAPON]],Sheet1!$A$27:$A$29,Sheet1!$B$27:$B$29)*Table1[[#This Row], [NUM OF MEM]]*(1+_xlfn.XLOOKUP(Table1[[#This Row], [WEAPON]],Sheet1!$A$27:$A$29,Sheet1!$C$27:$C$29))</f>
        <v>136500</v>
      </c>
      <c r="J535" t="s">
        <v>64</v>
      </c>
      <c r="K535" s="9">
        <f>Table1[[#This Row], [NUM OF MEM]]*Table1[[#This Row], [TOTAL TIME TAKEN]]*_xlfn.XLOOKUP(Table1[[#This Row], [EXIT]],Sheet1!$A$70:$A$71,Sheet1!$B$70:$B$71)*(1+_xlfn.XLOOKUP(Table1[[#This Row], [EXIT]],Sheet1!$A$70:$A$71,Sheet1!$C$70:$C$71))</f>
        <v>1851875.9999999998</v>
      </c>
      <c r="L535" s="13" t="s">
        <v>65</v>
      </c>
      <c r="M535" s="4">
        <f>IF(Table1[[#This Row], [EQUIPMENT]]="YES",Sheet1!$C$44*(1+Sheet1!$D$44),0)</f>
        <v>307500</v>
      </c>
      <c r="N535" s="4">
        <f>_xlfn.XLOOKUP(Table1[[#This Row], [ROOM]],Sheet1!$A$47:$A$66,Sheet1!$F$47:$F$66)</f>
        <v>18050000</v>
      </c>
      <c r="O535" s="9">
        <f>_xlfn.XLOOKUP(_xlfn.CONCAT(Table1[[#This Row], [TEAM]],Table1[[#This Row], [ROOM]]),'ROOM TIME'!$H$2:$H$121,'ROOM TIME'!$J$2:$J$121)</f>
        <v>43.030555555555544</v>
      </c>
      <c r="P535" s="9">
        <f>(INDEX(Sheet1!$X$48:$Z$67,MATCH(Table1[[#This Row], [ROOM]],Sheet1!$P$48:$P$67,0),MATCH(Table1[[#This Row], [WEAPON]],Sheet1!$X$47:$Z$47,0)))/Table1[[#This Row], [NUM OF MEM]]</f>
        <v>4.5999999999999996</v>
      </c>
      <c r="Q535" s="9">
        <f>Table1[[#This Row], [ROOM TIME]]+Table1[[#This Row], [GUARD TIME]]</f>
        <v>47.630555555555546</v>
      </c>
      <c r="R535" s="4">
        <f>Sheet1!$K$3*_xlfn.XLOOKUP(Table1[[#This Row], [DISGUISE]],Sheet1!$A$21:$A$23,Sheet1!$D$21:$D$23)</f>
        <v>69</v>
      </c>
      <c r="S535" s="9">
        <f>Table1[[#This Row], [TOTAL TIME]]-Table1[[#This Row], [TOTAL TIME TAKEN]]</f>
        <v>21.369444444444454</v>
      </c>
      <c r="T535" t="str">
        <f>IF(Table1[[#This Row], [TIME DIFFERENCE]]&gt;=0,"PASS","FAIL")</f>
        <v>PASS</v>
      </c>
      <c r="U535" s="4">
        <f>Table1[[#This Row], [TRC]]+Table1[[#This Row], [DRC]]+Table1[[#This Row], [WRC]]+Table1[[#This Row], [ERC]]+Table1[[#This Row], [EQRC]]</f>
        <v>8264276</v>
      </c>
      <c r="V535" s="4">
        <f>Table1[[#This Row], [TOTAL COST]]+_xlfn.XLOOKUP(Table1[[#This Row], [TEAM]],Sheet1!$A$12:$A$17,Sheet1!$I$12:$I$17)</f>
        <v>8560776</v>
      </c>
      <c r="W535" s="4">
        <f>Table1[[#This Row], [LOOT]]-Table1[[#This Row], [TOTAL COST]]</f>
        <v>9785724</v>
      </c>
      <c r="X535" s="4">
        <f>IF(Table1[[#This Row], [PASS/FAIL]]="FAIL",0,Table1[[#This Row], [PROFIT]])</f>
        <v>9785724</v>
      </c>
    </row>
    <row r="536" spans="1:24" ht="19.5" customHeight="1" x14ac:dyDescent="0.45">
      <c r="A536" t="s">
        <v>16</v>
      </c>
      <c r="B536" s="14">
        <f>_xlfn.XLOOKUP(Table1[[#This Row], [TEAM]],Sheet1!$A$12:$A$17,Sheet1!$F$12:$F$17)</f>
        <v>2</v>
      </c>
      <c r="C536" s="14">
        <f>_xlfn.XLOOKUP(Table1[[#This Row], [TEAM]],Sheet1!$A$12:$A$17,Sheet1!$G$12:$G$17)</f>
        <v>6082800</v>
      </c>
      <c r="D536" t="s">
        <v>18</v>
      </c>
      <c r="E536" s="4">
        <f>_xlfn.XLOOKUP(Table1[[#This Row], [ROOM]],Sheet1!$A$47:$A$66,Sheet1!$B$47:$B$66)</f>
        <v>134</v>
      </c>
      <c r="F536" t="s">
        <v>58</v>
      </c>
      <c r="G536" s="4">
        <f>_xlfn.XLOOKUP(Table1[[#This Row], [DISGUISE]],Sheet1!$A$21:$A$23,Sheet1!$B$21:$B$23)*Table1[[#This Row], [NUM OF MEM]]*(1+_xlfn.XLOOKUP(Table1[[#This Row], [DISGUISE]],Sheet1!$A$21:$A$23,Sheet1!$C$21:$C$23))</f>
        <v>25600</v>
      </c>
      <c r="H536" s="13" t="s">
        <v>59</v>
      </c>
      <c r="I536" s="4">
        <f>_xlfn.XLOOKUP(Table1[[#This Row], [WEAPON]],Sheet1!$A$27:$A$29,Sheet1!$B$27:$B$29)*Table1[[#This Row], [NUM OF MEM]]*(1+_xlfn.XLOOKUP(Table1[[#This Row], [WEAPON]],Sheet1!$A$27:$A$29,Sheet1!$C$27:$C$29))</f>
        <v>91000</v>
      </c>
      <c r="J536" t="s">
        <v>60</v>
      </c>
      <c r="K536" s="9">
        <f>Table1[[#This Row], [NUM OF MEM]]*Table1[[#This Row], [TOTAL TIME TAKEN]]*_xlfn.XLOOKUP(Table1[[#This Row], [EXIT]],Sheet1!$A$70:$A$71,Sheet1!$B$70:$B$71)*(1+_xlfn.XLOOKUP(Table1[[#This Row], [EXIT]],Sheet1!$A$70:$A$71,Sheet1!$C$70:$C$71))</f>
        <v>1758052.4999999995</v>
      </c>
      <c r="L536" s="13" t="s">
        <v>65</v>
      </c>
      <c r="M536" s="4">
        <f>IF(Table1[[#This Row], [EQUIPMENT]]="YES",Sheet1!$C$44*(1+Sheet1!$D$44),0)</f>
        <v>307500</v>
      </c>
      <c r="N536" s="4">
        <f>_xlfn.XLOOKUP(Table1[[#This Row], [ROOM]],Sheet1!$A$47:$A$66,Sheet1!$F$47:$F$66)</f>
        <v>18050000</v>
      </c>
      <c r="O536" s="9">
        <f>_xlfn.XLOOKUP(_xlfn.CONCAT(Table1[[#This Row], [TEAM]],Table1[[#This Row], [ROOM]]),'ROOM TIME'!$H$2:$H$121,'ROOM TIME'!$J$2:$J$121)</f>
        <v>61.59999999999998</v>
      </c>
      <c r="P536" s="9">
        <f>(INDEX(Sheet1!$X$48:$Z$67,MATCH(Table1[[#This Row], [ROOM]],Sheet1!$P$48:$P$67,0),MATCH(Table1[[#This Row], [WEAPON]],Sheet1!$X$47:$Z$47,0)))/Table1[[#This Row], [NUM OF MEM]]</f>
        <v>6.8999999999999995</v>
      </c>
      <c r="Q536" s="9">
        <f>Table1[[#This Row], [ROOM TIME]]+Table1[[#This Row], [GUARD TIME]]</f>
        <v>68.499999999999986</v>
      </c>
      <c r="R536" s="4">
        <f>Sheet1!$K$3*_xlfn.XLOOKUP(Table1[[#This Row], [DISGUISE]],Sheet1!$A$21:$A$23,Sheet1!$D$21:$D$23)</f>
        <v>69</v>
      </c>
      <c r="S536" s="9">
        <f>Table1[[#This Row], [TOTAL TIME]]-Table1[[#This Row], [TOTAL TIME TAKEN]]</f>
        <v>0.50000000000001421</v>
      </c>
      <c r="T536" t="str">
        <f>IF(Table1[[#This Row], [TIME DIFFERENCE]]&gt;=0,"PASS","FAIL")</f>
        <v>PASS</v>
      </c>
      <c r="U536" s="9">
        <f>Table1[[#This Row], [TRC]]+Table1[[#This Row], [DRC]]+Table1[[#This Row], [WRC]]+Table1[[#This Row], [ERC]]+Table1[[#This Row], [EQRC]]</f>
        <v>8264952.5</v>
      </c>
      <c r="V536" s="9">
        <f>Table1[[#This Row], [TOTAL COST]]+_xlfn.XLOOKUP(Table1[[#This Row], [TEAM]],Sheet1!$A$12:$A$17,Sheet1!$I$12:$I$17)</f>
        <v>8569092.5</v>
      </c>
      <c r="W536" s="9">
        <f>Table1[[#This Row], [LOOT]]-Table1[[#This Row], [TOTAL COST]]</f>
        <v>9785047.5</v>
      </c>
      <c r="X536" s="9">
        <f>IF(Table1[[#This Row], [PASS/FAIL]]="FAIL",0,Table1[[#This Row], [PROFIT]])</f>
        <v>9785047.5</v>
      </c>
    </row>
    <row r="537" spans="1:24" ht="19.5" customHeight="1" x14ac:dyDescent="0.45">
      <c r="A537" t="s">
        <v>15</v>
      </c>
      <c r="B537" s="14">
        <f>_xlfn.XLOOKUP(Table1[[#This Row], [TEAM]],Sheet1!$A$12:$A$17,Sheet1!$F$12:$F$17)</f>
        <v>2</v>
      </c>
      <c r="C537" s="14">
        <f>_xlfn.XLOOKUP(Table1[[#This Row], [TEAM]],Sheet1!$A$12:$A$17,Sheet1!$G$12:$G$17)</f>
        <v>5932950</v>
      </c>
      <c r="D537" t="s">
        <v>27</v>
      </c>
      <c r="E537" s="4">
        <f>_xlfn.XLOOKUP(Table1[[#This Row], [ROOM]],Sheet1!$A$47:$A$66,Sheet1!$B$47:$B$66)</f>
        <v>146</v>
      </c>
      <c r="F537" t="s">
        <v>58</v>
      </c>
      <c r="G537" s="4">
        <f>_xlfn.XLOOKUP(Table1[[#This Row], [DISGUISE]],Sheet1!$A$21:$A$23,Sheet1!$B$21:$B$23)*Table1[[#This Row], [NUM OF MEM]]*(1+_xlfn.XLOOKUP(Table1[[#This Row], [DISGUISE]],Sheet1!$A$21:$A$23,Sheet1!$C$21:$C$23))</f>
        <v>25600</v>
      </c>
      <c r="H537" s="13" t="s">
        <v>66</v>
      </c>
      <c r="I537" s="4">
        <f>_xlfn.XLOOKUP(Table1[[#This Row], [WEAPON]],Sheet1!$A$27:$A$29,Sheet1!$B$27:$B$29)*Table1[[#This Row], [NUM OF MEM]]*(1+_xlfn.XLOOKUP(Table1[[#This Row], [WEAPON]],Sheet1!$A$27:$A$29,Sheet1!$C$27:$C$29))</f>
        <v>72000</v>
      </c>
      <c r="J537" t="s">
        <v>60</v>
      </c>
      <c r="K537" s="9">
        <f>Table1[[#This Row], [NUM OF MEM]]*Table1[[#This Row], [TOTAL TIME TAKEN]]*_xlfn.XLOOKUP(Table1[[#This Row], [EXIT]],Sheet1!$A$70:$A$71,Sheet1!$B$70:$B$71)*(1+_xlfn.XLOOKUP(Table1[[#This Row], [EXIT]],Sheet1!$A$70:$A$71,Sheet1!$C$70:$C$71))</f>
        <v>1626936.4312499997</v>
      </c>
      <c r="L537" s="13" t="s">
        <v>65</v>
      </c>
      <c r="M537" s="4">
        <f>IF(Table1[[#This Row], [EQUIPMENT]]="YES",Sheet1!$C$44*(1+Sheet1!$D$44),0)</f>
        <v>307500</v>
      </c>
      <c r="N537" s="4">
        <f>_xlfn.XLOOKUP(Table1[[#This Row], [ROOM]],Sheet1!$A$47:$A$66,Sheet1!$F$47:$F$66)</f>
        <v>17750000</v>
      </c>
      <c r="O537" s="9">
        <f>_xlfn.XLOOKUP(_xlfn.CONCAT(Table1[[#This Row], [TEAM]],Table1[[#This Row], [ROOM]]),'ROOM TIME'!$H$2:$H$121,'ROOM TIME'!$J$2:$J$121)</f>
        <v>56.516249999999985</v>
      </c>
      <c r="P537" s="9">
        <f>(INDEX(Sheet1!$X$48:$Z$67,MATCH(Table1[[#This Row], [ROOM]],Sheet1!$P$48:$P$67,0),MATCH(Table1[[#This Row], [WEAPON]],Sheet1!$X$47:$Z$47,0)))/Table1[[#This Row], [NUM OF MEM]]</f>
        <v>6.875</v>
      </c>
      <c r="Q537" s="9">
        <f>Table1[[#This Row], [ROOM TIME]]+Table1[[#This Row], [GUARD TIME]]</f>
        <v>63.391249999999985</v>
      </c>
      <c r="R537" s="4">
        <f>Sheet1!$K$3*_xlfn.XLOOKUP(Table1[[#This Row], [DISGUISE]],Sheet1!$A$21:$A$23,Sheet1!$D$21:$D$23)</f>
        <v>69</v>
      </c>
      <c r="S537" s="9">
        <f>Table1[[#This Row], [TOTAL TIME]]-Table1[[#This Row], [TOTAL TIME TAKEN]]</f>
        <v>5.6087500000000148</v>
      </c>
      <c r="T537" t="str">
        <f>IF(Table1[[#This Row], [TIME DIFFERENCE]]&gt;=0,"PASS","FAIL")</f>
        <v>PASS</v>
      </c>
      <c r="U537" s="9">
        <f>Table1[[#This Row], [TRC]]+Table1[[#This Row], [DRC]]+Table1[[#This Row], [WRC]]+Table1[[#This Row], [ERC]]+Table1[[#This Row], [EQRC]]</f>
        <v>7964986.4312499994</v>
      </c>
      <c r="V537" s="9">
        <f>Table1[[#This Row], [TOTAL COST]]+_xlfn.XLOOKUP(Table1[[#This Row], [TEAM]],Sheet1!$A$12:$A$17,Sheet1!$I$12:$I$17)</f>
        <v>8261633.9312499994</v>
      </c>
      <c r="W537" s="9">
        <f>Table1[[#This Row], [LOOT]]-Table1[[#This Row], [TOTAL COST]]</f>
        <v>9785013.5687500015</v>
      </c>
      <c r="X537" s="9">
        <f>IF(Table1[[#This Row], [PASS/FAIL]]="FAIL",0,Table1[[#This Row], [PROFIT]])</f>
        <v>9785013.5687500015</v>
      </c>
    </row>
    <row r="538" spans="1:24" ht="19.5" customHeight="1" x14ac:dyDescent="0.45">
      <c r="A538" t="s">
        <v>16</v>
      </c>
      <c r="B538" s="14">
        <f>_xlfn.XLOOKUP(Table1[[#This Row], [TEAM]],Sheet1!$A$12:$A$17,Sheet1!$F$12:$F$17)</f>
        <v>2</v>
      </c>
      <c r="C538" s="14">
        <f>_xlfn.XLOOKUP(Table1[[#This Row], [TEAM]],Sheet1!$A$12:$A$17,Sheet1!$G$12:$G$17)</f>
        <v>6082800</v>
      </c>
      <c r="D538" t="s">
        <v>29</v>
      </c>
      <c r="E538" s="4">
        <f>_xlfn.XLOOKUP(Table1[[#This Row], [ROOM]],Sheet1!$A$47:$A$66,Sheet1!$B$47:$B$66)</f>
        <v>236</v>
      </c>
      <c r="F538" t="s">
        <v>58</v>
      </c>
      <c r="G538" s="4">
        <f>_xlfn.XLOOKUP(Table1[[#This Row], [DISGUISE]],Sheet1!$A$21:$A$23,Sheet1!$B$21:$B$23)*Table1[[#This Row], [NUM OF MEM]]*(1+_xlfn.XLOOKUP(Table1[[#This Row], [DISGUISE]],Sheet1!$A$21:$A$23,Sheet1!$C$21:$C$23))</f>
        <v>25600</v>
      </c>
      <c r="H538" s="13" t="s">
        <v>59</v>
      </c>
      <c r="I538" s="4">
        <f>_xlfn.XLOOKUP(Table1[[#This Row], [WEAPON]],Sheet1!$A$27:$A$29,Sheet1!$B$27:$B$29)*Table1[[#This Row], [NUM OF MEM]]*(1+_xlfn.XLOOKUP(Table1[[#This Row], [WEAPON]],Sheet1!$A$27:$A$29,Sheet1!$C$27:$C$29))</f>
        <v>91000</v>
      </c>
      <c r="J538" t="s">
        <v>64</v>
      </c>
      <c r="K538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1709002.7999999993</v>
      </c>
      <c r="L538" s="13" t="s">
        <v>65</v>
      </c>
      <c r="M538" s="4">
        <f>IF(Table1[[#This Row], [EQUIPMENT]]="YES",Sheet1!$C$44*(1+Sheet1!$D$44),0)</f>
        <v>307500</v>
      </c>
      <c r="N538" s="4">
        <f>_xlfn.XLOOKUP(Table1[[#This Row], [ROOM]],Sheet1!$A$47:$A$66,Sheet1!$F$47:$F$66)</f>
        <v>18000000</v>
      </c>
      <c r="O538" s="9">
        <f>_xlfn.XLOOKUP(_xlfn.CONCAT(Table1[[#This Row], [TEAM]],Table1[[#This Row], [ROOM]]),'ROOM TIME'!$H$2:$H$121,'ROOM TIME'!$J$2:$J$121)</f>
        <v>58.458749999999981</v>
      </c>
      <c r="P538" s="9">
        <f>(INDEX(Sheet1!$X$48:$Z$67,MATCH(Table1[[#This Row], [ROOM]],Sheet1!$P$48:$P$67,0),MATCH(Table1[[#This Row], [WEAPON]],Sheet1!$X$47:$Z$47,0)))/Table1[[#This Row], [NUM OF MEM]]</f>
        <v>7.4749999999999996</v>
      </c>
      <c r="Q538" s="9">
        <f>Table1[[#This Row], [ROOM TIME]]+Table1[[#This Row], [GUARD TIME]]</f>
        <v>65.933749999999975</v>
      </c>
      <c r="R538" s="4">
        <f>Sheet1!$K$3*_xlfn.XLOOKUP(Table1[[#This Row], [DISGUISE]],Sheet1!$A$21:$A$23,Sheet1!$D$21:$D$23)</f>
        <v>69</v>
      </c>
      <c r="S538" s="9">
        <f>Table1[[#This Row], [TOTAL TIME]]-Table1[[#This Row], [TOTAL TIME TAKEN]]</f>
        <v>3.066250000000025</v>
      </c>
      <c r="T538" t="str">
        <f>IF(Table1[[#This Row], [TIME DIFFERENCE]]&gt;=0,"PASS","FAIL")</f>
        <v>PASS</v>
      </c>
      <c r="U538" s="9">
        <f>Table1[[#This Row], [TRC]]+Table1[[#This Row], [DRC]]+Table1[[#This Row], [WRC]]+Table1[[#This Row], [ERC]]+Table1[[#This Row], [EQRC]]</f>
        <v>8215902.7999999989</v>
      </c>
      <c r="V538" s="9">
        <f>Table1[[#This Row], [TOTAL COST]]+_xlfn.XLOOKUP(Table1[[#This Row], [TEAM]],Sheet1!$A$12:$A$17,Sheet1!$I$12:$I$17)</f>
        <v>8520042.7999999989</v>
      </c>
      <c r="W538" s="9">
        <f>Table1[[#This Row], [LOOT]]-Table1[[#This Row], [TOTAL COST]]</f>
        <v>9784097.2000000011</v>
      </c>
      <c r="X538" s="9">
        <f>IF(Table1[[#This Row], [PASS/FAIL]]="FAIL",0,Table1[[#This Row], [PROFIT]])</f>
        <v>9784097.2000000011</v>
      </c>
    </row>
    <row r="539" spans="1:24" ht="19.5" customHeight="1" x14ac:dyDescent="0.45">
      <c r="A539" t="s">
        <v>13</v>
      </c>
      <c r="B539" s="14">
        <f>_xlfn.XLOOKUP(Table1[[#This Row], [TEAM]],Sheet1!$A$12:$A$17,Sheet1!$F$12:$F$17)</f>
        <v>3</v>
      </c>
      <c r="C539" s="14">
        <f>_xlfn.XLOOKUP(Table1[[#This Row], [TEAM]],Sheet1!$A$12:$A$17,Sheet1!$G$12:$G$17)</f>
        <v>5930000</v>
      </c>
      <c r="D539" t="s">
        <v>24</v>
      </c>
      <c r="E539" s="4">
        <f>_xlfn.XLOOKUP(Table1[[#This Row], [ROOM]],Sheet1!$A$47:$A$66,Sheet1!$B$47:$B$66)</f>
        <v>345</v>
      </c>
      <c r="F539" t="s">
        <v>58</v>
      </c>
      <c r="G539" s="4">
        <f>_xlfn.XLOOKUP(Table1[[#This Row], [DISGUISE]],Sheet1!$A$21:$A$23,Sheet1!$B$21:$B$23)*Table1[[#This Row], [NUM OF MEM]]*(1+_xlfn.XLOOKUP(Table1[[#This Row], [DISGUISE]],Sheet1!$A$21:$A$23,Sheet1!$C$21:$C$23))</f>
        <v>38400</v>
      </c>
      <c r="H539" s="13" t="s">
        <v>66</v>
      </c>
      <c r="I539" s="4">
        <f>_xlfn.XLOOKUP(Table1[[#This Row], [WEAPON]],Sheet1!$A$27:$A$29,Sheet1!$B$27:$B$29)*Table1[[#This Row], [NUM OF MEM]]*(1+_xlfn.XLOOKUP(Table1[[#This Row], [WEAPON]],Sheet1!$A$27:$A$29,Sheet1!$C$27:$C$29))</f>
        <v>108000</v>
      </c>
      <c r="J539" t="s">
        <v>60</v>
      </c>
      <c r="K539" s="9">
        <f>Table1[[#This Row], [NUM OF MEM]]*Table1[[#This Row], [TOTAL TIME TAKEN]]*_xlfn.XLOOKUP(Table1[[#This Row], [EXIT]],Sheet1!$A$70:$A$71,Sheet1!$B$70:$B$71)*(1+_xlfn.XLOOKUP(Table1[[#This Row], [EXIT]],Sheet1!$A$70:$A$71,Sheet1!$C$70:$C$71))</f>
        <v>1832010.4749999999</v>
      </c>
      <c r="L539" s="13" t="s">
        <v>65</v>
      </c>
      <c r="M539" s="4">
        <f>IF(Table1[[#This Row], [EQUIPMENT]]="YES",Sheet1!$C$44*(1+Sheet1!$D$44),0)</f>
        <v>307500</v>
      </c>
      <c r="N539" s="4">
        <f>_xlfn.XLOOKUP(Table1[[#This Row], [ROOM]],Sheet1!$A$47:$A$66,Sheet1!$F$47:$F$66)</f>
        <v>18000000</v>
      </c>
      <c r="O539" s="9">
        <f>_xlfn.XLOOKUP(_xlfn.CONCAT(Table1[[#This Row], [TEAM]],Table1[[#This Row], [ROOM]]),'ROOM TIME'!$H$2:$H$121,'ROOM TIME'!$J$2:$J$121)</f>
        <v>42.587777777777774</v>
      </c>
      <c r="P539" s="4">
        <f>(INDEX(Sheet1!$X$48:$Z$67,MATCH(Table1[[#This Row], [ROOM]],Sheet1!$P$48:$P$67,0),MATCH(Table1[[#This Row], [WEAPON]],Sheet1!$X$47:$Z$47,0)))/Table1[[#This Row], [NUM OF MEM]]</f>
        <v>5</v>
      </c>
      <c r="Q539" s="9">
        <f>Table1[[#This Row], [ROOM TIME]]+Table1[[#This Row], [GUARD TIME]]</f>
        <v>47.587777777777774</v>
      </c>
      <c r="R539" s="4">
        <f>Sheet1!$K$3*_xlfn.XLOOKUP(Table1[[#This Row], [DISGUISE]],Sheet1!$A$21:$A$23,Sheet1!$D$21:$D$23)</f>
        <v>69</v>
      </c>
      <c r="S539" s="9">
        <f>Table1[[#This Row], [TOTAL TIME]]-Table1[[#This Row], [TOTAL TIME TAKEN]]</f>
        <v>21.412222222222226</v>
      </c>
      <c r="T539" t="str">
        <f>IF(Table1[[#This Row], [TIME DIFFERENCE]]&gt;=0,"PASS","FAIL")</f>
        <v>PASS</v>
      </c>
      <c r="U539" s="9">
        <f>Table1[[#This Row], [TRC]]+Table1[[#This Row], [DRC]]+Table1[[#This Row], [WRC]]+Table1[[#This Row], [ERC]]+Table1[[#This Row], [EQRC]]</f>
        <v>8215910.4749999996</v>
      </c>
      <c r="V539" s="9">
        <f>Table1[[#This Row], [TOTAL COST]]+_xlfn.XLOOKUP(Table1[[#This Row], [TEAM]],Sheet1!$A$12:$A$17,Sheet1!$I$12:$I$17)</f>
        <v>8512410.4749999996</v>
      </c>
      <c r="W539" s="9">
        <f>Table1[[#This Row], [LOOT]]-Table1[[#This Row], [TOTAL COST]]</f>
        <v>9784089.5250000004</v>
      </c>
      <c r="X539" s="9">
        <f>IF(Table1[[#This Row], [PASS/FAIL]]="FAIL",0,Table1[[#This Row], [PROFIT]])</f>
        <v>9784089.5250000004</v>
      </c>
    </row>
    <row r="540" spans="1:24" ht="19.5" customHeight="1" x14ac:dyDescent="0.45">
      <c r="A540" t="s">
        <v>15</v>
      </c>
      <c r="B540" s="14">
        <f>_xlfn.XLOOKUP(Table1[[#This Row], [TEAM]],Sheet1!$A$12:$A$17,Sheet1!$F$12:$F$17)</f>
        <v>2</v>
      </c>
      <c r="C540" s="14">
        <f>_xlfn.XLOOKUP(Table1[[#This Row], [TEAM]],Sheet1!$A$12:$A$17,Sheet1!$G$12:$G$17)</f>
        <v>5932950</v>
      </c>
      <c r="D540" t="s">
        <v>27</v>
      </c>
      <c r="E540" s="4">
        <f>_xlfn.XLOOKUP(Table1[[#This Row], [ROOM]],Sheet1!$A$47:$A$66,Sheet1!$B$47:$B$66)</f>
        <v>146</v>
      </c>
      <c r="F540" t="s">
        <v>62</v>
      </c>
      <c r="G540" s="4">
        <f>_xlfn.XLOOKUP(Table1[[#This Row], [DISGUISE]],Sheet1!$A$21:$A$23,Sheet1!$B$21:$B$23)*Table1[[#This Row], [NUM OF MEM]]*(1+_xlfn.XLOOKUP(Table1[[#This Row], [DISGUISE]],Sheet1!$A$21:$A$23,Sheet1!$C$21:$C$23))</f>
        <v>10400</v>
      </c>
      <c r="H540" s="13" t="s">
        <v>66</v>
      </c>
      <c r="I540" s="4">
        <f>_xlfn.XLOOKUP(Table1[[#This Row], [WEAPON]],Sheet1!$A$27:$A$29,Sheet1!$B$27:$B$29)*Table1[[#This Row], [NUM OF MEM]]*(1+_xlfn.XLOOKUP(Table1[[#This Row], [WEAPON]],Sheet1!$A$27:$A$29,Sheet1!$C$27:$C$29))</f>
        <v>72000</v>
      </c>
      <c r="J540" t="s">
        <v>64</v>
      </c>
      <c r="K540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1643101.1999999997</v>
      </c>
      <c r="L540" s="13" t="s">
        <v>65</v>
      </c>
      <c r="M540" s="4">
        <f>IF(Table1[[#This Row], [EQUIPMENT]]="YES",Sheet1!$C$44*(1+Sheet1!$D$44),0)</f>
        <v>307500</v>
      </c>
      <c r="N540" s="4">
        <f>_xlfn.XLOOKUP(Table1[[#This Row], [ROOM]],Sheet1!$A$47:$A$66,Sheet1!$F$47:$F$66)</f>
        <v>17750000</v>
      </c>
      <c r="O540" s="9">
        <f>_xlfn.XLOOKUP(_xlfn.CONCAT(Table1[[#This Row], [TEAM]],Table1[[#This Row], [ROOM]]),'ROOM TIME'!$H$2:$H$121,'ROOM TIME'!$J$2:$J$121)</f>
        <v>56.516249999999985</v>
      </c>
      <c r="P540" s="9">
        <f>(INDEX(Sheet1!$X$48:$Z$67,MATCH(Table1[[#This Row], [ROOM]],Sheet1!$P$48:$P$67,0),MATCH(Table1[[#This Row], [WEAPON]],Sheet1!$X$47:$Z$47,0)))/Table1[[#This Row], [NUM OF MEM]]</f>
        <v>6.875</v>
      </c>
      <c r="Q540" s="9">
        <f>Table1[[#This Row], [ROOM TIME]]+Table1[[#This Row], [GUARD TIME]]</f>
        <v>63.391249999999985</v>
      </c>
      <c r="R540" s="4">
        <f>Sheet1!$K$3*_xlfn.XLOOKUP(Table1[[#This Row], [DISGUISE]],Sheet1!$A$21:$A$23,Sheet1!$D$21:$D$23)</f>
        <v>66</v>
      </c>
      <c r="S540" s="9">
        <f>Table1[[#This Row], [TOTAL TIME]]-Table1[[#This Row], [TOTAL TIME TAKEN]]</f>
        <v>2.6087500000000148</v>
      </c>
      <c r="T540" t="str">
        <f>IF(Table1[[#This Row], [TIME DIFFERENCE]]&gt;=0,"PASS","FAIL")</f>
        <v>PASS</v>
      </c>
      <c r="U540" s="9">
        <f>Table1[[#This Row], [TRC]]+Table1[[#This Row], [DRC]]+Table1[[#This Row], [WRC]]+Table1[[#This Row], [ERC]]+Table1[[#This Row], [EQRC]]</f>
        <v>7965951.1999999993</v>
      </c>
      <c r="V540" s="9">
        <f>Table1[[#This Row], [TOTAL COST]]+_xlfn.XLOOKUP(Table1[[#This Row], [TEAM]],Sheet1!$A$12:$A$17,Sheet1!$I$12:$I$17)</f>
        <v>8262598.6999999993</v>
      </c>
      <c r="W540" s="9">
        <f>Table1[[#This Row], [LOOT]]-Table1[[#This Row], [TOTAL COST]]</f>
        <v>9784048.8000000007</v>
      </c>
      <c r="X540" s="9">
        <f>IF(Table1[[#This Row], [PASS/FAIL]]="FAIL",0,Table1[[#This Row], [PROFIT]])</f>
        <v>9784048.8000000007</v>
      </c>
    </row>
    <row r="541" spans="1:24" ht="19.5" customHeight="1" x14ac:dyDescent="0.45">
      <c r="A541" t="s">
        <v>9</v>
      </c>
      <c r="B541" s="14">
        <f>_xlfn.XLOOKUP(Table1[[#This Row], [TEAM]],Sheet1!$A$12:$A$17,Sheet1!$F$12:$F$17)</f>
        <v>3</v>
      </c>
      <c r="C541" s="14">
        <f>_xlfn.XLOOKUP(Table1[[#This Row], [TEAM]],Sheet1!$A$12:$A$17,Sheet1!$G$12:$G$17)</f>
        <v>6238750</v>
      </c>
      <c r="D541" t="s">
        <v>21</v>
      </c>
      <c r="E541" s="4">
        <f>_xlfn.XLOOKUP(Table1[[#This Row], [ROOM]],Sheet1!$A$47:$A$66,Sheet1!$B$47:$B$66)</f>
        <v>234</v>
      </c>
      <c r="F541" t="s">
        <v>62</v>
      </c>
      <c r="G541" s="4">
        <f>_xlfn.XLOOKUP(Table1[[#This Row], [DISGUISE]],Sheet1!$A$21:$A$23,Sheet1!$B$21:$B$23)*Table1[[#This Row], [NUM OF MEM]]*(1+_xlfn.XLOOKUP(Table1[[#This Row], [DISGUISE]],Sheet1!$A$21:$A$23,Sheet1!$C$21:$C$23))</f>
        <v>15600</v>
      </c>
      <c r="H541" s="13" t="s">
        <v>66</v>
      </c>
      <c r="I541" s="4">
        <f>_xlfn.XLOOKUP(Table1[[#This Row], [WEAPON]],Sheet1!$A$27:$A$29,Sheet1!$B$27:$B$29)*Table1[[#This Row], [NUM OF MEM]]*(1+_xlfn.XLOOKUP(Table1[[#This Row], [WEAPON]],Sheet1!$A$27:$A$29,Sheet1!$C$27:$C$29))</f>
        <v>108000</v>
      </c>
      <c r="J541" t="s">
        <v>64</v>
      </c>
      <c r="K541" s="9">
        <f>Table1[[#This Row], [NUM OF MEM]]*Table1[[#This Row], [TOTAL TIME TAKEN]]*_xlfn.XLOOKUP(Table1[[#This Row], [EXIT]],Sheet1!$A$70:$A$71,Sheet1!$B$70:$B$71)*(1+_xlfn.XLOOKUP(Table1[[#This Row], [EXIT]],Sheet1!$A$70:$A$71,Sheet1!$C$70:$C$71))</f>
        <v>1754092.7999999996</v>
      </c>
      <c r="L541" s="13" t="s">
        <v>61</v>
      </c>
      <c r="M541" s="4">
        <f>IF(Table1[[#This Row], [EQUIPMENT]]="YES",Sheet1!$C$44*(1+Sheet1!$D$44),0)</f>
        <v>0</v>
      </c>
      <c r="N541" s="4">
        <f>_xlfn.XLOOKUP(Table1[[#This Row], [ROOM]],Sheet1!$A$47:$A$66,Sheet1!$F$47:$F$66)</f>
        <v>17900000</v>
      </c>
      <c r="O541" s="9">
        <f>_xlfn.XLOOKUP(_xlfn.CONCAT(Table1[[#This Row], [TEAM]],Table1[[#This Row], [ROOM]]),'ROOM TIME'!$H$2:$H$121,'ROOM TIME'!$J$2:$J$121)</f>
        <v>39.698888888888881</v>
      </c>
      <c r="P541" s="9">
        <f>(INDEX(Sheet1!$X$48:$Z$67,MATCH(Table1[[#This Row], [ROOM]],Sheet1!$P$48:$P$67,0),MATCH(Table1[[#This Row], [WEAPON]],Sheet1!$X$47:$Z$47,0)))/Table1[[#This Row], [NUM OF MEM]]</f>
        <v>5.416666666666667</v>
      </c>
      <c r="Q541" s="9">
        <f>Table1[[#This Row], [ROOM TIME]]+Table1[[#This Row], [GUARD TIME]]</f>
        <v>45.115555555555545</v>
      </c>
      <c r="R541" s="4">
        <f>Sheet1!$K$3*_xlfn.XLOOKUP(Table1[[#This Row], [DISGUISE]],Sheet1!$A$21:$A$23,Sheet1!$D$21:$D$23)</f>
        <v>66</v>
      </c>
      <c r="S541" s="9">
        <f>Table1[[#This Row], [TOTAL TIME]]-Table1[[#This Row], [TOTAL TIME TAKEN]]</f>
        <v>20.884444444444455</v>
      </c>
      <c r="T541" t="str">
        <f>IF(Table1[[#This Row], [TIME DIFFERENCE]]&gt;=0,"PASS","FAIL")</f>
        <v>PASS</v>
      </c>
      <c r="U541" s="9">
        <f>Table1[[#This Row], [TRC]]+Table1[[#This Row], [DRC]]+Table1[[#This Row], [WRC]]+Table1[[#This Row], [ERC]]+Table1[[#This Row], [EQRC]]</f>
        <v>8116442.7999999998</v>
      </c>
      <c r="V541" s="9">
        <f>Table1[[#This Row], [TOTAL COST]]+_xlfn.XLOOKUP(Table1[[#This Row], [TEAM]],Sheet1!$A$12:$A$17,Sheet1!$I$12:$I$17)</f>
        <v>8428380.3000000007</v>
      </c>
      <c r="W541" s="9">
        <f>Table1[[#This Row], [LOOT]]-Table1[[#This Row], [TOTAL COST]]</f>
        <v>9783557.1999999993</v>
      </c>
      <c r="X541" s="9">
        <f>IF(Table1[[#This Row], [PASS/FAIL]]="FAIL",0,Table1[[#This Row], [PROFIT]])</f>
        <v>9783557.1999999993</v>
      </c>
    </row>
    <row r="542" spans="1:24" ht="19.5" customHeight="1" x14ac:dyDescent="0.45">
      <c r="A542" t="s">
        <v>9</v>
      </c>
      <c r="B542" s="14">
        <f>_xlfn.XLOOKUP(Table1[[#This Row], [TEAM]],Sheet1!$A$12:$A$17,Sheet1!$F$12:$F$17)</f>
        <v>3</v>
      </c>
      <c r="C542" s="14">
        <f>_xlfn.XLOOKUP(Table1[[#This Row], [TEAM]],Sheet1!$A$12:$A$17,Sheet1!$G$12:$G$17)</f>
        <v>6238750</v>
      </c>
      <c r="D542" t="s">
        <v>21</v>
      </c>
      <c r="E542" s="4">
        <f>_xlfn.XLOOKUP(Table1[[#This Row], [ROOM]],Sheet1!$A$47:$A$66,Sheet1!$B$47:$B$66)</f>
        <v>234</v>
      </c>
      <c r="F542" t="s">
        <v>58</v>
      </c>
      <c r="G542" s="4">
        <f>_xlfn.XLOOKUP(Table1[[#This Row], [DISGUISE]],Sheet1!$A$21:$A$23,Sheet1!$B$21:$B$23)*Table1[[#This Row], [NUM OF MEM]]*(1+_xlfn.XLOOKUP(Table1[[#This Row], [DISGUISE]],Sheet1!$A$21:$A$23,Sheet1!$C$21:$C$23))</f>
        <v>38400</v>
      </c>
      <c r="H542" s="13" t="s">
        <v>63</v>
      </c>
      <c r="I542" s="4">
        <f>_xlfn.XLOOKUP(Table1[[#This Row], [WEAPON]],Sheet1!$A$27:$A$29,Sheet1!$B$27:$B$29)*Table1[[#This Row], [NUM OF MEM]]*(1+_xlfn.XLOOKUP(Table1[[#This Row], [WEAPON]],Sheet1!$A$27:$A$29,Sheet1!$C$27:$C$29))</f>
        <v>69000</v>
      </c>
      <c r="J542" t="s">
        <v>64</v>
      </c>
      <c r="K542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1770940.7999999996</v>
      </c>
      <c r="L542" s="13" t="s">
        <v>61</v>
      </c>
      <c r="M542" s="4">
        <f>IF(Table1[[#This Row], [EQUIPMENT]]="YES",Sheet1!$C$44*(1+Sheet1!$D$44),0)</f>
        <v>0</v>
      </c>
      <c r="N542" s="4">
        <f>_xlfn.XLOOKUP(Table1[[#This Row], [ROOM]],Sheet1!$A$47:$A$66,Sheet1!$F$47:$F$66)</f>
        <v>17900000</v>
      </c>
      <c r="O542" s="9">
        <f>_xlfn.XLOOKUP(_xlfn.CONCAT(Table1[[#This Row], [TEAM]],Table1[[#This Row], [ROOM]]),'ROOM TIME'!$H$2:$H$121,'ROOM TIME'!$J$2:$J$121)</f>
        <v>39.698888888888881</v>
      </c>
      <c r="P542" s="9">
        <f>(INDEX(Sheet1!$X$48:$Z$67,MATCH(Table1[[#This Row], [ROOM]],Sheet1!$P$48:$P$67,0),MATCH(Table1[[#This Row], [WEAPON]],Sheet1!$X$47:$Z$47,0)))/Table1[[#This Row], [NUM OF MEM]]</f>
        <v>5.8500000000000005</v>
      </c>
      <c r="Q542" s="9">
        <f>Table1[[#This Row], [ROOM TIME]]+Table1[[#This Row], [GUARD TIME]]</f>
        <v>45.548888888888882</v>
      </c>
      <c r="R542" s="4">
        <f>Sheet1!$K$3*_xlfn.XLOOKUP(Table1[[#This Row], [DISGUISE]],Sheet1!$A$21:$A$23,Sheet1!$D$21:$D$23)</f>
        <v>69</v>
      </c>
      <c r="S542" s="9">
        <f>Table1[[#This Row], [TOTAL TIME]]-Table1[[#This Row], [TOTAL TIME TAKEN]]</f>
        <v>23.451111111111118</v>
      </c>
      <c r="T542" t="str">
        <f>IF(Table1[[#This Row], [TIME DIFFERENCE]]&gt;=0,"PASS","FAIL")</f>
        <v>PASS</v>
      </c>
      <c r="U542" s="9">
        <f>Table1[[#This Row], [TRC]]+Table1[[#This Row], [DRC]]+Table1[[#This Row], [WRC]]+Table1[[#This Row], [ERC]]+Table1[[#This Row], [EQRC]]</f>
        <v>8117090.7999999998</v>
      </c>
      <c r="V542" s="9">
        <f>Table1[[#This Row], [TOTAL COST]]+_xlfn.XLOOKUP(Table1[[#This Row], [TEAM]],Sheet1!$A$12:$A$17,Sheet1!$I$12:$I$17)</f>
        <v>8429028.3000000007</v>
      </c>
      <c r="W542" s="9">
        <f>Table1[[#This Row], [LOOT]]-Table1[[#This Row], [TOTAL COST]]</f>
        <v>9782909.1999999993</v>
      </c>
      <c r="X542" s="9">
        <f>IF(Table1[[#This Row], [PASS/FAIL]]="FAIL",0,Table1[[#This Row], [PROFIT]])</f>
        <v>9782909.1999999993</v>
      </c>
    </row>
    <row r="543" spans="1:24" ht="19.5" customHeight="1" x14ac:dyDescent="0.45">
      <c r="A543" t="s">
        <v>14</v>
      </c>
      <c r="B543" s="14">
        <f>_xlfn.XLOOKUP(Table1[[#This Row], [TEAM]],Sheet1!$A$12:$A$17,Sheet1!$F$12:$F$17)</f>
        <v>2</v>
      </c>
      <c r="C543" s="14">
        <f>_xlfn.XLOOKUP(Table1[[#This Row], [TEAM]],Sheet1!$A$12:$A$17,Sheet1!$G$12:$G$17)</f>
        <v>5949600</v>
      </c>
      <c r="D543" t="s">
        <v>20</v>
      </c>
      <c r="E543" s="4">
        <f>_xlfn.XLOOKUP(Table1[[#This Row], [ROOM]],Sheet1!$A$47:$A$66,Sheet1!$B$47:$B$66)</f>
        <v>145</v>
      </c>
      <c r="F543" t="s">
        <v>58</v>
      </c>
      <c r="G543" s="4">
        <f>_xlfn.XLOOKUP(Table1[[#This Row], [DISGUISE]],Sheet1!$A$21:$A$23,Sheet1!$B$21:$B$23)*Table1[[#This Row], [NUM OF MEM]]*(1+_xlfn.XLOOKUP(Table1[[#This Row], [DISGUISE]],Sheet1!$A$21:$A$23,Sheet1!$C$21:$C$23))</f>
        <v>25600</v>
      </c>
      <c r="H543" s="13" t="s">
        <v>59</v>
      </c>
      <c r="I543" s="4">
        <f>_xlfn.XLOOKUP(Table1[[#This Row], [WEAPON]],Sheet1!$A$27:$A$29,Sheet1!$B$27:$B$29)*Table1[[#This Row], [NUM OF MEM]]*(1+_xlfn.XLOOKUP(Table1[[#This Row], [WEAPON]],Sheet1!$A$27:$A$29,Sheet1!$C$27:$C$29))</f>
        <v>91000</v>
      </c>
      <c r="J543" t="s">
        <v>64</v>
      </c>
      <c r="K543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543" s="13" t="s">
        <v>61</v>
      </c>
      <c r="M543" s="4">
        <f>IF(Table1[[#This Row], [EQUIPMENT]]="YES",Sheet1!$C$44*(1+Sheet1!$D$44),0)</f>
        <v>0</v>
      </c>
      <c r="N543" s="4">
        <f>_xlfn.XLOOKUP(Table1[[#This Row], [ROOM]],Sheet1!$A$47:$A$66,Sheet1!$F$47:$F$66)</f>
        <v>17550000</v>
      </c>
      <c r="O543" s="9">
        <f>_xlfn.XLOOKUP(_xlfn.CONCAT(Table1[[#This Row], [TEAM]],Table1[[#This Row], [ROOM]]),'ROOM TIME'!$H$2:$H$121,'ROOM TIME'!$J$2:$J$121)</f>
        <v>59.889999999999986</v>
      </c>
      <c r="P543" s="9">
        <f>(INDEX(Sheet1!$X$48:$Z$67,MATCH(Table1[[#This Row], [ROOM]],Sheet1!$P$48:$P$67,0),MATCH(Table1[[#This Row], [WEAPON]],Sheet1!$X$47:$Z$47,0)))/Table1[[#This Row], [NUM OF MEM]]</f>
        <v>5.75</v>
      </c>
      <c r="Q543" s="9">
        <f>Table1[[#This Row], [ROOM TIME]]+Table1[[#This Row], [GUARD TIME]]</f>
        <v>65.639999999999986</v>
      </c>
      <c r="R543" s="4">
        <f>Sheet1!$K$3*_xlfn.XLOOKUP(Table1[[#This Row], [DISGUISE]],Sheet1!$A$21:$A$23,Sheet1!$D$21:$D$23)</f>
        <v>69</v>
      </c>
      <c r="S543" s="9">
        <f>Table1[[#This Row], [TOTAL TIME]]-Table1[[#This Row], [TOTAL TIME TAKEN]]</f>
        <v>3.3600000000000136</v>
      </c>
      <c r="T543" t="str">
        <f>IF(Table1[[#This Row], [TIME DIFFERENCE]]&gt;=0,"PASS","FAIL")</f>
        <v>PASS</v>
      </c>
      <c r="U543" s="9">
        <f>Table1[[#This Row], [TRC]]+Table1[[#This Row], [DRC]]+Table1[[#This Row], [WRC]]+Table1[[#This Row], [ERC]]+Table1[[#This Row], [EQRC]]</f>
        <v>7767588.7999999998</v>
      </c>
      <c r="V543" s="9">
        <f>Table1[[#This Row], [TOTAL COST]]+_xlfn.XLOOKUP(Table1[[#This Row], [TEAM]],Sheet1!$A$12:$A$17,Sheet1!$I$12:$I$17)</f>
        <v>8065068.7999999998</v>
      </c>
      <c r="W543" s="9">
        <f>Table1[[#This Row], [LOOT]]-Table1[[#This Row], [TOTAL COST]]</f>
        <v>9782411.1999999993</v>
      </c>
      <c r="X543" s="9">
        <f>IF(Table1[[#This Row], [PASS/FAIL]]="FAIL",0,Table1[[#This Row], [PROFIT]])</f>
        <v>9782411.1999999993</v>
      </c>
    </row>
    <row r="544" spans="1:24" ht="19.5" customHeight="1" x14ac:dyDescent="0.45">
      <c r="A544" t="s">
        <v>12</v>
      </c>
      <c r="B544" s="14">
        <f>_xlfn.XLOOKUP(Table1[[#This Row], [TEAM]],Sheet1!$A$12:$A$17,Sheet1!$F$12:$F$17)</f>
        <v>3</v>
      </c>
      <c r="C544" s="14">
        <f>_xlfn.XLOOKUP(Table1[[#This Row], [TEAM]],Sheet1!$A$12:$A$17,Sheet1!$G$12:$G$17)</f>
        <v>5988750</v>
      </c>
      <c r="D544" t="s">
        <v>24</v>
      </c>
      <c r="E544" s="4">
        <f>_xlfn.XLOOKUP(Table1[[#This Row], [ROOM]],Sheet1!$A$47:$A$66,Sheet1!$B$47:$B$66)</f>
        <v>345</v>
      </c>
      <c r="F544" t="s">
        <v>62</v>
      </c>
      <c r="G544" s="4">
        <f>_xlfn.XLOOKUP(Table1[[#This Row], [DISGUISE]],Sheet1!$A$21:$A$23,Sheet1!$B$21:$B$23)*Table1[[#This Row], [NUM OF MEM]]*(1+_xlfn.XLOOKUP(Table1[[#This Row], [DISGUISE]],Sheet1!$A$21:$A$23,Sheet1!$C$21:$C$23))</f>
        <v>15600</v>
      </c>
      <c r="H544" s="13" t="s">
        <v>59</v>
      </c>
      <c r="I544" s="4">
        <f>_xlfn.XLOOKUP(Table1[[#This Row], [WEAPON]],Sheet1!$A$27:$A$29,Sheet1!$B$27:$B$29)*Table1[[#This Row], [NUM OF MEM]]*(1+_xlfn.XLOOKUP(Table1[[#This Row], [WEAPON]],Sheet1!$A$27:$A$29,Sheet1!$C$27:$C$29))</f>
        <v>136500</v>
      </c>
      <c r="J544" t="s">
        <v>64</v>
      </c>
      <c r="K544" s="9">
        <f>Table1[[#This Row], [NUM OF MEM]]*Table1[[#This Row], [TOTAL TIME TAKEN]]*_xlfn.XLOOKUP(Table1[[#This Row], [EXIT]],Sheet1!$A$70:$A$71,Sheet1!$B$70:$B$71)*(1+_xlfn.XLOOKUP(Table1[[#This Row], [EXIT]],Sheet1!$A$70:$A$71,Sheet1!$C$70:$C$71))</f>
        <v>1770249.5999999996</v>
      </c>
      <c r="L544" s="13" t="s">
        <v>65</v>
      </c>
      <c r="M544" s="4">
        <f>IF(Table1[[#This Row], [EQUIPMENT]]="YES",Sheet1!$C$44*(1+Sheet1!$D$44),0)</f>
        <v>307500</v>
      </c>
      <c r="N544" s="4">
        <f>_xlfn.XLOOKUP(Table1[[#This Row], [ROOM]],Sheet1!$A$47:$A$66,Sheet1!$F$47:$F$66)</f>
        <v>18000000</v>
      </c>
      <c r="O544" s="9">
        <f>_xlfn.XLOOKUP(_xlfn.CONCAT(Table1[[#This Row], [TEAM]],Table1[[#This Row], [ROOM]]),'ROOM TIME'!$H$2:$H$121,'ROOM TIME'!$J$2:$J$121)</f>
        <v>40.9311111111111</v>
      </c>
      <c r="P544" s="9">
        <f>(INDEX(Sheet1!$X$48:$Z$67,MATCH(Table1[[#This Row], [ROOM]],Sheet1!$P$48:$P$67,0),MATCH(Table1[[#This Row], [WEAPON]],Sheet1!$X$47:$Z$47,0)))/Table1[[#This Row], [NUM OF MEM]]</f>
        <v>4.5999999999999996</v>
      </c>
      <c r="Q544" s="9">
        <f>Table1[[#This Row], [ROOM TIME]]+Table1[[#This Row], [GUARD TIME]]</f>
        <v>45.531111111111102</v>
      </c>
      <c r="R544" s="4">
        <f>Sheet1!$K$3*_xlfn.XLOOKUP(Table1[[#This Row], [DISGUISE]],Sheet1!$A$21:$A$23,Sheet1!$D$21:$D$23)</f>
        <v>66</v>
      </c>
      <c r="S544" s="9">
        <f>Table1[[#This Row], [TOTAL TIME]]-Table1[[#This Row], [TOTAL TIME TAKEN]]</f>
        <v>20.468888888888898</v>
      </c>
      <c r="T544" t="str">
        <f>IF(Table1[[#This Row], [TIME DIFFERENCE]]&gt;=0,"PASS","FAIL")</f>
        <v>PASS</v>
      </c>
      <c r="U544" s="9">
        <f>Table1[[#This Row], [TRC]]+Table1[[#This Row], [DRC]]+Table1[[#This Row], [WRC]]+Table1[[#This Row], [ERC]]+Table1[[#This Row], [EQRC]]</f>
        <v>8218599.5999999996</v>
      </c>
      <c r="V544" s="9">
        <f>Table1[[#This Row], [TOTAL COST]]+_xlfn.XLOOKUP(Table1[[#This Row], [TEAM]],Sheet1!$A$12:$A$17,Sheet1!$I$12:$I$17)</f>
        <v>8518037.0999999996</v>
      </c>
      <c r="W544" s="9">
        <f>Table1[[#This Row], [LOOT]]-Table1[[#This Row], [TOTAL COST]]</f>
        <v>9781400.4000000004</v>
      </c>
      <c r="X544" s="9">
        <f>IF(Table1[[#This Row], [PASS/FAIL]]="FAIL",0,Table1[[#This Row], [PROFIT]])</f>
        <v>9781400.4000000004</v>
      </c>
    </row>
    <row r="545" spans="1:24" ht="19.5" customHeight="1" x14ac:dyDescent="0.45">
      <c r="A545" t="s">
        <v>15</v>
      </c>
      <c r="B545" s="14">
        <f>_xlfn.XLOOKUP(Table1[[#This Row], [TEAM]],Sheet1!$A$12:$A$17,Sheet1!$F$12:$F$17)</f>
        <v>2</v>
      </c>
      <c r="C545" s="14">
        <f>_xlfn.XLOOKUP(Table1[[#This Row], [TEAM]],Sheet1!$A$12:$A$17,Sheet1!$G$12:$G$17)</f>
        <v>5932950</v>
      </c>
      <c r="D545" t="s">
        <v>27</v>
      </c>
      <c r="E545" s="4">
        <f>_xlfn.XLOOKUP(Table1[[#This Row], [ROOM]],Sheet1!$A$47:$A$66,Sheet1!$B$47:$B$66)</f>
        <v>146</v>
      </c>
      <c r="F545" t="s">
        <v>58</v>
      </c>
      <c r="G545" s="4">
        <f>_xlfn.XLOOKUP(Table1[[#This Row], [DISGUISE]],Sheet1!$A$21:$A$23,Sheet1!$B$21:$B$23)*Table1[[#This Row], [NUM OF MEM]]*(1+_xlfn.XLOOKUP(Table1[[#This Row], [DISGUISE]],Sheet1!$A$21:$A$23,Sheet1!$C$21:$C$23))</f>
        <v>25600</v>
      </c>
      <c r="H545" s="13" t="s">
        <v>63</v>
      </c>
      <c r="I545" s="4">
        <f>_xlfn.XLOOKUP(Table1[[#This Row], [WEAPON]],Sheet1!$A$27:$A$29,Sheet1!$B$27:$B$29)*Table1[[#This Row], [NUM OF MEM]]*(1+_xlfn.XLOOKUP(Table1[[#This Row], [WEAPON]],Sheet1!$A$27:$A$29,Sheet1!$C$27:$C$29))</f>
        <v>46000</v>
      </c>
      <c r="J545" t="s">
        <v>64</v>
      </c>
      <c r="K545" s="9">
        <f>Table1[[#This Row], [NUM OF MEM]]*Table1[[#This Row], [TOTAL TIME TAKEN]]*_xlfn.XLOOKUP(Table1[[#This Row], [EXIT]],Sheet1!$A$70:$A$71,Sheet1!$B$70:$B$71)*(1+_xlfn.XLOOKUP(Table1[[#This Row], [EXIT]],Sheet1!$A$70:$A$71,Sheet1!$C$70:$C$71))</f>
        <v>1657357.1999999995</v>
      </c>
      <c r="L545" s="13" t="s">
        <v>65</v>
      </c>
      <c r="M545" s="4">
        <f>IF(Table1[[#This Row], [EQUIPMENT]]="YES",Sheet1!$C$44*(1+Sheet1!$D$44),0)</f>
        <v>307500</v>
      </c>
      <c r="N545" s="4">
        <f>_xlfn.XLOOKUP(Table1[[#This Row], [ROOM]],Sheet1!$A$47:$A$66,Sheet1!$F$47:$F$66)</f>
        <v>17750000</v>
      </c>
      <c r="O545" s="9">
        <f>_xlfn.XLOOKUP(_xlfn.CONCAT(Table1[[#This Row], [TEAM]],Table1[[#This Row], [ROOM]]),'ROOM TIME'!$H$2:$H$121,'ROOM TIME'!$J$2:$J$121)</f>
        <v>56.516249999999985</v>
      </c>
      <c r="P545" s="9">
        <f>(INDEX(Sheet1!$X$48:$Z$67,MATCH(Table1[[#This Row], [ROOM]],Sheet1!$P$48:$P$67,0),MATCH(Table1[[#This Row], [WEAPON]],Sheet1!$X$47:$Z$47,0)))/Table1[[#This Row], [NUM OF MEM]]</f>
        <v>7.4250000000000007</v>
      </c>
      <c r="Q545" s="9">
        <f>Table1[[#This Row], [ROOM TIME]]+Table1[[#This Row], [GUARD TIME]]</f>
        <v>63.941249999999982</v>
      </c>
      <c r="R545" s="4">
        <f>Sheet1!$K$3*_xlfn.XLOOKUP(Table1[[#This Row], [DISGUISE]],Sheet1!$A$21:$A$23,Sheet1!$D$21:$D$23)</f>
        <v>69</v>
      </c>
      <c r="S545" s="9">
        <f>Table1[[#This Row], [TOTAL TIME]]-Table1[[#This Row], [TOTAL TIME TAKEN]]</f>
        <v>5.0587500000000176</v>
      </c>
      <c r="T545" t="str">
        <f>IF(Table1[[#This Row], [TIME DIFFERENCE]]&gt;=0,"PASS","FAIL")</f>
        <v>PASS</v>
      </c>
      <c r="U545" s="9">
        <f>Table1[[#This Row], [TRC]]+Table1[[#This Row], [DRC]]+Table1[[#This Row], [WRC]]+Table1[[#This Row], [ERC]]+Table1[[#This Row], [EQRC]]</f>
        <v>7969407.1999999993</v>
      </c>
      <c r="V545" s="9">
        <f>Table1[[#This Row], [TOTAL COST]]+_xlfn.XLOOKUP(Table1[[#This Row], [TEAM]],Sheet1!$A$12:$A$17,Sheet1!$I$12:$I$17)</f>
        <v>8266054.6999999993</v>
      </c>
      <c r="W545" s="9">
        <f>Table1[[#This Row], [LOOT]]-Table1[[#This Row], [TOTAL COST]]</f>
        <v>9780592.8000000007</v>
      </c>
      <c r="X545" s="9">
        <f>IF(Table1[[#This Row], [PASS/FAIL]]="FAIL",0,Table1[[#This Row], [PROFIT]])</f>
        <v>9780592.8000000007</v>
      </c>
    </row>
    <row r="546" spans="1:24" ht="19.5" customHeight="1" x14ac:dyDescent="0.45">
      <c r="A546" t="s">
        <v>15</v>
      </c>
      <c r="B546" s="14">
        <f>_xlfn.XLOOKUP(Table1[[#This Row], [TEAM]],Sheet1!$A$12:$A$17,Sheet1!$F$12:$F$17)</f>
        <v>2</v>
      </c>
      <c r="C546" s="14">
        <f>_xlfn.XLOOKUP(Table1[[#This Row], [TEAM]],Sheet1!$A$12:$A$17,Sheet1!$G$12:$G$17)</f>
        <v>5932950</v>
      </c>
      <c r="D546" t="s">
        <v>27</v>
      </c>
      <c r="E546" s="4">
        <f>_xlfn.XLOOKUP(Table1[[#This Row], [ROOM]],Sheet1!$A$47:$A$66,Sheet1!$B$47:$B$66)</f>
        <v>146</v>
      </c>
      <c r="F546" t="s">
        <v>58</v>
      </c>
      <c r="G546" s="4">
        <f>_xlfn.XLOOKUP(Table1[[#This Row], [DISGUISE]],Sheet1!$A$21:$A$23,Sheet1!$B$21:$B$23)*Table1[[#This Row], [NUM OF MEM]]*(1+_xlfn.XLOOKUP(Table1[[#This Row], [DISGUISE]],Sheet1!$A$21:$A$23,Sheet1!$C$21:$C$23))</f>
        <v>25600</v>
      </c>
      <c r="H546" s="13" t="s">
        <v>59</v>
      </c>
      <c r="I546" s="4">
        <f>_xlfn.XLOOKUP(Table1[[#This Row], [WEAPON]],Sheet1!$A$27:$A$29,Sheet1!$B$27:$B$29)*Table1[[#This Row], [NUM OF MEM]]*(1+_xlfn.XLOOKUP(Table1[[#This Row], [WEAPON]],Sheet1!$A$27:$A$29,Sheet1!$C$27:$C$29))</f>
        <v>91000</v>
      </c>
      <c r="J546" t="s">
        <v>60</v>
      </c>
      <c r="K546" s="9">
        <f>Table1[[#This Row], [NUM OF MEM]]*Table1[[#This Row], [TOTAL TIME TAKEN]]*_xlfn.XLOOKUP(Table1[[#This Row], [EXIT]],Sheet1!$A$70:$A$71,Sheet1!$B$70:$B$71)*(1+_xlfn.XLOOKUP(Table1[[#This Row], [EXIT]],Sheet1!$A$70:$A$71,Sheet1!$C$70:$C$71))</f>
        <v>1612820.6812499997</v>
      </c>
      <c r="L546" s="13" t="s">
        <v>65</v>
      </c>
      <c r="M546" s="4">
        <f>IF(Table1[[#This Row], [EQUIPMENT]]="YES",Sheet1!$C$44*(1+Sheet1!$D$44),0)</f>
        <v>307500</v>
      </c>
      <c r="N546" s="4">
        <f>_xlfn.XLOOKUP(Table1[[#This Row], [ROOM]],Sheet1!$A$47:$A$66,Sheet1!$F$47:$F$66)</f>
        <v>17750000</v>
      </c>
      <c r="O546" s="9">
        <f>_xlfn.XLOOKUP(_xlfn.CONCAT(Table1[[#This Row], [TEAM]],Table1[[#This Row], [ROOM]]),'ROOM TIME'!$H$2:$H$121,'ROOM TIME'!$J$2:$J$121)</f>
        <v>56.516249999999985</v>
      </c>
      <c r="P546" s="9">
        <f>(INDEX(Sheet1!$X$48:$Z$67,MATCH(Table1[[#This Row], [ROOM]],Sheet1!$P$48:$P$67,0),MATCH(Table1[[#This Row], [WEAPON]],Sheet1!$X$47:$Z$47,0)))/Table1[[#This Row], [NUM OF MEM]]</f>
        <v>6.3249999999999993</v>
      </c>
      <c r="Q546" s="9">
        <f>Table1[[#This Row], [ROOM TIME]]+Table1[[#This Row], [GUARD TIME]]</f>
        <v>62.841249999999988</v>
      </c>
      <c r="R546" s="4">
        <f>Sheet1!$K$3*_xlfn.XLOOKUP(Table1[[#This Row], [DISGUISE]],Sheet1!$A$21:$A$23,Sheet1!$D$21:$D$23)</f>
        <v>69</v>
      </c>
      <c r="S546" s="9">
        <f>Table1[[#This Row], [TOTAL TIME]]-Table1[[#This Row], [TOTAL TIME TAKEN]]</f>
        <v>6.1587500000000119</v>
      </c>
      <c r="T546" t="str">
        <f>IF(Table1[[#This Row], [TIME DIFFERENCE]]&gt;=0,"PASS","FAIL")</f>
        <v>PASS</v>
      </c>
      <c r="U546" s="9">
        <f>Table1[[#This Row], [TRC]]+Table1[[#This Row], [DRC]]+Table1[[#This Row], [WRC]]+Table1[[#This Row], [ERC]]+Table1[[#This Row], [EQRC]]</f>
        <v>7969870.6812499994</v>
      </c>
      <c r="V546" s="9">
        <f>Table1[[#This Row], [TOTAL COST]]+_xlfn.XLOOKUP(Table1[[#This Row], [TEAM]],Sheet1!$A$12:$A$17,Sheet1!$I$12:$I$17)</f>
        <v>8266518.1812499994</v>
      </c>
      <c r="W546" s="9">
        <f>Table1[[#This Row], [LOOT]]-Table1[[#This Row], [TOTAL COST]]</f>
        <v>9780129.3187500015</v>
      </c>
      <c r="X546" s="9">
        <f>IF(Table1[[#This Row], [PASS/FAIL]]="FAIL",0,Table1[[#This Row], [PROFIT]])</f>
        <v>9780129.3187500015</v>
      </c>
    </row>
    <row r="547" spans="1:24" ht="19.5" customHeight="1" x14ac:dyDescent="0.45">
      <c r="A547" t="s">
        <v>12</v>
      </c>
      <c r="B547" s="14">
        <f>_xlfn.XLOOKUP(Table1[[#This Row], [TEAM]],Sheet1!$A$12:$A$17,Sheet1!$F$12:$F$17)</f>
        <v>3</v>
      </c>
      <c r="C547" s="14">
        <f>_xlfn.XLOOKUP(Table1[[#This Row], [TEAM]],Sheet1!$A$12:$A$17,Sheet1!$G$12:$G$17)</f>
        <v>5988750</v>
      </c>
      <c r="D547" t="s">
        <v>20</v>
      </c>
      <c r="E547" s="4">
        <f>_xlfn.XLOOKUP(Table1[[#This Row], [ROOM]],Sheet1!$A$47:$A$66,Sheet1!$B$47:$B$66)</f>
        <v>145</v>
      </c>
      <c r="F547" t="s">
        <v>62</v>
      </c>
      <c r="G547" s="4">
        <f>_xlfn.XLOOKUP(Table1[[#This Row], [DISGUISE]],Sheet1!$A$21:$A$23,Sheet1!$B$21:$B$23)*Table1[[#This Row], [NUM OF MEM]]*(1+_xlfn.XLOOKUP(Table1[[#This Row], [DISGUISE]],Sheet1!$A$21:$A$23,Sheet1!$C$21:$C$23))</f>
        <v>15600</v>
      </c>
      <c r="H547" s="13" t="s">
        <v>63</v>
      </c>
      <c r="I547" s="4">
        <f>_xlfn.XLOOKUP(Table1[[#This Row], [WEAPON]],Sheet1!$A$27:$A$29,Sheet1!$B$27:$B$29)*Table1[[#This Row], [NUM OF MEM]]*(1+_xlfn.XLOOKUP(Table1[[#This Row], [WEAPON]],Sheet1!$A$27:$A$29,Sheet1!$C$27:$C$29))</f>
        <v>69000</v>
      </c>
      <c r="J547" t="s">
        <v>60</v>
      </c>
      <c r="K547" s="9">
        <f>Table1[[#This Row], [NUM OF MEM]]*Table1[[#This Row], [TOTAL TIME TAKEN]]*_xlfn.XLOOKUP(Table1[[#This Row], [EXIT]],Sheet1!$A$70:$A$71,Sheet1!$B$70:$B$71)*(1+_xlfn.XLOOKUP(Table1[[#This Row], [EXIT]],Sheet1!$A$70:$A$71,Sheet1!$C$70:$C$71))</f>
        <v>1697098.1249999995</v>
      </c>
      <c r="L547" s="13" t="s">
        <v>61</v>
      </c>
      <c r="M547" s="4">
        <f>IF(Table1[[#This Row], [EQUIPMENT]]="YES",Sheet1!$C$44*(1+Sheet1!$D$44),0)</f>
        <v>0</v>
      </c>
      <c r="N547" s="4">
        <f>_xlfn.XLOOKUP(Table1[[#This Row], [ROOM]],Sheet1!$A$47:$A$66,Sheet1!$F$47:$F$66)</f>
        <v>17550000</v>
      </c>
      <c r="O547" s="9">
        <f>_xlfn.XLOOKUP(_xlfn.CONCAT(Table1[[#This Row], [TEAM]],Table1[[#This Row], [ROOM]]),'ROOM TIME'!$H$2:$H$121,'ROOM TIME'!$J$2:$J$121)</f>
        <v>39.583333333333321</v>
      </c>
      <c r="P547" s="9">
        <f>(INDEX(Sheet1!$X$48:$Z$67,MATCH(Table1[[#This Row], [ROOM]],Sheet1!$P$48:$P$67,0),MATCH(Table1[[#This Row], [WEAPON]],Sheet1!$X$47:$Z$47,0)))/Table1[[#This Row], [NUM OF MEM]]</f>
        <v>4.5</v>
      </c>
      <c r="Q547" s="9">
        <f>Table1[[#This Row], [ROOM TIME]]+Table1[[#This Row], [GUARD TIME]]</f>
        <v>44.083333333333321</v>
      </c>
      <c r="R547" s="4">
        <f>Sheet1!$K$3*_xlfn.XLOOKUP(Table1[[#This Row], [DISGUISE]],Sheet1!$A$21:$A$23,Sheet1!$D$21:$D$23)</f>
        <v>66</v>
      </c>
      <c r="S547" s="9">
        <f>Table1[[#This Row], [TOTAL TIME]]-Table1[[#This Row], [TOTAL TIME TAKEN]]</f>
        <v>21.916666666666679</v>
      </c>
      <c r="T547" t="str">
        <f>IF(Table1[[#This Row], [TIME DIFFERENCE]]&gt;=0,"PASS","FAIL")</f>
        <v>PASS</v>
      </c>
      <c r="U547" s="9">
        <f>Table1[[#This Row], [TRC]]+Table1[[#This Row], [DRC]]+Table1[[#This Row], [WRC]]+Table1[[#This Row], [ERC]]+Table1[[#This Row], [EQRC]]</f>
        <v>7770448.125</v>
      </c>
      <c r="V547" s="9">
        <f>Table1[[#This Row], [TOTAL COST]]+_xlfn.XLOOKUP(Table1[[#This Row], [TEAM]],Sheet1!$A$12:$A$17,Sheet1!$I$12:$I$17)</f>
        <v>8069885.625</v>
      </c>
      <c r="W547" s="9">
        <f>Table1[[#This Row], [LOOT]]-Table1[[#This Row], [TOTAL COST]]</f>
        <v>9779551.875</v>
      </c>
      <c r="X547" s="9">
        <f>IF(Table1[[#This Row], [PASS/FAIL]]="FAIL",0,Table1[[#This Row], [PROFIT]])</f>
        <v>9779551.875</v>
      </c>
    </row>
    <row r="548" spans="1:24" ht="19.5" customHeight="1" x14ac:dyDescent="0.45">
      <c r="A548" t="s">
        <v>14</v>
      </c>
      <c r="B548" s="14">
        <f>_xlfn.XLOOKUP(Table1[[#This Row], [TEAM]],Sheet1!$A$12:$A$17,Sheet1!$F$12:$F$17)</f>
        <v>2</v>
      </c>
      <c r="C548" s="14">
        <f>_xlfn.XLOOKUP(Table1[[#This Row], [TEAM]],Sheet1!$A$12:$A$17,Sheet1!$G$12:$G$17)</f>
        <v>5949600</v>
      </c>
      <c r="D548" t="s">
        <v>27</v>
      </c>
      <c r="E548" s="4">
        <f>_xlfn.XLOOKUP(Table1[[#This Row], [ROOM]],Sheet1!$A$47:$A$66,Sheet1!$B$47:$B$66)</f>
        <v>146</v>
      </c>
      <c r="F548" t="s">
        <v>58</v>
      </c>
      <c r="G548" s="4">
        <f>_xlfn.XLOOKUP(Table1[[#This Row], [DISGUISE]],Sheet1!$A$21:$A$23,Sheet1!$B$21:$B$23)*Table1[[#This Row], [NUM OF MEM]]*(1+_xlfn.XLOOKUP(Table1[[#This Row], [DISGUISE]],Sheet1!$A$21:$A$23,Sheet1!$C$21:$C$23))</f>
        <v>25600</v>
      </c>
      <c r="H548" s="13" t="s">
        <v>66</v>
      </c>
      <c r="I548" s="4">
        <f>_xlfn.XLOOKUP(Table1[[#This Row], [WEAPON]],Sheet1!$A$27:$A$29,Sheet1!$B$27:$B$29)*Table1[[#This Row], [NUM OF MEM]]*(1+_xlfn.XLOOKUP(Table1[[#This Row], [WEAPON]],Sheet1!$A$27:$A$29,Sheet1!$C$27:$C$29))</f>
        <v>72000</v>
      </c>
      <c r="J548" t="s">
        <v>60</v>
      </c>
      <c r="K548" s="9">
        <f>Table1[[#This Row], [NUM OF MEM]]*Table1[[#This Row], [TOTAL TIME TAKEN]]*_xlfn.XLOOKUP(Table1[[#This Row], [EXIT]],Sheet1!$A$70:$A$71,Sheet1!$B$70:$B$71)*(1+_xlfn.XLOOKUP(Table1[[#This Row], [EXIT]],Sheet1!$A$70:$A$71,Sheet1!$C$70:$C$71))</f>
        <v>1615868.3999999997</v>
      </c>
      <c r="L548" s="13" t="s">
        <v>65</v>
      </c>
      <c r="M548" s="4">
        <f>IF(Table1[[#This Row], [EQUIPMENT]]="YES",Sheet1!$C$44*(1+Sheet1!$D$44),0)</f>
        <v>307500</v>
      </c>
      <c r="N548" s="4">
        <f>_xlfn.XLOOKUP(Table1[[#This Row], [ROOM]],Sheet1!$A$47:$A$66,Sheet1!$F$47:$F$66)</f>
        <v>17750000</v>
      </c>
      <c r="O548" s="9">
        <f>_xlfn.XLOOKUP(_xlfn.CONCAT(Table1[[#This Row], [TEAM]],Table1[[#This Row], [ROOM]]),'ROOM TIME'!$H$2:$H$121,'ROOM TIME'!$J$2:$J$121)</f>
        <v>56.084999999999987</v>
      </c>
      <c r="P548" s="9">
        <f>(INDEX(Sheet1!$X$48:$Z$67,MATCH(Table1[[#This Row], [ROOM]],Sheet1!$P$48:$P$67,0),MATCH(Table1[[#This Row], [WEAPON]],Sheet1!$X$47:$Z$47,0)))/Table1[[#This Row], [NUM OF MEM]]</f>
        <v>6.875</v>
      </c>
      <c r="Q548" s="9">
        <f>Table1[[#This Row], [ROOM TIME]]+Table1[[#This Row], [GUARD TIME]]</f>
        <v>62.959999999999987</v>
      </c>
      <c r="R548" s="4">
        <f>Sheet1!$K$3*_xlfn.XLOOKUP(Table1[[#This Row], [DISGUISE]],Sheet1!$A$21:$A$23,Sheet1!$D$21:$D$23)</f>
        <v>69</v>
      </c>
      <c r="S548" s="9">
        <f>Table1[[#This Row], [TOTAL TIME]]-Table1[[#This Row], [TOTAL TIME TAKEN]]</f>
        <v>6.0400000000000134</v>
      </c>
      <c r="T548" t="str">
        <f>IF(Table1[[#This Row], [TIME DIFFERENCE]]&gt;=0,"PASS","FAIL")</f>
        <v>PASS</v>
      </c>
      <c r="U548" s="9">
        <f>Table1[[#This Row], [TRC]]+Table1[[#This Row], [DRC]]+Table1[[#This Row], [WRC]]+Table1[[#This Row], [ERC]]+Table1[[#This Row], [EQRC]]</f>
        <v>7970568.3999999994</v>
      </c>
      <c r="V548" s="9">
        <f>Table1[[#This Row], [TOTAL COST]]+_xlfn.XLOOKUP(Table1[[#This Row], [TEAM]],Sheet1!$A$12:$A$17,Sheet1!$I$12:$I$17)</f>
        <v>8268048.3999999994</v>
      </c>
      <c r="W548" s="9">
        <f>Table1[[#This Row], [LOOT]]-Table1[[#This Row], [TOTAL COST]]</f>
        <v>9779431.6000000015</v>
      </c>
      <c r="X548" s="9">
        <f>IF(Table1[[#This Row], [PASS/FAIL]]="FAIL",0,Table1[[#This Row], [PROFIT]])</f>
        <v>9779431.6000000015</v>
      </c>
    </row>
    <row r="549" spans="1:24" ht="19.5" customHeight="1" x14ac:dyDescent="0.45">
      <c r="A549" t="s">
        <v>15</v>
      </c>
      <c r="B549" s="14">
        <f>_xlfn.XLOOKUP(Table1[[#This Row], [TEAM]],Sheet1!$A$12:$A$17,Sheet1!$F$12:$F$17)</f>
        <v>2</v>
      </c>
      <c r="C549" s="14">
        <f>_xlfn.XLOOKUP(Table1[[#This Row], [TEAM]],Sheet1!$A$12:$A$17,Sheet1!$G$12:$G$17)</f>
        <v>5932950</v>
      </c>
      <c r="D549" t="s">
        <v>27</v>
      </c>
      <c r="E549" s="4">
        <f>_xlfn.XLOOKUP(Table1[[#This Row], [ROOM]],Sheet1!$A$47:$A$66,Sheet1!$B$47:$B$66)</f>
        <v>146</v>
      </c>
      <c r="F549" t="s">
        <v>62</v>
      </c>
      <c r="G549" s="4">
        <f>_xlfn.XLOOKUP(Table1[[#This Row], [DISGUISE]],Sheet1!$A$21:$A$23,Sheet1!$B$21:$B$23)*Table1[[#This Row], [NUM OF MEM]]*(1+_xlfn.XLOOKUP(Table1[[#This Row], [DISGUISE]],Sheet1!$A$21:$A$23,Sheet1!$C$21:$C$23))</f>
        <v>10400</v>
      </c>
      <c r="H549" s="13" t="s">
        <v>59</v>
      </c>
      <c r="I549" s="4">
        <f>_xlfn.XLOOKUP(Table1[[#This Row], [WEAPON]],Sheet1!$A$27:$A$29,Sheet1!$B$27:$B$29)*Table1[[#This Row], [NUM OF MEM]]*(1+_xlfn.XLOOKUP(Table1[[#This Row], [WEAPON]],Sheet1!$A$27:$A$29,Sheet1!$C$27:$C$29))</f>
        <v>91000</v>
      </c>
      <c r="J549" t="s">
        <v>64</v>
      </c>
      <c r="K549" s="9">
        <f>Table1[[#This Row], [NUM OF MEM]]*Table1[[#This Row], [TOTAL TIME TAKEN]]*_xlfn.XLOOKUP(Table1[[#This Row], [EXIT]],Sheet1!$A$70:$A$71,Sheet1!$B$70:$B$71)*(1+_xlfn.XLOOKUP(Table1[[#This Row], [EXIT]],Sheet1!$A$70:$A$71,Sheet1!$C$70:$C$71))</f>
        <v>1628845.1999999997</v>
      </c>
      <c r="L549" s="13" t="s">
        <v>65</v>
      </c>
      <c r="M549" s="4">
        <f>IF(Table1[[#This Row], [EQUIPMENT]]="YES",Sheet1!$C$44*(1+Sheet1!$D$44),0)</f>
        <v>307500</v>
      </c>
      <c r="N549" s="4">
        <f>_xlfn.XLOOKUP(Table1[[#This Row], [ROOM]],Sheet1!$A$47:$A$66,Sheet1!$F$47:$F$66)</f>
        <v>17750000</v>
      </c>
      <c r="O549" s="9">
        <f>_xlfn.XLOOKUP(_xlfn.CONCAT(Table1[[#This Row], [TEAM]],Table1[[#This Row], [ROOM]]),'ROOM TIME'!$H$2:$H$121,'ROOM TIME'!$J$2:$J$121)</f>
        <v>56.516249999999985</v>
      </c>
      <c r="P549" s="9">
        <f>(INDEX(Sheet1!$X$48:$Z$67,MATCH(Table1[[#This Row], [ROOM]],Sheet1!$P$48:$P$67,0),MATCH(Table1[[#This Row], [WEAPON]],Sheet1!$X$47:$Z$47,0)))/Table1[[#This Row], [NUM OF MEM]]</f>
        <v>6.3249999999999993</v>
      </c>
      <c r="Q549" s="9">
        <f>Table1[[#This Row], [ROOM TIME]]+Table1[[#This Row], [GUARD TIME]]</f>
        <v>62.841249999999988</v>
      </c>
      <c r="R549" s="4">
        <f>Sheet1!$K$3*_xlfn.XLOOKUP(Table1[[#This Row], [DISGUISE]],Sheet1!$A$21:$A$23,Sheet1!$D$21:$D$23)</f>
        <v>66</v>
      </c>
      <c r="S549" s="9">
        <f>Table1[[#This Row], [TOTAL TIME]]-Table1[[#This Row], [TOTAL TIME TAKEN]]</f>
        <v>3.1587500000000119</v>
      </c>
      <c r="T549" t="str">
        <f>IF(Table1[[#This Row], [TIME DIFFERENCE]]&gt;=0,"PASS","FAIL")</f>
        <v>PASS</v>
      </c>
      <c r="U549" s="9">
        <f>Table1[[#This Row], [TRC]]+Table1[[#This Row], [DRC]]+Table1[[#This Row], [WRC]]+Table1[[#This Row], [ERC]]+Table1[[#This Row], [EQRC]]</f>
        <v>7970695.1999999993</v>
      </c>
      <c r="V549" s="9">
        <f>Table1[[#This Row], [TOTAL COST]]+_xlfn.XLOOKUP(Table1[[#This Row], [TEAM]],Sheet1!$A$12:$A$17,Sheet1!$I$12:$I$17)</f>
        <v>8267342.6999999993</v>
      </c>
      <c r="W549" s="9">
        <f>Table1[[#This Row], [LOOT]]-Table1[[#This Row], [TOTAL COST]]</f>
        <v>9779304.8000000007</v>
      </c>
      <c r="X549" s="9">
        <f>IF(Table1[[#This Row], [PASS/FAIL]]="FAIL",0,Table1[[#This Row], [PROFIT]])</f>
        <v>9779304.8000000007</v>
      </c>
    </row>
    <row r="550" spans="1:24" ht="19.5" customHeight="1" x14ac:dyDescent="0.45">
      <c r="A550" t="s">
        <v>14</v>
      </c>
      <c r="B550" s="14">
        <f>_xlfn.XLOOKUP(Table1[[#This Row], [TEAM]],Sheet1!$A$12:$A$17,Sheet1!$F$12:$F$17)</f>
        <v>2</v>
      </c>
      <c r="C550" s="14">
        <f>_xlfn.XLOOKUP(Table1[[#This Row], [TEAM]],Sheet1!$A$12:$A$17,Sheet1!$G$12:$G$17)</f>
        <v>5949600</v>
      </c>
      <c r="D550" t="s">
        <v>27</v>
      </c>
      <c r="E550" s="4">
        <f>_xlfn.XLOOKUP(Table1[[#This Row], [ROOM]],Sheet1!$A$47:$A$66,Sheet1!$B$47:$B$66)</f>
        <v>146</v>
      </c>
      <c r="F550" t="s">
        <v>62</v>
      </c>
      <c r="G550" s="4">
        <f>_xlfn.XLOOKUP(Table1[[#This Row], [DISGUISE]],Sheet1!$A$21:$A$23,Sheet1!$B$21:$B$23)*Table1[[#This Row], [NUM OF MEM]]*(1+_xlfn.XLOOKUP(Table1[[#This Row], [DISGUISE]],Sheet1!$A$21:$A$23,Sheet1!$C$21:$C$23))</f>
        <v>10400</v>
      </c>
      <c r="H550" s="13" t="s">
        <v>66</v>
      </c>
      <c r="I550" s="4">
        <f>_xlfn.XLOOKUP(Table1[[#This Row], [WEAPON]],Sheet1!$A$27:$A$29,Sheet1!$B$27:$B$29)*Table1[[#This Row], [NUM OF MEM]]*(1+_xlfn.XLOOKUP(Table1[[#This Row], [WEAPON]],Sheet1!$A$27:$A$29,Sheet1!$C$27:$C$29))</f>
        <v>72000</v>
      </c>
      <c r="J550" t="s">
        <v>64</v>
      </c>
      <c r="K550" s="9">
        <f>Table1[[#This Row], [NUM OF MEM]]*Table1[[#This Row], [TOTAL TIME TAKEN]]*_xlfn.XLOOKUP(Table1[[#This Row], [EXIT]],Sheet1!$A$70:$A$71,Sheet1!$B$70:$B$71)*(1+_xlfn.XLOOKUP(Table1[[#This Row], [EXIT]],Sheet1!$A$70:$A$71,Sheet1!$C$70:$C$71))</f>
        <v>1631923.1999999997</v>
      </c>
      <c r="L550" s="13" t="s">
        <v>65</v>
      </c>
      <c r="M550" s="4">
        <f>IF(Table1[[#This Row], [EQUIPMENT]]="YES",Sheet1!$C$44*(1+Sheet1!$D$44),0)</f>
        <v>307500</v>
      </c>
      <c r="N550" s="4">
        <f>_xlfn.XLOOKUP(Table1[[#This Row], [ROOM]],Sheet1!$A$47:$A$66,Sheet1!$F$47:$F$66)</f>
        <v>17750000</v>
      </c>
      <c r="O550" s="9">
        <f>_xlfn.XLOOKUP(_xlfn.CONCAT(Table1[[#This Row], [TEAM]],Table1[[#This Row], [ROOM]]),'ROOM TIME'!$H$2:$H$121,'ROOM TIME'!$J$2:$J$121)</f>
        <v>56.084999999999987</v>
      </c>
      <c r="P550" s="9">
        <f>(INDEX(Sheet1!$X$48:$Z$67,MATCH(Table1[[#This Row], [ROOM]],Sheet1!$P$48:$P$67,0),MATCH(Table1[[#This Row], [WEAPON]],Sheet1!$X$47:$Z$47,0)))/Table1[[#This Row], [NUM OF MEM]]</f>
        <v>6.875</v>
      </c>
      <c r="Q550" s="9">
        <f>Table1[[#This Row], [ROOM TIME]]+Table1[[#This Row], [GUARD TIME]]</f>
        <v>62.959999999999987</v>
      </c>
      <c r="R550" s="4">
        <f>Sheet1!$K$3*_xlfn.XLOOKUP(Table1[[#This Row], [DISGUISE]],Sheet1!$A$21:$A$23,Sheet1!$D$21:$D$23)</f>
        <v>66</v>
      </c>
      <c r="S550" s="9">
        <f>Table1[[#This Row], [TOTAL TIME]]-Table1[[#This Row], [TOTAL TIME TAKEN]]</f>
        <v>3.0400000000000134</v>
      </c>
      <c r="T550" t="str">
        <f>IF(Table1[[#This Row], [TIME DIFFERENCE]]&gt;=0,"PASS","FAIL")</f>
        <v>PASS</v>
      </c>
      <c r="U550" s="9">
        <f>Table1[[#This Row], [TRC]]+Table1[[#This Row], [DRC]]+Table1[[#This Row], [WRC]]+Table1[[#This Row], [ERC]]+Table1[[#This Row], [EQRC]]</f>
        <v>7971423.1999999993</v>
      </c>
      <c r="V550" s="9">
        <f>Table1[[#This Row], [TOTAL COST]]+_xlfn.XLOOKUP(Table1[[#This Row], [TEAM]],Sheet1!$A$12:$A$17,Sheet1!$I$12:$I$17)</f>
        <v>8268903.1999999993</v>
      </c>
      <c r="W550" s="9">
        <f>Table1[[#This Row], [LOOT]]-Table1[[#This Row], [TOTAL COST]]</f>
        <v>9778576.8000000007</v>
      </c>
      <c r="X550" s="9">
        <f>IF(Table1[[#This Row], [PASS/FAIL]]="FAIL",0,Table1[[#This Row], [PROFIT]])</f>
        <v>9778576.8000000007</v>
      </c>
    </row>
    <row r="551" spans="1:24" ht="19.5" customHeight="1" x14ac:dyDescent="0.45">
      <c r="A551" t="s">
        <v>9</v>
      </c>
      <c r="B551" s="14">
        <f>_xlfn.XLOOKUP(Table1[[#This Row], [TEAM]],Sheet1!$A$12:$A$17,Sheet1!$F$12:$F$17)</f>
        <v>3</v>
      </c>
      <c r="C551" s="14">
        <f>_xlfn.XLOOKUP(Table1[[#This Row], [TEAM]],Sheet1!$A$12:$A$17,Sheet1!$G$12:$G$17)</f>
        <v>6238750</v>
      </c>
      <c r="D551" t="s">
        <v>21</v>
      </c>
      <c r="E551" s="4">
        <f>_xlfn.XLOOKUP(Table1[[#This Row], [ROOM]],Sheet1!$A$47:$A$66,Sheet1!$B$47:$B$66)</f>
        <v>234</v>
      </c>
      <c r="F551" t="s">
        <v>58</v>
      </c>
      <c r="G551" s="4">
        <f>_xlfn.XLOOKUP(Table1[[#This Row], [DISGUISE]],Sheet1!$A$21:$A$23,Sheet1!$B$21:$B$23)*Table1[[#This Row], [NUM OF MEM]]*(1+_xlfn.XLOOKUP(Table1[[#This Row], [DISGUISE]],Sheet1!$A$21:$A$23,Sheet1!$C$21:$C$23))</f>
        <v>38400</v>
      </c>
      <c r="H551" s="13" t="s">
        <v>66</v>
      </c>
      <c r="I551" s="4">
        <f>_xlfn.XLOOKUP(Table1[[#This Row], [WEAPON]],Sheet1!$A$27:$A$29,Sheet1!$B$27:$B$29)*Table1[[#This Row], [NUM OF MEM]]*(1+_xlfn.XLOOKUP(Table1[[#This Row], [WEAPON]],Sheet1!$A$27:$A$29,Sheet1!$C$27:$C$29))</f>
        <v>108000</v>
      </c>
      <c r="J551" t="s">
        <v>60</v>
      </c>
      <c r="K551" s="9">
        <f>Table1[[#This Row], [NUM OF MEM]]*Table1[[#This Row], [TOTAL TIME TAKEN]]*_xlfn.XLOOKUP(Table1[[#This Row], [EXIT]],Sheet1!$A$70:$A$71,Sheet1!$B$70:$B$71)*(1+_xlfn.XLOOKUP(Table1[[#This Row], [EXIT]],Sheet1!$A$70:$A$71,Sheet1!$C$70:$C$71))</f>
        <v>1736836.0999999996</v>
      </c>
      <c r="L551" s="13" t="s">
        <v>61</v>
      </c>
      <c r="M551" s="4">
        <f>IF(Table1[[#This Row], [EQUIPMENT]]="YES",Sheet1!$C$44*(1+Sheet1!$D$44),0)</f>
        <v>0</v>
      </c>
      <c r="N551" s="4">
        <f>_xlfn.XLOOKUP(Table1[[#This Row], [ROOM]],Sheet1!$A$47:$A$66,Sheet1!$F$47:$F$66)</f>
        <v>17900000</v>
      </c>
      <c r="O551" s="9">
        <f>_xlfn.XLOOKUP(_xlfn.CONCAT(Table1[[#This Row], [TEAM]],Table1[[#This Row], [ROOM]]),'ROOM TIME'!$H$2:$H$121,'ROOM TIME'!$J$2:$J$121)</f>
        <v>39.698888888888881</v>
      </c>
      <c r="P551" s="9">
        <f>(INDEX(Sheet1!$X$48:$Z$67,MATCH(Table1[[#This Row], [ROOM]],Sheet1!$P$48:$P$67,0),MATCH(Table1[[#This Row], [WEAPON]],Sheet1!$X$47:$Z$47,0)))/Table1[[#This Row], [NUM OF MEM]]</f>
        <v>5.416666666666667</v>
      </c>
      <c r="Q551" s="9">
        <f>Table1[[#This Row], [ROOM TIME]]+Table1[[#This Row], [GUARD TIME]]</f>
        <v>45.115555555555545</v>
      </c>
      <c r="R551" s="4">
        <f>Sheet1!$K$3*_xlfn.XLOOKUP(Table1[[#This Row], [DISGUISE]],Sheet1!$A$21:$A$23,Sheet1!$D$21:$D$23)</f>
        <v>69</v>
      </c>
      <c r="S551" s="9">
        <f>Table1[[#This Row], [TOTAL TIME]]-Table1[[#This Row], [TOTAL TIME TAKEN]]</f>
        <v>23.884444444444455</v>
      </c>
      <c r="T551" t="str">
        <f>IF(Table1[[#This Row], [TIME DIFFERENCE]]&gt;=0,"PASS","FAIL")</f>
        <v>PASS</v>
      </c>
      <c r="U551" s="9">
        <f>Table1[[#This Row], [TRC]]+Table1[[#This Row], [DRC]]+Table1[[#This Row], [WRC]]+Table1[[#This Row], [ERC]]+Table1[[#This Row], [EQRC]]</f>
        <v>8121986.0999999996</v>
      </c>
      <c r="V551" s="9">
        <f>Table1[[#This Row], [TOTAL COST]]+_xlfn.XLOOKUP(Table1[[#This Row], [TEAM]],Sheet1!$A$12:$A$17,Sheet1!$I$12:$I$17)</f>
        <v>8433923.5999999996</v>
      </c>
      <c r="W551" s="9">
        <f>Table1[[#This Row], [LOOT]]-Table1[[#This Row], [TOTAL COST]]</f>
        <v>9778013.9000000004</v>
      </c>
      <c r="X551" s="9">
        <f>IF(Table1[[#This Row], [PASS/FAIL]]="FAIL",0,Table1[[#This Row], [PROFIT]])</f>
        <v>9778013.9000000004</v>
      </c>
    </row>
    <row r="552" spans="1:24" ht="19.5" customHeight="1" x14ac:dyDescent="0.45">
      <c r="A552" t="s">
        <v>15</v>
      </c>
      <c r="B552" s="14">
        <f>_xlfn.XLOOKUP(Table1[[#This Row], [TEAM]],Sheet1!$A$12:$A$17,Sheet1!$F$12:$F$17)</f>
        <v>2</v>
      </c>
      <c r="C552" s="14">
        <f>_xlfn.XLOOKUP(Table1[[#This Row], [TEAM]],Sheet1!$A$12:$A$17,Sheet1!$G$12:$G$17)</f>
        <v>5932950</v>
      </c>
      <c r="D552" t="s">
        <v>34</v>
      </c>
      <c r="E552" s="4">
        <f>_xlfn.XLOOKUP(Table1[[#This Row], [ROOM]],Sheet1!$A$47:$A$66,Sheet1!$B$47:$B$66)</f>
        <v>456</v>
      </c>
      <c r="F552" t="s">
        <v>62</v>
      </c>
      <c r="G552" s="4">
        <f>_xlfn.XLOOKUP(Table1[[#This Row], [DISGUISE]],Sheet1!$A$21:$A$23,Sheet1!$B$21:$B$23)*Table1[[#This Row], [NUM OF MEM]]*(1+_xlfn.XLOOKUP(Table1[[#This Row], [DISGUISE]],Sheet1!$A$21:$A$23,Sheet1!$C$21:$C$23))</f>
        <v>10400</v>
      </c>
      <c r="H552" s="13" t="s">
        <v>66</v>
      </c>
      <c r="I552" s="4">
        <f>_xlfn.XLOOKUP(Table1[[#This Row], [WEAPON]],Sheet1!$A$27:$A$29,Sheet1!$B$27:$B$29)*Table1[[#This Row], [NUM OF MEM]]*(1+_xlfn.XLOOKUP(Table1[[#This Row], [WEAPON]],Sheet1!$A$27:$A$29,Sheet1!$C$27:$C$29))</f>
        <v>72000</v>
      </c>
      <c r="J552" t="s">
        <v>60</v>
      </c>
      <c r="K552" s="9">
        <f>Table1[[#This Row], [NUM OF MEM]]*Table1[[#This Row], [TOTAL TIME TAKEN]]*_xlfn.XLOOKUP(Table1[[#This Row], [EXIT]],Sheet1!$A$70:$A$71,Sheet1!$B$70:$B$71)*(1+_xlfn.XLOOKUP(Table1[[#This Row], [EXIT]],Sheet1!$A$70:$A$71,Sheet1!$C$70:$C$71))</f>
        <v>1599410.71875</v>
      </c>
      <c r="L552" s="13" t="s">
        <v>65</v>
      </c>
      <c r="M552" s="4">
        <f>IF(Table1[[#This Row], [EQUIPMENT]]="YES",Sheet1!$C$44*(1+Sheet1!$D$44),0)</f>
        <v>307500</v>
      </c>
      <c r="N552" s="4">
        <f>_xlfn.XLOOKUP(Table1[[#This Row], [ROOM]],Sheet1!$A$47:$A$66,Sheet1!$F$47:$F$66)</f>
        <v>17700000</v>
      </c>
      <c r="O552" s="9">
        <f>_xlfn.XLOOKUP(_xlfn.CONCAT(Table1[[#This Row], [TEAM]],Table1[[#This Row], [ROOM]]),'ROOM TIME'!$H$2:$H$121,'ROOM TIME'!$J$2:$J$121)</f>
        <v>55.443749999999994</v>
      </c>
      <c r="P552" s="9">
        <f>(INDEX(Sheet1!$X$48:$Z$67,MATCH(Table1[[#This Row], [ROOM]],Sheet1!$P$48:$P$67,0),MATCH(Table1[[#This Row], [WEAPON]],Sheet1!$X$47:$Z$47,0)))/Table1[[#This Row], [NUM OF MEM]]</f>
        <v>6.875</v>
      </c>
      <c r="Q552" s="9">
        <f>Table1[[#This Row], [ROOM TIME]]+Table1[[#This Row], [GUARD TIME]]</f>
        <v>62.318749999999994</v>
      </c>
      <c r="R552" s="4">
        <f>Sheet1!$K$3*_xlfn.XLOOKUP(Table1[[#This Row], [DISGUISE]],Sheet1!$A$21:$A$23,Sheet1!$D$21:$D$23)</f>
        <v>66</v>
      </c>
      <c r="S552" s="9">
        <f>Table1[[#This Row], [TOTAL TIME]]-Table1[[#This Row], [TOTAL TIME TAKEN]]</f>
        <v>3.6812500000000057</v>
      </c>
      <c r="T552" t="str">
        <f>IF(Table1[[#This Row], [TIME DIFFERENCE]]&gt;=0,"PASS","FAIL")</f>
        <v>PASS</v>
      </c>
      <c r="U552" s="9">
        <f>Table1[[#This Row], [TRC]]+Table1[[#This Row], [DRC]]+Table1[[#This Row], [WRC]]+Table1[[#This Row], [ERC]]+Table1[[#This Row], [EQRC]]</f>
        <v>7922260.71875</v>
      </c>
      <c r="V552" s="9">
        <f>Table1[[#This Row], [TOTAL COST]]+_xlfn.XLOOKUP(Table1[[#This Row], [TEAM]],Sheet1!$A$12:$A$17,Sheet1!$I$12:$I$17)</f>
        <v>8218908.21875</v>
      </c>
      <c r="W552" s="9">
        <f>Table1[[#This Row], [LOOT]]-Table1[[#This Row], [TOTAL COST]]</f>
        <v>9777739.28125</v>
      </c>
      <c r="X552" s="9">
        <f>IF(Table1[[#This Row], [PASS/FAIL]]="FAIL",0,Table1[[#This Row], [PROFIT]])</f>
        <v>9777739.28125</v>
      </c>
    </row>
    <row r="553" spans="1:24" ht="19.5" customHeight="1" x14ac:dyDescent="0.45">
      <c r="A553" t="s">
        <v>12</v>
      </c>
      <c r="B553" s="14">
        <f>_xlfn.XLOOKUP(Table1[[#This Row], [TEAM]],Sheet1!$A$12:$A$17,Sheet1!$F$12:$F$17)</f>
        <v>3</v>
      </c>
      <c r="C553" s="14">
        <f>_xlfn.XLOOKUP(Table1[[#This Row], [TEAM]],Sheet1!$A$12:$A$17,Sheet1!$G$12:$G$17)</f>
        <v>5988750</v>
      </c>
      <c r="D553" t="s">
        <v>19</v>
      </c>
      <c r="E553" s="4">
        <f>_xlfn.XLOOKUP(Table1[[#This Row], [ROOM]],Sheet1!$A$47:$A$66,Sheet1!$B$47:$B$66)</f>
        <v>135</v>
      </c>
      <c r="F553" t="s">
        <v>62</v>
      </c>
      <c r="G553" s="4">
        <f>_xlfn.XLOOKUP(Table1[[#This Row], [DISGUISE]],Sheet1!$A$21:$A$23,Sheet1!$B$21:$B$23)*Table1[[#This Row], [NUM OF MEM]]*(1+_xlfn.XLOOKUP(Table1[[#This Row], [DISGUISE]],Sheet1!$A$21:$A$23,Sheet1!$C$21:$C$23))</f>
        <v>15600</v>
      </c>
      <c r="H553" s="13" t="s">
        <v>63</v>
      </c>
      <c r="I553" s="4">
        <f>_xlfn.XLOOKUP(Table1[[#This Row], [WEAPON]],Sheet1!$A$27:$A$29,Sheet1!$B$27:$B$29)*Table1[[#This Row], [NUM OF MEM]]*(1+_xlfn.XLOOKUP(Table1[[#This Row], [WEAPON]],Sheet1!$A$27:$A$29,Sheet1!$C$27:$C$29))</f>
        <v>69000</v>
      </c>
      <c r="J553" t="s">
        <v>64</v>
      </c>
      <c r="K553" s="9">
        <f>Table1[[#This Row], [NUM OF MEM]]*Table1[[#This Row], [TOTAL TIME TAKEN]]*_xlfn.XLOOKUP(Table1[[#This Row], [EXIT]],Sheet1!$A$70:$A$71,Sheet1!$B$70:$B$71)*(1+_xlfn.XLOOKUP(Table1[[#This Row], [EXIT]],Sheet1!$A$70:$A$71,Sheet1!$C$70:$C$71))</f>
        <v>1792367.9999999993</v>
      </c>
      <c r="L553" s="13" t="s">
        <v>65</v>
      </c>
      <c r="M553" s="4">
        <f>IF(Table1[[#This Row], [EQUIPMENT]]="YES",Sheet1!$C$44*(1+Sheet1!$D$44),0)</f>
        <v>307500</v>
      </c>
      <c r="N553" s="4">
        <f>_xlfn.XLOOKUP(Table1[[#This Row], [ROOM]],Sheet1!$A$47:$A$66,Sheet1!$F$47:$F$66)</f>
        <v>17950000</v>
      </c>
      <c r="O553" s="9">
        <f>_xlfn.XLOOKUP(_xlfn.CONCAT(Table1[[#This Row], [TEAM]],Table1[[#This Row], [ROOM]]),'ROOM TIME'!$H$2:$H$121,'ROOM TIME'!$J$2:$J$121)</f>
        <v>41.149999999999984</v>
      </c>
      <c r="P553" s="9">
        <f>(INDEX(Sheet1!$X$48:$Z$67,MATCH(Table1[[#This Row], [ROOM]],Sheet1!$P$48:$P$67,0),MATCH(Table1[[#This Row], [WEAPON]],Sheet1!$X$47:$Z$47,0)))/Table1[[#This Row], [NUM OF MEM]]</f>
        <v>4.95</v>
      </c>
      <c r="Q553" s="9">
        <f>Table1[[#This Row], [ROOM TIME]]+Table1[[#This Row], [GUARD TIME]]</f>
        <v>46.099999999999987</v>
      </c>
      <c r="R553" s="4">
        <f>Sheet1!$K$3*_xlfn.XLOOKUP(Table1[[#This Row], [DISGUISE]],Sheet1!$A$21:$A$23,Sheet1!$D$21:$D$23)</f>
        <v>66</v>
      </c>
      <c r="S553" s="9">
        <f>Table1[[#This Row], [TOTAL TIME]]-Table1[[#This Row], [TOTAL TIME TAKEN]]</f>
        <v>19.900000000000013</v>
      </c>
      <c r="T553" t="str">
        <f>IF(Table1[[#This Row], [TIME DIFFERENCE]]&gt;=0,"PASS","FAIL")</f>
        <v>PASS</v>
      </c>
      <c r="U553" s="9">
        <f>Table1[[#This Row], [TRC]]+Table1[[#This Row], [DRC]]+Table1[[#This Row], [WRC]]+Table1[[#This Row], [ERC]]+Table1[[#This Row], [EQRC]]</f>
        <v>8173217.9999999991</v>
      </c>
      <c r="V553" s="9">
        <f>Table1[[#This Row], [TOTAL COST]]+_xlfn.XLOOKUP(Table1[[#This Row], [TEAM]],Sheet1!$A$12:$A$17,Sheet1!$I$12:$I$17)</f>
        <v>8472655.5</v>
      </c>
      <c r="W553" s="4">
        <f>Table1[[#This Row], [LOOT]]-Table1[[#This Row], [TOTAL COST]]</f>
        <v>9776782</v>
      </c>
      <c r="X553" s="4">
        <f>IF(Table1[[#This Row], [PASS/FAIL]]="FAIL",0,Table1[[#This Row], [PROFIT]])</f>
        <v>9776782</v>
      </c>
    </row>
    <row r="554" spans="1:24" ht="19.5" customHeight="1" x14ac:dyDescent="0.45">
      <c r="A554" t="s">
        <v>13</v>
      </c>
      <c r="B554" s="14">
        <f>_xlfn.XLOOKUP(Table1[[#This Row], [TEAM]],Sheet1!$A$12:$A$17,Sheet1!$F$12:$F$17)</f>
        <v>3</v>
      </c>
      <c r="C554" s="14">
        <f>_xlfn.XLOOKUP(Table1[[#This Row], [TEAM]],Sheet1!$A$12:$A$17,Sheet1!$G$12:$G$17)</f>
        <v>5930000</v>
      </c>
      <c r="D554" t="s">
        <v>19</v>
      </c>
      <c r="E554" s="4">
        <f>_xlfn.XLOOKUP(Table1[[#This Row], [ROOM]],Sheet1!$A$47:$A$66,Sheet1!$B$47:$B$66)</f>
        <v>135</v>
      </c>
      <c r="F554" t="s">
        <v>62</v>
      </c>
      <c r="G554" s="4">
        <f>_xlfn.XLOOKUP(Table1[[#This Row], [DISGUISE]],Sheet1!$A$21:$A$23,Sheet1!$B$21:$B$23)*Table1[[#This Row], [NUM OF MEM]]*(1+_xlfn.XLOOKUP(Table1[[#This Row], [DISGUISE]],Sheet1!$A$21:$A$23,Sheet1!$C$21:$C$23))</f>
        <v>15600</v>
      </c>
      <c r="H554" s="13" t="s">
        <v>63</v>
      </c>
      <c r="I554" s="4">
        <f>_xlfn.XLOOKUP(Table1[[#This Row], [WEAPON]],Sheet1!$A$27:$A$29,Sheet1!$B$27:$B$29)*Table1[[#This Row], [NUM OF MEM]]*(1+_xlfn.XLOOKUP(Table1[[#This Row], [WEAPON]],Sheet1!$A$27:$A$29,Sheet1!$C$27:$C$29))</f>
        <v>69000</v>
      </c>
      <c r="J554" t="s">
        <v>64</v>
      </c>
      <c r="K554" s="9">
        <f>Table1[[#This Row], [NUM OF MEM]]*Table1[[#This Row], [TOTAL TIME TAKEN]]*_xlfn.XLOOKUP(Table1[[#This Row], [EXIT]],Sheet1!$A$70:$A$71,Sheet1!$B$70:$B$71)*(1+_xlfn.XLOOKUP(Table1[[#This Row], [EXIT]],Sheet1!$A$70:$A$71,Sheet1!$C$70:$C$71))</f>
        <v>1851724.7999999993</v>
      </c>
      <c r="L554" s="13" t="s">
        <v>65</v>
      </c>
      <c r="M554" s="4">
        <f>IF(Table1[[#This Row], [EQUIPMENT]]="YES",Sheet1!$C$44*(1+Sheet1!$D$44),0)</f>
        <v>307500</v>
      </c>
      <c r="N554" s="4">
        <f>_xlfn.XLOOKUP(Table1[[#This Row], [ROOM]],Sheet1!$A$47:$A$66,Sheet1!$F$47:$F$66)</f>
        <v>17950000</v>
      </c>
      <c r="O554" s="9">
        <f>_xlfn.XLOOKUP(_xlfn.CONCAT(Table1[[#This Row], [TEAM]],Table1[[#This Row], [ROOM]]),'ROOM TIME'!$H$2:$H$121,'ROOM TIME'!$J$2:$J$121)</f>
        <v>42.676666666666655</v>
      </c>
      <c r="P554" s="9">
        <f>(INDEX(Sheet1!$X$48:$Z$67,MATCH(Table1[[#This Row], [ROOM]],Sheet1!$P$48:$P$67,0),MATCH(Table1[[#This Row], [WEAPON]],Sheet1!$X$47:$Z$47,0)))/Table1[[#This Row], [NUM OF MEM]]</f>
        <v>4.95</v>
      </c>
      <c r="Q554" s="9">
        <f>Table1[[#This Row], [ROOM TIME]]+Table1[[#This Row], [GUARD TIME]]</f>
        <v>47.626666666666658</v>
      </c>
      <c r="R554" s="4">
        <f>Sheet1!$K$3*_xlfn.XLOOKUP(Table1[[#This Row], [DISGUISE]],Sheet1!$A$21:$A$23,Sheet1!$D$21:$D$23)</f>
        <v>66</v>
      </c>
      <c r="S554" s="9">
        <f>Table1[[#This Row], [TOTAL TIME]]-Table1[[#This Row], [TOTAL TIME TAKEN]]</f>
        <v>18.373333333333342</v>
      </c>
      <c r="T554" t="str">
        <f>IF(Table1[[#This Row], [TIME DIFFERENCE]]&gt;=0,"PASS","FAIL")</f>
        <v>PASS</v>
      </c>
      <c r="U554" s="9">
        <f>Table1[[#This Row], [TRC]]+Table1[[#This Row], [DRC]]+Table1[[#This Row], [WRC]]+Table1[[#This Row], [ERC]]+Table1[[#This Row], [EQRC]]</f>
        <v>8173824.7999999989</v>
      </c>
      <c r="V554" s="9">
        <f>Table1[[#This Row], [TOTAL COST]]+_xlfn.XLOOKUP(Table1[[#This Row], [TEAM]],Sheet1!$A$12:$A$17,Sheet1!$I$12:$I$17)</f>
        <v>8470324.7999999989</v>
      </c>
      <c r="W554" s="9">
        <f>Table1[[#This Row], [LOOT]]-Table1[[#This Row], [TOTAL COST]]</f>
        <v>9776175.2000000011</v>
      </c>
      <c r="X554" s="9">
        <f>IF(Table1[[#This Row], [PASS/FAIL]]="FAIL",0,Table1[[#This Row], [PROFIT]])</f>
        <v>9776175.2000000011</v>
      </c>
    </row>
    <row r="555" spans="1:24" ht="19.5" customHeight="1" x14ac:dyDescent="0.45">
      <c r="A555" t="s">
        <v>12</v>
      </c>
      <c r="B555" s="14">
        <f>_xlfn.XLOOKUP(Table1[[#This Row], [TEAM]],Sheet1!$A$12:$A$17,Sheet1!$F$12:$F$17)</f>
        <v>3</v>
      </c>
      <c r="C555" s="14">
        <f>_xlfn.XLOOKUP(Table1[[#This Row], [TEAM]],Sheet1!$A$12:$A$17,Sheet1!$G$12:$G$17)</f>
        <v>5988750</v>
      </c>
      <c r="D555" t="s">
        <v>24</v>
      </c>
      <c r="E555" s="4">
        <f>_xlfn.XLOOKUP(Table1[[#This Row], [ROOM]],Sheet1!$A$47:$A$66,Sheet1!$B$47:$B$66)</f>
        <v>345</v>
      </c>
      <c r="F555" t="s">
        <v>58</v>
      </c>
      <c r="G555" s="4">
        <f>_xlfn.XLOOKUP(Table1[[#This Row], [DISGUISE]],Sheet1!$A$21:$A$23,Sheet1!$B$21:$B$23)*Table1[[#This Row], [NUM OF MEM]]*(1+_xlfn.XLOOKUP(Table1[[#This Row], [DISGUISE]],Sheet1!$A$21:$A$23,Sheet1!$C$21:$C$23))</f>
        <v>38400</v>
      </c>
      <c r="H555" s="13" t="s">
        <v>59</v>
      </c>
      <c r="I555" s="4">
        <f>_xlfn.XLOOKUP(Table1[[#This Row], [WEAPON]],Sheet1!$A$27:$A$29,Sheet1!$B$27:$B$29)*Table1[[#This Row], [NUM OF MEM]]*(1+_xlfn.XLOOKUP(Table1[[#This Row], [WEAPON]],Sheet1!$A$27:$A$29,Sheet1!$C$27:$C$29))</f>
        <v>136500</v>
      </c>
      <c r="J555" t="s">
        <v>60</v>
      </c>
      <c r="K555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1752833.9499999997</v>
      </c>
      <c r="L555" s="13" t="s">
        <v>65</v>
      </c>
      <c r="M555" s="4">
        <f>IF(Table1[[#This Row], [EQUIPMENT]]="YES",Sheet1!$C$44*(1+Sheet1!$D$44),0)</f>
        <v>307500</v>
      </c>
      <c r="N555" s="4">
        <f>_xlfn.XLOOKUP(Table1[[#This Row], [ROOM]],Sheet1!$A$47:$A$66,Sheet1!$F$47:$F$66)</f>
        <v>18000000</v>
      </c>
      <c r="O555" s="9">
        <f>_xlfn.XLOOKUP(_xlfn.CONCAT(Table1[[#This Row], [TEAM]],Table1[[#This Row], [ROOM]]),'ROOM TIME'!$H$2:$H$121,'ROOM TIME'!$J$2:$J$121)</f>
        <v>40.9311111111111</v>
      </c>
      <c r="P555" s="9">
        <f>(INDEX(Sheet1!$X$48:$Z$67,MATCH(Table1[[#This Row], [ROOM]],Sheet1!$P$48:$P$67,0),MATCH(Table1[[#This Row], [WEAPON]],Sheet1!$X$47:$Z$47,0)))/Table1[[#This Row], [NUM OF MEM]]</f>
        <v>4.5999999999999996</v>
      </c>
      <c r="Q555" s="9">
        <f>Table1[[#This Row], [ROOM TIME]]+Table1[[#This Row], [GUARD TIME]]</f>
        <v>45.531111111111102</v>
      </c>
      <c r="R555" s="4">
        <f>Sheet1!$K$3*_xlfn.XLOOKUP(Table1[[#This Row], [DISGUISE]],Sheet1!$A$21:$A$23,Sheet1!$D$21:$D$23)</f>
        <v>69</v>
      </c>
      <c r="S555" s="9">
        <f>Table1[[#This Row], [TOTAL TIME]]-Table1[[#This Row], [TOTAL TIME TAKEN]]</f>
        <v>23.468888888888898</v>
      </c>
      <c r="T555" t="str">
        <f>IF(Table1[[#This Row], [TIME DIFFERENCE]]&gt;=0,"PASS","FAIL")</f>
        <v>PASS</v>
      </c>
      <c r="U555" s="9">
        <f>Table1[[#This Row], [TRC]]+Table1[[#This Row], [DRC]]+Table1[[#This Row], [WRC]]+Table1[[#This Row], [ERC]]+Table1[[#This Row], [EQRC]]</f>
        <v>8223983.9499999993</v>
      </c>
      <c r="V555" s="9">
        <f>Table1[[#This Row], [TOTAL COST]]+_xlfn.XLOOKUP(Table1[[#This Row], [TEAM]],Sheet1!$A$12:$A$17,Sheet1!$I$12:$I$17)</f>
        <v>8523421.4499999993</v>
      </c>
      <c r="W555" s="9">
        <f>Table1[[#This Row], [LOOT]]-Table1[[#This Row], [TOTAL COST]]</f>
        <v>9776016.0500000007</v>
      </c>
      <c r="X555" s="9">
        <f>IF(Table1[[#This Row], [PASS/FAIL]]="FAIL",0,Table1[[#This Row], [PROFIT]])</f>
        <v>9776016.0500000007</v>
      </c>
    </row>
    <row r="556" spans="1:24" ht="19.5" customHeight="1" x14ac:dyDescent="0.45">
      <c r="A556" t="s">
        <v>13</v>
      </c>
      <c r="B556" s="14">
        <f>_xlfn.XLOOKUP(Table1[[#This Row], [TEAM]],Sheet1!$A$12:$A$17,Sheet1!$F$12:$F$17)</f>
        <v>3</v>
      </c>
      <c r="C556" s="14">
        <f>_xlfn.XLOOKUP(Table1[[#This Row], [TEAM]],Sheet1!$A$12:$A$17,Sheet1!$G$12:$G$17)</f>
        <v>5930000</v>
      </c>
      <c r="D556" t="s">
        <v>24</v>
      </c>
      <c r="E556" s="4">
        <f>_xlfn.XLOOKUP(Table1[[#This Row], [ROOM]],Sheet1!$A$47:$A$66,Sheet1!$B$47:$B$66)</f>
        <v>345</v>
      </c>
      <c r="F556" t="s">
        <v>62</v>
      </c>
      <c r="G556" s="4">
        <f>_xlfn.XLOOKUP(Table1[[#This Row], [DISGUISE]],Sheet1!$A$21:$A$23,Sheet1!$B$21:$B$23)*Table1[[#This Row], [NUM OF MEM]]*(1+_xlfn.XLOOKUP(Table1[[#This Row], [DISGUISE]],Sheet1!$A$21:$A$23,Sheet1!$C$21:$C$23))</f>
        <v>15600</v>
      </c>
      <c r="H556" s="13" t="s">
        <v>59</v>
      </c>
      <c r="I556" s="4">
        <f>_xlfn.XLOOKUP(Table1[[#This Row], [WEAPON]],Sheet1!$A$27:$A$29,Sheet1!$B$27:$B$29)*Table1[[#This Row], [NUM OF MEM]]*(1+_xlfn.XLOOKUP(Table1[[#This Row], [WEAPON]],Sheet1!$A$27:$A$29,Sheet1!$C$27:$C$29))</f>
        <v>136500</v>
      </c>
      <c r="J556" t="s">
        <v>64</v>
      </c>
      <c r="K556" s="9">
        <f>Table1[[#This Row], [NUM OF MEM]]*Table1[[#This Row], [TOTAL TIME TAKEN]]*_xlfn.XLOOKUP(Table1[[#This Row], [EXIT]],Sheet1!$A$70:$A$71,Sheet1!$B$70:$B$71)*(1+_xlfn.XLOOKUP(Table1[[#This Row], [EXIT]],Sheet1!$A$70:$A$71,Sheet1!$C$70:$C$71))</f>
        <v>1834660.8</v>
      </c>
      <c r="L556" s="13" t="s">
        <v>65</v>
      </c>
      <c r="M556" s="4">
        <f>IF(Table1[[#This Row], [EQUIPMENT]]="YES",Sheet1!$C$44*(1+Sheet1!$D$44),0)</f>
        <v>307500</v>
      </c>
      <c r="N556" s="4">
        <f>_xlfn.XLOOKUP(Table1[[#This Row], [ROOM]],Sheet1!$A$47:$A$66,Sheet1!$F$47:$F$66)</f>
        <v>18000000</v>
      </c>
      <c r="O556" s="9">
        <f>_xlfn.XLOOKUP(_xlfn.CONCAT(Table1[[#This Row], [TEAM]],Table1[[#This Row], [ROOM]]),'ROOM TIME'!$H$2:$H$121,'ROOM TIME'!$J$2:$J$121)</f>
        <v>42.587777777777774</v>
      </c>
      <c r="P556" s="9">
        <f>(INDEX(Sheet1!$X$48:$Z$67,MATCH(Table1[[#This Row], [ROOM]],Sheet1!$P$48:$P$67,0),MATCH(Table1[[#This Row], [WEAPON]],Sheet1!$X$47:$Z$47,0)))/Table1[[#This Row], [NUM OF MEM]]</f>
        <v>4.5999999999999996</v>
      </c>
      <c r="Q556" s="9">
        <f>Table1[[#This Row], [ROOM TIME]]+Table1[[#This Row], [GUARD TIME]]</f>
        <v>47.187777777777775</v>
      </c>
      <c r="R556" s="4">
        <f>Sheet1!$K$3*_xlfn.XLOOKUP(Table1[[#This Row], [DISGUISE]],Sheet1!$A$21:$A$23,Sheet1!$D$21:$D$23)</f>
        <v>66</v>
      </c>
      <c r="S556" s="9">
        <f>Table1[[#This Row], [TOTAL TIME]]-Table1[[#This Row], [TOTAL TIME TAKEN]]</f>
        <v>18.812222222222225</v>
      </c>
      <c r="T556" t="str">
        <f>IF(Table1[[#This Row], [TIME DIFFERENCE]]&gt;=0,"PASS","FAIL")</f>
        <v>PASS</v>
      </c>
      <c r="U556" s="9">
        <f>Table1[[#This Row], [TRC]]+Table1[[#This Row], [DRC]]+Table1[[#This Row], [WRC]]+Table1[[#This Row], [ERC]]+Table1[[#This Row], [EQRC]]</f>
        <v>8224260.7999999998</v>
      </c>
      <c r="V556" s="9">
        <f>Table1[[#This Row], [TOTAL COST]]+_xlfn.XLOOKUP(Table1[[#This Row], [TEAM]],Sheet1!$A$12:$A$17,Sheet1!$I$12:$I$17)</f>
        <v>8520760.8000000007</v>
      </c>
      <c r="W556" s="9">
        <f>Table1[[#This Row], [LOOT]]-Table1[[#This Row], [TOTAL COST]]</f>
        <v>9775739.1999999993</v>
      </c>
      <c r="X556" s="9">
        <f>IF(Table1[[#This Row], [PASS/FAIL]]="FAIL",0,Table1[[#This Row], [PROFIT]])</f>
        <v>9775739.1999999993</v>
      </c>
    </row>
    <row r="557" spans="1:24" ht="19.5" customHeight="1" x14ac:dyDescent="0.45">
      <c r="A557" t="s">
        <v>9</v>
      </c>
      <c r="B557" s="14">
        <f>_xlfn.XLOOKUP(Table1[[#This Row], [TEAM]],Sheet1!$A$12:$A$17,Sheet1!$F$12:$F$17)</f>
        <v>3</v>
      </c>
      <c r="C557" s="14">
        <f>_xlfn.XLOOKUP(Table1[[#This Row], [TEAM]],Sheet1!$A$12:$A$17,Sheet1!$G$12:$G$17)</f>
        <v>6238750</v>
      </c>
      <c r="D557" t="s">
        <v>10</v>
      </c>
      <c r="E557" s="4">
        <f>_xlfn.XLOOKUP(Table1[[#This Row], [ROOM]],Sheet1!$A$47:$A$66,Sheet1!$B$47:$B$66)</f>
        <v>123</v>
      </c>
      <c r="F557" t="s">
        <v>62</v>
      </c>
      <c r="G557" s="4">
        <f>_xlfn.XLOOKUP(Table1[[#This Row], [DISGUISE]],Sheet1!$A$21:$A$23,Sheet1!$B$21:$B$23)*Table1[[#This Row], [NUM OF MEM]]*(1+_xlfn.XLOOKUP(Table1[[#This Row], [DISGUISE]],Sheet1!$A$21:$A$23,Sheet1!$C$21:$C$23))</f>
        <v>15600</v>
      </c>
      <c r="H557" s="13" t="s">
        <v>63</v>
      </c>
      <c r="I557" s="4">
        <f>_xlfn.XLOOKUP(Table1[[#This Row], [WEAPON]],Sheet1!$A$27:$A$29,Sheet1!$B$27:$B$29)*Table1[[#This Row], [NUM OF MEM]]*(1+_xlfn.XLOOKUP(Table1[[#This Row], [WEAPON]],Sheet1!$A$27:$A$29,Sheet1!$C$27:$C$29))</f>
        <v>69000</v>
      </c>
      <c r="J557" t="s">
        <v>64</v>
      </c>
      <c r="K557" s="9">
        <f>Table1[[#This Row], [NUM OF MEM]]*Table1[[#This Row], [TOTAL TIME TAKEN]]*_xlfn.XLOOKUP(Table1[[#This Row], [EXIT]],Sheet1!$A$70:$A$71,Sheet1!$B$70:$B$71)*(1+_xlfn.XLOOKUP(Table1[[#This Row], [EXIT]],Sheet1!$A$70:$A$71,Sheet1!$C$70:$C$71))</f>
        <v>1751003.9999999993</v>
      </c>
      <c r="L557" s="13" t="s">
        <v>61</v>
      </c>
      <c r="M557" s="4">
        <f>IF(Table1[[#This Row], [EQUIPMENT]]="YES",Sheet1!$C$44*(1+Sheet1!$D$44),0)</f>
        <v>0</v>
      </c>
      <c r="N557" s="4">
        <f>_xlfn.XLOOKUP(Table1[[#This Row], [ROOM]],Sheet1!$A$47:$A$66,Sheet1!$F$47:$F$66)</f>
        <v>17850000</v>
      </c>
      <c r="O557" s="9">
        <f>_xlfn.XLOOKUP(_xlfn.CONCAT(Table1[[#This Row], [TEAM]],Table1[[#This Row], [ROOM]]),'ROOM TIME'!$H$2:$H$121,'ROOM TIME'!$J$2:$J$121)</f>
        <v>39.636111111111099</v>
      </c>
      <c r="P557" s="9">
        <f>(INDEX(Sheet1!$X$48:$Z$67,MATCH(Table1[[#This Row], [ROOM]],Sheet1!$P$48:$P$67,0),MATCH(Table1[[#This Row], [WEAPON]],Sheet1!$X$47:$Z$47,0)))/Table1[[#This Row], [NUM OF MEM]]</f>
        <v>5.4000000000000012</v>
      </c>
      <c r="Q557" s="9">
        <f>Table1[[#This Row], [ROOM TIME]]+Table1[[#This Row], [GUARD TIME]]</f>
        <v>45.036111111111097</v>
      </c>
      <c r="R557" s="4">
        <f>Sheet1!$K$3*_xlfn.XLOOKUP(Table1[[#This Row], [DISGUISE]],Sheet1!$A$21:$A$23,Sheet1!$D$21:$D$23)</f>
        <v>66</v>
      </c>
      <c r="S557" s="9">
        <f>Table1[[#This Row], [TOTAL TIME]]-Table1[[#This Row], [TOTAL TIME TAKEN]]</f>
        <v>20.963888888888903</v>
      </c>
      <c r="T557" t="str">
        <f>IF(Table1[[#This Row], [TIME DIFFERENCE]]&gt;=0,"PASS","FAIL")</f>
        <v>PASS</v>
      </c>
      <c r="U557" s="9">
        <f>Table1[[#This Row], [TRC]]+Table1[[#This Row], [DRC]]+Table1[[#This Row], [WRC]]+Table1[[#This Row], [ERC]]+Table1[[#This Row], [EQRC]]</f>
        <v>8074353.9999999991</v>
      </c>
      <c r="V557" s="9">
        <f>Table1[[#This Row], [TOTAL COST]]+_xlfn.XLOOKUP(Table1[[#This Row], [TEAM]],Sheet1!$A$12:$A$17,Sheet1!$I$12:$I$17)</f>
        <v>8386291.4999999991</v>
      </c>
      <c r="W557" s="4">
        <f>Table1[[#This Row], [LOOT]]-Table1[[#This Row], [TOTAL COST]]</f>
        <v>9775646</v>
      </c>
      <c r="X557" s="4">
        <f>IF(Table1[[#This Row], [PASS/FAIL]]="FAIL",0,Table1[[#This Row], [PROFIT]])</f>
        <v>9775646</v>
      </c>
    </row>
    <row r="558" spans="1:24" ht="19.5" customHeight="1" x14ac:dyDescent="0.45">
      <c r="A558" t="s">
        <v>14</v>
      </c>
      <c r="B558" s="14">
        <f>_xlfn.XLOOKUP(Table1[[#This Row], [TEAM]],Sheet1!$A$12:$A$17,Sheet1!$F$12:$F$17)</f>
        <v>2</v>
      </c>
      <c r="C558" s="14">
        <f>_xlfn.XLOOKUP(Table1[[#This Row], [TEAM]],Sheet1!$A$12:$A$17,Sheet1!$G$12:$G$17)</f>
        <v>5949600</v>
      </c>
      <c r="D558" t="s">
        <v>27</v>
      </c>
      <c r="E558" s="4">
        <f>_xlfn.XLOOKUP(Table1[[#This Row], [ROOM]],Sheet1!$A$47:$A$66,Sheet1!$B$47:$B$66)</f>
        <v>146</v>
      </c>
      <c r="F558" t="s">
        <v>58</v>
      </c>
      <c r="G558" s="4">
        <f>_xlfn.XLOOKUP(Table1[[#This Row], [DISGUISE]],Sheet1!$A$21:$A$23,Sheet1!$B$21:$B$23)*Table1[[#This Row], [NUM OF MEM]]*(1+_xlfn.XLOOKUP(Table1[[#This Row], [DISGUISE]],Sheet1!$A$21:$A$23,Sheet1!$C$21:$C$23))</f>
        <v>25600</v>
      </c>
      <c r="H558" s="13" t="s">
        <v>63</v>
      </c>
      <c r="I558" s="4">
        <f>_xlfn.XLOOKUP(Table1[[#This Row], [WEAPON]],Sheet1!$A$27:$A$29,Sheet1!$B$27:$B$29)*Table1[[#This Row], [NUM OF MEM]]*(1+_xlfn.XLOOKUP(Table1[[#This Row], [WEAPON]],Sheet1!$A$27:$A$29,Sheet1!$C$27:$C$29))</f>
        <v>46000</v>
      </c>
      <c r="J558" t="s">
        <v>64</v>
      </c>
      <c r="K558" s="9">
        <f>Table1[[#This Row], [NUM OF MEM]]*Table1[[#This Row], [TOTAL TIME TAKEN]]*_xlfn.XLOOKUP(Table1[[#This Row], [EXIT]],Sheet1!$A$70:$A$71,Sheet1!$B$70:$B$71)*(1+_xlfn.XLOOKUP(Table1[[#This Row], [EXIT]],Sheet1!$A$70:$A$71,Sheet1!$C$70:$C$71))</f>
        <v>1646179.1999999997</v>
      </c>
      <c r="L558" s="13" t="s">
        <v>65</v>
      </c>
      <c r="M558" s="4">
        <f>IF(Table1[[#This Row], [EQUIPMENT]]="YES",Sheet1!$C$44*(1+Sheet1!$D$44),0)</f>
        <v>307500</v>
      </c>
      <c r="N558" s="4">
        <f>_xlfn.XLOOKUP(Table1[[#This Row], [ROOM]],Sheet1!$A$47:$A$66,Sheet1!$F$47:$F$66)</f>
        <v>17750000</v>
      </c>
      <c r="O558" s="9">
        <f>_xlfn.XLOOKUP(_xlfn.CONCAT(Table1[[#This Row], [TEAM]],Table1[[#This Row], [ROOM]]),'ROOM TIME'!$H$2:$H$121,'ROOM TIME'!$J$2:$J$121)</f>
        <v>56.084999999999987</v>
      </c>
      <c r="P558" s="9">
        <f>(INDEX(Sheet1!$X$48:$Z$67,MATCH(Table1[[#This Row], [ROOM]],Sheet1!$P$48:$P$67,0),MATCH(Table1[[#This Row], [WEAPON]],Sheet1!$X$47:$Z$47,0)))/Table1[[#This Row], [NUM OF MEM]]</f>
        <v>7.4250000000000007</v>
      </c>
      <c r="Q558" s="9">
        <f>Table1[[#This Row], [ROOM TIME]]+Table1[[#This Row], [GUARD TIME]]</f>
        <v>63.509999999999991</v>
      </c>
      <c r="R558" s="4">
        <f>Sheet1!$K$3*_xlfn.XLOOKUP(Table1[[#This Row], [DISGUISE]],Sheet1!$A$21:$A$23,Sheet1!$D$21:$D$23)</f>
        <v>69</v>
      </c>
      <c r="S558" s="9">
        <f>Table1[[#This Row], [TOTAL TIME]]-Table1[[#This Row], [TOTAL TIME TAKEN]]</f>
        <v>5.4900000000000091</v>
      </c>
      <c r="T558" t="str">
        <f>IF(Table1[[#This Row], [TIME DIFFERENCE]]&gt;=0,"PASS","FAIL")</f>
        <v>PASS</v>
      </c>
      <c r="U558" s="9">
        <f>Table1[[#This Row], [TRC]]+Table1[[#This Row], [DRC]]+Table1[[#This Row], [WRC]]+Table1[[#This Row], [ERC]]+Table1[[#This Row], [EQRC]]</f>
        <v>7974879.1999999993</v>
      </c>
      <c r="V558" s="9">
        <f>Table1[[#This Row], [TOTAL COST]]+_xlfn.XLOOKUP(Table1[[#This Row], [TEAM]],Sheet1!$A$12:$A$17,Sheet1!$I$12:$I$17)</f>
        <v>8272359.1999999993</v>
      </c>
      <c r="W558" s="9">
        <f>Table1[[#This Row], [LOOT]]-Table1[[#This Row], [TOTAL COST]]</f>
        <v>9775120.8000000007</v>
      </c>
      <c r="X558" s="9">
        <f>IF(Table1[[#This Row], [PASS/FAIL]]="FAIL",0,Table1[[#This Row], [PROFIT]])</f>
        <v>9775120.8000000007</v>
      </c>
    </row>
    <row r="559" spans="1:24" ht="19.5" customHeight="1" x14ac:dyDescent="0.45">
      <c r="A559" t="s">
        <v>14</v>
      </c>
      <c r="B559" s="14">
        <f>_xlfn.XLOOKUP(Table1[[#This Row], [TEAM]],Sheet1!$A$12:$A$17,Sheet1!$F$12:$F$17)</f>
        <v>2</v>
      </c>
      <c r="C559" s="14">
        <f>_xlfn.XLOOKUP(Table1[[#This Row], [TEAM]],Sheet1!$A$12:$A$17,Sheet1!$G$12:$G$17)</f>
        <v>5949600</v>
      </c>
      <c r="D559" t="s">
        <v>27</v>
      </c>
      <c r="E559" s="4">
        <f>_xlfn.XLOOKUP(Table1[[#This Row], [ROOM]],Sheet1!$A$47:$A$66,Sheet1!$B$47:$B$66)</f>
        <v>146</v>
      </c>
      <c r="F559" t="s">
        <v>58</v>
      </c>
      <c r="G559" s="4">
        <f>_xlfn.XLOOKUP(Table1[[#This Row], [DISGUISE]],Sheet1!$A$21:$A$23,Sheet1!$B$21:$B$23)*Table1[[#This Row], [NUM OF MEM]]*(1+_xlfn.XLOOKUP(Table1[[#This Row], [DISGUISE]],Sheet1!$A$21:$A$23,Sheet1!$C$21:$C$23))</f>
        <v>25600</v>
      </c>
      <c r="H559" s="13" t="s">
        <v>59</v>
      </c>
      <c r="I559" s="4">
        <f>_xlfn.XLOOKUP(Table1[[#This Row], [WEAPON]],Sheet1!$A$27:$A$29,Sheet1!$B$27:$B$29)*Table1[[#This Row], [NUM OF MEM]]*(1+_xlfn.XLOOKUP(Table1[[#This Row], [WEAPON]],Sheet1!$A$27:$A$29,Sheet1!$C$27:$C$29))</f>
        <v>91000</v>
      </c>
      <c r="J559" t="s">
        <v>60</v>
      </c>
      <c r="K559" s="9">
        <f>Table1[[#This Row], [NUM OF MEM]]*Table1[[#This Row], [TOTAL TIME TAKEN]]*_xlfn.XLOOKUP(Table1[[#This Row], [EXIT]],Sheet1!$A$70:$A$71,Sheet1!$B$70:$B$71)*(1+_xlfn.XLOOKUP(Table1[[#This Row], [EXIT]],Sheet1!$A$70:$A$71,Sheet1!$C$70:$C$71))</f>
        <v>1601752.6499999997</v>
      </c>
      <c r="L559" s="13" t="s">
        <v>65</v>
      </c>
      <c r="M559" s="4">
        <f>IF(Table1[[#This Row], [EQUIPMENT]]="YES",Sheet1!$C$44*(1+Sheet1!$D$44),0)</f>
        <v>307500</v>
      </c>
      <c r="N559" s="4">
        <f>_xlfn.XLOOKUP(Table1[[#This Row], [ROOM]],Sheet1!$A$47:$A$66,Sheet1!$F$47:$F$66)</f>
        <v>17750000</v>
      </c>
      <c r="O559" s="9">
        <f>_xlfn.XLOOKUP(_xlfn.CONCAT(Table1[[#This Row], [TEAM]],Table1[[#This Row], [ROOM]]),'ROOM TIME'!$H$2:$H$121,'ROOM TIME'!$J$2:$J$121)</f>
        <v>56.084999999999987</v>
      </c>
      <c r="P559" s="9">
        <f>(INDEX(Sheet1!$X$48:$Z$67,MATCH(Table1[[#This Row], [ROOM]],Sheet1!$P$48:$P$67,0),MATCH(Table1[[#This Row], [WEAPON]],Sheet1!$X$47:$Z$47,0)))/Table1[[#This Row], [NUM OF MEM]]</f>
        <v>6.3249999999999993</v>
      </c>
      <c r="Q559" s="9">
        <f>Table1[[#This Row], [ROOM TIME]]+Table1[[#This Row], [GUARD TIME]]</f>
        <v>62.409999999999982</v>
      </c>
      <c r="R559" s="4">
        <f>Sheet1!$K$3*_xlfn.XLOOKUP(Table1[[#This Row], [DISGUISE]],Sheet1!$A$21:$A$23,Sheet1!$D$21:$D$23)</f>
        <v>69</v>
      </c>
      <c r="S559" s="9">
        <f>Table1[[#This Row], [TOTAL TIME]]-Table1[[#This Row], [TOTAL TIME TAKEN]]</f>
        <v>6.5900000000000176</v>
      </c>
      <c r="T559" t="str">
        <f>IF(Table1[[#This Row], [TIME DIFFERENCE]]&gt;=0,"PASS","FAIL")</f>
        <v>PASS</v>
      </c>
      <c r="U559" s="9">
        <f>Table1[[#This Row], [TRC]]+Table1[[#This Row], [DRC]]+Table1[[#This Row], [WRC]]+Table1[[#This Row], [ERC]]+Table1[[#This Row], [EQRC]]</f>
        <v>7975452.6499999994</v>
      </c>
      <c r="V559" s="9">
        <f>Table1[[#This Row], [TOTAL COST]]+_xlfn.XLOOKUP(Table1[[#This Row], [TEAM]],Sheet1!$A$12:$A$17,Sheet1!$I$12:$I$17)</f>
        <v>8272932.6499999994</v>
      </c>
      <c r="W559" s="9">
        <f>Table1[[#This Row], [LOOT]]-Table1[[#This Row], [TOTAL COST]]</f>
        <v>9774547.3500000015</v>
      </c>
      <c r="X559" s="9">
        <f>IF(Table1[[#This Row], [PASS/FAIL]]="FAIL",0,Table1[[#This Row], [PROFIT]])</f>
        <v>9774547.3500000015</v>
      </c>
    </row>
    <row r="560" spans="1:24" ht="19.5" customHeight="1" x14ac:dyDescent="0.45">
      <c r="A560" t="s">
        <v>15</v>
      </c>
      <c r="B560" s="14">
        <f>_xlfn.XLOOKUP(Table1[[#This Row], [TEAM]],Sheet1!$A$12:$A$17,Sheet1!$F$12:$F$17)</f>
        <v>2</v>
      </c>
      <c r="C560" s="14">
        <f>_xlfn.XLOOKUP(Table1[[#This Row], [TEAM]],Sheet1!$A$12:$A$17,Sheet1!$G$12:$G$17)</f>
        <v>5932950</v>
      </c>
      <c r="D560" t="s">
        <v>34</v>
      </c>
      <c r="E560" s="4">
        <f>_xlfn.XLOOKUP(Table1[[#This Row], [ROOM]],Sheet1!$A$47:$A$66,Sheet1!$B$47:$B$66)</f>
        <v>456</v>
      </c>
      <c r="F560" t="s">
        <v>58</v>
      </c>
      <c r="G560" s="4">
        <f>_xlfn.XLOOKUP(Table1[[#This Row], [DISGUISE]],Sheet1!$A$21:$A$23,Sheet1!$B$21:$B$23)*Table1[[#This Row], [NUM OF MEM]]*(1+_xlfn.XLOOKUP(Table1[[#This Row], [DISGUISE]],Sheet1!$A$21:$A$23,Sheet1!$C$21:$C$23))</f>
        <v>25600</v>
      </c>
      <c r="H560" s="13" t="s">
        <v>63</v>
      </c>
      <c r="I560" s="4">
        <f>_xlfn.XLOOKUP(Table1[[#This Row], [WEAPON]],Sheet1!$A$27:$A$29,Sheet1!$B$27:$B$29)*Table1[[#This Row], [NUM OF MEM]]*(1+_xlfn.XLOOKUP(Table1[[#This Row], [WEAPON]],Sheet1!$A$27:$A$29,Sheet1!$C$27:$C$29))</f>
        <v>46000</v>
      </c>
      <c r="J560" t="s">
        <v>60</v>
      </c>
      <c r="K560" s="9">
        <f>Table1[[#This Row], [NUM OF MEM]]*Table1[[#This Row], [TOTAL TIME TAKEN]]*_xlfn.XLOOKUP(Table1[[#This Row], [EXIT]],Sheet1!$A$70:$A$71,Sheet1!$B$70:$B$71)*(1+_xlfn.XLOOKUP(Table1[[#This Row], [EXIT]],Sheet1!$A$70:$A$71,Sheet1!$C$70:$C$71))</f>
        <v>1613526.4687499995</v>
      </c>
      <c r="L560" s="13" t="s">
        <v>65</v>
      </c>
      <c r="M560" s="4">
        <f>IF(Table1[[#This Row], [EQUIPMENT]]="YES",Sheet1!$C$44*(1+Sheet1!$D$44),0)</f>
        <v>307500</v>
      </c>
      <c r="N560" s="4">
        <f>_xlfn.XLOOKUP(Table1[[#This Row], [ROOM]],Sheet1!$A$47:$A$66,Sheet1!$F$47:$F$66)</f>
        <v>17700000</v>
      </c>
      <c r="O560" s="9">
        <f>_xlfn.XLOOKUP(_xlfn.CONCAT(Table1[[#This Row], [TEAM]],Table1[[#This Row], [ROOM]]),'ROOM TIME'!$H$2:$H$121,'ROOM TIME'!$J$2:$J$121)</f>
        <v>55.443749999999994</v>
      </c>
      <c r="P560" s="9">
        <f>(INDEX(Sheet1!$X$48:$Z$67,MATCH(Table1[[#This Row], [ROOM]],Sheet1!$P$48:$P$67,0),MATCH(Table1[[#This Row], [WEAPON]],Sheet1!$X$47:$Z$47,0)))/Table1[[#This Row], [NUM OF MEM]]</f>
        <v>7.4250000000000007</v>
      </c>
      <c r="Q560" s="9">
        <f>Table1[[#This Row], [ROOM TIME]]+Table1[[#This Row], [GUARD TIME]]</f>
        <v>62.868749999999991</v>
      </c>
      <c r="R560" s="4">
        <f>Sheet1!$K$3*_xlfn.XLOOKUP(Table1[[#This Row], [DISGUISE]],Sheet1!$A$21:$A$23,Sheet1!$D$21:$D$23)</f>
        <v>69</v>
      </c>
      <c r="S560" s="9">
        <f>Table1[[#This Row], [TOTAL TIME]]-Table1[[#This Row], [TOTAL TIME TAKEN]]</f>
        <v>6.1312500000000085</v>
      </c>
      <c r="T560" t="str">
        <f>IF(Table1[[#This Row], [TIME DIFFERENCE]]&gt;=0,"PASS","FAIL")</f>
        <v>PASS</v>
      </c>
      <c r="U560" s="9">
        <f>Table1[[#This Row], [TRC]]+Table1[[#This Row], [DRC]]+Table1[[#This Row], [WRC]]+Table1[[#This Row], [ERC]]+Table1[[#This Row], [EQRC]]</f>
        <v>7925576.46875</v>
      </c>
      <c r="V560" s="9">
        <f>Table1[[#This Row], [TOTAL COST]]+_xlfn.XLOOKUP(Table1[[#This Row], [TEAM]],Sheet1!$A$12:$A$17,Sheet1!$I$12:$I$17)</f>
        <v>8222223.96875</v>
      </c>
      <c r="W560" s="9">
        <f>Table1[[#This Row], [LOOT]]-Table1[[#This Row], [TOTAL COST]]</f>
        <v>9774423.53125</v>
      </c>
      <c r="X560" s="9">
        <f>IF(Table1[[#This Row], [PASS/FAIL]]="FAIL",0,Table1[[#This Row], [PROFIT]])</f>
        <v>9774423.53125</v>
      </c>
    </row>
    <row r="561" spans="1:24" ht="19.5" customHeight="1" x14ac:dyDescent="0.45">
      <c r="A561" t="s">
        <v>14</v>
      </c>
      <c r="B561" s="14">
        <f>_xlfn.XLOOKUP(Table1[[#This Row], [TEAM]],Sheet1!$A$12:$A$17,Sheet1!$F$12:$F$17)</f>
        <v>2</v>
      </c>
      <c r="C561" s="14">
        <f>_xlfn.XLOOKUP(Table1[[#This Row], [TEAM]],Sheet1!$A$12:$A$17,Sheet1!$G$12:$G$17)</f>
        <v>5949600</v>
      </c>
      <c r="D561" t="s">
        <v>27</v>
      </c>
      <c r="E561" s="4">
        <f>_xlfn.XLOOKUP(Table1[[#This Row], [ROOM]],Sheet1!$A$47:$A$66,Sheet1!$B$47:$B$66)</f>
        <v>146</v>
      </c>
      <c r="F561" t="s">
        <v>62</v>
      </c>
      <c r="G561" s="4">
        <f>_xlfn.XLOOKUP(Table1[[#This Row], [DISGUISE]],Sheet1!$A$21:$A$23,Sheet1!$B$21:$B$23)*Table1[[#This Row], [NUM OF MEM]]*(1+_xlfn.XLOOKUP(Table1[[#This Row], [DISGUISE]],Sheet1!$A$21:$A$23,Sheet1!$C$21:$C$23))</f>
        <v>10400</v>
      </c>
      <c r="H561" s="13" t="s">
        <v>59</v>
      </c>
      <c r="I561" s="4">
        <f>_xlfn.XLOOKUP(Table1[[#This Row], [WEAPON]],Sheet1!$A$27:$A$29,Sheet1!$B$27:$B$29)*Table1[[#This Row], [NUM OF MEM]]*(1+_xlfn.XLOOKUP(Table1[[#This Row], [WEAPON]],Sheet1!$A$27:$A$29,Sheet1!$C$27:$C$29))</f>
        <v>91000</v>
      </c>
      <c r="J561" t="s">
        <v>64</v>
      </c>
      <c r="K561" s="9">
        <f>Table1[[#This Row], [NUM OF MEM]]*Table1[[#This Row], [TOTAL TIME TAKEN]]*_xlfn.XLOOKUP(Table1[[#This Row], [EXIT]],Sheet1!$A$70:$A$71,Sheet1!$B$70:$B$71)*(1+_xlfn.XLOOKUP(Table1[[#This Row], [EXIT]],Sheet1!$A$70:$A$71,Sheet1!$C$70:$C$71))</f>
        <v>1617667.1999999995</v>
      </c>
      <c r="L561" s="13" t="s">
        <v>65</v>
      </c>
      <c r="M561" s="4">
        <f>IF(Table1[[#This Row], [EQUIPMENT]]="YES",Sheet1!$C$44*(1+Sheet1!$D$44),0)</f>
        <v>307500</v>
      </c>
      <c r="N561" s="4">
        <f>_xlfn.XLOOKUP(Table1[[#This Row], [ROOM]],Sheet1!$A$47:$A$66,Sheet1!$F$47:$F$66)</f>
        <v>17750000</v>
      </c>
      <c r="O561" s="9">
        <f>_xlfn.XLOOKUP(_xlfn.CONCAT(Table1[[#This Row], [TEAM]],Table1[[#This Row], [ROOM]]),'ROOM TIME'!$H$2:$H$121,'ROOM TIME'!$J$2:$J$121)</f>
        <v>56.084999999999987</v>
      </c>
      <c r="P561" s="9">
        <f>(INDEX(Sheet1!$X$48:$Z$67,MATCH(Table1[[#This Row], [ROOM]],Sheet1!$P$48:$P$67,0),MATCH(Table1[[#This Row], [WEAPON]],Sheet1!$X$47:$Z$47,0)))/Table1[[#This Row], [NUM OF MEM]]</f>
        <v>6.3249999999999993</v>
      </c>
      <c r="Q561" s="9">
        <f>Table1[[#This Row], [ROOM TIME]]+Table1[[#This Row], [GUARD TIME]]</f>
        <v>62.409999999999982</v>
      </c>
      <c r="R561" s="4">
        <f>Sheet1!$K$3*_xlfn.XLOOKUP(Table1[[#This Row], [DISGUISE]],Sheet1!$A$21:$A$23,Sheet1!$D$21:$D$23)</f>
        <v>66</v>
      </c>
      <c r="S561" s="9">
        <f>Table1[[#This Row], [TOTAL TIME]]-Table1[[#This Row], [TOTAL TIME TAKEN]]</f>
        <v>3.5900000000000176</v>
      </c>
      <c r="T561" t="str">
        <f>IF(Table1[[#This Row], [TIME DIFFERENCE]]&gt;=0,"PASS","FAIL")</f>
        <v>PASS</v>
      </c>
      <c r="U561" s="9">
        <f>Table1[[#This Row], [TRC]]+Table1[[#This Row], [DRC]]+Table1[[#This Row], [WRC]]+Table1[[#This Row], [ERC]]+Table1[[#This Row], [EQRC]]</f>
        <v>7976167.1999999993</v>
      </c>
      <c r="V561" s="9">
        <f>Table1[[#This Row], [TOTAL COST]]+_xlfn.XLOOKUP(Table1[[#This Row], [TEAM]],Sheet1!$A$12:$A$17,Sheet1!$I$12:$I$17)</f>
        <v>8273647.1999999993</v>
      </c>
      <c r="W561" s="9">
        <f>Table1[[#This Row], [LOOT]]-Table1[[#This Row], [TOTAL COST]]</f>
        <v>9773832.8000000007</v>
      </c>
      <c r="X561" s="9">
        <f>IF(Table1[[#This Row], [PASS/FAIL]]="FAIL",0,Table1[[#This Row], [PROFIT]])</f>
        <v>9773832.8000000007</v>
      </c>
    </row>
    <row r="562" spans="1:24" ht="19.5" customHeight="1" x14ac:dyDescent="0.45">
      <c r="A562" t="s">
        <v>15</v>
      </c>
      <c r="B562" s="14">
        <f>_xlfn.XLOOKUP(Table1[[#This Row], [TEAM]],Sheet1!$A$12:$A$17,Sheet1!$F$12:$F$17)</f>
        <v>2</v>
      </c>
      <c r="C562" s="14">
        <f>_xlfn.XLOOKUP(Table1[[#This Row], [TEAM]],Sheet1!$A$12:$A$17,Sheet1!$G$12:$G$17)</f>
        <v>5932950</v>
      </c>
      <c r="D562" t="s">
        <v>34</v>
      </c>
      <c r="E562" s="4">
        <f>_xlfn.XLOOKUP(Table1[[#This Row], [ROOM]],Sheet1!$A$47:$A$66,Sheet1!$B$47:$B$66)</f>
        <v>456</v>
      </c>
      <c r="F562" t="s">
        <v>62</v>
      </c>
      <c r="G562" s="4">
        <f>_xlfn.XLOOKUP(Table1[[#This Row], [DISGUISE]],Sheet1!$A$21:$A$23,Sheet1!$B$21:$B$23)*Table1[[#This Row], [NUM OF MEM]]*(1+_xlfn.XLOOKUP(Table1[[#This Row], [DISGUISE]],Sheet1!$A$21:$A$23,Sheet1!$C$21:$C$23))</f>
        <v>10400</v>
      </c>
      <c r="H562" s="13" t="s">
        <v>63</v>
      </c>
      <c r="I562" s="4">
        <f>_xlfn.XLOOKUP(Table1[[#This Row], [WEAPON]],Sheet1!$A$27:$A$29,Sheet1!$B$27:$B$29)*Table1[[#This Row], [NUM OF MEM]]*(1+_xlfn.XLOOKUP(Table1[[#This Row], [WEAPON]],Sheet1!$A$27:$A$29,Sheet1!$C$27:$C$29))</f>
        <v>46000</v>
      </c>
      <c r="J562" t="s">
        <v>64</v>
      </c>
      <c r="K562" s="9">
        <f>Table1[[#This Row], [NUM OF MEM]]*Table1[[#This Row], [TOTAL TIME TAKEN]]*_xlfn.XLOOKUP(Table1[[#This Row], [EXIT]],Sheet1!$A$70:$A$71,Sheet1!$B$70:$B$71)*(1+_xlfn.XLOOKUP(Table1[[#This Row], [EXIT]],Sheet1!$A$70:$A$71,Sheet1!$C$70:$C$71))</f>
        <v>1629557.9999999998</v>
      </c>
      <c r="L562" s="13" t="s">
        <v>65</v>
      </c>
      <c r="M562" s="4">
        <f>IF(Table1[[#This Row], [EQUIPMENT]]="YES",Sheet1!$C$44*(1+Sheet1!$D$44),0)</f>
        <v>307500</v>
      </c>
      <c r="N562" s="4">
        <f>_xlfn.XLOOKUP(Table1[[#This Row], [ROOM]],Sheet1!$A$47:$A$66,Sheet1!$F$47:$F$66)</f>
        <v>17700000</v>
      </c>
      <c r="O562" s="9">
        <f>_xlfn.XLOOKUP(_xlfn.CONCAT(Table1[[#This Row], [TEAM]],Table1[[#This Row], [ROOM]]),'ROOM TIME'!$H$2:$H$121,'ROOM TIME'!$J$2:$J$121)</f>
        <v>55.443749999999994</v>
      </c>
      <c r="P562" s="9">
        <f>(INDEX(Sheet1!$X$48:$Z$67,MATCH(Table1[[#This Row], [ROOM]],Sheet1!$P$48:$P$67,0),MATCH(Table1[[#This Row], [WEAPON]],Sheet1!$X$47:$Z$47,0)))/Table1[[#This Row], [NUM OF MEM]]</f>
        <v>7.4250000000000007</v>
      </c>
      <c r="Q562" s="9">
        <f>Table1[[#This Row], [ROOM TIME]]+Table1[[#This Row], [GUARD TIME]]</f>
        <v>62.868749999999991</v>
      </c>
      <c r="R562" s="4">
        <f>Sheet1!$K$3*_xlfn.XLOOKUP(Table1[[#This Row], [DISGUISE]],Sheet1!$A$21:$A$23,Sheet1!$D$21:$D$23)</f>
        <v>66</v>
      </c>
      <c r="S562" s="9">
        <f>Table1[[#This Row], [TOTAL TIME]]-Table1[[#This Row], [TOTAL TIME TAKEN]]</f>
        <v>3.1312500000000085</v>
      </c>
      <c r="T562" t="str">
        <f>IF(Table1[[#This Row], [TIME DIFFERENCE]]&gt;=0,"PASS","FAIL")</f>
        <v>PASS</v>
      </c>
      <c r="U562" s="4">
        <f>Table1[[#This Row], [TRC]]+Table1[[#This Row], [DRC]]+Table1[[#This Row], [WRC]]+Table1[[#This Row], [ERC]]+Table1[[#This Row], [EQRC]]</f>
        <v>7926408</v>
      </c>
      <c r="V562" s="9">
        <f>Table1[[#This Row], [TOTAL COST]]+_xlfn.XLOOKUP(Table1[[#This Row], [TEAM]],Sheet1!$A$12:$A$17,Sheet1!$I$12:$I$17)</f>
        <v>8223055.5</v>
      </c>
      <c r="W562" s="4">
        <f>Table1[[#This Row], [LOOT]]-Table1[[#This Row], [TOTAL COST]]</f>
        <v>9773592</v>
      </c>
      <c r="X562" s="4">
        <f>IF(Table1[[#This Row], [PASS/FAIL]]="FAIL",0,Table1[[#This Row], [PROFIT]])</f>
        <v>9773592</v>
      </c>
    </row>
    <row r="563" spans="1:24" ht="19.5" customHeight="1" x14ac:dyDescent="0.45">
      <c r="A563" t="s">
        <v>15</v>
      </c>
      <c r="B563" s="14">
        <f>_xlfn.XLOOKUP(Table1[[#This Row], [TEAM]],Sheet1!$A$12:$A$17,Sheet1!$F$12:$F$17)</f>
        <v>2</v>
      </c>
      <c r="C563" s="14">
        <f>_xlfn.XLOOKUP(Table1[[#This Row], [TEAM]],Sheet1!$A$12:$A$17,Sheet1!$G$12:$G$17)</f>
        <v>5932950</v>
      </c>
      <c r="D563" t="s">
        <v>34</v>
      </c>
      <c r="E563" s="4">
        <f>_xlfn.XLOOKUP(Table1[[#This Row], [ROOM]],Sheet1!$A$47:$A$66,Sheet1!$B$47:$B$66)</f>
        <v>456</v>
      </c>
      <c r="F563" t="s">
        <v>62</v>
      </c>
      <c r="G563" s="4">
        <f>_xlfn.XLOOKUP(Table1[[#This Row], [DISGUISE]],Sheet1!$A$21:$A$23,Sheet1!$B$21:$B$23)*Table1[[#This Row], [NUM OF MEM]]*(1+_xlfn.XLOOKUP(Table1[[#This Row], [DISGUISE]],Sheet1!$A$21:$A$23,Sheet1!$C$21:$C$23))</f>
        <v>10400</v>
      </c>
      <c r="H563" s="13" t="s">
        <v>59</v>
      </c>
      <c r="I563" s="4">
        <f>_xlfn.XLOOKUP(Table1[[#This Row], [WEAPON]],Sheet1!$A$27:$A$29,Sheet1!$B$27:$B$29)*Table1[[#This Row], [NUM OF MEM]]*(1+_xlfn.XLOOKUP(Table1[[#This Row], [WEAPON]],Sheet1!$A$27:$A$29,Sheet1!$C$27:$C$29))</f>
        <v>91000</v>
      </c>
      <c r="J563" t="s">
        <v>60</v>
      </c>
      <c r="K563" s="9">
        <f>Table1[[#This Row], [NUM OF MEM]]*Table1[[#This Row], [TOTAL TIME TAKEN]]*_xlfn.XLOOKUP(Table1[[#This Row], [EXIT]],Sheet1!$A$70:$A$71,Sheet1!$B$70:$B$71)*(1+_xlfn.XLOOKUP(Table1[[#This Row], [EXIT]],Sheet1!$A$70:$A$71,Sheet1!$C$70:$C$71))</f>
        <v>1585294.96875</v>
      </c>
      <c r="L563" s="13" t="s">
        <v>65</v>
      </c>
      <c r="M563" s="4">
        <f>IF(Table1[[#This Row], [EQUIPMENT]]="YES",Sheet1!$C$44*(1+Sheet1!$D$44),0)</f>
        <v>307500</v>
      </c>
      <c r="N563" s="4">
        <f>_xlfn.XLOOKUP(Table1[[#This Row], [ROOM]],Sheet1!$A$47:$A$66,Sheet1!$F$47:$F$66)</f>
        <v>17700000</v>
      </c>
      <c r="O563" s="9">
        <f>_xlfn.XLOOKUP(_xlfn.CONCAT(Table1[[#This Row], [TEAM]],Table1[[#This Row], [ROOM]]),'ROOM TIME'!$H$2:$H$121,'ROOM TIME'!$J$2:$J$121)</f>
        <v>55.443749999999994</v>
      </c>
      <c r="P563" s="9">
        <f>(INDEX(Sheet1!$X$48:$Z$67,MATCH(Table1[[#This Row], [ROOM]],Sheet1!$P$48:$P$67,0),MATCH(Table1[[#This Row], [WEAPON]],Sheet1!$X$47:$Z$47,0)))/Table1[[#This Row], [NUM OF MEM]]</f>
        <v>6.3249999999999993</v>
      </c>
      <c r="Q563" s="9">
        <f>Table1[[#This Row], [ROOM TIME]]+Table1[[#This Row], [GUARD TIME]]</f>
        <v>61.768749999999997</v>
      </c>
      <c r="R563" s="4">
        <f>Sheet1!$K$3*_xlfn.XLOOKUP(Table1[[#This Row], [DISGUISE]],Sheet1!$A$21:$A$23,Sheet1!$D$21:$D$23)</f>
        <v>66</v>
      </c>
      <c r="S563" s="9">
        <f>Table1[[#This Row], [TOTAL TIME]]-Table1[[#This Row], [TOTAL TIME TAKEN]]</f>
        <v>4.2312500000000028</v>
      </c>
      <c r="T563" t="str">
        <f>IF(Table1[[#This Row], [TIME DIFFERENCE]]&gt;=0,"PASS","FAIL")</f>
        <v>PASS</v>
      </c>
      <c r="U563" s="9">
        <f>Table1[[#This Row], [TRC]]+Table1[[#This Row], [DRC]]+Table1[[#This Row], [WRC]]+Table1[[#This Row], [ERC]]+Table1[[#This Row], [EQRC]]</f>
        <v>7927144.96875</v>
      </c>
      <c r="V563" s="9">
        <f>Table1[[#This Row], [TOTAL COST]]+_xlfn.XLOOKUP(Table1[[#This Row], [TEAM]],Sheet1!$A$12:$A$17,Sheet1!$I$12:$I$17)</f>
        <v>8223792.46875</v>
      </c>
      <c r="W563" s="9">
        <f>Table1[[#This Row], [LOOT]]-Table1[[#This Row], [TOTAL COST]]</f>
        <v>9772855.03125</v>
      </c>
      <c r="X563" s="9">
        <f>IF(Table1[[#This Row], [PASS/FAIL]]="FAIL",0,Table1[[#This Row], [PROFIT]])</f>
        <v>9772855.03125</v>
      </c>
    </row>
    <row r="564" spans="1:24" ht="19.5" customHeight="1" x14ac:dyDescent="0.45">
      <c r="A564" t="s">
        <v>9</v>
      </c>
      <c r="B564" s="14">
        <f>_xlfn.XLOOKUP(Table1[[#This Row], [TEAM]],Sheet1!$A$12:$A$17,Sheet1!$F$12:$F$17)</f>
        <v>3</v>
      </c>
      <c r="C564" s="14">
        <f>_xlfn.XLOOKUP(Table1[[#This Row], [TEAM]],Sheet1!$A$12:$A$17,Sheet1!$G$12:$G$17)</f>
        <v>6238750</v>
      </c>
      <c r="D564" t="s">
        <v>21</v>
      </c>
      <c r="E564" s="4">
        <f>_xlfn.XLOOKUP(Table1[[#This Row], [ROOM]],Sheet1!$A$47:$A$66,Sheet1!$B$47:$B$66)</f>
        <v>234</v>
      </c>
      <c r="F564" t="s">
        <v>62</v>
      </c>
      <c r="G564" s="4">
        <f>_xlfn.XLOOKUP(Table1[[#This Row], [DISGUISE]],Sheet1!$A$21:$A$23,Sheet1!$B$21:$B$23)*Table1[[#This Row], [NUM OF MEM]]*(1+_xlfn.XLOOKUP(Table1[[#This Row], [DISGUISE]],Sheet1!$A$21:$A$23,Sheet1!$C$21:$C$23))</f>
        <v>15600</v>
      </c>
      <c r="H564" s="13" t="s">
        <v>59</v>
      </c>
      <c r="I564" s="4">
        <f>_xlfn.XLOOKUP(Table1[[#This Row], [WEAPON]],Sheet1!$A$27:$A$29,Sheet1!$B$27:$B$29)*Table1[[#This Row], [NUM OF MEM]]*(1+_xlfn.XLOOKUP(Table1[[#This Row], [WEAPON]],Sheet1!$A$27:$A$29,Sheet1!$C$27:$C$29))</f>
        <v>136500</v>
      </c>
      <c r="J564" t="s">
        <v>64</v>
      </c>
      <c r="K564" s="9">
        <f>Table1[[#This Row], [NUM OF MEM]]*Table1[[#This Row], [TOTAL TIME TAKEN]]*_xlfn.XLOOKUP(Table1[[#This Row], [EXIT]],Sheet1!$A$70:$A$71,Sheet1!$B$70:$B$71)*(1+_xlfn.XLOOKUP(Table1[[#This Row], [EXIT]],Sheet1!$A$70:$A$71,Sheet1!$C$70:$C$71))</f>
        <v>1737244.7999999996</v>
      </c>
      <c r="L564" s="13" t="s">
        <v>61</v>
      </c>
      <c r="M564" s="4">
        <f>IF(Table1[[#This Row], [EQUIPMENT]]="YES",Sheet1!$C$44*(1+Sheet1!$D$44),0)</f>
        <v>0</v>
      </c>
      <c r="N564" s="4">
        <f>_xlfn.XLOOKUP(Table1[[#This Row], [ROOM]],Sheet1!$A$47:$A$66,Sheet1!$F$47:$F$66)</f>
        <v>17900000</v>
      </c>
      <c r="O564" s="9">
        <f>_xlfn.XLOOKUP(_xlfn.CONCAT(Table1[[#This Row], [TEAM]],Table1[[#This Row], [ROOM]]),'ROOM TIME'!$H$2:$H$121,'ROOM TIME'!$J$2:$J$121)</f>
        <v>39.698888888888881</v>
      </c>
      <c r="P564" s="9">
        <f>(INDEX(Sheet1!$X$48:$Z$67,MATCH(Table1[[#This Row], [ROOM]],Sheet1!$P$48:$P$67,0),MATCH(Table1[[#This Row], [WEAPON]],Sheet1!$X$47:$Z$47,0)))/Table1[[#This Row], [NUM OF MEM]]</f>
        <v>4.9833333333333334</v>
      </c>
      <c r="Q564" s="9">
        <f>Table1[[#This Row], [ROOM TIME]]+Table1[[#This Row], [GUARD TIME]]</f>
        <v>44.682222222222215</v>
      </c>
      <c r="R564" s="4">
        <f>Sheet1!$K$3*_xlfn.XLOOKUP(Table1[[#This Row], [DISGUISE]],Sheet1!$A$21:$A$23,Sheet1!$D$21:$D$23)</f>
        <v>66</v>
      </c>
      <c r="S564" s="9">
        <f>Table1[[#This Row], [TOTAL TIME]]-Table1[[#This Row], [TOTAL TIME TAKEN]]</f>
        <v>21.317777777777785</v>
      </c>
      <c r="T564" t="str">
        <f>IF(Table1[[#This Row], [TIME DIFFERENCE]]&gt;=0,"PASS","FAIL")</f>
        <v>PASS</v>
      </c>
      <c r="U564" s="9">
        <f>Table1[[#This Row], [TRC]]+Table1[[#This Row], [DRC]]+Table1[[#This Row], [WRC]]+Table1[[#This Row], [ERC]]+Table1[[#This Row], [EQRC]]</f>
        <v>8128094.7999999998</v>
      </c>
      <c r="V564" s="9">
        <f>Table1[[#This Row], [TOTAL COST]]+_xlfn.XLOOKUP(Table1[[#This Row], [TEAM]],Sheet1!$A$12:$A$17,Sheet1!$I$12:$I$17)</f>
        <v>8440032.3000000007</v>
      </c>
      <c r="W564" s="9">
        <f>Table1[[#This Row], [LOOT]]-Table1[[#This Row], [TOTAL COST]]</f>
        <v>9771905.1999999993</v>
      </c>
      <c r="X564" s="9">
        <f>IF(Table1[[#This Row], [PASS/FAIL]]="FAIL",0,Table1[[#This Row], [PROFIT]])</f>
        <v>9771905.1999999993</v>
      </c>
    </row>
    <row r="565" spans="1:24" ht="19.5" customHeight="1" x14ac:dyDescent="0.45">
      <c r="A565" t="s">
        <v>14</v>
      </c>
      <c r="B565" s="14">
        <f>_xlfn.XLOOKUP(Table1[[#This Row], [TEAM]],Sheet1!$A$12:$A$17,Sheet1!$F$12:$F$17)</f>
        <v>2</v>
      </c>
      <c r="C565" s="14">
        <f>_xlfn.XLOOKUP(Table1[[#This Row], [TEAM]],Sheet1!$A$12:$A$17,Sheet1!$G$12:$G$17)</f>
        <v>5949600</v>
      </c>
      <c r="D565" t="s">
        <v>34</v>
      </c>
      <c r="E565" s="4">
        <f>_xlfn.XLOOKUP(Table1[[#This Row], [ROOM]],Sheet1!$A$47:$A$66,Sheet1!$B$47:$B$66)</f>
        <v>456</v>
      </c>
      <c r="F565" t="s">
        <v>62</v>
      </c>
      <c r="G565" s="4">
        <f>_xlfn.XLOOKUP(Table1[[#This Row], [DISGUISE]],Sheet1!$A$21:$A$23,Sheet1!$B$21:$B$23)*Table1[[#This Row], [NUM OF MEM]]*(1+_xlfn.XLOOKUP(Table1[[#This Row], [DISGUISE]],Sheet1!$A$21:$A$23,Sheet1!$C$21:$C$23))</f>
        <v>10400</v>
      </c>
      <c r="H565" s="13" t="s">
        <v>63</v>
      </c>
      <c r="I565" s="4">
        <f>_xlfn.XLOOKUP(Table1[[#This Row], [WEAPON]],Sheet1!$A$27:$A$29,Sheet1!$B$27:$B$29)*Table1[[#This Row], [NUM OF MEM]]*(1+_xlfn.XLOOKUP(Table1[[#This Row], [WEAPON]],Sheet1!$A$27:$A$29,Sheet1!$C$27:$C$29))</f>
        <v>46000</v>
      </c>
      <c r="J565" t="s">
        <v>60</v>
      </c>
      <c r="K565" s="9">
        <f>Table1[[#This Row], [NUM OF MEM]]*Table1[[#This Row], [TOTAL TIME TAKEN]]*_xlfn.XLOOKUP(Table1[[#This Row], [EXIT]],Sheet1!$A$70:$A$71,Sheet1!$B$70:$B$71)*(1+_xlfn.XLOOKUP(Table1[[#This Row], [EXIT]],Sheet1!$A$70:$A$71,Sheet1!$C$70:$C$71))</f>
        <v>1614777.6374999997</v>
      </c>
      <c r="L565" s="13" t="s">
        <v>65</v>
      </c>
      <c r="M565" s="4">
        <f>IF(Table1[[#This Row], [EQUIPMENT]]="YES",Sheet1!$C$44*(1+Sheet1!$D$44),0)</f>
        <v>307500</v>
      </c>
      <c r="N565" s="4">
        <f>_xlfn.XLOOKUP(Table1[[#This Row], [ROOM]],Sheet1!$A$47:$A$66,Sheet1!$F$47:$F$66)</f>
        <v>17700000</v>
      </c>
      <c r="O565" s="9">
        <f>_xlfn.XLOOKUP(_xlfn.CONCAT(Table1[[#This Row], [TEAM]],Table1[[#This Row], [ROOM]]),'ROOM TIME'!$H$2:$H$121,'ROOM TIME'!$J$2:$J$121)</f>
        <v>55.492499999999986</v>
      </c>
      <c r="P565" s="9">
        <f>(INDEX(Sheet1!$X$48:$Z$67,MATCH(Table1[[#This Row], [ROOM]],Sheet1!$P$48:$P$67,0),MATCH(Table1[[#This Row], [WEAPON]],Sheet1!$X$47:$Z$47,0)))/Table1[[#This Row], [NUM OF MEM]]</f>
        <v>7.4250000000000007</v>
      </c>
      <c r="Q565" s="9">
        <f>Table1[[#This Row], [ROOM TIME]]+Table1[[#This Row], [GUARD TIME]]</f>
        <v>62.91749999999999</v>
      </c>
      <c r="R565" s="4">
        <f>Sheet1!$K$3*_xlfn.XLOOKUP(Table1[[#This Row], [DISGUISE]],Sheet1!$A$21:$A$23,Sheet1!$D$21:$D$23)</f>
        <v>66</v>
      </c>
      <c r="S565" s="9">
        <f>Table1[[#This Row], [TOTAL TIME]]-Table1[[#This Row], [TOTAL TIME TAKEN]]</f>
        <v>3.0825000000000102</v>
      </c>
      <c r="T565" t="str">
        <f>IF(Table1[[#This Row], [TIME DIFFERENCE]]&gt;=0,"PASS","FAIL")</f>
        <v>PASS</v>
      </c>
      <c r="U565" s="9">
        <f>Table1[[#This Row], [TRC]]+Table1[[#This Row], [DRC]]+Table1[[#This Row], [WRC]]+Table1[[#This Row], [ERC]]+Table1[[#This Row], [EQRC]]</f>
        <v>7928277.6374999993</v>
      </c>
      <c r="V565" s="9">
        <f>Table1[[#This Row], [TOTAL COST]]+_xlfn.XLOOKUP(Table1[[#This Row], [TEAM]],Sheet1!$A$12:$A$17,Sheet1!$I$12:$I$17)</f>
        <v>8225757.6374999993</v>
      </c>
      <c r="W565" s="9">
        <f>Table1[[#This Row], [LOOT]]-Table1[[#This Row], [TOTAL COST]]</f>
        <v>9771722.3625000007</v>
      </c>
      <c r="X565" s="9">
        <f>IF(Table1[[#This Row], [PASS/FAIL]]="FAIL",0,Table1[[#This Row], [PROFIT]])</f>
        <v>9771722.3625000007</v>
      </c>
    </row>
    <row r="566" spans="1:24" ht="19.5" customHeight="1" x14ac:dyDescent="0.45">
      <c r="A566" t="s">
        <v>12</v>
      </c>
      <c r="B566" s="14">
        <f>_xlfn.XLOOKUP(Table1[[#This Row], [TEAM]],Sheet1!$A$12:$A$17,Sheet1!$F$12:$F$17)</f>
        <v>3</v>
      </c>
      <c r="C566" s="14">
        <f>_xlfn.XLOOKUP(Table1[[#This Row], [TEAM]],Sheet1!$A$12:$A$17,Sheet1!$G$12:$G$17)</f>
        <v>5988750</v>
      </c>
      <c r="D566" t="s">
        <v>19</v>
      </c>
      <c r="E566" s="4">
        <f>_xlfn.XLOOKUP(Table1[[#This Row], [ROOM]],Sheet1!$A$47:$A$66,Sheet1!$B$47:$B$66)</f>
        <v>135</v>
      </c>
      <c r="F566" t="s">
        <v>58</v>
      </c>
      <c r="G566" s="4">
        <f>_xlfn.XLOOKUP(Table1[[#This Row], [DISGUISE]],Sheet1!$A$21:$A$23,Sheet1!$B$21:$B$23)*Table1[[#This Row], [NUM OF MEM]]*(1+_xlfn.XLOOKUP(Table1[[#This Row], [DISGUISE]],Sheet1!$A$21:$A$23,Sheet1!$C$21:$C$23))</f>
        <v>38400</v>
      </c>
      <c r="H566" s="13" t="s">
        <v>63</v>
      </c>
      <c r="I566" s="4">
        <f>_xlfn.XLOOKUP(Table1[[#This Row], [WEAPON]],Sheet1!$A$27:$A$29,Sheet1!$B$27:$B$29)*Table1[[#This Row], [NUM OF MEM]]*(1+_xlfn.XLOOKUP(Table1[[#This Row], [WEAPON]],Sheet1!$A$27:$A$29,Sheet1!$C$27:$C$29))</f>
        <v>69000</v>
      </c>
      <c r="J566" t="s">
        <v>60</v>
      </c>
      <c r="K566" s="9">
        <f>Table1[[#This Row], [NUM OF MEM]]*Table1[[#This Row], [TOTAL TIME TAKEN]]*_xlfn.XLOOKUP(Table1[[#This Row], [EXIT]],Sheet1!$A$70:$A$71,Sheet1!$B$70:$B$71)*(1+_xlfn.XLOOKUP(Table1[[#This Row], [EXIT]],Sheet1!$A$70:$A$71,Sheet1!$C$70:$C$71))</f>
        <v>1774734.7499999993</v>
      </c>
      <c r="L566" s="13" t="s">
        <v>65</v>
      </c>
      <c r="M566" s="4">
        <f>IF(Table1[[#This Row], [EQUIPMENT]]="YES",Sheet1!$C$44*(1+Sheet1!$D$44),0)</f>
        <v>307500</v>
      </c>
      <c r="N566" s="4">
        <f>_xlfn.XLOOKUP(Table1[[#This Row], [ROOM]],Sheet1!$A$47:$A$66,Sheet1!$F$47:$F$66)</f>
        <v>17950000</v>
      </c>
      <c r="O566" s="9">
        <f>_xlfn.XLOOKUP(_xlfn.CONCAT(Table1[[#This Row], [TEAM]],Table1[[#This Row], [ROOM]]),'ROOM TIME'!$H$2:$H$121,'ROOM TIME'!$J$2:$J$121)</f>
        <v>41.149999999999984</v>
      </c>
      <c r="P566" s="9">
        <f>(INDEX(Sheet1!$X$48:$Z$67,MATCH(Table1[[#This Row], [ROOM]],Sheet1!$P$48:$P$67,0),MATCH(Table1[[#This Row], [WEAPON]],Sheet1!$X$47:$Z$47,0)))/Table1[[#This Row], [NUM OF MEM]]</f>
        <v>4.95</v>
      </c>
      <c r="Q566" s="9">
        <f>Table1[[#This Row], [ROOM TIME]]+Table1[[#This Row], [GUARD TIME]]</f>
        <v>46.099999999999987</v>
      </c>
      <c r="R566" s="4">
        <f>Sheet1!$K$3*_xlfn.XLOOKUP(Table1[[#This Row], [DISGUISE]],Sheet1!$A$21:$A$23,Sheet1!$D$21:$D$23)</f>
        <v>69</v>
      </c>
      <c r="S566" s="9">
        <f>Table1[[#This Row], [TOTAL TIME]]-Table1[[#This Row], [TOTAL TIME TAKEN]]</f>
        <v>22.900000000000013</v>
      </c>
      <c r="T566" t="str">
        <f>IF(Table1[[#This Row], [TIME DIFFERENCE]]&gt;=0,"PASS","FAIL")</f>
        <v>PASS</v>
      </c>
      <c r="U566" s="9">
        <f>Table1[[#This Row], [TRC]]+Table1[[#This Row], [DRC]]+Table1[[#This Row], [WRC]]+Table1[[#This Row], [ERC]]+Table1[[#This Row], [EQRC]]</f>
        <v>8178384.7499999991</v>
      </c>
      <c r="V566" s="9">
        <f>Table1[[#This Row], [TOTAL COST]]+_xlfn.XLOOKUP(Table1[[#This Row], [TEAM]],Sheet1!$A$12:$A$17,Sheet1!$I$12:$I$17)</f>
        <v>8477822.25</v>
      </c>
      <c r="W566" s="9">
        <f>Table1[[#This Row], [LOOT]]-Table1[[#This Row], [TOTAL COST]]</f>
        <v>9771615.25</v>
      </c>
      <c r="X566" s="9">
        <f>IF(Table1[[#This Row], [PASS/FAIL]]="FAIL",0,Table1[[#This Row], [PROFIT]])</f>
        <v>9771615.25</v>
      </c>
    </row>
    <row r="567" spans="1:24" ht="19.5" customHeight="1" x14ac:dyDescent="0.45">
      <c r="A567" t="s">
        <v>13</v>
      </c>
      <c r="B567" s="14">
        <f>_xlfn.XLOOKUP(Table1[[#This Row], [TEAM]],Sheet1!$A$12:$A$17,Sheet1!$F$12:$F$17)</f>
        <v>3</v>
      </c>
      <c r="C567" s="14">
        <f>_xlfn.XLOOKUP(Table1[[#This Row], [TEAM]],Sheet1!$A$12:$A$17,Sheet1!$G$12:$G$17)</f>
        <v>5930000</v>
      </c>
      <c r="D567" t="s">
        <v>19</v>
      </c>
      <c r="E567" s="4">
        <f>_xlfn.XLOOKUP(Table1[[#This Row], [ROOM]],Sheet1!$A$47:$A$66,Sheet1!$B$47:$B$66)</f>
        <v>135</v>
      </c>
      <c r="F567" t="s">
        <v>58</v>
      </c>
      <c r="G567" s="4">
        <f>_xlfn.XLOOKUP(Table1[[#This Row], [DISGUISE]],Sheet1!$A$21:$A$23,Sheet1!$B$21:$B$23)*Table1[[#This Row], [NUM OF MEM]]*(1+_xlfn.XLOOKUP(Table1[[#This Row], [DISGUISE]],Sheet1!$A$21:$A$23,Sheet1!$C$21:$C$23))</f>
        <v>38400</v>
      </c>
      <c r="H567" s="13" t="s">
        <v>63</v>
      </c>
      <c r="I567" s="4">
        <f>_xlfn.XLOOKUP(Table1[[#This Row], [WEAPON]],Sheet1!$A$27:$A$29,Sheet1!$B$27:$B$29)*Table1[[#This Row], [NUM OF MEM]]*(1+_xlfn.XLOOKUP(Table1[[#This Row], [WEAPON]],Sheet1!$A$27:$A$29,Sheet1!$C$27:$C$29))</f>
        <v>69000</v>
      </c>
      <c r="J567" t="s">
        <v>60</v>
      </c>
      <c r="K567" s="9">
        <f>Table1[[#This Row], [NUM OF MEM]]*Table1[[#This Row], [TOTAL TIME TAKEN]]*_xlfn.XLOOKUP(Table1[[#This Row], [EXIT]],Sheet1!$A$70:$A$71,Sheet1!$B$70:$B$71)*(1+_xlfn.XLOOKUP(Table1[[#This Row], [EXIT]],Sheet1!$A$70:$A$71,Sheet1!$C$70:$C$71))</f>
        <v>1833507.5999999996</v>
      </c>
      <c r="L567" s="13" t="s">
        <v>65</v>
      </c>
      <c r="M567" s="4">
        <f>IF(Table1[[#This Row], [EQUIPMENT]]="YES",Sheet1!$C$44*(1+Sheet1!$D$44),0)</f>
        <v>307500</v>
      </c>
      <c r="N567" s="4">
        <f>_xlfn.XLOOKUP(Table1[[#This Row], [ROOM]],Sheet1!$A$47:$A$66,Sheet1!$F$47:$F$66)</f>
        <v>17950000</v>
      </c>
      <c r="O567" s="9">
        <f>_xlfn.XLOOKUP(_xlfn.CONCAT(Table1[[#This Row], [TEAM]],Table1[[#This Row], [ROOM]]),'ROOM TIME'!$H$2:$H$121,'ROOM TIME'!$J$2:$J$121)</f>
        <v>42.676666666666655</v>
      </c>
      <c r="P567" s="9">
        <f>(INDEX(Sheet1!$X$48:$Z$67,MATCH(Table1[[#This Row], [ROOM]],Sheet1!$P$48:$P$67,0),MATCH(Table1[[#This Row], [WEAPON]],Sheet1!$X$47:$Z$47,0)))/Table1[[#This Row], [NUM OF MEM]]</f>
        <v>4.95</v>
      </c>
      <c r="Q567" s="9">
        <f>Table1[[#This Row], [ROOM TIME]]+Table1[[#This Row], [GUARD TIME]]</f>
        <v>47.626666666666658</v>
      </c>
      <c r="R567" s="4">
        <f>Sheet1!$K$3*_xlfn.XLOOKUP(Table1[[#This Row], [DISGUISE]],Sheet1!$A$21:$A$23,Sheet1!$D$21:$D$23)</f>
        <v>69</v>
      </c>
      <c r="S567" s="9">
        <f>Table1[[#This Row], [TOTAL TIME]]-Table1[[#This Row], [TOTAL TIME TAKEN]]</f>
        <v>21.373333333333342</v>
      </c>
      <c r="T567" t="str">
        <f>IF(Table1[[#This Row], [TIME DIFFERENCE]]&gt;=0,"PASS","FAIL")</f>
        <v>PASS</v>
      </c>
      <c r="U567" s="9">
        <f>Table1[[#This Row], [TRC]]+Table1[[#This Row], [DRC]]+Table1[[#This Row], [WRC]]+Table1[[#This Row], [ERC]]+Table1[[#This Row], [EQRC]]</f>
        <v>8178407.5999999996</v>
      </c>
      <c r="V567" s="9">
        <f>Table1[[#This Row], [TOTAL COST]]+_xlfn.XLOOKUP(Table1[[#This Row], [TEAM]],Sheet1!$A$12:$A$17,Sheet1!$I$12:$I$17)</f>
        <v>8474907.5999999996</v>
      </c>
      <c r="W567" s="9">
        <f>Table1[[#This Row], [LOOT]]-Table1[[#This Row], [TOTAL COST]]</f>
        <v>9771592.4000000004</v>
      </c>
      <c r="X567" s="9">
        <f>IF(Table1[[#This Row], [PASS/FAIL]]="FAIL",0,Table1[[#This Row], [PROFIT]])</f>
        <v>9771592.4000000004</v>
      </c>
    </row>
    <row r="568" spans="1:24" ht="19.5" customHeight="1" x14ac:dyDescent="0.45">
      <c r="A568" t="s">
        <v>12</v>
      </c>
      <c r="B568" s="14">
        <f>_xlfn.XLOOKUP(Table1[[#This Row], [TEAM]],Sheet1!$A$12:$A$17,Sheet1!$F$12:$F$17)</f>
        <v>3</v>
      </c>
      <c r="C568" s="14">
        <f>_xlfn.XLOOKUP(Table1[[#This Row], [TEAM]],Sheet1!$A$12:$A$17,Sheet1!$G$12:$G$17)</f>
        <v>5988750</v>
      </c>
      <c r="D568" t="s">
        <v>24</v>
      </c>
      <c r="E568" s="4">
        <f>_xlfn.XLOOKUP(Table1[[#This Row], [ROOM]],Sheet1!$A$47:$A$66,Sheet1!$B$47:$B$66)</f>
        <v>345</v>
      </c>
      <c r="F568" t="s">
        <v>58</v>
      </c>
      <c r="G568" s="4">
        <f>_xlfn.XLOOKUP(Table1[[#This Row], [DISGUISE]],Sheet1!$A$21:$A$23,Sheet1!$B$21:$B$23)*Table1[[#This Row], [NUM OF MEM]]*(1+_xlfn.XLOOKUP(Table1[[#This Row], [DISGUISE]],Sheet1!$A$21:$A$23,Sheet1!$C$21:$C$23))</f>
        <v>38400</v>
      </c>
      <c r="H568" s="13" t="s">
        <v>66</v>
      </c>
      <c r="I568" s="4">
        <f>_xlfn.XLOOKUP(Table1[[#This Row], [WEAPON]],Sheet1!$A$27:$A$29,Sheet1!$B$27:$B$29)*Table1[[#This Row], [NUM OF MEM]]*(1+_xlfn.XLOOKUP(Table1[[#This Row], [WEAPON]],Sheet1!$A$27:$A$29,Sheet1!$C$27:$C$29))</f>
        <v>108000</v>
      </c>
      <c r="J568" t="s">
        <v>64</v>
      </c>
      <c r="K568" s="9">
        <f>Table1[[#This Row], [NUM OF MEM]]*Table1[[#This Row], [TOTAL TIME TAKEN]]*_xlfn.XLOOKUP(Table1[[#This Row], [EXIT]],Sheet1!$A$70:$A$71,Sheet1!$B$70:$B$71)*(1+_xlfn.XLOOKUP(Table1[[#This Row], [EXIT]],Sheet1!$A$70:$A$71,Sheet1!$C$70:$C$71))</f>
        <v>1785801.5999999994</v>
      </c>
      <c r="L568" s="13" t="s">
        <v>65</v>
      </c>
      <c r="M568" s="4">
        <f>IF(Table1[[#This Row], [EQUIPMENT]]="YES",Sheet1!$C$44*(1+Sheet1!$D$44),0)</f>
        <v>307500</v>
      </c>
      <c r="N568" s="4">
        <f>_xlfn.XLOOKUP(Table1[[#This Row], [ROOM]],Sheet1!$A$47:$A$66,Sheet1!$F$47:$F$66)</f>
        <v>18000000</v>
      </c>
      <c r="O568" s="9">
        <f>_xlfn.XLOOKUP(_xlfn.CONCAT(Table1[[#This Row], [TEAM]],Table1[[#This Row], [ROOM]]),'ROOM TIME'!$H$2:$H$121,'ROOM TIME'!$J$2:$J$121)</f>
        <v>40.9311111111111</v>
      </c>
      <c r="P568" s="4">
        <f>(INDEX(Sheet1!$X$48:$Z$67,MATCH(Table1[[#This Row], [ROOM]],Sheet1!$P$48:$P$67,0),MATCH(Table1[[#This Row], [WEAPON]],Sheet1!$X$47:$Z$47,0)))/Table1[[#This Row], [NUM OF MEM]]</f>
        <v>5</v>
      </c>
      <c r="Q568" s="9">
        <f>Table1[[#This Row], [ROOM TIME]]+Table1[[#This Row], [GUARD TIME]]</f>
        <v>45.9311111111111</v>
      </c>
      <c r="R568" s="4">
        <f>Sheet1!$K$3*_xlfn.XLOOKUP(Table1[[#This Row], [DISGUISE]],Sheet1!$A$21:$A$23,Sheet1!$D$21:$D$23)</f>
        <v>69</v>
      </c>
      <c r="S568" s="9">
        <f>Table1[[#This Row], [TOTAL TIME]]-Table1[[#This Row], [TOTAL TIME TAKEN]]</f>
        <v>23.0688888888889</v>
      </c>
      <c r="T568" t="str">
        <f>IF(Table1[[#This Row], [TIME DIFFERENCE]]&gt;=0,"PASS","FAIL")</f>
        <v>PASS</v>
      </c>
      <c r="U568" s="9">
        <f>Table1[[#This Row], [TRC]]+Table1[[#This Row], [DRC]]+Table1[[#This Row], [WRC]]+Table1[[#This Row], [ERC]]+Table1[[#This Row], [EQRC]]</f>
        <v>8228451.5999999996</v>
      </c>
      <c r="V568" s="9">
        <f>Table1[[#This Row], [TOTAL COST]]+_xlfn.XLOOKUP(Table1[[#This Row], [TEAM]],Sheet1!$A$12:$A$17,Sheet1!$I$12:$I$17)</f>
        <v>8527889.0999999996</v>
      </c>
      <c r="W568" s="9">
        <f>Table1[[#This Row], [LOOT]]-Table1[[#This Row], [TOTAL COST]]</f>
        <v>9771548.4000000004</v>
      </c>
      <c r="X568" s="9">
        <f>IF(Table1[[#This Row], [PASS/FAIL]]="FAIL",0,Table1[[#This Row], [PROFIT]])</f>
        <v>9771548.4000000004</v>
      </c>
    </row>
    <row r="569" spans="1:24" ht="19.5" customHeight="1" x14ac:dyDescent="0.45">
      <c r="A569" t="s">
        <v>13</v>
      </c>
      <c r="B569" s="14">
        <f>_xlfn.XLOOKUP(Table1[[#This Row], [TEAM]],Sheet1!$A$12:$A$17,Sheet1!$F$12:$F$17)</f>
        <v>3</v>
      </c>
      <c r="C569" s="14">
        <f>_xlfn.XLOOKUP(Table1[[#This Row], [TEAM]],Sheet1!$A$12:$A$17,Sheet1!$G$12:$G$17)</f>
        <v>5930000</v>
      </c>
      <c r="D569" t="s">
        <v>24</v>
      </c>
      <c r="E569" s="4">
        <f>_xlfn.XLOOKUP(Table1[[#This Row], [ROOM]],Sheet1!$A$47:$A$66,Sheet1!$B$47:$B$66)</f>
        <v>345</v>
      </c>
      <c r="F569" t="s">
        <v>58</v>
      </c>
      <c r="G569" s="4">
        <f>_xlfn.XLOOKUP(Table1[[#This Row], [DISGUISE]],Sheet1!$A$21:$A$23,Sheet1!$B$21:$B$23)*Table1[[#This Row], [NUM OF MEM]]*(1+_xlfn.XLOOKUP(Table1[[#This Row], [DISGUISE]],Sheet1!$A$21:$A$23,Sheet1!$C$21:$C$23))</f>
        <v>38400</v>
      </c>
      <c r="H569" s="13" t="s">
        <v>59</v>
      </c>
      <c r="I569" s="4">
        <f>_xlfn.XLOOKUP(Table1[[#This Row], [WEAPON]],Sheet1!$A$27:$A$29,Sheet1!$B$27:$B$29)*Table1[[#This Row], [NUM OF MEM]]*(1+_xlfn.XLOOKUP(Table1[[#This Row], [WEAPON]],Sheet1!$A$27:$A$29,Sheet1!$C$27:$C$29))</f>
        <v>136500</v>
      </c>
      <c r="J569" t="s">
        <v>60</v>
      </c>
      <c r="K569" s="9">
        <f>Table1[[#This Row], [NUM OF MEM]]*Table1[[#This Row], [TOTAL TIME TAKEN]]*_xlfn.XLOOKUP(Table1[[#This Row], [EXIT]],Sheet1!$A$70:$A$71,Sheet1!$B$70:$B$71)*(1+_xlfn.XLOOKUP(Table1[[#This Row], [EXIT]],Sheet1!$A$70:$A$71,Sheet1!$C$70:$C$71))</f>
        <v>1816611.4749999999</v>
      </c>
      <c r="L569" s="13" t="s">
        <v>65</v>
      </c>
      <c r="M569" s="4">
        <f>IF(Table1[[#This Row], [EQUIPMENT]]="YES",Sheet1!$C$44*(1+Sheet1!$D$44),0)</f>
        <v>307500</v>
      </c>
      <c r="N569" s="4">
        <f>_xlfn.XLOOKUP(Table1[[#This Row], [ROOM]],Sheet1!$A$47:$A$66,Sheet1!$F$47:$F$66)</f>
        <v>18000000</v>
      </c>
      <c r="O569" s="9">
        <f>_xlfn.XLOOKUP(_xlfn.CONCAT(Table1[[#This Row], [TEAM]],Table1[[#This Row], [ROOM]]),'ROOM TIME'!$H$2:$H$121,'ROOM TIME'!$J$2:$J$121)</f>
        <v>42.587777777777774</v>
      </c>
      <c r="P569" s="9">
        <f>(INDEX(Sheet1!$X$48:$Z$67,MATCH(Table1[[#This Row], [ROOM]],Sheet1!$P$48:$P$67,0),MATCH(Table1[[#This Row], [WEAPON]],Sheet1!$X$47:$Z$47,0)))/Table1[[#This Row], [NUM OF MEM]]</f>
        <v>4.5999999999999996</v>
      </c>
      <c r="Q569" s="9">
        <f>Table1[[#This Row], [ROOM TIME]]+Table1[[#This Row], [GUARD TIME]]</f>
        <v>47.187777777777775</v>
      </c>
      <c r="R569" s="4">
        <f>Sheet1!$K$3*_xlfn.XLOOKUP(Table1[[#This Row], [DISGUISE]],Sheet1!$A$21:$A$23,Sheet1!$D$21:$D$23)</f>
        <v>69</v>
      </c>
      <c r="S569" s="9">
        <f>Table1[[#This Row], [TOTAL TIME]]-Table1[[#This Row], [TOTAL TIME TAKEN]]</f>
        <v>21.812222222222225</v>
      </c>
      <c r="T569" t="str">
        <f>IF(Table1[[#This Row], [TIME DIFFERENCE]]&gt;=0,"PASS","FAIL")</f>
        <v>PASS</v>
      </c>
      <c r="U569" s="9">
        <f>Table1[[#This Row], [TRC]]+Table1[[#This Row], [DRC]]+Table1[[#This Row], [WRC]]+Table1[[#This Row], [ERC]]+Table1[[#This Row], [EQRC]]</f>
        <v>8229011.4749999996</v>
      </c>
      <c r="V569" s="9">
        <f>Table1[[#This Row], [TOTAL COST]]+_xlfn.XLOOKUP(Table1[[#This Row], [TEAM]],Sheet1!$A$12:$A$17,Sheet1!$I$12:$I$17)</f>
        <v>8525511.4749999996</v>
      </c>
      <c r="W569" s="9">
        <f>Table1[[#This Row], [LOOT]]-Table1[[#This Row], [TOTAL COST]]</f>
        <v>9770988.5250000004</v>
      </c>
      <c r="X569" s="9">
        <f>IF(Table1[[#This Row], [PASS/FAIL]]="FAIL",0,Table1[[#This Row], [PROFIT]])</f>
        <v>9770988.5250000004</v>
      </c>
    </row>
    <row r="570" spans="1:24" ht="19.5" customHeight="1" x14ac:dyDescent="0.45">
      <c r="A570" t="s">
        <v>9</v>
      </c>
      <c r="B570" s="14">
        <f>_xlfn.XLOOKUP(Table1[[#This Row], [TEAM]],Sheet1!$A$12:$A$17,Sheet1!$F$12:$F$17)</f>
        <v>3</v>
      </c>
      <c r="C570" s="14">
        <f>_xlfn.XLOOKUP(Table1[[#This Row], [TEAM]],Sheet1!$A$12:$A$17,Sheet1!$G$12:$G$17)</f>
        <v>6238750</v>
      </c>
      <c r="D570" t="s">
        <v>10</v>
      </c>
      <c r="E570" s="4">
        <f>_xlfn.XLOOKUP(Table1[[#This Row], [ROOM]],Sheet1!$A$47:$A$66,Sheet1!$B$47:$B$66)</f>
        <v>123</v>
      </c>
      <c r="F570" t="s">
        <v>58</v>
      </c>
      <c r="G570" s="4">
        <f>_xlfn.XLOOKUP(Table1[[#This Row], [DISGUISE]],Sheet1!$A$21:$A$23,Sheet1!$B$21:$B$23)*Table1[[#This Row], [NUM OF MEM]]*(1+_xlfn.XLOOKUP(Table1[[#This Row], [DISGUISE]],Sheet1!$A$21:$A$23,Sheet1!$C$21:$C$23))</f>
        <v>38400</v>
      </c>
      <c r="H570" s="13" t="s">
        <v>63</v>
      </c>
      <c r="I570" s="4">
        <f>_xlfn.XLOOKUP(Table1[[#This Row], [WEAPON]],Sheet1!$A$27:$A$29,Sheet1!$B$27:$B$29)*Table1[[#This Row], [NUM OF MEM]]*(1+_xlfn.XLOOKUP(Table1[[#This Row], [WEAPON]],Sheet1!$A$27:$A$29,Sheet1!$C$27:$C$29))</f>
        <v>69000</v>
      </c>
      <c r="J570" t="s">
        <v>60</v>
      </c>
      <c r="K570" s="9">
        <f>Table1[[#This Row], [NUM OF MEM]]*Table1[[#This Row], [TOTAL TIME TAKEN]]*_xlfn.XLOOKUP(Table1[[#This Row], [EXIT]],Sheet1!$A$70:$A$71,Sheet1!$B$70:$B$71)*(1+_xlfn.XLOOKUP(Table1[[#This Row], [EXIT]],Sheet1!$A$70:$A$71,Sheet1!$C$70:$C$71))</f>
        <v>1733777.6874999993</v>
      </c>
      <c r="L570" s="13" t="s">
        <v>61</v>
      </c>
      <c r="M570" s="4">
        <f>IF(Table1[[#This Row], [EQUIPMENT]]="YES",Sheet1!$C$44*(1+Sheet1!$D$44),0)</f>
        <v>0</v>
      </c>
      <c r="N570" s="4">
        <f>_xlfn.XLOOKUP(Table1[[#This Row], [ROOM]],Sheet1!$A$47:$A$66,Sheet1!$F$47:$F$66)</f>
        <v>17850000</v>
      </c>
      <c r="O570" s="9">
        <f>_xlfn.XLOOKUP(_xlfn.CONCAT(Table1[[#This Row], [TEAM]],Table1[[#This Row], [ROOM]]),'ROOM TIME'!$H$2:$H$121,'ROOM TIME'!$J$2:$J$121)</f>
        <v>39.636111111111099</v>
      </c>
      <c r="P570" s="9">
        <f>(INDEX(Sheet1!$X$48:$Z$67,MATCH(Table1[[#This Row], [ROOM]],Sheet1!$P$48:$P$67,0),MATCH(Table1[[#This Row], [WEAPON]],Sheet1!$X$47:$Z$47,0)))/Table1[[#This Row], [NUM OF MEM]]</f>
        <v>5.4000000000000012</v>
      </c>
      <c r="Q570" s="9">
        <f>Table1[[#This Row], [ROOM TIME]]+Table1[[#This Row], [GUARD TIME]]</f>
        <v>45.036111111111097</v>
      </c>
      <c r="R570" s="4">
        <f>Sheet1!$K$3*_xlfn.XLOOKUP(Table1[[#This Row], [DISGUISE]],Sheet1!$A$21:$A$23,Sheet1!$D$21:$D$23)</f>
        <v>69</v>
      </c>
      <c r="S570" s="9">
        <f>Table1[[#This Row], [TOTAL TIME]]-Table1[[#This Row], [TOTAL TIME TAKEN]]</f>
        <v>23.963888888888903</v>
      </c>
      <c r="T570" t="str">
        <f>IF(Table1[[#This Row], [TIME DIFFERENCE]]&gt;=0,"PASS","FAIL")</f>
        <v>PASS</v>
      </c>
      <c r="U570" s="9">
        <f>Table1[[#This Row], [TRC]]+Table1[[#This Row], [DRC]]+Table1[[#This Row], [WRC]]+Table1[[#This Row], [ERC]]+Table1[[#This Row], [EQRC]]</f>
        <v>8079927.6874999991</v>
      </c>
      <c r="V570" s="9">
        <f>Table1[[#This Row], [TOTAL COST]]+_xlfn.XLOOKUP(Table1[[#This Row], [TEAM]],Sheet1!$A$12:$A$17,Sheet1!$I$12:$I$17)</f>
        <v>8391865.1875</v>
      </c>
      <c r="W570" s="9">
        <f>Table1[[#This Row], [LOOT]]-Table1[[#This Row], [TOTAL COST]]</f>
        <v>9770072.3125</v>
      </c>
      <c r="X570" s="9">
        <f>IF(Table1[[#This Row], [PASS/FAIL]]="FAIL",0,Table1[[#This Row], [PROFIT]])</f>
        <v>9770072.3125</v>
      </c>
    </row>
    <row r="571" spans="1:24" ht="19.5" customHeight="1" x14ac:dyDescent="0.45">
      <c r="A571" t="s">
        <v>12</v>
      </c>
      <c r="B571" s="14">
        <f>_xlfn.XLOOKUP(Table1[[#This Row], [TEAM]],Sheet1!$A$12:$A$17,Sheet1!$F$12:$F$17)</f>
        <v>3</v>
      </c>
      <c r="C571" s="14">
        <f>_xlfn.XLOOKUP(Table1[[#This Row], [TEAM]],Sheet1!$A$12:$A$17,Sheet1!$G$12:$G$17)</f>
        <v>5988750</v>
      </c>
      <c r="D571" t="s">
        <v>19</v>
      </c>
      <c r="E571" s="4">
        <f>_xlfn.XLOOKUP(Table1[[#This Row], [ROOM]],Sheet1!$A$47:$A$66,Sheet1!$B$47:$B$66)</f>
        <v>135</v>
      </c>
      <c r="F571" t="s">
        <v>62</v>
      </c>
      <c r="G571" s="4">
        <f>_xlfn.XLOOKUP(Table1[[#This Row], [DISGUISE]],Sheet1!$A$21:$A$23,Sheet1!$B$21:$B$23)*Table1[[#This Row], [NUM OF MEM]]*(1+_xlfn.XLOOKUP(Table1[[#This Row], [DISGUISE]],Sheet1!$A$21:$A$23,Sheet1!$C$21:$C$23))</f>
        <v>15600</v>
      </c>
      <c r="H571" s="13" t="s">
        <v>66</v>
      </c>
      <c r="I571" s="4">
        <f>_xlfn.XLOOKUP(Table1[[#This Row], [WEAPON]],Sheet1!$A$27:$A$29,Sheet1!$B$27:$B$29)*Table1[[#This Row], [NUM OF MEM]]*(1+_xlfn.XLOOKUP(Table1[[#This Row], [WEAPON]],Sheet1!$A$27:$A$29,Sheet1!$C$27:$C$29))</f>
        <v>108000</v>
      </c>
      <c r="J571" t="s">
        <v>60</v>
      </c>
      <c r="K571" s="9">
        <f>Table1[[#This Row], [NUM OF MEM]]*Table1[[#This Row], [TOTAL TIME TAKEN]]*_xlfn.XLOOKUP(Table1[[#This Row], [EXIT]],Sheet1!$A$70:$A$71,Sheet1!$B$70:$B$71)*(1+_xlfn.XLOOKUP(Table1[[#This Row], [EXIT]],Sheet1!$A$70:$A$71,Sheet1!$C$70:$C$71))</f>
        <v>1760618.9999999993</v>
      </c>
      <c r="L571" s="13" t="s">
        <v>65</v>
      </c>
      <c r="M571" s="4">
        <f>IF(Table1[[#This Row], [EQUIPMENT]]="YES",Sheet1!$C$44*(1+Sheet1!$D$44),0)</f>
        <v>307500</v>
      </c>
      <c r="N571" s="4">
        <f>_xlfn.XLOOKUP(Table1[[#This Row], [ROOM]],Sheet1!$A$47:$A$66,Sheet1!$F$47:$F$66)</f>
        <v>17950000</v>
      </c>
      <c r="O571" s="9">
        <f>_xlfn.XLOOKUP(_xlfn.CONCAT(Table1[[#This Row], [TEAM]],Table1[[#This Row], [ROOM]]),'ROOM TIME'!$H$2:$H$121,'ROOM TIME'!$J$2:$J$121)</f>
        <v>41.149999999999984</v>
      </c>
      <c r="P571" s="9">
        <f>(INDEX(Sheet1!$X$48:$Z$67,MATCH(Table1[[#This Row], [ROOM]],Sheet1!$P$48:$P$67,0),MATCH(Table1[[#This Row], [WEAPON]],Sheet1!$X$47:$Z$47,0)))/Table1[[#This Row], [NUM OF MEM]]</f>
        <v>4.583333333333333</v>
      </c>
      <c r="Q571" s="9">
        <f>Table1[[#This Row], [ROOM TIME]]+Table1[[#This Row], [GUARD TIME]]</f>
        <v>45.73333333333332</v>
      </c>
      <c r="R571" s="4">
        <f>Sheet1!$K$3*_xlfn.XLOOKUP(Table1[[#This Row], [DISGUISE]],Sheet1!$A$21:$A$23,Sheet1!$D$21:$D$23)</f>
        <v>66</v>
      </c>
      <c r="S571" s="9">
        <f>Table1[[#This Row], [TOTAL TIME]]-Table1[[#This Row], [TOTAL TIME TAKEN]]</f>
        <v>20.26666666666668</v>
      </c>
      <c r="T571" t="str">
        <f>IF(Table1[[#This Row], [TIME DIFFERENCE]]&gt;=0,"PASS","FAIL")</f>
        <v>PASS</v>
      </c>
      <c r="U571" s="9">
        <f>Table1[[#This Row], [TRC]]+Table1[[#This Row], [DRC]]+Table1[[#This Row], [WRC]]+Table1[[#This Row], [ERC]]+Table1[[#This Row], [EQRC]]</f>
        <v>8180468.9999999991</v>
      </c>
      <c r="V571" s="9">
        <f>Table1[[#This Row], [TOTAL COST]]+_xlfn.XLOOKUP(Table1[[#This Row], [TEAM]],Sheet1!$A$12:$A$17,Sheet1!$I$12:$I$17)</f>
        <v>8479906.5</v>
      </c>
      <c r="W571" s="4">
        <f>Table1[[#This Row], [LOOT]]-Table1[[#This Row], [TOTAL COST]]</f>
        <v>9769531</v>
      </c>
      <c r="X571" s="4">
        <f>IF(Table1[[#This Row], [PASS/FAIL]]="FAIL",0,Table1[[#This Row], [PROFIT]])</f>
        <v>9769531</v>
      </c>
    </row>
    <row r="572" spans="1:24" ht="19.5" customHeight="1" x14ac:dyDescent="0.45">
      <c r="A572" t="s">
        <v>13</v>
      </c>
      <c r="B572" s="14">
        <f>_xlfn.XLOOKUP(Table1[[#This Row], [TEAM]],Sheet1!$A$12:$A$17,Sheet1!$F$12:$F$17)</f>
        <v>3</v>
      </c>
      <c r="C572" s="14">
        <f>_xlfn.XLOOKUP(Table1[[#This Row], [TEAM]],Sheet1!$A$12:$A$17,Sheet1!$G$12:$G$17)</f>
        <v>5930000</v>
      </c>
      <c r="D572" t="s">
        <v>19</v>
      </c>
      <c r="E572" s="4">
        <f>_xlfn.XLOOKUP(Table1[[#This Row], [ROOM]],Sheet1!$A$47:$A$66,Sheet1!$B$47:$B$66)</f>
        <v>135</v>
      </c>
      <c r="F572" t="s">
        <v>62</v>
      </c>
      <c r="G572" s="4">
        <f>_xlfn.XLOOKUP(Table1[[#This Row], [DISGUISE]],Sheet1!$A$21:$A$23,Sheet1!$B$21:$B$23)*Table1[[#This Row], [NUM OF MEM]]*(1+_xlfn.XLOOKUP(Table1[[#This Row], [DISGUISE]],Sheet1!$A$21:$A$23,Sheet1!$C$21:$C$23))</f>
        <v>15600</v>
      </c>
      <c r="H572" s="13" t="s">
        <v>66</v>
      </c>
      <c r="I572" s="4">
        <f>_xlfn.XLOOKUP(Table1[[#This Row], [WEAPON]],Sheet1!$A$27:$A$29,Sheet1!$B$27:$B$29)*Table1[[#This Row], [NUM OF MEM]]*(1+_xlfn.XLOOKUP(Table1[[#This Row], [WEAPON]],Sheet1!$A$27:$A$29,Sheet1!$C$27:$C$29))</f>
        <v>108000</v>
      </c>
      <c r="J572" t="s">
        <v>60</v>
      </c>
      <c r="K572" s="9">
        <f>Table1[[#This Row], [NUM OF MEM]]*Table1[[#This Row], [TOTAL TIME TAKEN]]*_xlfn.XLOOKUP(Table1[[#This Row], [EXIT]],Sheet1!$A$70:$A$71,Sheet1!$B$70:$B$71)*(1+_xlfn.XLOOKUP(Table1[[#This Row], [EXIT]],Sheet1!$A$70:$A$71,Sheet1!$C$70:$C$71))</f>
        <v>1819391.8499999996</v>
      </c>
      <c r="L572" s="13" t="s">
        <v>65</v>
      </c>
      <c r="M572" s="4">
        <f>IF(Table1[[#This Row], [EQUIPMENT]]="YES",Sheet1!$C$44*(1+Sheet1!$D$44),0)</f>
        <v>307500</v>
      </c>
      <c r="N572" s="4">
        <f>_xlfn.XLOOKUP(Table1[[#This Row], [ROOM]],Sheet1!$A$47:$A$66,Sheet1!$F$47:$F$66)</f>
        <v>17950000</v>
      </c>
      <c r="O572" s="9">
        <f>_xlfn.XLOOKUP(_xlfn.CONCAT(Table1[[#This Row], [TEAM]],Table1[[#This Row], [ROOM]]),'ROOM TIME'!$H$2:$H$121,'ROOM TIME'!$J$2:$J$121)</f>
        <v>42.676666666666655</v>
      </c>
      <c r="P572" s="9">
        <f>(INDEX(Sheet1!$X$48:$Z$67,MATCH(Table1[[#This Row], [ROOM]],Sheet1!$P$48:$P$67,0),MATCH(Table1[[#This Row], [WEAPON]],Sheet1!$X$47:$Z$47,0)))/Table1[[#This Row], [NUM OF MEM]]</f>
        <v>4.583333333333333</v>
      </c>
      <c r="Q572" s="9">
        <f>Table1[[#This Row], [ROOM TIME]]+Table1[[#This Row], [GUARD TIME]]</f>
        <v>47.259999999999991</v>
      </c>
      <c r="R572" s="4">
        <f>Sheet1!$K$3*_xlfn.XLOOKUP(Table1[[#This Row], [DISGUISE]],Sheet1!$A$21:$A$23,Sheet1!$D$21:$D$23)</f>
        <v>66</v>
      </c>
      <c r="S572" s="9">
        <f>Table1[[#This Row], [TOTAL TIME]]-Table1[[#This Row], [TOTAL TIME TAKEN]]</f>
        <v>18.740000000000009</v>
      </c>
      <c r="T572" t="str">
        <f>IF(Table1[[#This Row], [TIME DIFFERENCE]]&gt;=0,"PASS","FAIL")</f>
        <v>PASS</v>
      </c>
      <c r="U572" s="9">
        <f>Table1[[#This Row], [TRC]]+Table1[[#This Row], [DRC]]+Table1[[#This Row], [WRC]]+Table1[[#This Row], [ERC]]+Table1[[#This Row], [EQRC]]</f>
        <v>8180491.8499999996</v>
      </c>
      <c r="V572" s="9">
        <f>Table1[[#This Row], [TOTAL COST]]+_xlfn.XLOOKUP(Table1[[#This Row], [TEAM]],Sheet1!$A$12:$A$17,Sheet1!$I$12:$I$17)</f>
        <v>8476991.8499999996</v>
      </c>
      <c r="W572" s="9">
        <f>Table1[[#This Row], [LOOT]]-Table1[[#This Row], [TOTAL COST]]</f>
        <v>9769508.1500000004</v>
      </c>
      <c r="X572" s="9">
        <f>IF(Table1[[#This Row], [PASS/FAIL]]="FAIL",0,Table1[[#This Row], [PROFIT]])</f>
        <v>9769508.1500000004</v>
      </c>
    </row>
    <row r="573" spans="1:24" ht="19.5" customHeight="1" x14ac:dyDescent="0.45">
      <c r="A573" t="s">
        <v>9</v>
      </c>
      <c r="B573" s="14">
        <f>_xlfn.XLOOKUP(Table1[[#This Row], [TEAM]],Sheet1!$A$12:$A$17,Sheet1!$F$12:$F$17)</f>
        <v>3</v>
      </c>
      <c r="C573" s="14">
        <f>_xlfn.XLOOKUP(Table1[[#This Row], [TEAM]],Sheet1!$A$12:$A$17,Sheet1!$G$12:$G$17)</f>
        <v>6238750</v>
      </c>
      <c r="D573" t="s">
        <v>10</v>
      </c>
      <c r="E573" s="4">
        <f>_xlfn.XLOOKUP(Table1[[#This Row], [ROOM]],Sheet1!$A$47:$A$66,Sheet1!$B$47:$B$66)</f>
        <v>123</v>
      </c>
      <c r="F573" t="s">
        <v>62</v>
      </c>
      <c r="G573" s="4">
        <f>_xlfn.XLOOKUP(Table1[[#This Row], [DISGUISE]],Sheet1!$A$21:$A$23,Sheet1!$B$21:$B$23)*Table1[[#This Row], [NUM OF MEM]]*(1+_xlfn.XLOOKUP(Table1[[#This Row], [DISGUISE]],Sheet1!$A$21:$A$23,Sheet1!$C$21:$C$23))</f>
        <v>15600</v>
      </c>
      <c r="H573" s="13" t="s">
        <v>66</v>
      </c>
      <c r="I573" s="4">
        <f>_xlfn.XLOOKUP(Table1[[#This Row], [WEAPON]],Sheet1!$A$27:$A$29,Sheet1!$B$27:$B$29)*Table1[[#This Row], [NUM OF MEM]]*(1+_xlfn.XLOOKUP(Table1[[#This Row], [WEAPON]],Sheet1!$A$27:$A$29,Sheet1!$C$27:$C$29))</f>
        <v>108000</v>
      </c>
      <c r="J573" t="s">
        <v>60</v>
      </c>
      <c r="K573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1718378.6874999995</v>
      </c>
      <c r="L573" s="13" t="s">
        <v>61</v>
      </c>
      <c r="M573" s="4">
        <f>IF(Table1[[#This Row], [EQUIPMENT]]="YES",Sheet1!$C$44*(1+Sheet1!$D$44),0)</f>
        <v>0</v>
      </c>
      <c r="N573" s="4">
        <f>_xlfn.XLOOKUP(Table1[[#This Row], [ROOM]],Sheet1!$A$47:$A$66,Sheet1!$F$47:$F$66)</f>
        <v>17850000</v>
      </c>
      <c r="O573" s="9">
        <f>_xlfn.XLOOKUP(_xlfn.CONCAT(Table1[[#This Row], [TEAM]],Table1[[#This Row], [ROOM]]),'ROOM TIME'!$H$2:$H$121,'ROOM TIME'!$J$2:$J$121)</f>
        <v>39.636111111111099</v>
      </c>
      <c r="P573" s="4">
        <f>(INDEX(Sheet1!$X$48:$Z$67,MATCH(Table1[[#This Row], [ROOM]],Sheet1!$P$48:$P$67,0),MATCH(Table1[[#This Row], [WEAPON]],Sheet1!$X$47:$Z$47,0)))/Table1[[#This Row], [NUM OF MEM]]</f>
        <v>5</v>
      </c>
      <c r="Q573" s="9">
        <f>Table1[[#This Row], [ROOM TIME]]+Table1[[#This Row], [GUARD TIME]]</f>
        <v>44.636111111111099</v>
      </c>
      <c r="R573" s="4">
        <f>Sheet1!$K$3*_xlfn.XLOOKUP(Table1[[#This Row], [DISGUISE]],Sheet1!$A$21:$A$23,Sheet1!$D$21:$D$23)</f>
        <v>66</v>
      </c>
      <c r="S573" s="9">
        <f>Table1[[#This Row], [TOTAL TIME]]-Table1[[#This Row], [TOTAL TIME TAKEN]]</f>
        <v>21.363888888888901</v>
      </c>
      <c r="T573" t="str">
        <f>IF(Table1[[#This Row], [TIME DIFFERENCE]]&gt;=0,"PASS","FAIL")</f>
        <v>PASS</v>
      </c>
      <c r="U573" s="9">
        <f>Table1[[#This Row], [TRC]]+Table1[[#This Row], [DRC]]+Table1[[#This Row], [WRC]]+Table1[[#This Row], [ERC]]+Table1[[#This Row], [EQRC]]</f>
        <v>8080728.6875</v>
      </c>
      <c r="V573" s="9">
        <f>Table1[[#This Row], [TOTAL COST]]+_xlfn.XLOOKUP(Table1[[#This Row], [TEAM]],Sheet1!$A$12:$A$17,Sheet1!$I$12:$I$17)</f>
        <v>8392666.1875</v>
      </c>
      <c r="W573" s="9">
        <f>Table1[[#This Row], [LOOT]]-Table1[[#This Row], [TOTAL COST]]</f>
        <v>9769271.3125</v>
      </c>
      <c r="X573" s="9">
        <f>IF(Table1[[#This Row], [PASS/FAIL]]="FAIL",0,Table1[[#This Row], [PROFIT]])</f>
        <v>9769271.3125</v>
      </c>
    </row>
    <row r="574" spans="1:24" ht="19.5" customHeight="1" x14ac:dyDescent="0.45">
      <c r="A574" t="s">
        <v>15</v>
      </c>
      <c r="B574" s="14">
        <f>_xlfn.XLOOKUP(Table1[[#This Row], [TEAM]],Sheet1!$A$12:$A$17,Sheet1!$F$12:$F$17)</f>
        <v>2</v>
      </c>
      <c r="C574" s="14">
        <f>_xlfn.XLOOKUP(Table1[[#This Row], [TEAM]],Sheet1!$A$12:$A$17,Sheet1!$G$12:$G$17)</f>
        <v>5932950</v>
      </c>
      <c r="D574" t="s">
        <v>27</v>
      </c>
      <c r="E574" s="4">
        <f>_xlfn.XLOOKUP(Table1[[#This Row], [ROOM]],Sheet1!$A$47:$A$66,Sheet1!$B$47:$B$66)</f>
        <v>146</v>
      </c>
      <c r="F574" t="s">
        <v>58</v>
      </c>
      <c r="G574" s="4">
        <f>_xlfn.XLOOKUP(Table1[[#This Row], [DISGUISE]],Sheet1!$A$21:$A$23,Sheet1!$B$21:$B$23)*Table1[[#This Row], [NUM OF MEM]]*(1+_xlfn.XLOOKUP(Table1[[#This Row], [DISGUISE]],Sheet1!$A$21:$A$23,Sheet1!$C$21:$C$23))</f>
        <v>25600</v>
      </c>
      <c r="H574" s="13" t="s">
        <v>66</v>
      </c>
      <c r="I574" s="4">
        <f>_xlfn.XLOOKUP(Table1[[#This Row], [WEAPON]],Sheet1!$A$27:$A$29,Sheet1!$B$27:$B$29)*Table1[[#This Row], [NUM OF MEM]]*(1+_xlfn.XLOOKUP(Table1[[#This Row], [WEAPON]],Sheet1!$A$27:$A$29,Sheet1!$C$27:$C$29))</f>
        <v>72000</v>
      </c>
      <c r="J574" t="s">
        <v>64</v>
      </c>
      <c r="K574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1643101.1999999997</v>
      </c>
      <c r="L574" s="13" t="s">
        <v>65</v>
      </c>
      <c r="M574" s="4">
        <f>IF(Table1[[#This Row], [EQUIPMENT]]="YES",Sheet1!$C$44*(1+Sheet1!$D$44),0)</f>
        <v>307500</v>
      </c>
      <c r="N574" s="4">
        <f>_xlfn.XLOOKUP(Table1[[#This Row], [ROOM]],Sheet1!$A$47:$A$66,Sheet1!$F$47:$F$66)</f>
        <v>17750000</v>
      </c>
      <c r="O574" s="9">
        <f>_xlfn.XLOOKUP(_xlfn.CONCAT(Table1[[#This Row], [TEAM]],Table1[[#This Row], [ROOM]]),'ROOM TIME'!$H$2:$H$121,'ROOM TIME'!$J$2:$J$121)</f>
        <v>56.516249999999985</v>
      </c>
      <c r="P574" s="9">
        <f>(INDEX(Sheet1!$X$48:$Z$67,MATCH(Table1[[#This Row], [ROOM]],Sheet1!$P$48:$P$67,0),MATCH(Table1[[#This Row], [WEAPON]],Sheet1!$X$47:$Z$47,0)))/Table1[[#This Row], [NUM OF MEM]]</f>
        <v>6.875</v>
      </c>
      <c r="Q574" s="9">
        <f>Table1[[#This Row], [ROOM TIME]]+Table1[[#This Row], [GUARD TIME]]</f>
        <v>63.391249999999985</v>
      </c>
      <c r="R574" s="4">
        <f>Sheet1!$K$3*_xlfn.XLOOKUP(Table1[[#This Row], [DISGUISE]],Sheet1!$A$21:$A$23,Sheet1!$D$21:$D$23)</f>
        <v>69</v>
      </c>
      <c r="S574" s="9">
        <f>Table1[[#This Row], [TOTAL TIME]]-Table1[[#This Row], [TOTAL TIME TAKEN]]</f>
        <v>5.6087500000000148</v>
      </c>
      <c r="T574" t="str">
        <f>IF(Table1[[#This Row], [TIME DIFFERENCE]]&gt;=0,"PASS","FAIL")</f>
        <v>PASS</v>
      </c>
      <c r="U574" s="9">
        <f>Table1[[#This Row], [TRC]]+Table1[[#This Row], [DRC]]+Table1[[#This Row], [WRC]]+Table1[[#This Row], [ERC]]+Table1[[#This Row], [EQRC]]</f>
        <v>7981151.1999999993</v>
      </c>
      <c r="V574" s="9">
        <f>Table1[[#This Row], [TOTAL COST]]+_xlfn.XLOOKUP(Table1[[#This Row], [TEAM]],Sheet1!$A$12:$A$17,Sheet1!$I$12:$I$17)</f>
        <v>8277798.6999999993</v>
      </c>
      <c r="W574" s="9">
        <f>Table1[[#This Row], [LOOT]]-Table1[[#This Row], [TOTAL COST]]</f>
        <v>9768848.8000000007</v>
      </c>
      <c r="X574" s="9">
        <f>IF(Table1[[#This Row], [PASS/FAIL]]="FAIL",0,Table1[[#This Row], [PROFIT]])</f>
        <v>9768848.8000000007</v>
      </c>
    </row>
    <row r="575" spans="1:24" ht="19.5" customHeight="1" x14ac:dyDescent="0.45">
      <c r="A575" t="s">
        <v>16</v>
      </c>
      <c r="B575" s="14">
        <f>_xlfn.XLOOKUP(Table1[[#This Row], [TEAM]],Sheet1!$A$12:$A$17,Sheet1!$F$12:$F$17)</f>
        <v>2</v>
      </c>
      <c r="C575" s="14">
        <f>_xlfn.XLOOKUP(Table1[[#This Row], [TEAM]],Sheet1!$A$12:$A$17,Sheet1!$G$12:$G$17)</f>
        <v>6082800</v>
      </c>
      <c r="D575" t="s">
        <v>18</v>
      </c>
      <c r="E575" s="4">
        <f>_xlfn.XLOOKUP(Table1[[#This Row], [ROOM]],Sheet1!$A$47:$A$66,Sheet1!$B$47:$B$66)</f>
        <v>134</v>
      </c>
      <c r="F575" t="s">
        <v>58</v>
      </c>
      <c r="G575" s="4">
        <f>_xlfn.XLOOKUP(Table1[[#This Row], [DISGUISE]],Sheet1!$A$21:$A$23,Sheet1!$B$21:$B$23)*Table1[[#This Row], [NUM OF MEM]]*(1+_xlfn.XLOOKUP(Table1[[#This Row], [DISGUISE]],Sheet1!$A$21:$A$23,Sheet1!$C$21:$C$23))</f>
        <v>25600</v>
      </c>
      <c r="H575" s="13" t="s">
        <v>59</v>
      </c>
      <c r="I575" s="4">
        <f>_xlfn.XLOOKUP(Table1[[#This Row], [WEAPON]],Sheet1!$A$27:$A$29,Sheet1!$B$27:$B$29)*Table1[[#This Row], [NUM OF MEM]]*(1+_xlfn.XLOOKUP(Table1[[#This Row], [WEAPON]],Sheet1!$A$27:$A$29,Sheet1!$C$27:$C$29))</f>
        <v>91000</v>
      </c>
      <c r="J575" t="s">
        <v>64</v>
      </c>
      <c r="K575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1775519.9999999998</v>
      </c>
      <c r="L575" s="13" t="s">
        <v>65</v>
      </c>
      <c r="M575" s="4">
        <f>IF(Table1[[#This Row], [EQUIPMENT]]="YES",Sheet1!$C$44*(1+Sheet1!$D$44),0)</f>
        <v>307500</v>
      </c>
      <c r="N575" s="4">
        <f>_xlfn.XLOOKUP(Table1[[#This Row], [ROOM]],Sheet1!$A$47:$A$66,Sheet1!$F$47:$F$66)</f>
        <v>18050000</v>
      </c>
      <c r="O575" s="9">
        <f>_xlfn.XLOOKUP(_xlfn.CONCAT(Table1[[#This Row], [TEAM]],Table1[[#This Row], [ROOM]]),'ROOM TIME'!$H$2:$H$121,'ROOM TIME'!$J$2:$J$121)</f>
        <v>61.59999999999998</v>
      </c>
      <c r="P575" s="9">
        <f>(INDEX(Sheet1!$X$48:$Z$67,MATCH(Table1[[#This Row], [ROOM]],Sheet1!$P$48:$P$67,0),MATCH(Table1[[#This Row], [WEAPON]],Sheet1!$X$47:$Z$47,0)))/Table1[[#This Row], [NUM OF MEM]]</f>
        <v>6.8999999999999995</v>
      </c>
      <c r="Q575" s="9">
        <f>Table1[[#This Row], [ROOM TIME]]+Table1[[#This Row], [GUARD TIME]]</f>
        <v>68.499999999999986</v>
      </c>
      <c r="R575" s="4">
        <f>Sheet1!$K$3*_xlfn.XLOOKUP(Table1[[#This Row], [DISGUISE]],Sheet1!$A$21:$A$23,Sheet1!$D$21:$D$23)</f>
        <v>69</v>
      </c>
      <c r="S575" s="9">
        <f>Table1[[#This Row], [TOTAL TIME]]-Table1[[#This Row], [TOTAL TIME TAKEN]]</f>
        <v>0.50000000000001421</v>
      </c>
      <c r="T575" t="str">
        <f>IF(Table1[[#This Row], [TIME DIFFERENCE]]&gt;=0,"PASS","FAIL")</f>
        <v>PASS</v>
      </c>
      <c r="U575" s="4">
        <f>Table1[[#This Row], [TRC]]+Table1[[#This Row], [DRC]]+Table1[[#This Row], [WRC]]+Table1[[#This Row], [ERC]]+Table1[[#This Row], [EQRC]]</f>
        <v>8282420</v>
      </c>
      <c r="V575" s="4">
        <f>Table1[[#This Row], [TOTAL COST]]+_xlfn.XLOOKUP(Table1[[#This Row], [TEAM]],Sheet1!$A$12:$A$17,Sheet1!$I$12:$I$17)</f>
        <v>8586560</v>
      </c>
      <c r="W575" s="4">
        <f>Table1[[#This Row], [LOOT]]-Table1[[#This Row], [TOTAL COST]]</f>
        <v>9767580</v>
      </c>
      <c r="X575" s="4">
        <f>IF(Table1[[#This Row], [PASS/FAIL]]="FAIL",0,Table1[[#This Row], [PROFIT]])</f>
        <v>9767580</v>
      </c>
    </row>
    <row r="576" spans="1:24" ht="19.5" customHeight="1" x14ac:dyDescent="0.45">
      <c r="A576" t="s">
        <v>9</v>
      </c>
      <c r="B576" s="14">
        <f>_xlfn.XLOOKUP(Table1[[#This Row], [TEAM]],Sheet1!$A$12:$A$17,Sheet1!$F$12:$F$17)</f>
        <v>3</v>
      </c>
      <c r="C576" s="14">
        <f>_xlfn.XLOOKUP(Table1[[#This Row], [TEAM]],Sheet1!$A$12:$A$17,Sheet1!$G$12:$G$17)</f>
        <v>6238750</v>
      </c>
      <c r="D576" t="s">
        <v>21</v>
      </c>
      <c r="E576" s="4">
        <f>_xlfn.XLOOKUP(Table1[[#This Row], [ROOM]],Sheet1!$A$47:$A$66,Sheet1!$B$47:$B$66)</f>
        <v>234</v>
      </c>
      <c r="F576" t="s">
        <v>58</v>
      </c>
      <c r="G576" s="4">
        <f>_xlfn.XLOOKUP(Table1[[#This Row], [DISGUISE]],Sheet1!$A$21:$A$23,Sheet1!$B$21:$B$23)*Table1[[#This Row], [NUM OF MEM]]*(1+_xlfn.XLOOKUP(Table1[[#This Row], [DISGUISE]],Sheet1!$A$21:$A$23,Sheet1!$C$21:$C$23))</f>
        <v>38400</v>
      </c>
      <c r="H576" s="13" t="s">
        <v>59</v>
      </c>
      <c r="I576" s="4">
        <f>_xlfn.XLOOKUP(Table1[[#This Row], [WEAPON]],Sheet1!$A$27:$A$29,Sheet1!$B$27:$B$29)*Table1[[#This Row], [NUM OF MEM]]*(1+_xlfn.XLOOKUP(Table1[[#This Row], [WEAPON]],Sheet1!$A$27:$A$29,Sheet1!$C$27:$C$29))</f>
        <v>136500</v>
      </c>
      <c r="J576" t="s">
        <v>60</v>
      </c>
      <c r="K576" s="9">
        <f>Table1[[#This Row], [NUM OF MEM]]*Table1[[#This Row], [TOTAL TIME TAKEN]]*_xlfn.XLOOKUP(Table1[[#This Row], [EXIT]],Sheet1!$A$70:$A$71,Sheet1!$B$70:$B$71)*(1+_xlfn.XLOOKUP(Table1[[#This Row], [EXIT]],Sheet1!$A$70:$A$71,Sheet1!$C$70:$C$71))</f>
        <v>1720153.8499999996</v>
      </c>
      <c r="L576" s="13" t="s">
        <v>61</v>
      </c>
      <c r="M576" s="4">
        <f>IF(Table1[[#This Row], [EQUIPMENT]]="YES",Sheet1!$C$44*(1+Sheet1!$D$44),0)</f>
        <v>0</v>
      </c>
      <c r="N576" s="4">
        <f>_xlfn.XLOOKUP(Table1[[#This Row], [ROOM]],Sheet1!$A$47:$A$66,Sheet1!$F$47:$F$66)</f>
        <v>17900000</v>
      </c>
      <c r="O576" s="9">
        <f>_xlfn.XLOOKUP(_xlfn.CONCAT(Table1[[#This Row], [TEAM]],Table1[[#This Row], [ROOM]]),'ROOM TIME'!$H$2:$H$121,'ROOM TIME'!$J$2:$J$121)</f>
        <v>39.698888888888881</v>
      </c>
      <c r="P576" s="9">
        <f>(INDEX(Sheet1!$X$48:$Z$67,MATCH(Table1[[#This Row], [ROOM]],Sheet1!$P$48:$P$67,0),MATCH(Table1[[#This Row], [WEAPON]],Sheet1!$X$47:$Z$47,0)))/Table1[[#This Row], [NUM OF MEM]]</f>
        <v>4.9833333333333334</v>
      </c>
      <c r="Q576" s="9">
        <f>Table1[[#This Row], [ROOM TIME]]+Table1[[#This Row], [GUARD TIME]]</f>
        <v>44.682222222222215</v>
      </c>
      <c r="R576" s="4">
        <f>Sheet1!$K$3*_xlfn.XLOOKUP(Table1[[#This Row], [DISGUISE]],Sheet1!$A$21:$A$23,Sheet1!$D$21:$D$23)</f>
        <v>69</v>
      </c>
      <c r="S576" s="9">
        <f>Table1[[#This Row], [TOTAL TIME]]-Table1[[#This Row], [TOTAL TIME TAKEN]]</f>
        <v>24.317777777777785</v>
      </c>
      <c r="T576" t="str">
        <f>IF(Table1[[#This Row], [TIME DIFFERENCE]]&gt;=0,"PASS","FAIL")</f>
        <v>PASS</v>
      </c>
      <c r="U576" s="9">
        <f>Table1[[#This Row], [TRC]]+Table1[[#This Row], [DRC]]+Table1[[#This Row], [WRC]]+Table1[[#This Row], [ERC]]+Table1[[#This Row], [EQRC]]</f>
        <v>8133803.8499999996</v>
      </c>
      <c r="V576" s="9">
        <f>Table1[[#This Row], [TOTAL COST]]+_xlfn.XLOOKUP(Table1[[#This Row], [TEAM]],Sheet1!$A$12:$A$17,Sheet1!$I$12:$I$17)</f>
        <v>8445741.3499999996</v>
      </c>
      <c r="W576" s="9">
        <f>Table1[[#This Row], [LOOT]]-Table1[[#This Row], [TOTAL COST]]</f>
        <v>9766196.1500000004</v>
      </c>
      <c r="X576" s="9">
        <f>IF(Table1[[#This Row], [PASS/FAIL]]="FAIL",0,Table1[[#This Row], [PROFIT]])</f>
        <v>9766196.1500000004</v>
      </c>
    </row>
    <row r="577" spans="1:24" ht="19.5" customHeight="1" x14ac:dyDescent="0.45">
      <c r="A577" t="s">
        <v>13</v>
      </c>
      <c r="B577" s="14">
        <f>_xlfn.XLOOKUP(Table1[[#This Row], [TEAM]],Sheet1!$A$12:$A$17,Sheet1!$F$12:$F$17)</f>
        <v>3</v>
      </c>
      <c r="C577" s="14">
        <f>_xlfn.XLOOKUP(Table1[[#This Row], [TEAM]],Sheet1!$A$12:$A$17,Sheet1!$G$12:$G$17)</f>
        <v>5930000</v>
      </c>
      <c r="D577" t="s">
        <v>24</v>
      </c>
      <c r="E577" s="4">
        <f>_xlfn.XLOOKUP(Table1[[#This Row], [ROOM]],Sheet1!$A$47:$A$66,Sheet1!$B$47:$B$66)</f>
        <v>345</v>
      </c>
      <c r="F577" t="s">
        <v>58</v>
      </c>
      <c r="G577" s="4">
        <f>_xlfn.XLOOKUP(Table1[[#This Row], [DISGUISE]],Sheet1!$A$21:$A$23,Sheet1!$B$21:$B$23)*Table1[[#This Row], [NUM OF MEM]]*(1+_xlfn.XLOOKUP(Table1[[#This Row], [DISGUISE]],Sheet1!$A$21:$A$23,Sheet1!$C$21:$C$23))</f>
        <v>38400</v>
      </c>
      <c r="H577" s="13" t="s">
        <v>66</v>
      </c>
      <c r="I577" s="4">
        <f>_xlfn.XLOOKUP(Table1[[#This Row], [WEAPON]],Sheet1!$A$27:$A$29,Sheet1!$B$27:$B$29)*Table1[[#This Row], [NUM OF MEM]]*(1+_xlfn.XLOOKUP(Table1[[#This Row], [WEAPON]],Sheet1!$A$27:$A$29,Sheet1!$C$27:$C$29))</f>
        <v>108000</v>
      </c>
      <c r="J577" t="s">
        <v>64</v>
      </c>
      <c r="K577" s="9">
        <f>Table1[[#This Row], [NUM OF MEM]]*Table1[[#This Row], [TOTAL TIME TAKEN]]*_xlfn.XLOOKUP(Table1[[#This Row], [EXIT]],Sheet1!$A$70:$A$71,Sheet1!$B$70:$B$71)*(1+_xlfn.XLOOKUP(Table1[[#This Row], [EXIT]],Sheet1!$A$70:$A$71,Sheet1!$C$70:$C$71))</f>
        <v>1850212.7999999996</v>
      </c>
      <c r="L577" s="13" t="s">
        <v>65</v>
      </c>
      <c r="M577" s="4">
        <f>IF(Table1[[#This Row], [EQUIPMENT]]="YES",Sheet1!$C$44*(1+Sheet1!$D$44),0)</f>
        <v>307500</v>
      </c>
      <c r="N577" s="4">
        <f>_xlfn.XLOOKUP(Table1[[#This Row], [ROOM]],Sheet1!$A$47:$A$66,Sheet1!$F$47:$F$66)</f>
        <v>18000000</v>
      </c>
      <c r="O577" s="9">
        <f>_xlfn.XLOOKUP(_xlfn.CONCAT(Table1[[#This Row], [TEAM]],Table1[[#This Row], [ROOM]]),'ROOM TIME'!$H$2:$H$121,'ROOM TIME'!$J$2:$J$121)</f>
        <v>42.587777777777774</v>
      </c>
      <c r="P577" s="4">
        <f>(INDEX(Sheet1!$X$48:$Z$67,MATCH(Table1[[#This Row], [ROOM]],Sheet1!$P$48:$P$67,0),MATCH(Table1[[#This Row], [WEAPON]],Sheet1!$X$47:$Z$47,0)))/Table1[[#This Row], [NUM OF MEM]]</f>
        <v>5</v>
      </c>
      <c r="Q577" s="9">
        <f>Table1[[#This Row], [ROOM TIME]]+Table1[[#This Row], [GUARD TIME]]</f>
        <v>47.587777777777774</v>
      </c>
      <c r="R577" s="4">
        <f>Sheet1!$K$3*_xlfn.XLOOKUP(Table1[[#This Row], [DISGUISE]],Sheet1!$A$21:$A$23,Sheet1!$D$21:$D$23)</f>
        <v>69</v>
      </c>
      <c r="S577" s="9">
        <f>Table1[[#This Row], [TOTAL TIME]]-Table1[[#This Row], [TOTAL TIME TAKEN]]</f>
        <v>21.412222222222226</v>
      </c>
      <c r="T577" t="str">
        <f>IF(Table1[[#This Row], [TIME DIFFERENCE]]&gt;=0,"PASS","FAIL")</f>
        <v>PASS</v>
      </c>
      <c r="U577" s="9">
        <f>Table1[[#This Row], [TRC]]+Table1[[#This Row], [DRC]]+Table1[[#This Row], [WRC]]+Table1[[#This Row], [ERC]]+Table1[[#This Row], [EQRC]]</f>
        <v>8234112.7999999998</v>
      </c>
      <c r="V577" s="9">
        <f>Table1[[#This Row], [TOTAL COST]]+_xlfn.XLOOKUP(Table1[[#This Row], [TEAM]],Sheet1!$A$12:$A$17,Sheet1!$I$12:$I$17)</f>
        <v>8530612.8000000007</v>
      </c>
      <c r="W577" s="9">
        <f>Table1[[#This Row], [LOOT]]-Table1[[#This Row], [TOTAL COST]]</f>
        <v>9765887.1999999993</v>
      </c>
      <c r="X577" s="9">
        <f>IF(Table1[[#This Row], [PASS/FAIL]]="FAIL",0,Table1[[#This Row], [PROFIT]])</f>
        <v>9765887.1999999993</v>
      </c>
    </row>
    <row r="578" spans="1:24" ht="19.5" customHeight="1" x14ac:dyDescent="0.45">
      <c r="A578" t="s">
        <v>15</v>
      </c>
      <c r="B578" s="14">
        <f>_xlfn.XLOOKUP(Table1[[#This Row], [TEAM]],Sheet1!$A$12:$A$17,Sheet1!$F$12:$F$17)</f>
        <v>2</v>
      </c>
      <c r="C578" s="14">
        <f>_xlfn.XLOOKUP(Table1[[#This Row], [TEAM]],Sheet1!$A$12:$A$17,Sheet1!$G$12:$G$17)</f>
        <v>5932950</v>
      </c>
      <c r="D578" t="s">
        <v>27</v>
      </c>
      <c r="E578" s="4">
        <f>_xlfn.XLOOKUP(Table1[[#This Row], [ROOM]],Sheet1!$A$47:$A$66,Sheet1!$B$47:$B$66)</f>
        <v>146</v>
      </c>
      <c r="F578" t="s">
        <v>58</v>
      </c>
      <c r="G578" s="4">
        <f>_xlfn.XLOOKUP(Table1[[#This Row], [DISGUISE]],Sheet1!$A$21:$A$23,Sheet1!$B$21:$B$23)*Table1[[#This Row], [NUM OF MEM]]*(1+_xlfn.XLOOKUP(Table1[[#This Row], [DISGUISE]],Sheet1!$A$21:$A$23,Sheet1!$C$21:$C$23))</f>
        <v>25600</v>
      </c>
      <c r="H578" s="13" t="s">
        <v>59</v>
      </c>
      <c r="I578" s="4">
        <f>_xlfn.XLOOKUP(Table1[[#This Row], [WEAPON]],Sheet1!$A$27:$A$29,Sheet1!$B$27:$B$29)*Table1[[#This Row], [NUM OF MEM]]*(1+_xlfn.XLOOKUP(Table1[[#This Row], [WEAPON]],Sheet1!$A$27:$A$29,Sheet1!$C$27:$C$29))</f>
        <v>91000</v>
      </c>
      <c r="J578" t="s">
        <v>64</v>
      </c>
      <c r="K578" s="9">
        <f>Table1[[#This Row], [NUM OF MEM]]*Table1[[#This Row], [TOTAL TIME TAKEN]]*_xlfn.XLOOKUP(Table1[[#This Row], [EXIT]],Sheet1!$A$70:$A$71,Sheet1!$B$70:$B$71)*(1+_xlfn.XLOOKUP(Table1[[#This Row], [EXIT]],Sheet1!$A$70:$A$71,Sheet1!$C$70:$C$71))</f>
        <v>1628845.1999999997</v>
      </c>
      <c r="L578" s="13" t="s">
        <v>65</v>
      </c>
      <c r="M578" s="4">
        <f>IF(Table1[[#This Row], [EQUIPMENT]]="YES",Sheet1!$C$44*(1+Sheet1!$D$44),0)</f>
        <v>307500</v>
      </c>
      <c r="N578" s="4">
        <f>_xlfn.XLOOKUP(Table1[[#This Row], [ROOM]],Sheet1!$A$47:$A$66,Sheet1!$F$47:$F$66)</f>
        <v>17750000</v>
      </c>
      <c r="O578" s="9">
        <f>_xlfn.XLOOKUP(_xlfn.CONCAT(Table1[[#This Row], [TEAM]],Table1[[#This Row], [ROOM]]),'ROOM TIME'!$H$2:$H$121,'ROOM TIME'!$J$2:$J$121)</f>
        <v>56.516249999999985</v>
      </c>
      <c r="P578" s="9">
        <f>(INDEX(Sheet1!$X$48:$Z$67,MATCH(Table1[[#This Row], [ROOM]],Sheet1!$P$48:$P$67,0),MATCH(Table1[[#This Row], [WEAPON]],Sheet1!$X$47:$Z$47,0)))/Table1[[#This Row], [NUM OF MEM]]</f>
        <v>6.3249999999999993</v>
      </c>
      <c r="Q578" s="9">
        <f>Table1[[#This Row], [ROOM TIME]]+Table1[[#This Row], [GUARD TIME]]</f>
        <v>62.841249999999988</v>
      </c>
      <c r="R578" s="4">
        <f>Sheet1!$K$3*_xlfn.XLOOKUP(Table1[[#This Row], [DISGUISE]],Sheet1!$A$21:$A$23,Sheet1!$D$21:$D$23)</f>
        <v>69</v>
      </c>
      <c r="S578" s="9">
        <f>Table1[[#This Row], [TOTAL TIME]]-Table1[[#This Row], [TOTAL TIME TAKEN]]</f>
        <v>6.1587500000000119</v>
      </c>
      <c r="T578" t="str">
        <f>IF(Table1[[#This Row], [TIME DIFFERENCE]]&gt;=0,"PASS","FAIL")</f>
        <v>PASS</v>
      </c>
      <c r="U578" s="9">
        <f>Table1[[#This Row], [TRC]]+Table1[[#This Row], [DRC]]+Table1[[#This Row], [WRC]]+Table1[[#This Row], [ERC]]+Table1[[#This Row], [EQRC]]</f>
        <v>7985895.1999999993</v>
      </c>
      <c r="V578" s="9">
        <f>Table1[[#This Row], [TOTAL COST]]+_xlfn.XLOOKUP(Table1[[#This Row], [TEAM]],Sheet1!$A$12:$A$17,Sheet1!$I$12:$I$17)</f>
        <v>8282542.6999999993</v>
      </c>
      <c r="W578" s="9">
        <f>Table1[[#This Row], [LOOT]]-Table1[[#This Row], [TOTAL COST]]</f>
        <v>9764104.8000000007</v>
      </c>
      <c r="X578" s="9">
        <f>IF(Table1[[#This Row], [PASS/FAIL]]="FAIL",0,Table1[[#This Row], [PROFIT]])</f>
        <v>9764104.8000000007</v>
      </c>
    </row>
    <row r="579" spans="1:24" ht="19.5" customHeight="1" x14ac:dyDescent="0.45">
      <c r="A579" t="s">
        <v>14</v>
      </c>
      <c r="B579" s="14">
        <f>_xlfn.XLOOKUP(Table1[[#This Row], [TEAM]],Sheet1!$A$12:$A$17,Sheet1!$F$12:$F$17)</f>
        <v>2</v>
      </c>
      <c r="C579" s="14">
        <f>_xlfn.XLOOKUP(Table1[[#This Row], [TEAM]],Sheet1!$A$12:$A$17,Sheet1!$G$12:$G$17)</f>
        <v>5949600</v>
      </c>
      <c r="D579" t="s">
        <v>27</v>
      </c>
      <c r="E579" s="4">
        <f>_xlfn.XLOOKUP(Table1[[#This Row], [ROOM]],Sheet1!$A$47:$A$66,Sheet1!$B$47:$B$66)</f>
        <v>146</v>
      </c>
      <c r="F579" t="s">
        <v>58</v>
      </c>
      <c r="G579" s="4">
        <f>_xlfn.XLOOKUP(Table1[[#This Row], [DISGUISE]],Sheet1!$A$21:$A$23,Sheet1!$B$21:$B$23)*Table1[[#This Row], [NUM OF MEM]]*(1+_xlfn.XLOOKUP(Table1[[#This Row], [DISGUISE]],Sheet1!$A$21:$A$23,Sheet1!$C$21:$C$23))</f>
        <v>25600</v>
      </c>
      <c r="H579" s="13" t="s">
        <v>66</v>
      </c>
      <c r="I579" s="4">
        <f>_xlfn.XLOOKUP(Table1[[#This Row], [WEAPON]],Sheet1!$A$27:$A$29,Sheet1!$B$27:$B$29)*Table1[[#This Row], [NUM OF MEM]]*(1+_xlfn.XLOOKUP(Table1[[#This Row], [WEAPON]],Sheet1!$A$27:$A$29,Sheet1!$C$27:$C$29))</f>
        <v>72000</v>
      </c>
      <c r="J579" t="s">
        <v>64</v>
      </c>
      <c r="K579" s="9">
        <f>Table1[[#This Row], [NUM OF MEM]]*Table1[[#This Row], [TOTAL TIME TAKEN]]*_xlfn.XLOOKUP(Table1[[#This Row], [EXIT]],Sheet1!$A$70:$A$71,Sheet1!$B$70:$B$71)*(1+_xlfn.XLOOKUP(Table1[[#This Row], [EXIT]],Sheet1!$A$70:$A$71,Sheet1!$C$70:$C$71))</f>
        <v>1631923.1999999997</v>
      </c>
      <c r="L579" s="13" t="s">
        <v>65</v>
      </c>
      <c r="M579" s="4">
        <f>IF(Table1[[#This Row], [EQUIPMENT]]="YES",Sheet1!$C$44*(1+Sheet1!$D$44),0)</f>
        <v>307500</v>
      </c>
      <c r="N579" s="4">
        <f>_xlfn.XLOOKUP(Table1[[#This Row], [ROOM]],Sheet1!$A$47:$A$66,Sheet1!$F$47:$F$66)</f>
        <v>17750000</v>
      </c>
      <c r="O579" s="9">
        <f>_xlfn.XLOOKUP(_xlfn.CONCAT(Table1[[#This Row], [TEAM]],Table1[[#This Row], [ROOM]]),'ROOM TIME'!$H$2:$H$121,'ROOM TIME'!$J$2:$J$121)</f>
        <v>56.084999999999987</v>
      </c>
      <c r="P579" s="9">
        <f>(INDEX(Sheet1!$X$48:$Z$67,MATCH(Table1[[#This Row], [ROOM]],Sheet1!$P$48:$P$67,0),MATCH(Table1[[#This Row], [WEAPON]],Sheet1!$X$47:$Z$47,0)))/Table1[[#This Row], [NUM OF MEM]]</f>
        <v>6.875</v>
      </c>
      <c r="Q579" s="9">
        <f>Table1[[#This Row], [ROOM TIME]]+Table1[[#This Row], [GUARD TIME]]</f>
        <v>62.959999999999987</v>
      </c>
      <c r="R579" s="4">
        <f>Sheet1!$K$3*_xlfn.XLOOKUP(Table1[[#This Row], [DISGUISE]],Sheet1!$A$21:$A$23,Sheet1!$D$21:$D$23)</f>
        <v>69</v>
      </c>
      <c r="S579" s="9">
        <f>Table1[[#This Row], [TOTAL TIME]]-Table1[[#This Row], [TOTAL TIME TAKEN]]</f>
        <v>6.0400000000000134</v>
      </c>
      <c r="T579" t="str">
        <f>IF(Table1[[#This Row], [TIME DIFFERENCE]]&gt;=0,"PASS","FAIL")</f>
        <v>PASS</v>
      </c>
      <c r="U579" s="9">
        <f>Table1[[#This Row], [TRC]]+Table1[[#This Row], [DRC]]+Table1[[#This Row], [WRC]]+Table1[[#This Row], [ERC]]+Table1[[#This Row], [EQRC]]</f>
        <v>7986623.1999999993</v>
      </c>
      <c r="V579" s="9">
        <f>Table1[[#This Row], [TOTAL COST]]+_xlfn.XLOOKUP(Table1[[#This Row], [TEAM]],Sheet1!$A$12:$A$17,Sheet1!$I$12:$I$17)</f>
        <v>8284103.1999999993</v>
      </c>
      <c r="W579" s="9">
        <f>Table1[[#This Row], [LOOT]]-Table1[[#This Row], [TOTAL COST]]</f>
        <v>9763376.8000000007</v>
      </c>
      <c r="X579" s="9">
        <f>IF(Table1[[#This Row], [PASS/FAIL]]="FAIL",0,Table1[[#This Row], [PROFIT]])</f>
        <v>9763376.8000000007</v>
      </c>
    </row>
    <row r="580" spans="1:24" ht="19.5" customHeight="1" x14ac:dyDescent="0.45">
      <c r="A580" t="s">
        <v>13</v>
      </c>
      <c r="B580" s="14">
        <f>_xlfn.XLOOKUP(Table1[[#This Row], [TEAM]],Sheet1!$A$12:$A$17,Sheet1!$F$12:$F$17)</f>
        <v>3</v>
      </c>
      <c r="C580" s="14">
        <f>_xlfn.XLOOKUP(Table1[[#This Row], [TEAM]],Sheet1!$A$12:$A$17,Sheet1!$G$12:$G$17)</f>
        <v>5930000</v>
      </c>
      <c r="D580" t="s">
        <v>20</v>
      </c>
      <c r="E580" s="4">
        <f>_xlfn.XLOOKUP(Table1[[#This Row], [ROOM]],Sheet1!$A$47:$A$66,Sheet1!$B$47:$B$66)</f>
        <v>145</v>
      </c>
      <c r="F580" t="s">
        <v>62</v>
      </c>
      <c r="G580" s="4">
        <f>_xlfn.XLOOKUP(Table1[[#This Row], [DISGUISE]],Sheet1!$A$21:$A$23,Sheet1!$B$21:$B$23)*Table1[[#This Row], [NUM OF MEM]]*(1+_xlfn.XLOOKUP(Table1[[#This Row], [DISGUISE]],Sheet1!$A$21:$A$23,Sheet1!$C$21:$C$23))</f>
        <v>15600</v>
      </c>
      <c r="H580" s="13" t="s">
        <v>63</v>
      </c>
      <c r="I580" s="4">
        <f>_xlfn.XLOOKUP(Table1[[#This Row], [WEAPON]],Sheet1!$A$27:$A$29,Sheet1!$B$27:$B$29)*Table1[[#This Row], [NUM OF MEM]]*(1+_xlfn.XLOOKUP(Table1[[#This Row], [WEAPON]],Sheet1!$A$27:$A$29,Sheet1!$C$27:$C$29))</f>
        <v>69000</v>
      </c>
      <c r="J580" t="s">
        <v>60</v>
      </c>
      <c r="K580" s="9">
        <f>Table1[[#This Row], [NUM OF MEM]]*Table1[[#This Row], [TOTAL TIME TAKEN]]*_xlfn.XLOOKUP(Table1[[#This Row], [EXIT]],Sheet1!$A$70:$A$71,Sheet1!$B$70:$B$71)*(1+_xlfn.XLOOKUP(Table1[[#This Row], [EXIT]],Sheet1!$A$70:$A$71,Sheet1!$C$70:$C$71))</f>
        <v>1772553.2249999996</v>
      </c>
      <c r="L580" s="13" t="s">
        <v>61</v>
      </c>
      <c r="M580" s="4">
        <f>IF(Table1[[#This Row], [EQUIPMENT]]="YES",Sheet1!$C$44*(1+Sheet1!$D$44),0)</f>
        <v>0</v>
      </c>
      <c r="N580" s="4">
        <f>_xlfn.XLOOKUP(Table1[[#This Row], [ROOM]],Sheet1!$A$47:$A$66,Sheet1!$F$47:$F$66)</f>
        <v>17550000</v>
      </c>
      <c r="O580" s="9">
        <f>_xlfn.XLOOKUP(_xlfn.CONCAT(Table1[[#This Row], [TEAM]],Table1[[#This Row], [ROOM]]),'ROOM TIME'!$H$2:$H$121,'ROOM TIME'!$J$2:$J$121)</f>
        <v>41.543333333333322</v>
      </c>
      <c r="P580" s="9">
        <f>(INDEX(Sheet1!$X$48:$Z$67,MATCH(Table1[[#This Row], [ROOM]],Sheet1!$P$48:$P$67,0),MATCH(Table1[[#This Row], [WEAPON]],Sheet1!$X$47:$Z$47,0)))/Table1[[#This Row], [NUM OF MEM]]</f>
        <v>4.5</v>
      </c>
      <c r="Q580" s="9">
        <f>Table1[[#This Row], [ROOM TIME]]+Table1[[#This Row], [GUARD TIME]]</f>
        <v>46.043333333333322</v>
      </c>
      <c r="R580" s="4">
        <f>Sheet1!$K$3*_xlfn.XLOOKUP(Table1[[#This Row], [DISGUISE]],Sheet1!$A$21:$A$23,Sheet1!$D$21:$D$23)</f>
        <v>66</v>
      </c>
      <c r="S580" s="9">
        <f>Table1[[#This Row], [TOTAL TIME]]-Table1[[#This Row], [TOTAL TIME TAKEN]]</f>
        <v>19.956666666666678</v>
      </c>
      <c r="T580" t="str">
        <f>IF(Table1[[#This Row], [TIME DIFFERENCE]]&gt;=0,"PASS","FAIL")</f>
        <v>PASS</v>
      </c>
      <c r="U580" s="9">
        <f>Table1[[#This Row], [TRC]]+Table1[[#This Row], [DRC]]+Table1[[#This Row], [WRC]]+Table1[[#This Row], [ERC]]+Table1[[#This Row], [EQRC]]</f>
        <v>7787153.2249999996</v>
      </c>
      <c r="V580" s="9">
        <f>Table1[[#This Row], [TOTAL COST]]+_xlfn.XLOOKUP(Table1[[#This Row], [TEAM]],Sheet1!$A$12:$A$17,Sheet1!$I$12:$I$17)</f>
        <v>8083653.2249999996</v>
      </c>
      <c r="W580" s="9">
        <f>Table1[[#This Row], [LOOT]]-Table1[[#This Row], [TOTAL COST]]</f>
        <v>9762846.7750000004</v>
      </c>
      <c r="X580" s="9">
        <f>IF(Table1[[#This Row], [PASS/FAIL]]="FAIL",0,Table1[[#This Row], [PROFIT]])</f>
        <v>9762846.7750000004</v>
      </c>
    </row>
    <row r="581" spans="1:24" ht="19.5" customHeight="1" x14ac:dyDescent="0.45">
      <c r="A581" t="s">
        <v>12</v>
      </c>
      <c r="B581" s="14">
        <f>_xlfn.XLOOKUP(Table1[[#This Row], [TEAM]],Sheet1!$A$12:$A$17,Sheet1!$F$12:$F$17)</f>
        <v>3</v>
      </c>
      <c r="C581" s="14">
        <f>_xlfn.XLOOKUP(Table1[[#This Row], [TEAM]],Sheet1!$A$12:$A$17,Sheet1!$G$12:$G$17)</f>
        <v>5988750</v>
      </c>
      <c r="D581" t="s">
        <v>20</v>
      </c>
      <c r="E581" s="4">
        <f>_xlfn.XLOOKUP(Table1[[#This Row], [ROOM]],Sheet1!$A$47:$A$66,Sheet1!$B$47:$B$66)</f>
        <v>145</v>
      </c>
      <c r="F581" t="s">
        <v>62</v>
      </c>
      <c r="G581" s="4">
        <f>_xlfn.XLOOKUP(Table1[[#This Row], [DISGUISE]],Sheet1!$A$21:$A$23,Sheet1!$B$21:$B$23)*Table1[[#This Row], [NUM OF MEM]]*(1+_xlfn.XLOOKUP(Table1[[#This Row], [DISGUISE]],Sheet1!$A$21:$A$23,Sheet1!$C$21:$C$23))</f>
        <v>15600</v>
      </c>
      <c r="H581" s="13" t="s">
        <v>63</v>
      </c>
      <c r="I581" s="4">
        <f>_xlfn.XLOOKUP(Table1[[#This Row], [WEAPON]],Sheet1!$A$27:$A$29,Sheet1!$B$27:$B$29)*Table1[[#This Row], [NUM OF MEM]]*(1+_xlfn.XLOOKUP(Table1[[#This Row], [WEAPON]],Sheet1!$A$27:$A$29,Sheet1!$C$27:$C$29))</f>
        <v>69000</v>
      </c>
      <c r="J581" t="s">
        <v>64</v>
      </c>
      <c r="K581" s="9">
        <f>Table1[[#This Row], [NUM OF MEM]]*Table1[[#This Row], [TOTAL TIME TAKEN]]*_xlfn.XLOOKUP(Table1[[#This Row], [EXIT]],Sheet1!$A$70:$A$71,Sheet1!$B$70:$B$71)*(1+_xlfn.XLOOKUP(Table1[[#This Row], [EXIT]],Sheet1!$A$70:$A$71,Sheet1!$C$70:$C$71))</f>
        <v>1713959.9999999998</v>
      </c>
      <c r="L581" s="13" t="s">
        <v>61</v>
      </c>
      <c r="M581" s="4">
        <f>IF(Table1[[#This Row], [EQUIPMENT]]="YES",Sheet1!$C$44*(1+Sheet1!$D$44),0)</f>
        <v>0</v>
      </c>
      <c r="N581" s="4">
        <f>_xlfn.XLOOKUP(Table1[[#This Row], [ROOM]],Sheet1!$A$47:$A$66,Sheet1!$F$47:$F$66)</f>
        <v>17550000</v>
      </c>
      <c r="O581" s="9">
        <f>_xlfn.XLOOKUP(_xlfn.CONCAT(Table1[[#This Row], [TEAM]],Table1[[#This Row], [ROOM]]),'ROOM TIME'!$H$2:$H$121,'ROOM TIME'!$J$2:$J$121)</f>
        <v>39.583333333333321</v>
      </c>
      <c r="P581" s="9">
        <f>(INDEX(Sheet1!$X$48:$Z$67,MATCH(Table1[[#This Row], [ROOM]],Sheet1!$P$48:$P$67,0),MATCH(Table1[[#This Row], [WEAPON]],Sheet1!$X$47:$Z$47,0)))/Table1[[#This Row], [NUM OF MEM]]</f>
        <v>4.5</v>
      </c>
      <c r="Q581" s="9">
        <f>Table1[[#This Row], [ROOM TIME]]+Table1[[#This Row], [GUARD TIME]]</f>
        <v>44.083333333333321</v>
      </c>
      <c r="R581" s="4">
        <f>Sheet1!$K$3*_xlfn.XLOOKUP(Table1[[#This Row], [DISGUISE]],Sheet1!$A$21:$A$23,Sheet1!$D$21:$D$23)</f>
        <v>66</v>
      </c>
      <c r="S581" s="9">
        <f>Table1[[#This Row], [TOTAL TIME]]-Table1[[#This Row], [TOTAL TIME TAKEN]]</f>
        <v>21.916666666666679</v>
      </c>
      <c r="T581" t="str">
        <f>IF(Table1[[#This Row], [TIME DIFFERENCE]]&gt;=0,"PASS","FAIL")</f>
        <v>PASS</v>
      </c>
      <c r="U581" s="4">
        <f>Table1[[#This Row], [TRC]]+Table1[[#This Row], [DRC]]+Table1[[#This Row], [WRC]]+Table1[[#This Row], [ERC]]+Table1[[#This Row], [EQRC]]</f>
        <v>7787310</v>
      </c>
      <c r="V581" s="9">
        <f>Table1[[#This Row], [TOTAL COST]]+_xlfn.XLOOKUP(Table1[[#This Row], [TEAM]],Sheet1!$A$12:$A$17,Sheet1!$I$12:$I$17)</f>
        <v>8086747.5</v>
      </c>
      <c r="W581" s="4">
        <f>Table1[[#This Row], [LOOT]]-Table1[[#This Row], [TOTAL COST]]</f>
        <v>9762690</v>
      </c>
      <c r="X581" s="4">
        <f>IF(Table1[[#This Row], [PASS/FAIL]]="FAIL",0,Table1[[#This Row], [PROFIT]])</f>
        <v>9762690</v>
      </c>
    </row>
    <row r="582" spans="1:24" ht="19.5" customHeight="1" x14ac:dyDescent="0.45">
      <c r="A582" t="s">
        <v>15</v>
      </c>
      <c r="B582" s="14">
        <f>_xlfn.XLOOKUP(Table1[[#This Row], [TEAM]],Sheet1!$A$12:$A$17,Sheet1!$F$12:$F$17)</f>
        <v>2</v>
      </c>
      <c r="C582" s="14">
        <f>_xlfn.XLOOKUP(Table1[[#This Row], [TEAM]],Sheet1!$A$12:$A$17,Sheet1!$G$12:$G$17)</f>
        <v>5932950</v>
      </c>
      <c r="D582" t="s">
        <v>34</v>
      </c>
      <c r="E582" s="4">
        <f>_xlfn.XLOOKUP(Table1[[#This Row], [ROOM]],Sheet1!$A$47:$A$66,Sheet1!$B$47:$B$66)</f>
        <v>456</v>
      </c>
      <c r="F582" t="s">
        <v>58</v>
      </c>
      <c r="G582" s="4">
        <f>_xlfn.XLOOKUP(Table1[[#This Row], [DISGUISE]],Sheet1!$A$21:$A$23,Sheet1!$B$21:$B$23)*Table1[[#This Row], [NUM OF MEM]]*(1+_xlfn.XLOOKUP(Table1[[#This Row], [DISGUISE]],Sheet1!$A$21:$A$23,Sheet1!$C$21:$C$23))</f>
        <v>25600</v>
      </c>
      <c r="H582" s="13" t="s">
        <v>66</v>
      </c>
      <c r="I582" s="4">
        <f>_xlfn.XLOOKUP(Table1[[#This Row], [WEAPON]],Sheet1!$A$27:$A$29,Sheet1!$B$27:$B$29)*Table1[[#This Row], [NUM OF MEM]]*(1+_xlfn.XLOOKUP(Table1[[#This Row], [WEAPON]],Sheet1!$A$27:$A$29,Sheet1!$C$27:$C$29))</f>
        <v>72000</v>
      </c>
      <c r="J582" t="s">
        <v>60</v>
      </c>
      <c r="K582" s="9">
        <f>Table1[[#This Row], [NUM OF MEM]]*Table1[[#This Row], [TOTAL TIME TAKEN]]*_xlfn.XLOOKUP(Table1[[#This Row], [EXIT]],Sheet1!$A$70:$A$71,Sheet1!$B$70:$B$71)*(1+_xlfn.XLOOKUP(Table1[[#This Row], [EXIT]],Sheet1!$A$70:$A$71,Sheet1!$C$70:$C$71))</f>
        <v>1599410.71875</v>
      </c>
      <c r="L582" s="13" t="s">
        <v>65</v>
      </c>
      <c r="M582" s="4">
        <f>IF(Table1[[#This Row], [EQUIPMENT]]="YES",Sheet1!$C$44*(1+Sheet1!$D$44),0)</f>
        <v>307500</v>
      </c>
      <c r="N582" s="4">
        <f>_xlfn.XLOOKUP(Table1[[#This Row], [ROOM]],Sheet1!$A$47:$A$66,Sheet1!$F$47:$F$66)</f>
        <v>17700000</v>
      </c>
      <c r="O582" s="9">
        <f>_xlfn.XLOOKUP(_xlfn.CONCAT(Table1[[#This Row], [TEAM]],Table1[[#This Row], [ROOM]]),'ROOM TIME'!$H$2:$H$121,'ROOM TIME'!$J$2:$J$121)</f>
        <v>55.443749999999994</v>
      </c>
      <c r="P582" s="9">
        <f>(INDEX(Sheet1!$X$48:$Z$67,MATCH(Table1[[#This Row], [ROOM]],Sheet1!$P$48:$P$67,0),MATCH(Table1[[#This Row], [WEAPON]],Sheet1!$X$47:$Z$47,0)))/Table1[[#This Row], [NUM OF MEM]]</f>
        <v>6.875</v>
      </c>
      <c r="Q582" s="9">
        <f>Table1[[#This Row], [ROOM TIME]]+Table1[[#This Row], [GUARD TIME]]</f>
        <v>62.318749999999994</v>
      </c>
      <c r="R582" s="4">
        <f>Sheet1!$K$3*_xlfn.XLOOKUP(Table1[[#This Row], [DISGUISE]],Sheet1!$A$21:$A$23,Sheet1!$D$21:$D$23)</f>
        <v>69</v>
      </c>
      <c r="S582" s="9">
        <f>Table1[[#This Row], [TOTAL TIME]]-Table1[[#This Row], [TOTAL TIME TAKEN]]</f>
        <v>6.6812500000000057</v>
      </c>
      <c r="T582" t="str">
        <f>IF(Table1[[#This Row], [TIME DIFFERENCE]]&gt;=0,"PASS","FAIL")</f>
        <v>PASS</v>
      </c>
      <c r="U582" s="9">
        <f>Table1[[#This Row], [TRC]]+Table1[[#This Row], [DRC]]+Table1[[#This Row], [WRC]]+Table1[[#This Row], [ERC]]+Table1[[#This Row], [EQRC]]</f>
        <v>7937460.71875</v>
      </c>
      <c r="V582" s="9">
        <f>Table1[[#This Row], [TOTAL COST]]+_xlfn.XLOOKUP(Table1[[#This Row], [TEAM]],Sheet1!$A$12:$A$17,Sheet1!$I$12:$I$17)</f>
        <v>8234108.21875</v>
      </c>
      <c r="W582" s="9">
        <f>Table1[[#This Row], [LOOT]]-Table1[[#This Row], [TOTAL COST]]</f>
        <v>9762539.28125</v>
      </c>
      <c r="X582" s="9">
        <f>IF(Table1[[#This Row], [PASS/FAIL]]="FAIL",0,Table1[[#This Row], [PROFIT]])</f>
        <v>9762539.28125</v>
      </c>
    </row>
    <row r="583" spans="1:24" ht="19.5" customHeight="1" x14ac:dyDescent="0.45">
      <c r="A583" t="s">
        <v>15</v>
      </c>
      <c r="B583" s="14">
        <f>_xlfn.XLOOKUP(Table1[[#This Row], [TEAM]],Sheet1!$A$12:$A$17,Sheet1!$F$12:$F$17)</f>
        <v>2</v>
      </c>
      <c r="C583" s="14">
        <f>_xlfn.XLOOKUP(Table1[[#This Row], [TEAM]],Sheet1!$A$12:$A$17,Sheet1!$G$12:$G$17)</f>
        <v>5932950</v>
      </c>
      <c r="D583" t="s">
        <v>34</v>
      </c>
      <c r="E583" s="4">
        <f>_xlfn.XLOOKUP(Table1[[#This Row], [ROOM]],Sheet1!$A$47:$A$66,Sheet1!$B$47:$B$66)</f>
        <v>456</v>
      </c>
      <c r="F583" t="s">
        <v>62</v>
      </c>
      <c r="G583" s="4">
        <f>_xlfn.XLOOKUP(Table1[[#This Row], [DISGUISE]],Sheet1!$A$21:$A$23,Sheet1!$B$21:$B$23)*Table1[[#This Row], [NUM OF MEM]]*(1+_xlfn.XLOOKUP(Table1[[#This Row], [DISGUISE]],Sheet1!$A$21:$A$23,Sheet1!$C$21:$C$23))</f>
        <v>10400</v>
      </c>
      <c r="H583" s="13" t="s">
        <v>66</v>
      </c>
      <c r="I583" s="4">
        <f>_xlfn.XLOOKUP(Table1[[#This Row], [WEAPON]],Sheet1!$A$27:$A$29,Sheet1!$B$27:$B$29)*Table1[[#This Row], [NUM OF MEM]]*(1+_xlfn.XLOOKUP(Table1[[#This Row], [WEAPON]],Sheet1!$A$27:$A$29,Sheet1!$C$27:$C$29))</f>
        <v>72000</v>
      </c>
      <c r="J583" t="s">
        <v>64</v>
      </c>
      <c r="K583" s="9">
        <f>Table1[[#This Row], [NUM OF MEM]]*Table1[[#This Row], [TOTAL TIME TAKEN]]*_xlfn.XLOOKUP(Table1[[#This Row], [EXIT]],Sheet1!$A$70:$A$71,Sheet1!$B$70:$B$71)*(1+_xlfn.XLOOKUP(Table1[[#This Row], [EXIT]],Sheet1!$A$70:$A$71,Sheet1!$C$70:$C$71))</f>
        <v>1615301.9999999998</v>
      </c>
      <c r="L583" s="13" t="s">
        <v>65</v>
      </c>
      <c r="M583" s="4">
        <f>IF(Table1[[#This Row], [EQUIPMENT]]="YES",Sheet1!$C$44*(1+Sheet1!$D$44),0)</f>
        <v>307500</v>
      </c>
      <c r="N583" s="4">
        <f>_xlfn.XLOOKUP(Table1[[#This Row], [ROOM]],Sheet1!$A$47:$A$66,Sheet1!$F$47:$F$66)</f>
        <v>17700000</v>
      </c>
      <c r="O583" s="9">
        <f>_xlfn.XLOOKUP(_xlfn.CONCAT(Table1[[#This Row], [TEAM]],Table1[[#This Row], [ROOM]]),'ROOM TIME'!$H$2:$H$121,'ROOM TIME'!$J$2:$J$121)</f>
        <v>55.443749999999994</v>
      </c>
      <c r="P583" s="9">
        <f>(INDEX(Sheet1!$X$48:$Z$67,MATCH(Table1[[#This Row], [ROOM]],Sheet1!$P$48:$P$67,0),MATCH(Table1[[#This Row], [WEAPON]],Sheet1!$X$47:$Z$47,0)))/Table1[[#This Row], [NUM OF MEM]]</f>
        <v>6.875</v>
      </c>
      <c r="Q583" s="9">
        <f>Table1[[#This Row], [ROOM TIME]]+Table1[[#This Row], [GUARD TIME]]</f>
        <v>62.318749999999994</v>
      </c>
      <c r="R583" s="4">
        <f>Sheet1!$K$3*_xlfn.XLOOKUP(Table1[[#This Row], [DISGUISE]],Sheet1!$A$21:$A$23,Sheet1!$D$21:$D$23)</f>
        <v>66</v>
      </c>
      <c r="S583" s="9">
        <f>Table1[[#This Row], [TOTAL TIME]]-Table1[[#This Row], [TOTAL TIME TAKEN]]</f>
        <v>3.6812500000000057</v>
      </c>
      <c r="T583" t="str">
        <f>IF(Table1[[#This Row], [TIME DIFFERENCE]]&gt;=0,"PASS","FAIL")</f>
        <v>PASS</v>
      </c>
      <c r="U583" s="4">
        <f>Table1[[#This Row], [TRC]]+Table1[[#This Row], [DRC]]+Table1[[#This Row], [WRC]]+Table1[[#This Row], [ERC]]+Table1[[#This Row], [EQRC]]</f>
        <v>7938152</v>
      </c>
      <c r="V583" s="9">
        <f>Table1[[#This Row], [TOTAL COST]]+_xlfn.XLOOKUP(Table1[[#This Row], [TEAM]],Sheet1!$A$12:$A$17,Sheet1!$I$12:$I$17)</f>
        <v>8234799.5</v>
      </c>
      <c r="W583" s="4">
        <f>Table1[[#This Row], [LOOT]]-Table1[[#This Row], [TOTAL COST]]</f>
        <v>9761848</v>
      </c>
      <c r="X583" s="4">
        <f>IF(Table1[[#This Row], [PASS/FAIL]]="FAIL",0,Table1[[#This Row], [PROFIT]])</f>
        <v>9761848</v>
      </c>
    </row>
    <row r="584" spans="1:24" ht="19.5" customHeight="1" x14ac:dyDescent="0.45">
      <c r="A584" t="s">
        <v>9</v>
      </c>
      <c r="B584" s="14">
        <f>_xlfn.XLOOKUP(Table1[[#This Row], [TEAM]],Sheet1!$A$12:$A$17,Sheet1!$F$12:$F$17)</f>
        <v>3</v>
      </c>
      <c r="C584" s="14">
        <f>_xlfn.XLOOKUP(Table1[[#This Row], [TEAM]],Sheet1!$A$12:$A$17,Sheet1!$G$12:$G$17)</f>
        <v>6238750</v>
      </c>
      <c r="D584" t="s">
        <v>21</v>
      </c>
      <c r="E584" s="4">
        <f>_xlfn.XLOOKUP(Table1[[#This Row], [ROOM]],Sheet1!$A$47:$A$66,Sheet1!$B$47:$B$66)</f>
        <v>234</v>
      </c>
      <c r="F584" t="s">
        <v>58</v>
      </c>
      <c r="G584" s="4">
        <f>_xlfn.XLOOKUP(Table1[[#This Row], [DISGUISE]],Sheet1!$A$21:$A$23,Sheet1!$B$21:$B$23)*Table1[[#This Row], [NUM OF MEM]]*(1+_xlfn.XLOOKUP(Table1[[#This Row], [DISGUISE]],Sheet1!$A$21:$A$23,Sheet1!$C$21:$C$23))</f>
        <v>38400</v>
      </c>
      <c r="H584" s="13" t="s">
        <v>66</v>
      </c>
      <c r="I584" s="4">
        <f>_xlfn.XLOOKUP(Table1[[#This Row], [WEAPON]],Sheet1!$A$27:$A$29,Sheet1!$B$27:$B$29)*Table1[[#This Row], [NUM OF MEM]]*(1+_xlfn.XLOOKUP(Table1[[#This Row], [WEAPON]],Sheet1!$A$27:$A$29,Sheet1!$C$27:$C$29))</f>
        <v>108000</v>
      </c>
      <c r="J584" t="s">
        <v>64</v>
      </c>
      <c r="K584" s="9">
        <f>Table1[[#This Row], [NUM OF MEM]]*Table1[[#This Row], [TOTAL TIME TAKEN]]*_xlfn.XLOOKUP(Table1[[#This Row], [EXIT]],Sheet1!$A$70:$A$71,Sheet1!$B$70:$B$71)*(1+_xlfn.XLOOKUP(Table1[[#This Row], [EXIT]],Sheet1!$A$70:$A$71,Sheet1!$C$70:$C$71))</f>
        <v>1754092.7999999996</v>
      </c>
      <c r="L584" s="13" t="s">
        <v>61</v>
      </c>
      <c r="M584" s="4">
        <f>IF(Table1[[#This Row], [EQUIPMENT]]="YES",Sheet1!$C$44*(1+Sheet1!$D$44),0)</f>
        <v>0</v>
      </c>
      <c r="N584" s="4">
        <f>_xlfn.XLOOKUP(Table1[[#This Row], [ROOM]],Sheet1!$A$47:$A$66,Sheet1!$F$47:$F$66)</f>
        <v>17900000</v>
      </c>
      <c r="O584" s="9">
        <f>_xlfn.XLOOKUP(_xlfn.CONCAT(Table1[[#This Row], [TEAM]],Table1[[#This Row], [ROOM]]),'ROOM TIME'!$H$2:$H$121,'ROOM TIME'!$J$2:$J$121)</f>
        <v>39.698888888888881</v>
      </c>
      <c r="P584" s="9">
        <f>(INDEX(Sheet1!$X$48:$Z$67,MATCH(Table1[[#This Row], [ROOM]],Sheet1!$P$48:$P$67,0),MATCH(Table1[[#This Row], [WEAPON]],Sheet1!$X$47:$Z$47,0)))/Table1[[#This Row], [NUM OF MEM]]</f>
        <v>5.416666666666667</v>
      </c>
      <c r="Q584" s="9">
        <f>Table1[[#This Row], [ROOM TIME]]+Table1[[#This Row], [GUARD TIME]]</f>
        <v>45.115555555555545</v>
      </c>
      <c r="R584" s="4">
        <f>Sheet1!$K$3*_xlfn.XLOOKUP(Table1[[#This Row], [DISGUISE]],Sheet1!$A$21:$A$23,Sheet1!$D$21:$D$23)</f>
        <v>69</v>
      </c>
      <c r="S584" s="9">
        <f>Table1[[#This Row], [TOTAL TIME]]-Table1[[#This Row], [TOTAL TIME TAKEN]]</f>
        <v>23.884444444444455</v>
      </c>
      <c r="T584" t="str">
        <f>IF(Table1[[#This Row], [TIME DIFFERENCE]]&gt;=0,"PASS","FAIL")</f>
        <v>PASS</v>
      </c>
      <c r="U584" s="9">
        <f>Table1[[#This Row], [TRC]]+Table1[[#This Row], [DRC]]+Table1[[#This Row], [WRC]]+Table1[[#This Row], [ERC]]+Table1[[#This Row], [EQRC]]</f>
        <v>8139242.7999999998</v>
      </c>
      <c r="V584" s="9">
        <f>Table1[[#This Row], [TOTAL COST]]+_xlfn.XLOOKUP(Table1[[#This Row], [TEAM]],Sheet1!$A$12:$A$17,Sheet1!$I$12:$I$17)</f>
        <v>8451180.3000000007</v>
      </c>
      <c r="W584" s="9">
        <f>Table1[[#This Row], [LOOT]]-Table1[[#This Row], [TOTAL COST]]</f>
        <v>9760757.1999999993</v>
      </c>
      <c r="X584" s="9">
        <f>IF(Table1[[#This Row], [PASS/FAIL]]="FAIL",0,Table1[[#This Row], [PROFIT]])</f>
        <v>9760757.1999999993</v>
      </c>
    </row>
    <row r="585" spans="1:24" ht="19.5" customHeight="1" x14ac:dyDescent="0.45">
      <c r="A585" t="s">
        <v>14</v>
      </c>
      <c r="B585" s="14">
        <f>_xlfn.XLOOKUP(Table1[[#This Row], [TEAM]],Sheet1!$A$12:$A$17,Sheet1!$F$12:$F$17)</f>
        <v>2</v>
      </c>
      <c r="C585" s="14">
        <f>_xlfn.XLOOKUP(Table1[[#This Row], [TEAM]],Sheet1!$A$12:$A$17,Sheet1!$G$12:$G$17)</f>
        <v>5949600</v>
      </c>
      <c r="D585" t="s">
        <v>34</v>
      </c>
      <c r="E585" s="4">
        <f>_xlfn.XLOOKUP(Table1[[#This Row], [ROOM]],Sheet1!$A$47:$A$66,Sheet1!$B$47:$B$66)</f>
        <v>456</v>
      </c>
      <c r="F585" t="s">
        <v>62</v>
      </c>
      <c r="G585" s="4">
        <f>_xlfn.XLOOKUP(Table1[[#This Row], [DISGUISE]],Sheet1!$A$21:$A$23,Sheet1!$B$21:$B$23)*Table1[[#This Row], [NUM OF MEM]]*(1+_xlfn.XLOOKUP(Table1[[#This Row], [DISGUISE]],Sheet1!$A$21:$A$23,Sheet1!$C$21:$C$23))</f>
        <v>10400</v>
      </c>
      <c r="H585" s="13" t="s">
        <v>66</v>
      </c>
      <c r="I585" s="4">
        <f>_xlfn.XLOOKUP(Table1[[#This Row], [WEAPON]],Sheet1!$A$27:$A$29,Sheet1!$B$27:$B$29)*Table1[[#This Row], [NUM OF MEM]]*(1+_xlfn.XLOOKUP(Table1[[#This Row], [WEAPON]],Sheet1!$A$27:$A$29,Sheet1!$C$27:$C$29))</f>
        <v>72000</v>
      </c>
      <c r="J585" t="s">
        <v>60</v>
      </c>
      <c r="K585" s="9">
        <f>Table1[[#This Row], [NUM OF MEM]]*Table1[[#This Row], [TOTAL TIME TAKEN]]*_xlfn.XLOOKUP(Table1[[#This Row], [EXIT]],Sheet1!$A$70:$A$71,Sheet1!$B$70:$B$71)*(1+_xlfn.XLOOKUP(Table1[[#This Row], [EXIT]],Sheet1!$A$70:$A$71,Sheet1!$C$70:$C$71))</f>
        <v>1600661.8874999997</v>
      </c>
      <c r="L585" s="13" t="s">
        <v>65</v>
      </c>
      <c r="M585" s="4">
        <f>IF(Table1[[#This Row], [EQUIPMENT]]="YES",Sheet1!$C$44*(1+Sheet1!$D$44),0)</f>
        <v>307500</v>
      </c>
      <c r="N585" s="4">
        <f>_xlfn.XLOOKUP(Table1[[#This Row], [ROOM]],Sheet1!$A$47:$A$66,Sheet1!$F$47:$F$66)</f>
        <v>17700000</v>
      </c>
      <c r="O585" s="9">
        <f>_xlfn.XLOOKUP(_xlfn.CONCAT(Table1[[#This Row], [TEAM]],Table1[[#This Row], [ROOM]]),'ROOM TIME'!$H$2:$H$121,'ROOM TIME'!$J$2:$J$121)</f>
        <v>55.492499999999986</v>
      </c>
      <c r="P585" s="9">
        <f>(INDEX(Sheet1!$X$48:$Z$67,MATCH(Table1[[#This Row], [ROOM]],Sheet1!$P$48:$P$67,0),MATCH(Table1[[#This Row], [WEAPON]],Sheet1!$X$47:$Z$47,0)))/Table1[[#This Row], [NUM OF MEM]]</f>
        <v>6.875</v>
      </c>
      <c r="Q585" s="9">
        <f>Table1[[#This Row], [ROOM TIME]]+Table1[[#This Row], [GUARD TIME]]</f>
        <v>62.367499999999986</v>
      </c>
      <c r="R585" s="4">
        <f>Sheet1!$K$3*_xlfn.XLOOKUP(Table1[[#This Row], [DISGUISE]],Sheet1!$A$21:$A$23,Sheet1!$D$21:$D$23)</f>
        <v>66</v>
      </c>
      <c r="S585" s="9">
        <f>Table1[[#This Row], [TOTAL TIME]]-Table1[[#This Row], [TOTAL TIME TAKEN]]</f>
        <v>3.6325000000000145</v>
      </c>
      <c r="T585" t="str">
        <f>IF(Table1[[#This Row], [TIME DIFFERENCE]]&gt;=0,"PASS","FAIL")</f>
        <v>PASS</v>
      </c>
      <c r="U585" s="9">
        <f>Table1[[#This Row], [TRC]]+Table1[[#This Row], [DRC]]+Table1[[#This Row], [WRC]]+Table1[[#This Row], [ERC]]+Table1[[#This Row], [EQRC]]</f>
        <v>7940161.8874999993</v>
      </c>
      <c r="V585" s="9">
        <f>Table1[[#This Row], [TOTAL COST]]+_xlfn.XLOOKUP(Table1[[#This Row], [TEAM]],Sheet1!$A$12:$A$17,Sheet1!$I$12:$I$17)</f>
        <v>8237641.8874999993</v>
      </c>
      <c r="W585" s="9">
        <f>Table1[[#This Row], [LOOT]]-Table1[[#This Row], [TOTAL COST]]</f>
        <v>9759838.1125000007</v>
      </c>
      <c r="X585" s="9">
        <f>IF(Table1[[#This Row], [PASS/FAIL]]="FAIL",0,Table1[[#This Row], [PROFIT]])</f>
        <v>9759838.1125000007</v>
      </c>
    </row>
    <row r="586" spans="1:24" ht="19.5" customHeight="1" x14ac:dyDescent="0.45">
      <c r="A586" t="s">
        <v>14</v>
      </c>
      <c r="B586" s="14">
        <f>_xlfn.XLOOKUP(Table1[[#This Row], [TEAM]],Sheet1!$A$12:$A$17,Sheet1!$F$12:$F$17)</f>
        <v>2</v>
      </c>
      <c r="C586" s="14">
        <f>_xlfn.XLOOKUP(Table1[[#This Row], [TEAM]],Sheet1!$A$12:$A$17,Sheet1!$G$12:$G$17)</f>
        <v>5949600</v>
      </c>
      <c r="D586" t="s">
        <v>27</v>
      </c>
      <c r="E586" s="4">
        <f>_xlfn.XLOOKUP(Table1[[#This Row], [ROOM]],Sheet1!$A$47:$A$66,Sheet1!$B$47:$B$66)</f>
        <v>146</v>
      </c>
      <c r="F586" t="s">
        <v>58</v>
      </c>
      <c r="G586" s="4">
        <f>_xlfn.XLOOKUP(Table1[[#This Row], [DISGUISE]],Sheet1!$A$21:$A$23,Sheet1!$B$21:$B$23)*Table1[[#This Row], [NUM OF MEM]]*(1+_xlfn.XLOOKUP(Table1[[#This Row], [DISGUISE]],Sheet1!$A$21:$A$23,Sheet1!$C$21:$C$23))</f>
        <v>25600</v>
      </c>
      <c r="H586" s="13" t="s">
        <v>59</v>
      </c>
      <c r="I586" s="4">
        <f>_xlfn.XLOOKUP(Table1[[#This Row], [WEAPON]],Sheet1!$A$27:$A$29,Sheet1!$B$27:$B$29)*Table1[[#This Row], [NUM OF MEM]]*(1+_xlfn.XLOOKUP(Table1[[#This Row], [WEAPON]],Sheet1!$A$27:$A$29,Sheet1!$C$27:$C$29))</f>
        <v>91000</v>
      </c>
      <c r="J586" t="s">
        <v>64</v>
      </c>
      <c r="K586" s="9">
        <f>Table1[[#This Row], [NUM OF MEM]]*Table1[[#This Row], [TOTAL TIME TAKEN]]*_xlfn.XLOOKUP(Table1[[#This Row], [EXIT]],Sheet1!$A$70:$A$71,Sheet1!$B$70:$B$71)*(1+_xlfn.XLOOKUP(Table1[[#This Row], [EXIT]],Sheet1!$A$70:$A$71,Sheet1!$C$70:$C$71))</f>
        <v>1617667.1999999995</v>
      </c>
      <c r="L586" s="13" t="s">
        <v>65</v>
      </c>
      <c r="M586" s="4">
        <f>IF(Table1[[#This Row], [EQUIPMENT]]="YES",Sheet1!$C$44*(1+Sheet1!$D$44),0)</f>
        <v>307500</v>
      </c>
      <c r="N586" s="4">
        <f>_xlfn.XLOOKUP(Table1[[#This Row], [ROOM]],Sheet1!$A$47:$A$66,Sheet1!$F$47:$F$66)</f>
        <v>17750000</v>
      </c>
      <c r="O586" s="9">
        <f>_xlfn.XLOOKUP(_xlfn.CONCAT(Table1[[#This Row], [TEAM]],Table1[[#This Row], [ROOM]]),'ROOM TIME'!$H$2:$H$121,'ROOM TIME'!$J$2:$J$121)</f>
        <v>56.084999999999987</v>
      </c>
      <c r="P586" s="9">
        <f>(INDEX(Sheet1!$X$48:$Z$67,MATCH(Table1[[#This Row], [ROOM]],Sheet1!$P$48:$P$67,0),MATCH(Table1[[#This Row], [WEAPON]],Sheet1!$X$47:$Z$47,0)))/Table1[[#This Row], [NUM OF MEM]]</f>
        <v>6.3249999999999993</v>
      </c>
      <c r="Q586" s="9">
        <f>Table1[[#This Row], [ROOM TIME]]+Table1[[#This Row], [GUARD TIME]]</f>
        <v>62.409999999999982</v>
      </c>
      <c r="R586" s="4">
        <f>Sheet1!$K$3*_xlfn.XLOOKUP(Table1[[#This Row], [DISGUISE]],Sheet1!$A$21:$A$23,Sheet1!$D$21:$D$23)</f>
        <v>69</v>
      </c>
      <c r="S586" s="9">
        <f>Table1[[#This Row], [TOTAL TIME]]-Table1[[#This Row], [TOTAL TIME TAKEN]]</f>
        <v>6.5900000000000176</v>
      </c>
      <c r="T586" t="str">
        <f>IF(Table1[[#This Row], [TIME DIFFERENCE]]&gt;=0,"PASS","FAIL")</f>
        <v>PASS</v>
      </c>
      <c r="U586" s="9">
        <f>Table1[[#This Row], [TRC]]+Table1[[#This Row], [DRC]]+Table1[[#This Row], [WRC]]+Table1[[#This Row], [ERC]]+Table1[[#This Row], [EQRC]]</f>
        <v>7991367.1999999993</v>
      </c>
      <c r="V586" s="9">
        <f>Table1[[#This Row], [TOTAL COST]]+_xlfn.XLOOKUP(Table1[[#This Row], [TEAM]],Sheet1!$A$12:$A$17,Sheet1!$I$12:$I$17)</f>
        <v>8288847.1999999993</v>
      </c>
      <c r="W586" s="9">
        <f>Table1[[#This Row], [LOOT]]-Table1[[#This Row], [TOTAL COST]]</f>
        <v>9758632.8000000007</v>
      </c>
      <c r="X586" s="9">
        <f>IF(Table1[[#This Row], [PASS/FAIL]]="FAIL",0,Table1[[#This Row], [PROFIT]])</f>
        <v>9758632.8000000007</v>
      </c>
    </row>
    <row r="587" spans="1:24" ht="19.5" customHeight="1" x14ac:dyDescent="0.45">
      <c r="A587" t="s">
        <v>12</v>
      </c>
      <c r="B587" s="14">
        <f>_xlfn.XLOOKUP(Table1[[#This Row], [TEAM]],Sheet1!$A$12:$A$17,Sheet1!$F$12:$F$17)</f>
        <v>3</v>
      </c>
      <c r="C587" s="14">
        <f>_xlfn.XLOOKUP(Table1[[#This Row], [TEAM]],Sheet1!$A$12:$A$17,Sheet1!$G$12:$G$17)</f>
        <v>5988750</v>
      </c>
      <c r="D587" t="s">
        <v>24</v>
      </c>
      <c r="E587" s="4">
        <f>_xlfn.XLOOKUP(Table1[[#This Row], [ROOM]],Sheet1!$A$47:$A$66,Sheet1!$B$47:$B$66)</f>
        <v>345</v>
      </c>
      <c r="F587" t="s">
        <v>58</v>
      </c>
      <c r="G587" s="4">
        <f>_xlfn.XLOOKUP(Table1[[#This Row], [DISGUISE]],Sheet1!$A$21:$A$23,Sheet1!$B$21:$B$23)*Table1[[#This Row], [NUM OF MEM]]*(1+_xlfn.XLOOKUP(Table1[[#This Row], [DISGUISE]],Sheet1!$A$21:$A$23,Sheet1!$C$21:$C$23))</f>
        <v>38400</v>
      </c>
      <c r="H587" s="13" t="s">
        <v>59</v>
      </c>
      <c r="I587" s="4">
        <f>_xlfn.XLOOKUP(Table1[[#This Row], [WEAPON]],Sheet1!$A$27:$A$29,Sheet1!$B$27:$B$29)*Table1[[#This Row], [NUM OF MEM]]*(1+_xlfn.XLOOKUP(Table1[[#This Row], [WEAPON]],Sheet1!$A$27:$A$29,Sheet1!$C$27:$C$29))</f>
        <v>136500</v>
      </c>
      <c r="J587" t="s">
        <v>64</v>
      </c>
      <c r="K587" s="9">
        <f>Table1[[#This Row], [NUM OF MEM]]*Table1[[#This Row], [TOTAL TIME TAKEN]]*_xlfn.XLOOKUP(Table1[[#This Row], [EXIT]],Sheet1!$A$70:$A$71,Sheet1!$B$70:$B$71)*(1+_xlfn.XLOOKUP(Table1[[#This Row], [EXIT]],Sheet1!$A$70:$A$71,Sheet1!$C$70:$C$71))</f>
        <v>1770249.5999999996</v>
      </c>
      <c r="L587" s="13" t="s">
        <v>65</v>
      </c>
      <c r="M587" s="4">
        <f>IF(Table1[[#This Row], [EQUIPMENT]]="YES",Sheet1!$C$44*(1+Sheet1!$D$44),0)</f>
        <v>307500</v>
      </c>
      <c r="N587" s="4">
        <f>_xlfn.XLOOKUP(Table1[[#This Row], [ROOM]],Sheet1!$A$47:$A$66,Sheet1!$F$47:$F$66)</f>
        <v>18000000</v>
      </c>
      <c r="O587" s="9">
        <f>_xlfn.XLOOKUP(_xlfn.CONCAT(Table1[[#This Row], [TEAM]],Table1[[#This Row], [ROOM]]),'ROOM TIME'!$H$2:$H$121,'ROOM TIME'!$J$2:$J$121)</f>
        <v>40.9311111111111</v>
      </c>
      <c r="P587" s="9">
        <f>(INDEX(Sheet1!$X$48:$Z$67,MATCH(Table1[[#This Row], [ROOM]],Sheet1!$P$48:$P$67,0),MATCH(Table1[[#This Row], [WEAPON]],Sheet1!$X$47:$Z$47,0)))/Table1[[#This Row], [NUM OF MEM]]</f>
        <v>4.5999999999999996</v>
      </c>
      <c r="Q587" s="9">
        <f>Table1[[#This Row], [ROOM TIME]]+Table1[[#This Row], [GUARD TIME]]</f>
        <v>45.531111111111102</v>
      </c>
      <c r="R587" s="4">
        <f>Sheet1!$K$3*_xlfn.XLOOKUP(Table1[[#This Row], [DISGUISE]],Sheet1!$A$21:$A$23,Sheet1!$D$21:$D$23)</f>
        <v>69</v>
      </c>
      <c r="S587" s="9">
        <f>Table1[[#This Row], [TOTAL TIME]]-Table1[[#This Row], [TOTAL TIME TAKEN]]</f>
        <v>23.468888888888898</v>
      </c>
      <c r="T587" t="str">
        <f>IF(Table1[[#This Row], [TIME DIFFERENCE]]&gt;=0,"PASS","FAIL")</f>
        <v>PASS</v>
      </c>
      <c r="U587" s="9">
        <f>Table1[[#This Row], [TRC]]+Table1[[#This Row], [DRC]]+Table1[[#This Row], [WRC]]+Table1[[#This Row], [ERC]]+Table1[[#This Row], [EQRC]]</f>
        <v>8241399.5999999996</v>
      </c>
      <c r="V587" s="9">
        <f>Table1[[#This Row], [TOTAL COST]]+_xlfn.XLOOKUP(Table1[[#This Row], [TEAM]],Sheet1!$A$12:$A$17,Sheet1!$I$12:$I$17)</f>
        <v>8540837.0999999996</v>
      </c>
      <c r="W587" s="9">
        <f>Table1[[#This Row], [LOOT]]-Table1[[#This Row], [TOTAL COST]]</f>
        <v>9758600.4000000004</v>
      </c>
      <c r="X587" s="9">
        <f>IF(Table1[[#This Row], [PASS/FAIL]]="FAIL",0,Table1[[#This Row], [PROFIT]])</f>
        <v>9758600.4000000004</v>
      </c>
    </row>
    <row r="588" spans="1:24" ht="19.5" customHeight="1" x14ac:dyDescent="0.45">
      <c r="A588" t="s">
        <v>15</v>
      </c>
      <c r="B588" s="14">
        <f>_xlfn.XLOOKUP(Table1[[#This Row], [TEAM]],Sheet1!$A$12:$A$17,Sheet1!$F$12:$F$17)</f>
        <v>2</v>
      </c>
      <c r="C588" s="14">
        <f>_xlfn.XLOOKUP(Table1[[#This Row], [TEAM]],Sheet1!$A$12:$A$17,Sheet1!$G$12:$G$17)</f>
        <v>5932950</v>
      </c>
      <c r="D588" t="s">
        <v>34</v>
      </c>
      <c r="E588" s="4">
        <f>_xlfn.XLOOKUP(Table1[[#This Row], [ROOM]],Sheet1!$A$47:$A$66,Sheet1!$B$47:$B$66)</f>
        <v>456</v>
      </c>
      <c r="F588" t="s">
        <v>58</v>
      </c>
      <c r="G588" s="4">
        <f>_xlfn.XLOOKUP(Table1[[#This Row], [DISGUISE]],Sheet1!$A$21:$A$23,Sheet1!$B$21:$B$23)*Table1[[#This Row], [NUM OF MEM]]*(1+_xlfn.XLOOKUP(Table1[[#This Row], [DISGUISE]],Sheet1!$A$21:$A$23,Sheet1!$C$21:$C$23))</f>
        <v>25600</v>
      </c>
      <c r="H588" s="13" t="s">
        <v>63</v>
      </c>
      <c r="I588" s="4">
        <f>_xlfn.XLOOKUP(Table1[[#This Row], [WEAPON]],Sheet1!$A$27:$A$29,Sheet1!$B$27:$B$29)*Table1[[#This Row], [NUM OF MEM]]*(1+_xlfn.XLOOKUP(Table1[[#This Row], [WEAPON]],Sheet1!$A$27:$A$29,Sheet1!$C$27:$C$29))</f>
        <v>46000</v>
      </c>
      <c r="J588" t="s">
        <v>64</v>
      </c>
      <c r="K588" s="9">
        <f>Table1[[#This Row], [NUM OF MEM]]*Table1[[#This Row], [TOTAL TIME TAKEN]]*_xlfn.XLOOKUP(Table1[[#This Row], [EXIT]],Sheet1!$A$70:$A$71,Sheet1!$B$70:$B$71)*(1+_xlfn.XLOOKUP(Table1[[#This Row], [EXIT]],Sheet1!$A$70:$A$71,Sheet1!$C$70:$C$71))</f>
        <v>1629557.9999999998</v>
      </c>
      <c r="L588" s="13" t="s">
        <v>65</v>
      </c>
      <c r="M588" s="4">
        <f>IF(Table1[[#This Row], [EQUIPMENT]]="YES",Sheet1!$C$44*(1+Sheet1!$D$44),0)</f>
        <v>307500</v>
      </c>
      <c r="N588" s="4">
        <f>_xlfn.XLOOKUP(Table1[[#This Row], [ROOM]],Sheet1!$A$47:$A$66,Sheet1!$F$47:$F$66)</f>
        <v>17700000</v>
      </c>
      <c r="O588" s="9">
        <f>_xlfn.XLOOKUP(_xlfn.CONCAT(Table1[[#This Row], [TEAM]],Table1[[#This Row], [ROOM]]),'ROOM TIME'!$H$2:$H$121,'ROOM TIME'!$J$2:$J$121)</f>
        <v>55.443749999999994</v>
      </c>
      <c r="P588" s="9">
        <f>(INDEX(Sheet1!$X$48:$Z$67,MATCH(Table1[[#This Row], [ROOM]],Sheet1!$P$48:$P$67,0),MATCH(Table1[[#This Row], [WEAPON]],Sheet1!$X$47:$Z$47,0)))/Table1[[#This Row], [NUM OF MEM]]</f>
        <v>7.4250000000000007</v>
      </c>
      <c r="Q588" s="9">
        <f>Table1[[#This Row], [ROOM TIME]]+Table1[[#This Row], [GUARD TIME]]</f>
        <v>62.868749999999991</v>
      </c>
      <c r="R588" s="4">
        <f>Sheet1!$K$3*_xlfn.XLOOKUP(Table1[[#This Row], [DISGUISE]],Sheet1!$A$21:$A$23,Sheet1!$D$21:$D$23)</f>
        <v>69</v>
      </c>
      <c r="S588" s="9">
        <f>Table1[[#This Row], [TOTAL TIME]]-Table1[[#This Row], [TOTAL TIME TAKEN]]</f>
        <v>6.1312500000000085</v>
      </c>
      <c r="T588" t="str">
        <f>IF(Table1[[#This Row], [TIME DIFFERENCE]]&gt;=0,"PASS","FAIL")</f>
        <v>PASS</v>
      </c>
      <c r="U588" s="4">
        <f>Table1[[#This Row], [TRC]]+Table1[[#This Row], [DRC]]+Table1[[#This Row], [WRC]]+Table1[[#This Row], [ERC]]+Table1[[#This Row], [EQRC]]</f>
        <v>7941608</v>
      </c>
      <c r="V588" s="9">
        <f>Table1[[#This Row], [TOTAL COST]]+_xlfn.XLOOKUP(Table1[[#This Row], [TEAM]],Sheet1!$A$12:$A$17,Sheet1!$I$12:$I$17)</f>
        <v>8238255.5</v>
      </c>
      <c r="W588" s="4">
        <f>Table1[[#This Row], [LOOT]]-Table1[[#This Row], [TOTAL COST]]</f>
        <v>9758392</v>
      </c>
      <c r="X588" s="4">
        <f>IF(Table1[[#This Row], [PASS/FAIL]]="FAIL",0,Table1[[#This Row], [PROFIT]])</f>
        <v>9758392</v>
      </c>
    </row>
    <row r="589" spans="1:24" ht="19.5" customHeight="1" x14ac:dyDescent="0.45">
      <c r="A589" t="s">
        <v>15</v>
      </c>
      <c r="B589" s="14">
        <f>_xlfn.XLOOKUP(Table1[[#This Row], [TEAM]],Sheet1!$A$12:$A$17,Sheet1!$F$12:$F$17)</f>
        <v>2</v>
      </c>
      <c r="C589" s="14">
        <f>_xlfn.XLOOKUP(Table1[[#This Row], [TEAM]],Sheet1!$A$12:$A$17,Sheet1!$G$12:$G$17)</f>
        <v>5932950</v>
      </c>
      <c r="D589" t="s">
        <v>34</v>
      </c>
      <c r="E589" s="4">
        <f>_xlfn.XLOOKUP(Table1[[#This Row], [ROOM]],Sheet1!$A$47:$A$66,Sheet1!$B$47:$B$66)</f>
        <v>456</v>
      </c>
      <c r="F589" t="s">
        <v>58</v>
      </c>
      <c r="G589" s="4">
        <f>_xlfn.XLOOKUP(Table1[[#This Row], [DISGUISE]],Sheet1!$A$21:$A$23,Sheet1!$B$21:$B$23)*Table1[[#This Row], [NUM OF MEM]]*(1+_xlfn.XLOOKUP(Table1[[#This Row], [DISGUISE]],Sheet1!$A$21:$A$23,Sheet1!$C$21:$C$23))</f>
        <v>25600</v>
      </c>
      <c r="H589" s="13" t="s">
        <v>59</v>
      </c>
      <c r="I589" s="4">
        <f>_xlfn.XLOOKUP(Table1[[#This Row], [WEAPON]],Sheet1!$A$27:$A$29,Sheet1!$B$27:$B$29)*Table1[[#This Row], [NUM OF MEM]]*(1+_xlfn.XLOOKUP(Table1[[#This Row], [WEAPON]],Sheet1!$A$27:$A$29,Sheet1!$C$27:$C$29))</f>
        <v>91000</v>
      </c>
      <c r="J589" t="s">
        <v>60</v>
      </c>
      <c r="K589" s="9">
        <f>Table1[[#This Row], [NUM OF MEM]]*Table1[[#This Row], [TOTAL TIME TAKEN]]*_xlfn.XLOOKUP(Table1[[#This Row], [EXIT]],Sheet1!$A$70:$A$71,Sheet1!$B$70:$B$71)*(1+_xlfn.XLOOKUP(Table1[[#This Row], [EXIT]],Sheet1!$A$70:$A$71,Sheet1!$C$70:$C$71))</f>
        <v>1585294.96875</v>
      </c>
      <c r="L589" s="13" t="s">
        <v>65</v>
      </c>
      <c r="M589" s="4">
        <f>IF(Table1[[#This Row], [EQUIPMENT]]="YES",Sheet1!$C$44*(1+Sheet1!$D$44),0)</f>
        <v>307500</v>
      </c>
      <c r="N589" s="4">
        <f>_xlfn.XLOOKUP(Table1[[#This Row], [ROOM]],Sheet1!$A$47:$A$66,Sheet1!$F$47:$F$66)</f>
        <v>17700000</v>
      </c>
      <c r="O589" s="9">
        <f>_xlfn.XLOOKUP(_xlfn.CONCAT(Table1[[#This Row], [TEAM]],Table1[[#This Row], [ROOM]]),'ROOM TIME'!$H$2:$H$121,'ROOM TIME'!$J$2:$J$121)</f>
        <v>55.443749999999994</v>
      </c>
      <c r="P589" s="9">
        <f>(INDEX(Sheet1!$X$48:$Z$67,MATCH(Table1[[#This Row], [ROOM]],Sheet1!$P$48:$P$67,0),MATCH(Table1[[#This Row], [WEAPON]],Sheet1!$X$47:$Z$47,0)))/Table1[[#This Row], [NUM OF MEM]]</f>
        <v>6.3249999999999993</v>
      </c>
      <c r="Q589" s="9">
        <f>Table1[[#This Row], [ROOM TIME]]+Table1[[#This Row], [GUARD TIME]]</f>
        <v>61.768749999999997</v>
      </c>
      <c r="R589" s="4">
        <f>Sheet1!$K$3*_xlfn.XLOOKUP(Table1[[#This Row], [DISGUISE]],Sheet1!$A$21:$A$23,Sheet1!$D$21:$D$23)</f>
        <v>69</v>
      </c>
      <c r="S589" s="9">
        <f>Table1[[#This Row], [TOTAL TIME]]-Table1[[#This Row], [TOTAL TIME TAKEN]]</f>
        <v>7.2312500000000028</v>
      </c>
      <c r="T589" t="str">
        <f>IF(Table1[[#This Row], [TIME DIFFERENCE]]&gt;=0,"PASS","FAIL")</f>
        <v>PASS</v>
      </c>
      <c r="U589" s="9">
        <f>Table1[[#This Row], [TRC]]+Table1[[#This Row], [DRC]]+Table1[[#This Row], [WRC]]+Table1[[#This Row], [ERC]]+Table1[[#This Row], [EQRC]]</f>
        <v>7942344.96875</v>
      </c>
      <c r="V589" s="9">
        <f>Table1[[#This Row], [TOTAL COST]]+_xlfn.XLOOKUP(Table1[[#This Row], [TEAM]],Sheet1!$A$12:$A$17,Sheet1!$I$12:$I$17)</f>
        <v>8238992.46875</v>
      </c>
      <c r="W589" s="9">
        <f>Table1[[#This Row], [LOOT]]-Table1[[#This Row], [TOTAL COST]]</f>
        <v>9757655.03125</v>
      </c>
      <c r="X589" s="9">
        <f>IF(Table1[[#This Row], [PASS/FAIL]]="FAIL",0,Table1[[#This Row], [PROFIT]])</f>
        <v>9757655.03125</v>
      </c>
    </row>
    <row r="590" spans="1:24" ht="19.5" customHeight="1" x14ac:dyDescent="0.45">
      <c r="A590" t="s">
        <v>15</v>
      </c>
      <c r="B590" s="14">
        <f>_xlfn.XLOOKUP(Table1[[#This Row], [TEAM]],Sheet1!$A$12:$A$17,Sheet1!$F$12:$F$17)</f>
        <v>2</v>
      </c>
      <c r="C590" s="14">
        <f>_xlfn.XLOOKUP(Table1[[#This Row], [TEAM]],Sheet1!$A$12:$A$17,Sheet1!$G$12:$G$17)</f>
        <v>5932950</v>
      </c>
      <c r="D590" t="s">
        <v>34</v>
      </c>
      <c r="E590" s="4">
        <f>_xlfn.XLOOKUP(Table1[[#This Row], [ROOM]],Sheet1!$A$47:$A$66,Sheet1!$B$47:$B$66)</f>
        <v>456</v>
      </c>
      <c r="F590" t="s">
        <v>62</v>
      </c>
      <c r="G590" s="4">
        <f>_xlfn.XLOOKUP(Table1[[#This Row], [DISGUISE]],Sheet1!$A$21:$A$23,Sheet1!$B$21:$B$23)*Table1[[#This Row], [NUM OF MEM]]*(1+_xlfn.XLOOKUP(Table1[[#This Row], [DISGUISE]],Sheet1!$A$21:$A$23,Sheet1!$C$21:$C$23))</f>
        <v>10400</v>
      </c>
      <c r="H590" s="13" t="s">
        <v>59</v>
      </c>
      <c r="I590" s="4">
        <f>_xlfn.XLOOKUP(Table1[[#This Row], [WEAPON]],Sheet1!$A$27:$A$29,Sheet1!$B$27:$B$29)*Table1[[#This Row], [NUM OF MEM]]*(1+_xlfn.XLOOKUP(Table1[[#This Row], [WEAPON]],Sheet1!$A$27:$A$29,Sheet1!$C$27:$C$29))</f>
        <v>91000</v>
      </c>
      <c r="J590" t="s">
        <v>64</v>
      </c>
      <c r="K590" s="4">
        <f>Table1[[#This Row], [NUM OF MEM]]*Table1[[#This Row], [TOTAL TIME TAKEN]]*_xlfn.XLOOKUP(Table1[[#This Row], [EXIT]],Sheet1!$A$70:$A$71,Sheet1!$B$70:$B$71)*(1+_xlfn.XLOOKUP(Table1[[#This Row], [EXIT]],Sheet1!$A$70:$A$71,Sheet1!$C$70:$C$71))</f>
        <v>1601046</v>
      </c>
      <c r="L590" s="13" t="s">
        <v>65</v>
      </c>
      <c r="M590" s="4">
        <f>IF(Table1[[#This Row], [EQUIPMENT]]="YES",Sheet1!$C$44*(1+Sheet1!$D$44),0)</f>
        <v>307500</v>
      </c>
      <c r="N590" s="4">
        <f>_xlfn.XLOOKUP(Table1[[#This Row], [ROOM]],Sheet1!$A$47:$A$66,Sheet1!$F$47:$F$66)</f>
        <v>17700000</v>
      </c>
      <c r="O590" s="9">
        <f>_xlfn.XLOOKUP(_xlfn.CONCAT(Table1[[#This Row], [TEAM]],Table1[[#This Row], [ROOM]]),'ROOM TIME'!$H$2:$H$121,'ROOM TIME'!$J$2:$J$121)</f>
        <v>55.443749999999994</v>
      </c>
      <c r="P590" s="9">
        <f>(INDEX(Sheet1!$X$48:$Z$67,MATCH(Table1[[#This Row], [ROOM]],Sheet1!$P$48:$P$67,0),MATCH(Table1[[#This Row], [WEAPON]],Sheet1!$X$47:$Z$47,0)))/Table1[[#This Row], [NUM OF MEM]]</f>
        <v>6.3249999999999993</v>
      </c>
      <c r="Q590" s="9">
        <f>Table1[[#This Row], [ROOM TIME]]+Table1[[#This Row], [GUARD TIME]]</f>
        <v>61.768749999999997</v>
      </c>
      <c r="R590" s="4">
        <f>Sheet1!$K$3*_xlfn.XLOOKUP(Table1[[#This Row], [DISGUISE]],Sheet1!$A$21:$A$23,Sheet1!$D$21:$D$23)</f>
        <v>66</v>
      </c>
      <c r="S590" s="9">
        <f>Table1[[#This Row], [TOTAL TIME]]-Table1[[#This Row], [TOTAL TIME TAKEN]]</f>
        <v>4.2312500000000028</v>
      </c>
      <c r="T590" t="str">
        <f>IF(Table1[[#This Row], [TIME DIFFERENCE]]&gt;=0,"PASS","FAIL")</f>
        <v>PASS</v>
      </c>
      <c r="U590" s="4">
        <f>Table1[[#This Row], [TRC]]+Table1[[#This Row], [DRC]]+Table1[[#This Row], [WRC]]+Table1[[#This Row], [ERC]]+Table1[[#This Row], [EQRC]]</f>
        <v>7942896</v>
      </c>
      <c r="V590" s="9">
        <f>Table1[[#This Row], [TOTAL COST]]+_xlfn.XLOOKUP(Table1[[#This Row], [TEAM]],Sheet1!$A$12:$A$17,Sheet1!$I$12:$I$17)</f>
        <v>8239543.5</v>
      </c>
      <c r="W590" s="4">
        <f>Table1[[#This Row], [LOOT]]-Table1[[#This Row], [TOTAL COST]]</f>
        <v>9757104</v>
      </c>
      <c r="X590" s="4">
        <f>IF(Table1[[#This Row], [PASS/FAIL]]="FAIL",0,Table1[[#This Row], [PROFIT]])</f>
        <v>9757104</v>
      </c>
    </row>
    <row r="591" spans="1:24" ht="19.5" customHeight="1" x14ac:dyDescent="0.45">
      <c r="A591" t="s">
        <v>12</v>
      </c>
      <c r="B591" s="14">
        <f>_xlfn.XLOOKUP(Table1[[#This Row], [TEAM]],Sheet1!$A$12:$A$17,Sheet1!$F$12:$F$17)</f>
        <v>3</v>
      </c>
      <c r="C591" s="14">
        <f>_xlfn.XLOOKUP(Table1[[#This Row], [TEAM]],Sheet1!$A$12:$A$17,Sheet1!$G$12:$G$17)</f>
        <v>5988750</v>
      </c>
      <c r="D591" t="s">
        <v>20</v>
      </c>
      <c r="E591" s="4">
        <f>_xlfn.XLOOKUP(Table1[[#This Row], [ROOM]],Sheet1!$A$47:$A$66,Sheet1!$B$47:$B$66)</f>
        <v>145</v>
      </c>
      <c r="F591" t="s">
        <v>58</v>
      </c>
      <c r="G591" s="4">
        <f>_xlfn.XLOOKUP(Table1[[#This Row], [DISGUISE]],Sheet1!$A$21:$A$23,Sheet1!$B$21:$B$23)*Table1[[#This Row], [NUM OF MEM]]*(1+_xlfn.XLOOKUP(Table1[[#This Row], [DISGUISE]],Sheet1!$A$21:$A$23,Sheet1!$C$21:$C$23))</f>
        <v>38400</v>
      </c>
      <c r="H591" s="13" t="s">
        <v>63</v>
      </c>
      <c r="I591" s="4">
        <f>_xlfn.XLOOKUP(Table1[[#This Row], [WEAPON]],Sheet1!$A$27:$A$29,Sheet1!$B$27:$B$29)*Table1[[#This Row], [NUM OF MEM]]*(1+_xlfn.XLOOKUP(Table1[[#This Row], [WEAPON]],Sheet1!$A$27:$A$29,Sheet1!$C$27:$C$29))</f>
        <v>69000</v>
      </c>
      <c r="J591" t="s">
        <v>60</v>
      </c>
      <c r="K591" s="9">
        <f>Table1[[#This Row], [NUM OF MEM]]*Table1[[#This Row], [TOTAL TIME TAKEN]]*_xlfn.XLOOKUP(Table1[[#This Row], [EXIT]],Sheet1!$A$70:$A$71,Sheet1!$B$70:$B$71)*(1+_xlfn.XLOOKUP(Table1[[#This Row], [EXIT]],Sheet1!$A$70:$A$71,Sheet1!$C$70:$C$71))</f>
        <v>1697098.1249999995</v>
      </c>
      <c r="L591" s="13" t="s">
        <v>61</v>
      </c>
      <c r="M591" s="4">
        <f>IF(Table1[[#This Row], [EQUIPMENT]]="YES",Sheet1!$C$44*(1+Sheet1!$D$44),0)</f>
        <v>0</v>
      </c>
      <c r="N591" s="4">
        <f>_xlfn.XLOOKUP(Table1[[#This Row], [ROOM]],Sheet1!$A$47:$A$66,Sheet1!$F$47:$F$66)</f>
        <v>17550000</v>
      </c>
      <c r="O591" s="9">
        <f>_xlfn.XLOOKUP(_xlfn.CONCAT(Table1[[#This Row], [TEAM]],Table1[[#This Row], [ROOM]]),'ROOM TIME'!$H$2:$H$121,'ROOM TIME'!$J$2:$J$121)</f>
        <v>39.583333333333321</v>
      </c>
      <c r="P591" s="9">
        <f>(INDEX(Sheet1!$X$48:$Z$67,MATCH(Table1[[#This Row], [ROOM]],Sheet1!$P$48:$P$67,0),MATCH(Table1[[#This Row], [WEAPON]],Sheet1!$X$47:$Z$47,0)))/Table1[[#This Row], [NUM OF MEM]]</f>
        <v>4.5</v>
      </c>
      <c r="Q591" s="9">
        <f>Table1[[#This Row], [ROOM TIME]]+Table1[[#This Row], [GUARD TIME]]</f>
        <v>44.083333333333321</v>
      </c>
      <c r="R591" s="4">
        <f>Sheet1!$K$3*_xlfn.XLOOKUP(Table1[[#This Row], [DISGUISE]],Sheet1!$A$21:$A$23,Sheet1!$D$21:$D$23)</f>
        <v>69</v>
      </c>
      <c r="S591" s="9">
        <f>Table1[[#This Row], [TOTAL TIME]]-Table1[[#This Row], [TOTAL TIME TAKEN]]</f>
        <v>24.916666666666679</v>
      </c>
      <c r="T591" t="str">
        <f>IF(Table1[[#This Row], [TIME DIFFERENCE]]&gt;=0,"PASS","FAIL")</f>
        <v>PASS</v>
      </c>
      <c r="U591" s="9">
        <f>Table1[[#This Row], [TRC]]+Table1[[#This Row], [DRC]]+Table1[[#This Row], [WRC]]+Table1[[#This Row], [ERC]]+Table1[[#This Row], [EQRC]]</f>
        <v>7793248.125</v>
      </c>
      <c r="V591" s="9">
        <f>Table1[[#This Row], [TOTAL COST]]+_xlfn.XLOOKUP(Table1[[#This Row], [TEAM]],Sheet1!$A$12:$A$17,Sheet1!$I$12:$I$17)</f>
        <v>8092685.625</v>
      </c>
      <c r="W591" s="9">
        <f>Table1[[#This Row], [LOOT]]-Table1[[#This Row], [TOTAL COST]]</f>
        <v>9756751.875</v>
      </c>
      <c r="X591" s="9">
        <f>IF(Table1[[#This Row], [PASS/FAIL]]="FAIL",0,Table1[[#This Row], [PROFIT]])</f>
        <v>9756751.875</v>
      </c>
    </row>
    <row r="592" spans="1:24" ht="19.5" customHeight="1" x14ac:dyDescent="0.45">
      <c r="A592" t="s">
        <v>14</v>
      </c>
      <c r="B592" s="14">
        <f>_xlfn.XLOOKUP(Table1[[#This Row], [TEAM]],Sheet1!$A$12:$A$17,Sheet1!$F$12:$F$17)</f>
        <v>2</v>
      </c>
      <c r="C592" s="14">
        <f>_xlfn.XLOOKUP(Table1[[#This Row], [TEAM]],Sheet1!$A$12:$A$17,Sheet1!$G$12:$G$17)</f>
        <v>5949600</v>
      </c>
      <c r="D592" t="s">
        <v>34</v>
      </c>
      <c r="E592" s="4">
        <f>_xlfn.XLOOKUP(Table1[[#This Row], [ROOM]],Sheet1!$A$47:$A$66,Sheet1!$B$47:$B$66)</f>
        <v>456</v>
      </c>
      <c r="F592" t="s">
        <v>58</v>
      </c>
      <c r="G592" s="4">
        <f>_xlfn.XLOOKUP(Table1[[#This Row], [DISGUISE]],Sheet1!$A$21:$A$23,Sheet1!$B$21:$B$23)*Table1[[#This Row], [NUM OF MEM]]*(1+_xlfn.XLOOKUP(Table1[[#This Row], [DISGUISE]],Sheet1!$A$21:$A$23,Sheet1!$C$21:$C$23))</f>
        <v>25600</v>
      </c>
      <c r="H592" s="13" t="s">
        <v>63</v>
      </c>
      <c r="I592" s="4">
        <f>_xlfn.XLOOKUP(Table1[[#This Row], [WEAPON]],Sheet1!$A$27:$A$29,Sheet1!$B$27:$B$29)*Table1[[#This Row], [NUM OF MEM]]*(1+_xlfn.XLOOKUP(Table1[[#This Row], [WEAPON]],Sheet1!$A$27:$A$29,Sheet1!$C$27:$C$29))</f>
        <v>46000</v>
      </c>
      <c r="J592" t="s">
        <v>60</v>
      </c>
      <c r="K592" s="9">
        <f>Table1[[#This Row], [NUM OF MEM]]*Table1[[#This Row], [TOTAL TIME TAKEN]]*_xlfn.XLOOKUP(Table1[[#This Row], [EXIT]],Sheet1!$A$70:$A$71,Sheet1!$B$70:$B$71)*(1+_xlfn.XLOOKUP(Table1[[#This Row], [EXIT]],Sheet1!$A$70:$A$71,Sheet1!$C$70:$C$71))</f>
        <v>1614777.6374999997</v>
      </c>
      <c r="L592" s="13" t="s">
        <v>65</v>
      </c>
      <c r="M592" s="4">
        <f>IF(Table1[[#This Row], [EQUIPMENT]]="YES",Sheet1!$C$44*(1+Sheet1!$D$44),0)</f>
        <v>307500</v>
      </c>
      <c r="N592" s="4">
        <f>_xlfn.XLOOKUP(Table1[[#This Row], [ROOM]],Sheet1!$A$47:$A$66,Sheet1!$F$47:$F$66)</f>
        <v>17700000</v>
      </c>
      <c r="O592" s="9">
        <f>_xlfn.XLOOKUP(_xlfn.CONCAT(Table1[[#This Row], [TEAM]],Table1[[#This Row], [ROOM]]),'ROOM TIME'!$H$2:$H$121,'ROOM TIME'!$J$2:$J$121)</f>
        <v>55.492499999999986</v>
      </c>
      <c r="P592" s="9">
        <f>(INDEX(Sheet1!$X$48:$Z$67,MATCH(Table1[[#This Row], [ROOM]],Sheet1!$P$48:$P$67,0),MATCH(Table1[[#This Row], [WEAPON]],Sheet1!$X$47:$Z$47,0)))/Table1[[#This Row], [NUM OF MEM]]</f>
        <v>7.4250000000000007</v>
      </c>
      <c r="Q592" s="9">
        <f>Table1[[#This Row], [ROOM TIME]]+Table1[[#This Row], [GUARD TIME]]</f>
        <v>62.91749999999999</v>
      </c>
      <c r="R592" s="4">
        <f>Sheet1!$K$3*_xlfn.XLOOKUP(Table1[[#This Row], [DISGUISE]],Sheet1!$A$21:$A$23,Sheet1!$D$21:$D$23)</f>
        <v>69</v>
      </c>
      <c r="S592" s="9">
        <f>Table1[[#This Row], [TOTAL TIME]]-Table1[[#This Row], [TOTAL TIME TAKEN]]</f>
        <v>6.0825000000000102</v>
      </c>
      <c r="T592" t="str">
        <f>IF(Table1[[#This Row], [TIME DIFFERENCE]]&gt;=0,"PASS","FAIL")</f>
        <v>PASS</v>
      </c>
      <c r="U592" s="9">
        <f>Table1[[#This Row], [TRC]]+Table1[[#This Row], [DRC]]+Table1[[#This Row], [WRC]]+Table1[[#This Row], [ERC]]+Table1[[#This Row], [EQRC]]</f>
        <v>7943477.6374999993</v>
      </c>
      <c r="V592" s="9">
        <f>Table1[[#This Row], [TOTAL COST]]+_xlfn.XLOOKUP(Table1[[#This Row], [TEAM]],Sheet1!$A$12:$A$17,Sheet1!$I$12:$I$17)</f>
        <v>8240957.6374999993</v>
      </c>
      <c r="W592" s="9">
        <f>Table1[[#This Row], [LOOT]]-Table1[[#This Row], [TOTAL COST]]</f>
        <v>9756522.3625000007</v>
      </c>
      <c r="X592" s="9">
        <f>IF(Table1[[#This Row], [PASS/FAIL]]="FAIL",0,Table1[[#This Row], [PROFIT]])</f>
        <v>9756522.3625000007</v>
      </c>
    </row>
    <row r="593" spans="1:24" ht="19.5" customHeight="1" x14ac:dyDescent="0.45">
      <c r="A593" t="s">
        <v>9</v>
      </c>
      <c r="B593" s="14">
        <f>_xlfn.XLOOKUP(Table1[[#This Row], [TEAM]],Sheet1!$A$12:$A$17,Sheet1!$F$12:$F$17)</f>
        <v>3</v>
      </c>
      <c r="C593" s="14">
        <f>_xlfn.XLOOKUP(Table1[[#This Row], [TEAM]],Sheet1!$A$12:$A$17,Sheet1!$G$12:$G$17)</f>
        <v>6238750</v>
      </c>
      <c r="D593" t="s">
        <v>10</v>
      </c>
      <c r="E593" s="4">
        <f>_xlfn.XLOOKUP(Table1[[#This Row], [ROOM]],Sheet1!$A$47:$A$66,Sheet1!$B$47:$B$66)</f>
        <v>123</v>
      </c>
      <c r="F593" t="s">
        <v>62</v>
      </c>
      <c r="G593" s="4">
        <f>_xlfn.XLOOKUP(Table1[[#This Row], [DISGUISE]],Sheet1!$A$21:$A$23,Sheet1!$B$21:$B$23)*Table1[[#This Row], [NUM OF MEM]]*(1+_xlfn.XLOOKUP(Table1[[#This Row], [DISGUISE]],Sheet1!$A$21:$A$23,Sheet1!$C$21:$C$23))</f>
        <v>15600</v>
      </c>
      <c r="H593" s="13" t="s">
        <v>59</v>
      </c>
      <c r="I593" s="4">
        <f>_xlfn.XLOOKUP(Table1[[#This Row], [WEAPON]],Sheet1!$A$27:$A$29,Sheet1!$B$27:$B$29)*Table1[[#This Row], [NUM OF MEM]]*(1+_xlfn.XLOOKUP(Table1[[#This Row], [WEAPON]],Sheet1!$A$27:$A$29,Sheet1!$C$27:$C$29))</f>
        <v>136500</v>
      </c>
      <c r="J593" t="s">
        <v>60</v>
      </c>
      <c r="K593" s="9">
        <f>Table1[[#This Row], [NUM OF MEM]]*Table1[[#This Row], [TOTAL TIME TAKEN]]*_xlfn.XLOOKUP(Table1[[#This Row], [EXIT]],Sheet1!$A$70:$A$71,Sheet1!$B$70:$B$71)*(1+_xlfn.XLOOKUP(Table1[[#This Row], [EXIT]],Sheet1!$A$70:$A$71,Sheet1!$C$70:$C$71))</f>
        <v>1702979.6874999995</v>
      </c>
      <c r="L593" s="13" t="s">
        <v>61</v>
      </c>
      <c r="M593" s="4">
        <f>IF(Table1[[#This Row], [EQUIPMENT]]="YES",Sheet1!$C$44*(1+Sheet1!$D$44),0)</f>
        <v>0</v>
      </c>
      <c r="N593" s="4">
        <f>_xlfn.XLOOKUP(Table1[[#This Row], [ROOM]],Sheet1!$A$47:$A$66,Sheet1!$F$47:$F$66)</f>
        <v>17850000</v>
      </c>
      <c r="O593" s="9">
        <f>_xlfn.XLOOKUP(_xlfn.CONCAT(Table1[[#This Row], [TEAM]],Table1[[#This Row], [ROOM]]),'ROOM TIME'!$H$2:$H$121,'ROOM TIME'!$J$2:$J$121)</f>
        <v>39.636111111111099</v>
      </c>
      <c r="P593" s="9">
        <f>(INDEX(Sheet1!$X$48:$Z$67,MATCH(Table1[[#This Row], [ROOM]],Sheet1!$P$48:$P$67,0),MATCH(Table1[[#This Row], [WEAPON]],Sheet1!$X$47:$Z$47,0)))/Table1[[#This Row], [NUM OF MEM]]</f>
        <v>4.5999999999999996</v>
      </c>
      <c r="Q593" s="9">
        <f>Table1[[#This Row], [ROOM TIME]]+Table1[[#This Row], [GUARD TIME]]</f>
        <v>44.2361111111111</v>
      </c>
      <c r="R593" s="4">
        <f>Sheet1!$K$3*_xlfn.XLOOKUP(Table1[[#This Row], [DISGUISE]],Sheet1!$A$21:$A$23,Sheet1!$D$21:$D$23)</f>
        <v>66</v>
      </c>
      <c r="S593" s="9">
        <f>Table1[[#This Row], [TOTAL TIME]]-Table1[[#This Row], [TOTAL TIME TAKEN]]</f>
        <v>21.7638888888889</v>
      </c>
      <c r="T593" t="str">
        <f>IF(Table1[[#This Row], [TIME DIFFERENCE]]&gt;=0,"PASS","FAIL")</f>
        <v>PASS</v>
      </c>
      <c r="U593" s="9">
        <f>Table1[[#This Row], [TRC]]+Table1[[#This Row], [DRC]]+Table1[[#This Row], [WRC]]+Table1[[#This Row], [ERC]]+Table1[[#This Row], [EQRC]]</f>
        <v>8093829.6875</v>
      </c>
      <c r="V593" s="9">
        <f>Table1[[#This Row], [TOTAL COST]]+_xlfn.XLOOKUP(Table1[[#This Row], [TEAM]],Sheet1!$A$12:$A$17,Sheet1!$I$12:$I$17)</f>
        <v>8405767.1875</v>
      </c>
      <c r="W593" s="9">
        <f>Table1[[#This Row], [LOOT]]-Table1[[#This Row], [TOTAL COST]]</f>
        <v>9756170.3125</v>
      </c>
      <c r="X593" s="9">
        <f>IF(Table1[[#This Row], [PASS/FAIL]]="FAIL",0,Table1[[#This Row], [PROFIT]])</f>
        <v>9756170.3125</v>
      </c>
    </row>
    <row r="594" spans="1:24" ht="19.5" customHeight="1" x14ac:dyDescent="0.45">
      <c r="A594" t="s">
        <v>14</v>
      </c>
      <c r="B594" s="14">
        <f>_xlfn.XLOOKUP(Table1[[#This Row], [TEAM]],Sheet1!$A$12:$A$17,Sheet1!$F$12:$F$17)</f>
        <v>2</v>
      </c>
      <c r="C594" s="14">
        <f>_xlfn.XLOOKUP(Table1[[#This Row], [TEAM]],Sheet1!$A$12:$A$17,Sheet1!$G$12:$G$17)</f>
        <v>5949600</v>
      </c>
      <c r="D594" t="s">
        <v>34</v>
      </c>
      <c r="E594" s="4">
        <f>_xlfn.XLOOKUP(Table1[[#This Row], [ROOM]],Sheet1!$A$47:$A$66,Sheet1!$B$47:$B$66)</f>
        <v>456</v>
      </c>
      <c r="F594" t="s">
        <v>62</v>
      </c>
      <c r="G594" s="4">
        <f>_xlfn.XLOOKUP(Table1[[#This Row], [DISGUISE]],Sheet1!$A$21:$A$23,Sheet1!$B$21:$B$23)*Table1[[#This Row], [NUM OF MEM]]*(1+_xlfn.XLOOKUP(Table1[[#This Row], [DISGUISE]],Sheet1!$A$21:$A$23,Sheet1!$C$21:$C$23))</f>
        <v>10400</v>
      </c>
      <c r="H594" s="13" t="s">
        <v>63</v>
      </c>
      <c r="I594" s="4">
        <f>_xlfn.XLOOKUP(Table1[[#This Row], [WEAPON]],Sheet1!$A$27:$A$29,Sheet1!$B$27:$B$29)*Table1[[#This Row], [NUM OF MEM]]*(1+_xlfn.XLOOKUP(Table1[[#This Row], [WEAPON]],Sheet1!$A$27:$A$29,Sheet1!$C$27:$C$29))</f>
        <v>46000</v>
      </c>
      <c r="J594" t="s">
        <v>64</v>
      </c>
      <c r="K594" s="9">
        <f>Table1[[#This Row], [NUM OF MEM]]*Table1[[#This Row], [TOTAL TIME TAKEN]]*_xlfn.XLOOKUP(Table1[[#This Row], [EXIT]],Sheet1!$A$70:$A$71,Sheet1!$B$70:$B$71)*(1+_xlfn.XLOOKUP(Table1[[#This Row], [EXIT]],Sheet1!$A$70:$A$71,Sheet1!$C$70:$C$71))</f>
        <v>1630821.5999999996</v>
      </c>
      <c r="L594" s="13" t="s">
        <v>65</v>
      </c>
      <c r="M594" s="4">
        <f>IF(Table1[[#This Row], [EQUIPMENT]]="YES",Sheet1!$C$44*(1+Sheet1!$D$44),0)</f>
        <v>307500</v>
      </c>
      <c r="N594" s="4">
        <f>_xlfn.XLOOKUP(Table1[[#This Row], [ROOM]],Sheet1!$A$47:$A$66,Sheet1!$F$47:$F$66)</f>
        <v>17700000</v>
      </c>
      <c r="O594" s="9">
        <f>_xlfn.XLOOKUP(_xlfn.CONCAT(Table1[[#This Row], [TEAM]],Table1[[#This Row], [ROOM]]),'ROOM TIME'!$H$2:$H$121,'ROOM TIME'!$J$2:$J$121)</f>
        <v>55.492499999999986</v>
      </c>
      <c r="P594" s="9">
        <f>(INDEX(Sheet1!$X$48:$Z$67,MATCH(Table1[[#This Row], [ROOM]],Sheet1!$P$48:$P$67,0),MATCH(Table1[[#This Row], [WEAPON]],Sheet1!$X$47:$Z$47,0)))/Table1[[#This Row], [NUM OF MEM]]</f>
        <v>7.4250000000000007</v>
      </c>
      <c r="Q594" s="9">
        <f>Table1[[#This Row], [ROOM TIME]]+Table1[[#This Row], [GUARD TIME]]</f>
        <v>62.91749999999999</v>
      </c>
      <c r="R594" s="4">
        <f>Sheet1!$K$3*_xlfn.XLOOKUP(Table1[[#This Row], [DISGUISE]],Sheet1!$A$21:$A$23,Sheet1!$D$21:$D$23)</f>
        <v>66</v>
      </c>
      <c r="S594" s="9">
        <f>Table1[[#This Row], [TOTAL TIME]]-Table1[[#This Row], [TOTAL TIME TAKEN]]</f>
        <v>3.0825000000000102</v>
      </c>
      <c r="T594" t="str">
        <f>IF(Table1[[#This Row], [TIME DIFFERENCE]]&gt;=0,"PASS","FAIL")</f>
        <v>PASS</v>
      </c>
      <c r="U594" s="9">
        <f>Table1[[#This Row], [TRC]]+Table1[[#This Row], [DRC]]+Table1[[#This Row], [WRC]]+Table1[[#This Row], [ERC]]+Table1[[#This Row], [EQRC]]</f>
        <v>7944321.5999999996</v>
      </c>
      <c r="V594" s="9">
        <f>Table1[[#This Row], [TOTAL COST]]+_xlfn.XLOOKUP(Table1[[#This Row], [TEAM]],Sheet1!$A$12:$A$17,Sheet1!$I$12:$I$17)</f>
        <v>8241801.5999999996</v>
      </c>
      <c r="W594" s="9">
        <f>Table1[[#This Row], [LOOT]]-Table1[[#This Row], [TOTAL COST]]</f>
        <v>9755678.4000000004</v>
      </c>
      <c r="X594" s="9">
        <f>IF(Table1[[#This Row], [PASS/FAIL]]="FAIL",0,Table1[[#This Row], [PROFIT]])</f>
        <v>9755678.4000000004</v>
      </c>
    </row>
    <row r="595" spans="1:24" ht="19.5" customHeight="1" x14ac:dyDescent="0.45">
      <c r="A595" t="s">
        <v>12</v>
      </c>
      <c r="B595" s="14">
        <f>_xlfn.XLOOKUP(Table1[[#This Row], [TEAM]],Sheet1!$A$12:$A$17,Sheet1!$F$12:$F$17)</f>
        <v>3</v>
      </c>
      <c r="C595" s="14">
        <f>_xlfn.XLOOKUP(Table1[[#This Row], [TEAM]],Sheet1!$A$12:$A$17,Sheet1!$G$12:$G$17)</f>
        <v>5988750</v>
      </c>
      <c r="D595" t="s">
        <v>19</v>
      </c>
      <c r="E595" s="4">
        <f>_xlfn.XLOOKUP(Table1[[#This Row], [ROOM]],Sheet1!$A$47:$A$66,Sheet1!$B$47:$B$66)</f>
        <v>135</v>
      </c>
      <c r="F595" t="s">
        <v>62</v>
      </c>
      <c r="G595" s="4">
        <f>_xlfn.XLOOKUP(Table1[[#This Row], [DISGUISE]],Sheet1!$A$21:$A$23,Sheet1!$B$21:$B$23)*Table1[[#This Row], [NUM OF MEM]]*(1+_xlfn.XLOOKUP(Table1[[#This Row], [DISGUISE]],Sheet1!$A$21:$A$23,Sheet1!$C$21:$C$23))</f>
        <v>15600</v>
      </c>
      <c r="H595" s="13" t="s">
        <v>59</v>
      </c>
      <c r="I595" s="4">
        <f>_xlfn.XLOOKUP(Table1[[#This Row], [WEAPON]],Sheet1!$A$27:$A$29,Sheet1!$B$27:$B$29)*Table1[[#This Row], [NUM OF MEM]]*(1+_xlfn.XLOOKUP(Table1[[#This Row], [WEAPON]],Sheet1!$A$27:$A$29,Sheet1!$C$27:$C$29))</f>
        <v>136500</v>
      </c>
      <c r="J595" t="s">
        <v>60</v>
      </c>
      <c r="K595" s="9">
        <f>Table1[[#This Row], [NUM OF MEM]]*Table1[[#This Row], [TOTAL TIME TAKEN]]*_xlfn.XLOOKUP(Table1[[#This Row], [EXIT]],Sheet1!$A$70:$A$71,Sheet1!$B$70:$B$71)*(1+_xlfn.XLOOKUP(Table1[[#This Row], [EXIT]],Sheet1!$A$70:$A$71,Sheet1!$C$70:$C$71))</f>
        <v>1746503.2499999995</v>
      </c>
      <c r="L595" s="13" t="s">
        <v>65</v>
      </c>
      <c r="M595" s="4">
        <f>IF(Table1[[#This Row], [EQUIPMENT]]="YES",Sheet1!$C$44*(1+Sheet1!$D$44),0)</f>
        <v>307500</v>
      </c>
      <c r="N595" s="4">
        <f>_xlfn.XLOOKUP(Table1[[#This Row], [ROOM]],Sheet1!$A$47:$A$66,Sheet1!$F$47:$F$66)</f>
        <v>17950000</v>
      </c>
      <c r="O595" s="9">
        <f>_xlfn.XLOOKUP(_xlfn.CONCAT(Table1[[#This Row], [TEAM]],Table1[[#This Row], [ROOM]]),'ROOM TIME'!$H$2:$H$121,'ROOM TIME'!$J$2:$J$121)</f>
        <v>41.149999999999984</v>
      </c>
      <c r="P595" s="9">
        <f>(INDEX(Sheet1!$X$48:$Z$67,MATCH(Table1[[#This Row], [ROOM]],Sheet1!$P$48:$P$67,0),MATCH(Table1[[#This Row], [WEAPON]],Sheet1!$X$47:$Z$47,0)))/Table1[[#This Row], [NUM OF MEM]]</f>
        <v>4.2166666666666659</v>
      </c>
      <c r="Q595" s="9">
        <f>Table1[[#This Row], [ROOM TIME]]+Table1[[#This Row], [GUARD TIME]]</f>
        <v>45.366666666666653</v>
      </c>
      <c r="R595" s="4">
        <f>Sheet1!$K$3*_xlfn.XLOOKUP(Table1[[#This Row], [DISGUISE]],Sheet1!$A$21:$A$23,Sheet1!$D$21:$D$23)</f>
        <v>66</v>
      </c>
      <c r="S595" s="9">
        <f>Table1[[#This Row], [TOTAL TIME]]-Table1[[#This Row], [TOTAL TIME TAKEN]]</f>
        <v>20.633333333333347</v>
      </c>
      <c r="T595" t="str">
        <f>IF(Table1[[#This Row], [TIME DIFFERENCE]]&gt;=0,"PASS","FAIL")</f>
        <v>PASS</v>
      </c>
      <c r="U595" s="9">
        <f>Table1[[#This Row], [TRC]]+Table1[[#This Row], [DRC]]+Table1[[#This Row], [WRC]]+Table1[[#This Row], [ERC]]+Table1[[#This Row], [EQRC]]</f>
        <v>8194853.25</v>
      </c>
      <c r="V595" s="9">
        <f>Table1[[#This Row], [TOTAL COST]]+_xlfn.XLOOKUP(Table1[[#This Row], [TEAM]],Sheet1!$A$12:$A$17,Sheet1!$I$12:$I$17)</f>
        <v>8494290.75</v>
      </c>
      <c r="W595" s="9">
        <f>Table1[[#This Row], [LOOT]]-Table1[[#This Row], [TOTAL COST]]</f>
        <v>9755146.75</v>
      </c>
      <c r="X595" s="9">
        <f>IF(Table1[[#This Row], [PASS/FAIL]]="FAIL",0,Table1[[#This Row], [PROFIT]])</f>
        <v>9755146.75</v>
      </c>
    </row>
    <row r="596" spans="1:24" ht="19.5" customHeight="1" x14ac:dyDescent="0.45">
      <c r="A596" t="s">
        <v>13</v>
      </c>
      <c r="B596" s="14">
        <f>_xlfn.XLOOKUP(Table1[[#This Row], [TEAM]],Sheet1!$A$12:$A$17,Sheet1!$F$12:$F$17)</f>
        <v>3</v>
      </c>
      <c r="C596" s="14">
        <f>_xlfn.XLOOKUP(Table1[[#This Row], [TEAM]],Sheet1!$A$12:$A$17,Sheet1!$G$12:$G$17)</f>
        <v>5930000</v>
      </c>
      <c r="D596" t="s">
        <v>19</v>
      </c>
      <c r="E596" s="4">
        <f>_xlfn.XLOOKUP(Table1[[#This Row], [ROOM]],Sheet1!$A$47:$A$66,Sheet1!$B$47:$B$66)</f>
        <v>135</v>
      </c>
      <c r="F596" t="s">
        <v>62</v>
      </c>
      <c r="G596" s="4">
        <f>_xlfn.XLOOKUP(Table1[[#This Row], [DISGUISE]],Sheet1!$A$21:$A$23,Sheet1!$B$21:$B$23)*Table1[[#This Row], [NUM OF MEM]]*(1+_xlfn.XLOOKUP(Table1[[#This Row], [DISGUISE]],Sheet1!$A$21:$A$23,Sheet1!$C$21:$C$23))</f>
        <v>15600</v>
      </c>
      <c r="H596" s="13" t="s">
        <v>59</v>
      </c>
      <c r="I596" s="4">
        <f>_xlfn.XLOOKUP(Table1[[#This Row], [WEAPON]],Sheet1!$A$27:$A$29,Sheet1!$B$27:$B$29)*Table1[[#This Row], [NUM OF MEM]]*(1+_xlfn.XLOOKUP(Table1[[#This Row], [WEAPON]],Sheet1!$A$27:$A$29,Sheet1!$C$27:$C$29))</f>
        <v>136500</v>
      </c>
      <c r="J596" t="s">
        <v>60</v>
      </c>
      <c r="K596" s="9">
        <f>Table1[[#This Row], [NUM OF MEM]]*Table1[[#This Row], [TOTAL TIME TAKEN]]*_xlfn.XLOOKUP(Table1[[#This Row], [EXIT]],Sheet1!$A$70:$A$71,Sheet1!$B$70:$B$71)*(1+_xlfn.XLOOKUP(Table1[[#This Row], [EXIT]],Sheet1!$A$70:$A$71,Sheet1!$C$70:$C$71))</f>
        <v>1805276.0999999996</v>
      </c>
      <c r="L596" s="13" t="s">
        <v>65</v>
      </c>
      <c r="M596" s="4">
        <f>IF(Table1[[#This Row], [EQUIPMENT]]="YES",Sheet1!$C$44*(1+Sheet1!$D$44),0)</f>
        <v>307500</v>
      </c>
      <c r="N596" s="4">
        <f>_xlfn.XLOOKUP(Table1[[#This Row], [ROOM]],Sheet1!$A$47:$A$66,Sheet1!$F$47:$F$66)</f>
        <v>17950000</v>
      </c>
      <c r="O596" s="9">
        <f>_xlfn.XLOOKUP(_xlfn.CONCAT(Table1[[#This Row], [TEAM]],Table1[[#This Row], [ROOM]]),'ROOM TIME'!$H$2:$H$121,'ROOM TIME'!$J$2:$J$121)</f>
        <v>42.676666666666655</v>
      </c>
      <c r="P596" s="9">
        <f>(INDEX(Sheet1!$X$48:$Z$67,MATCH(Table1[[#This Row], [ROOM]],Sheet1!$P$48:$P$67,0),MATCH(Table1[[#This Row], [WEAPON]],Sheet1!$X$47:$Z$47,0)))/Table1[[#This Row], [NUM OF MEM]]</f>
        <v>4.2166666666666659</v>
      </c>
      <c r="Q596" s="9">
        <f>Table1[[#This Row], [ROOM TIME]]+Table1[[#This Row], [GUARD TIME]]</f>
        <v>46.893333333333324</v>
      </c>
      <c r="R596" s="4">
        <f>Sheet1!$K$3*_xlfn.XLOOKUP(Table1[[#This Row], [DISGUISE]],Sheet1!$A$21:$A$23,Sheet1!$D$21:$D$23)</f>
        <v>66</v>
      </c>
      <c r="S596" s="9">
        <f>Table1[[#This Row], [TOTAL TIME]]-Table1[[#This Row], [TOTAL TIME TAKEN]]</f>
        <v>19.106666666666676</v>
      </c>
      <c r="T596" t="str">
        <f>IF(Table1[[#This Row], [TIME DIFFERENCE]]&gt;=0,"PASS","FAIL")</f>
        <v>PASS</v>
      </c>
      <c r="U596" s="9">
        <f>Table1[[#This Row], [TRC]]+Table1[[#This Row], [DRC]]+Table1[[#This Row], [WRC]]+Table1[[#This Row], [ERC]]+Table1[[#This Row], [EQRC]]</f>
        <v>8194876.0999999996</v>
      </c>
      <c r="V596" s="9">
        <f>Table1[[#This Row], [TOTAL COST]]+_xlfn.XLOOKUP(Table1[[#This Row], [TEAM]],Sheet1!$A$12:$A$17,Sheet1!$I$12:$I$17)</f>
        <v>8491376.0999999996</v>
      </c>
      <c r="W596" s="9">
        <f>Table1[[#This Row], [LOOT]]-Table1[[#This Row], [TOTAL COST]]</f>
        <v>9755123.9000000004</v>
      </c>
      <c r="X596" s="9">
        <f>IF(Table1[[#This Row], [PASS/FAIL]]="FAIL",0,Table1[[#This Row], [PROFIT]])</f>
        <v>9755123.9000000004</v>
      </c>
    </row>
    <row r="597" spans="1:24" ht="19.5" customHeight="1" x14ac:dyDescent="0.45">
      <c r="A597" t="s">
        <v>14</v>
      </c>
      <c r="B597" s="14">
        <f>_xlfn.XLOOKUP(Table1[[#This Row], [TEAM]],Sheet1!$A$12:$A$17,Sheet1!$F$12:$F$17)</f>
        <v>2</v>
      </c>
      <c r="C597" s="14">
        <f>_xlfn.XLOOKUP(Table1[[#This Row], [TEAM]],Sheet1!$A$12:$A$17,Sheet1!$G$12:$G$17)</f>
        <v>5949600</v>
      </c>
      <c r="D597" t="s">
        <v>34</v>
      </c>
      <c r="E597" s="4">
        <f>_xlfn.XLOOKUP(Table1[[#This Row], [ROOM]],Sheet1!$A$47:$A$66,Sheet1!$B$47:$B$66)</f>
        <v>456</v>
      </c>
      <c r="F597" t="s">
        <v>62</v>
      </c>
      <c r="G597" s="4">
        <f>_xlfn.XLOOKUP(Table1[[#This Row], [DISGUISE]],Sheet1!$A$21:$A$23,Sheet1!$B$21:$B$23)*Table1[[#This Row], [NUM OF MEM]]*(1+_xlfn.XLOOKUP(Table1[[#This Row], [DISGUISE]],Sheet1!$A$21:$A$23,Sheet1!$C$21:$C$23))</f>
        <v>10400</v>
      </c>
      <c r="H597" s="13" t="s">
        <v>59</v>
      </c>
      <c r="I597" s="4">
        <f>_xlfn.XLOOKUP(Table1[[#This Row], [WEAPON]],Sheet1!$A$27:$A$29,Sheet1!$B$27:$B$29)*Table1[[#This Row], [NUM OF MEM]]*(1+_xlfn.XLOOKUP(Table1[[#This Row], [WEAPON]],Sheet1!$A$27:$A$29,Sheet1!$C$27:$C$29))</f>
        <v>91000</v>
      </c>
      <c r="J597" t="s">
        <v>60</v>
      </c>
      <c r="K597" s="9">
        <f>Table1[[#This Row], [NUM OF MEM]]*Table1[[#This Row], [TOTAL TIME TAKEN]]*_xlfn.XLOOKUP(Table1[[#This Row], [EXIT]],Sheet1!$A$70:$A$71,Sheet1!$B$70:$B$71)*(1+_xlfn.XLOOKUP(Table1[[#This Row], [EXIT]],Sheet1!$A$70:$A$71,Sheet1!$C$70:$C$71))</f>
        <v>1586546.1374999997</v>
      </c>
      <c r="L597" s="13" t="s">
        <v>65</v>
      </c>
      <c r="M597" s="4">
        <f>IF(Table1[[#This Row], [EQUIPMENT]]="YES",Sheet1!$C$44*(1+Sheet1!$D$44),0)</f>
        <v>307500</v>
      </c>
      <c r="N597" s="4">
        <f>_xlfn.XLOOKUP(Table1[[#This Row], [ROOM]],Sheet1!$A$47:$A$66,Sheet1!$F$47:$F$66)</f>
        <v>17700000</v>
      </c>
      <c r="O597" s="9">
        <f>_xlfn.XLOOKUP(_xlfn.CONCAT(Table1[[#This Row], [TEAM]],Table1[[#This Row], [ROOM]]),'ROOM TIME'!$H$2:$H$121,'ROOM TIME'!$J$2:$J$121)</f>
        <v>55.492499999999986</v>
      </c>
      <c r="P597" s="9">
        <f>(INDEX(Sheet1!$X$48:$Z$67,MATCH(Table1[[#This Row], [ROOM]],Sheet1!$P$48:$P$67,0),MATCH(Table1[[#This Row], [WEAPON]],Sheet1!$X$47:$Z$47,0)))/Table1[[#This Row], [NUM OF MEM]]</f>
        <v>6.3249999999999993</v>
      </c>
      <c r="Q597" s="9">
        <f>Table1[[#This Row], [ROOM TIME]]+Table1[[#This Row], [GUARD TIME]]</f>
        <v>61.817499999999981</v>
      </c>
      <c r="R597" s="4">
        <f>Sheet1!$K$3*_xlfn.XLOOKUP(Table1[[#This Row], [DISGUISE]],Sheet1!$A$21:$A$23,Sheet1!$D$21:$D$23)</f>
        <v>66</v>
      </c>
      <c r="S597" s="9">
        <f>Table1[[#This Row], [TOTAL TIME]]-Table1[[#This Row], [TOTAL TIME TAKEN]]</f>
        <v>4.1825000000000188</v>
      </c>
      <c r="T597" t="str">
        <f>IF(Table1[[#This Row], [TIME DIFFERENCE]]&gt;=0,"PASS","FAIL")</f>
        <v>PASS</v>
      </c>
      <c r="U597" s="9">
        <f>Table1[[#This Row], [TRC]]+Table1[[#This Row], [DRC]]+Table1[[#This Row], [WRC]]+Table1[[#This Row], [ERC]]+Table1[[#This Row], [EQRC]]</f>
        <v>7945046.1374999993</v>
      </c>
      <c r="V597" s="9">
        <f>Table1[[#This Row], [TOTAL COST]]+_xlfn.XLOOKUP(Table1[[#This Row], [TEAM]],Sheet1!$A$12:$A$17,Sheet1!$I$12:$I$17)</f>
        <v>8242526.1374999993</v>
      </c>
      <c r="W597" s="9">
        <f>Table1[[#This Row], [LOOT]]-Table1[[#This Row], [TOTAL COST]]</f>
        <v>9754953.8625000007</v>
      </c>
      <c r="X597" s="9">
        <f>IF(Table1[[#This Row], [PASS/FAIL]]="FAIL",0,Table1[[#This Row], [PROFIT]])</f>
        <v>9754953.8625000007</v>
      </c>
    </row>
    <row r="598" spans="1:24" ht="19.5" customHeight="1" x14ac:dyDescent="0.45">
      <c r="A598" t="s">
        <v>9</v>
      </c>
      <c r="B598" s="14">
        <f>_xlfn.XLOOKUP(Table1[[#This Row], [TEAM]],Sheet1!$A$12:$A$17,Sheet1!$F$12:$F$17)</f>
        <v>3</v>
      </c>
      <c r="C598" s="14">
        <f>_xlfn.XLOOKUP(Table1[[#This Row], [TEAM]],Sheet1!$A$12:$A$17,Sheet1!$G$12:$G$17)</f>
        <v>6238750</v>
      </c>
      <c r="D598" t="s">
        <v>22</v>
      </c>
      <c r="E598" s="4">
        <f>_xlfn.XLOOKUP(Table1[[#This Row], [ROOM]],Sheet1!$A$47:$A$66,Sheet1!$B$47:$B$66)</f>
        <v>235</v>
      </c>
      <c r="F598" t="s">
        <v>62</v>
      </c>
      <c r="G598" s="4">
        <f>_xlfn.XLOOKUP(Table1[[#This Row], [DISGUISE]],Sheet1!$A$21:$A$23,Sheet1!$B$21:$B$23)*Table1[[#This Row], [NUM OF MEM]]*(1+_xlfn.XLOOKUP(Table1[[#This Row], [DISGUISE]],Sheet1!$A$21:$A$23,Sheet1!$C$21:$C$23))</f>
        <v>15600</v>
      </c>
      <c r="H598" s="13" t="s">
        <v>63</v>
      </c>
      <c r="I598" s="4">
        <f>_xlfn.XLOOKUP(Table1[[#This Row], [WEAPON]],Sheet1!$A$27:$A$29,Sheet1!$B$27:$B$29)*Table1[[#This Row], [NUM OF MEM]]*(1+_xlfn.XLOOKUP(Table1[[#This Row], [WEAPON]],Sheet1!$A$27:$A$29,Sheet1!$C$27:$C$29))</f>
        <v>69000</v>
      </c>
      <c r="J598" t="s">
        <v>60</v>
      </c>
      <c r="K598" s="9">
        <f>Table1[[#This Row], [NUM OF MEM]]*Table1[[#This Row], [TOTAL TIME TAKEN]]*_xlfn.XLOOKUP(Table1[[#This Row], [EXIT]],Sheet1!$A$70:$A$71,Sheet1!$B$70:$B$71)*(1+_xlfn.XLOOKUP(Table1[[#This Row], [EXIT]],Sheet1!$A$70:$A$71,Sheet1!$C$70:$C$71))</f>
        <v>1722549.2499999993</v>
      </c>
      <c r="L598" s="13" t="s">
        <v>61</v>
      </c>
      <c r="M598" s="4">
        <f>IF(Table1[[#This Row], [EQUIPMENT]]="YES",Sheet1!$C$44*(1+Sheet1!$D$44),0)</f>
        <v>0</v>
      </c>
      <c r="N598" s="4">
        <f>_xlfn.XLOOKUP(Table1[[#This Row], [ROOM]],Sheet1!$A$47:$A$66,Sheet1!$F$47:$F$66)</f>
        <v>17800000</v>
      </c>
      <c r="O598" s="9">
        <f>_xlfn.XLOOKUP(_xlfn.CONCAT(Table1[[#This Row], [TEAM]],Table1[[#This Row], [ROOM]]),'ROOM TIME'!$H$2:$H$121,'ROOM TIME'!$J$2:$J$121)</f>
        <v>39.344444444444434</v>
      </c>
      <c r="P598" s="9">
        <f>(INDEX(Sheet1!$X$48:$Z$67,MATCH(Table1[[#This Row], [ROOM]],Sheet1!$P$48:$P$67,0),MATCH(Table1[[#This Row], [WEAPON]],Sheet1!$X$47:$Z$47,0)))/Table1[[#This Row], [NUM OF MEM]]</f>
        <v>5.4000000000000012</v>
      </c>
      <c r="Q598" s="9">
        <f>Table1[[#This Row], [ROOM TIME]]+Table1[[#This Row], [GUARD TIME]]</f>
        <v>44.744444444444433</v>
      </c>
      <c r="R598" s="4">
        <f>Sheet1!$K$3*_xlfn.XLOOKUP(Table1[[#This Row], [DISGUISE]],Sheet1!$A$21:$A$23,Sheet1!$D$21:$D$23)</f>
        <v>66</v>
      </c>
      <c r="S598" s="9">
        <f>Table1[[#This Row], [TOTAL TIME]]-Table1[[#This Row], [TOTAL TIME TAKEN]]</f>
        <v>21.255555555555567</v>
      </c>
      <c r="T598" t="str">
        <f>IF(Table1[[#This Row], [TIME DIFFERENCE]]&gt;=0,"PASS","FAIL")</f>
        <v>PASS</v>
      </c>
      <c r="U598" s="9">
        <f>Table1[[#This Row], [TRC]]+Table1[[#This Row], [DRC]]+Table1[[#This Row], [WRC]]+Table1[[#This Row], [ERC]]+Table1[[#This Row], [EQRC]]</f>
        <v>8045899.2499999991</v>
      </c>
      <c r="V598" s="9">
        <f>Table1[[#This Row], [TOTAL COST]]+_xlfn.XLOOKUP(Table1[[#This Row], [TEAM]],Sheet1!$A$12:$A$17,Sheet1!$I$12:$I$17)</f>
        <v>8357836.7499999991</v>
      </c>
      <c r="W598" s="9">
        <f>Table1[[#This Row], [LOOT]]-Table1[[#This Row], [TOTAL COST]]</f>
        <v>9754100.75</v>
      </c>
      <c r="X598" s="9">
        <f>IF(Table1[[#This Row], [PASS/FAIL]]="FAIL",0,Table1[[#This Row], [PROFIT]])</f>
        <v>9754100.75</v>
      </c>
    </row>
    <row r="599" spans="1:24" ht="19.5" customHeight="1" x14ac:dyDescent="0.45">
      <c r="A599" t="s">
        <v>12</v>
      </c>
      <c r="B599" s="14">
        <f>_xlfn.XLOOKUP(Table1[[#This Row], [TEAM]],Sheet1!$A$12:$A$17,Sheet1!$F$12:$F$17)</f>
        <v>3</v>
      </c>
      <c r="C599" s="14">
        <f>_xlfn.XLOOKUP(Table1[[#This Row], [TEAM]],Sheet1!$A$12:$A$17,Sheet1!$G$12:$G$17)</f>
        <v>5988750</v>
      </c>
      <c r="D599" t="s">
        <v>19</v>
      </c>
      <c r="E599" s="4">
        <f>_xlfn.XLOOKUP(Table1[[#This Row], [ROOM]],Sheet1!$A$47:$A$66,Sheet1!$B$47:$B$66)</f>
        <v>135</v>
      </c>
      <c r="F599" t="s">
        <v>58</v>
      </c>
      <c r="G599" s="4">
        <f>_xlfn.XLOOKUP(Table1[[#This Row], [DISGUISE]],Sheet1!$A$21:$A$23,Sheet1!$B$21:$B$23)*Table1[[#This Row], [NUM OF MEM]]*(1+_xlfn.XLOOKUP(Table1[[#This Row], [DISGUISE]],Sheet1!$A$21:$A$23,Sheet1!$C$21:$C$23))</f>
        <v>38400</v>
      </c>
      <c r="H599" s="13" t="s">
        <v>63</v>
      </c>
      <c r="I599" s="4">
        <f>_xlfn.XLOOKUP(Table1[[#This Row], [WEAPON]],Sheet1!$A$27:$A$29,Sheet1!$B$27:$B$29)*Table1[[#This Row], [NUM OF MEM]]*(1+_xlfn.XLOOKUP(Table1[[#This Row], [WEAPON]],Sheet1!$A$27:$A$29,Sheet1!$C$27:$C$29))</f>
        <v>69000</v>
      </c>
      <c r="J599" t="s">
        <v>64</v>
      </c>
      <c r="K599" s="9">
        <f>Table1[[#This Row], [NUM OF MEM]]*Table1[[#This Row], [TOTAL TIME TAKEN]]*_xlfn.XLOOKUP(Table1[[#This Row], [EXIT]],Sheet1!$A$70:$A$71,Sheet1!$B$70:$B$71)*(1+_xlfn.XLOOKUP(Table1[[#This Row], [EXIT]],Sheet1!$A$70:$A$71,Sheet1!$C$70:$C$71))</f>
        <v>1792367.9999999993</v>
      </c>
      <c r="L599" s="13" t="s">
        <v>65</v>
      </c>
      <c r="M599" s="4">
        <f>IF(Table1[[#This Row], [EQUIPMENT]]="YES",Sheet1!$C$44*(1+Sheet1!$D$44),0)</f>
        <v>307500</v>
      </c>
      <c r="N599" s="4">
        <f>_xlfn.XLOOKUP(Table1[[#This Row], [ROOM]],Sheet1!$A$47:$A$66,Sheet1!$F$47:$F$66)</f>
        <v>17950000</v>
      </c>
      <c r="O599" s="9">
        <f>_xlfn.XLOOKUP(_xlfn.CONCAT(Table1[[#This Row], [TEAM]],Table1[[#This Row], [ROOM]]),'ROOM TIME'!$H$2:$H$121,'ROOM TIME'!$J$2:$J$121)</f>
        <v>41.149999999999984</v>
      </c>
      <c r="P599" s="9">
        <f>(INDEX(Sheet1!$X$48:$Z$67,MATCH(Table1[[#This Row], [ROOM]],Sheet1!$P$48:$P$67,0),MATCH(Table1[[#This Row], [WEAPON]],Sheet1!$X$47:$Z$47,0)))/Table1[[#This Row], [NUM OF MEM]]</f>
        <v>4.95</v>
      </c>
      <c r="Q599" s="9">
        <f>Table1[[#This Row], [ROOM TIME]]+Table1[[#This Row], [GUARD TIME]]</f>
        <v>46.099999999999987</v>
      </c>
      <c r="R599" s="4">
        <f>Sheet1!$K$3*_xlfn.XLOOKUP(Table1[[#This Row], [DISGUISE]],Sheet1!$A$21:$A$23,Sheet1!$D$21:$D$23)</f>
        <v>69</v>
      </c>
      <c r="S599" s="9">
        <f>Table1[[#This Row], [TOTAL TIME]]-Table1[[#This Row], [TOTAL TIME TAKEN]]</f>
        <v>22.900000000000013</v>
      </c>
      <c r="T599" t="str">
        <f>IF(Table1[[#This Row], [TIME DIFFERENCE]]&gt;=0,"PASS","FAIL")</f>
        <v>PASS</v>
      </c>
      <c r="U599" s="9">
        <f>Table1[[#This Row], [TRC]]+Table1[[#This Row], [DRC]]+Table1[[#This Row], [WRC]]+Table1[[#This Row], [ERC]]+Table1[[#This Row], [EQRC]]</f>
        <v>8196017.9999999991</v>
      </c>
      <c r="V599" s="9">
        <f>Table1[[#This Row], [TOTAL COST]]+_xlfn.XLOOKUP(Table1[[#This Row], [TEAM]],Sheet1!$A$12:$A$17,Sheet1!$I$12:$I$17)</f>
        <v>8495455.5</v>
      </c>
      <c r="W599" s="4">
        <f>Table1[[#This Row], [LOOT]]-Table1[[#This Row], [TOTAL COST]]</f>
        <v>9753982</v>
      </c>
      <c r="X599" s="4">
        <f>IF(Table1[[#This Row], [PASS/FAIL]]="FAIL",0,Table1[[#This Row], [PROFIT]])</f>
        <v>9753982</v>
      </c>
    </row>
    <row r="600" spans="1:24" ht="19.5" customHeight="1" x14ac:dyDescent="0.45">
      <c r="A600" t="s">
        <v>12</v>
      </c>
      <c r="B600" s="14">
        <f>_xlfn.XLOOKUP(Table1[[#This Row], [TEAM]],Sheet1!$A$12:$A$17,Sheet1!$F$12:$F$17)</f>
        <v>3</v>
      </c>
      <c r="C600" s="14">
        <f>_xlfn.XLOOKUP(Table1[[#This Row], [TEAM]],Sheet1!$A$12:$A$17,Sheet1!$G$12:$G$17)</f>
        <v>5988750</v>
      </c>
      <c r="D600" t="s">
        <v>20</v>
      </c>
      <c r="E600" s="4">
        <f>_xlfn.XLOOKUP(Table1[[#This Row], [ROOM]],Sheet1!$A$47:$A$66,Sheet1!$B$47:$B$66)</f>
        <v>145</v>
      </c>
      <c r="F600" t="s">
        <v>62</v>
      </c>
      <c r="G600" s="4">
        <f>_xlfn.XLOOKUP(Table1[[#This Row], [DISGUISE]],Sheet1!$A$21:$A$23,Sheet1!$B$21:$B$23)*Table1[[#This Row], [NUM OF MEM]]*(1+_xlfn.XLOOKUP(Table1[[#This Row], [DISGUISE]],Sheet1!$A$21:$A$23,Sheet1!$C$21:$C$23))</f>
        <v>15600</v>
      </c>
      <c r="H600" s="13" t="s">
        <v>66</v>
      </c>
      <c r="I600" s="4">
        <f>_xlfn.XLOOKUP(Table1[[#This Row], [WEAPON]],Sheet1!$A$27:$A$29,Sheet1!$B$27:$B$29)*Table1[[#This Row], [NUM OF MEM]]*(1+_xlfn.XLOOKUP(Table1[[#This Row], [WEAPON]],Sheet1!$A$27:$A$29,Sheet1!$C$27:$C$29))</f>
        <v>108000</v>
      </c>
      <c r="J600" t="s">
        <v>60</v>
      </c>
      <c r="K600" s="9">
        <f>Table1[[#This Row], [NUM OF MEM]]*Table1[[#This Row], [TOTAL TIME TAKEN]]*_xlfn.XLOOKUP(Table1[[#This Row], [EXIT]],Sheet1!$A$70:$A$71,Sheet1!$B$70:$B$71)*(1+_xlfn.XLOOKUP(Table1[[#This Row], [EXIT]],Sheet1!$A$70:$A$71,Sheet1!$C$70:$C$71))</f>
        <v>1684265.6249999993</v>
      </c>
      <c r="L600" s="13" t="s">
        <v>61</v>
      </c>
      <c r="M600" s="4">
        <f>IF(Table1[[#This Row], [EQUIPMENT]]="YES",Sheet1!$C$44*(1+Sheet1!$D$44),0)</f>
        <v>0</v>
      </c>
      <c r="N600" s="4">
        <f>_xlfn.XLOOKUP(Table1[[#This Row], [ROOM]],Sheet1!$A$47:$A$66,Sheet1!$F$47:$F$66)</f>
        <v>17550000</v>
      </c>
      <c r="O600" s="9">
        <f>_xlfn.XLOOKUP(_xlfn.CONCAT(Table1[[#This Row], [TEAM]],Table1[[#This Row], [ROOM]]),'ROOM TIME'!$H$2:$H$121,'ROOM TIME'!$J$2:$J$121)</f>
        <v>39.583333333333321</v>
      </c>
      <c r="P600" s="9">
        <f>(INDEX(Sheet1!$X$48:$Z$67,MATCH(Table1[[#This Row], [ROOM]],Sheet1!$P$48:$P$67,0),MATCH(Table1[[#This Row], [WEAPON]],Sheet1!$X$47:$Z$47,0)))/Table1[[#This Row], [NUM OF MEM]]</f>
        <v>4.166666666666667</v>
      </c>
      <c r="Q600" s="9">
        <f>Table1[[#This Row], [ROOM TIME]]+Table1[[#This Row], [GUARD TIME]]</f>
        <v>43.749999999999986</v>
      </c>
      <c r="R600" s="4">
        <f>Sheet1!$K$3*_xlfn.XLOOKUP(Table1[[#This Row], [DISGUISE]],Sheet1!$A$21:$A$23,Sheet1!$D$21:$D$23)</f>
        <v>66</v>
      </c>
      <c r="S600" s="9">
        <f>Table1[[#This Row], [TOTAL TIME]]-Table1[[#This Row], [TOTAL TIME TAKEN]]</f>
        <v>22.250000000000014</v>
      </c>
      <c r="T600" t="str">
        <f>IF(Table1[[#This Row], [TIME DIFFERENCE]]&gt;=0,"PASS","FAIL")</f>
        <v>PASS</v>
      </c>
      <c r="U600" s="9">
        <f>Table1[[#This Row], [TRC]]+Table1[[#This Row], [DRC]]+Table1[[#This Row], [WRC]]+Table1[[#This Row], [ERC]]+Table1[[#This Row], [EQRC]]</f>
        <v>7796615.6249999991</v>
      </c>
      <c r="V600" s="9">
        <f>Table1[[#This Row], [TOTAL COST]]+_xlfn.XLOOKUP(Table1[[#This Row], [TEAM]],Sheet1!$A$12:$A$17,Sheet1!$I$12:$I$17)</f>
        <v>8096053.1249999991</v>
      </c>
      <c r="W600" s="9">
        <f>Table1[[#This Row], [LOOT]]-Table1[[#This Row], [TOTAL COST]]</f>
        <v>9753384.375</v>
      </c>
      <c r="X600" s="9">
        <f>IF(Table1[[#This Row], [PASS/FAIL]]="FAIL",0,Table1[[#This Row], [PROFIT]])</f>
        <v>9753384.375</v>
      </c>
    </row>
    <row r="601" spans="1:24" ht="19.5" customHeight="1" x14ac:dyDescent="0.45">
      <c r="A601" t="s">
        <v>13</v>
      </c>
      <c r="B601" s="14">
        <f>_xlfn.XLOOKUP(Table1[[#This Row], [TEAM]],Sheet1!$A$12:$A$17,Sheet1!$F$12:$F$17)</f>
        <v>3</v>
      </c>
      <c r="C601" s="14">
        <f>_xlfn.XLOOKUP(Table1[[#This Row], [TEAM]],Sheet1!$A$12:$A$17,Sheet1!$G$12:$G$17)</f>
        <v>5930000</v>
      </c>
      <c r="D601" t="s">
        <v>19</v>
      </c>
      <c r="E601" s="4">
        <f>_xlfn.XLOOKUP(Table1[[#This Row], [ROOM]],Sheet1!$A$47:$A$66,Sheet1!$B$47:$B$66)</f>
        <v>135</v>
      </c>
      <c r="F601" t="s">
        <v>58</v>
      </c>
      <c r="G601" s="4">
        <f>_xlfn.XLOOKUP(Table1[[#This Row], [DISGUISE]],Sheet1!$A$21:$A$23,Sheet1!$B$21:$B$23)*Table1[[#This Row], [NUM OF MEM]]*(1+_xlfn.XLOOKUP(Table1[[#This Row], [DISGUISE]],Sheet1!$A$21:$A$23,Sheet1!$C$21:$C$23))</f>
        <v>38400</v>
      </c>
      <c r="H601" s="13" t="s">
        <v>63</v>
      </c>
      <c r="I601" s="4">
        <f>_xlfn.XLOOKUP(Table1[[#This Row], [WEAPON]],Sheet1!$A$27:$A$29,Sheet1!$B$27:$B$29)*Table1[[#This Row], [NUM OF MEM]]*(1+_xlfn.XLOOKUP(Table1[[#This Row], [WEAPON]],Sheet1!$A$27:$A$29,Sheet1!$C$27:$C$29))</f>
        <v>69000</v>
      </c>
      <c r="J601" t="s">
        <v>64</v>
      </c>
      <c r="K601" s="9">
        <f>Table1[[#This Row], [NUM OF MEM]]*Table1[[#This Row], [TOTAL TIME TAKEN]]*_xlfn.XLOOKUP(Table1[[#This Row], [EXIT]],Sheet1!$A$70:$A$71,Sheet1!$B$70:$B$71)*(1+_xlfn.XLOOKUP(Table1[[#This Row], [EXIT]],Sheet1!$A$70:$A$71,Sheet1!$C$70:$C$71))</f>
        <v>1851724.7999999993</v>
      </c>
      <c r="L601" s="13" t="s">
        <v>65</v>
      </c>
      <c r="M601" s="4">
        <f>IF(Table1[[#This Row], [EQUIPMENT]]="YES",Sheet1!$C$44*(1+Sheet1!$D$44),0)</f>
        <v>307500</v>
      </c>
      <c r="N601" s="4">
        <f>_xlfn.XLOOKUP(Table1[[#This Row], [ROOM]],Sheet1!$A$47:$A$66,Sheet1!$F$47:$F$66)</f>
        <v>17950000</v>
      </c>
      <c r="O601" s="9">
        <f>_xlfn.XLOOKUP(_xlfn.CONCAT(Table1[[#This Row], [TEAM]],Table1[[#This Row], [ROOM]]),'ROOM TIME'!$H$2:$H$121,'ROOM TIME'!$J$2:$J$121)</f>
        <v>42.676666666666655</v>
      </c>
      <c r="P601" s="9">
        <f>(INDEX(Sheet1!$X$48:$Z$67,MATCH(Table1[[#This Row], [ROOM]],Sheet1!$P$48:$P$67,0),MATCH(Table1[[#This Row], [WEAPON]],Sheet1!$X$47:$Z$47,0)))/Table1[[#This Row], [NUM OF MEM]]</f>
        <v>4.95</v>
      </c>
      <c r="Q601" s="9">
        <f>Table1[[#This Row], [ROOM TIME]]+Table1[[#This Row], [GUARD TIME]]</f>
        <v>47.626666666666658</v>
      </c>
      <c r="R601" s="4">
        <f>Sheet1!$K$3*_xlfn.XLOOKUP(Table1[[#This Row], [DISGUISE]],Sheet1!$A$21:$A$23,Sheet1!$D$21:$D$23)</f>
        <v>69</v>
      </c>
      <c r="S601" s="9">
        <f>Table1[[#This Row], [TOTAL TIME]]-Table1[[#This Row], [TOTAL TIME TAKEN]]</f>
        <v>21.373333333333342</v>
      </c>
      <c r="T601" t="str">
        <f>IF(Table1[[#This Row], [TIME DIFFERENCE]]&gt;=0,"PASS","FAIL")</f>
        <v>PASS</v>
      </c>
      <c r="U601" s="9">
        <f>Table1[[#This Row], [TRC]]+Table1[[#This Row], [DRC]]+Table1[[#This Row], [WRC]]+Table1[[#This Row], [ERC]]+Table1[[#This Row], [EQRC]]</f>
        <v>8196624.7999999989</v>
      </c>
      <c r="V601" s="9">
        <f>Table1[[#This Row], [TOTAL COST]]+_xlfn.XLOOKUP(Table1[[#This Row], [TEAM]],Sheet1!$A$12:$A$17,Sheet1!$I$12:$I$17)</f>
        <v>8493124.7999999989</v>
      </c>
      <c r="W601" s="9">
        <f>Table1[[#This Row], [LOOT]]-Table1[[#This Row], [TOTAL COST]]</f>
        <v>9753375.2000000011</v>
      </c>
      <c r="X601" s="9">
        <f>IF(Table1[[#This Row], [PASS/FAIL]]="FAIL",0,Table1[[#This Row], [PROFIT]])</f>
        <v>9753375.2000000011</v>
      </c>
    </row>
    <row r="602" spans="1:24" ht="19.5" customHeight="1" x14ac:dyDescent="0.45">
      <c r="A602" t="s">
        <v>16</v>
      </c>
      <c r="B602" s="14">
        <f>_xlfn.XLOOKUP(Table1[[#This Row], [TEAM]],Sheet1!$A$12:$A$17,Sheet1!$F$12:$F$17)</f>
        <v>2</v>
      </c>
      <c r="C602" s="14">
        <f>_xlfn.XLOOKUP(Table1[[#This Row], [TEAM]],Sheet1!$A$12:$A$17,Sheet1!$G$12:$G$17)</f>
        <v>6082800</v>
      </c>
      <c r="D602" t="s">
        <v>24</v>
      </c>
      <c r="E602" s="4">
        <f>_xlfn.XLOOKUP(Table1[[#This Row], [ROOM]],Sheet1!$A$47:$A$66,Sheet1!$B$47:$B$66)</f>
        <v>345</v>
      </c>
      <c r="F602" t="s">
        <v>58</v>
      </c>
      <c r="G602" s="4">
        <f>_xlfn.XLOOKUP(Table1[[#This Row], [DISGUISE]],Sheet1!$A$21:$A$23,Sheet1!$B$21:$B$23)*Table1[[#This Row], [NUM OF MEM]]*(1+_xlfn.XLOOKUP(Table1[[#This Row], [DISGUISE]],Sheet1!$A$21:$A$23,Sheet1!$C$21:$C$23))</f>
        <v>25600</v>
      </c>
      <c r="H602" s="13" t="s">
        <v>66</v>
      </c>
      <c r="I602" s="4">
        <f>_xlfn.XLOOKUP(Table1[[#This Row], [WEAPON]],Sheet1!$A$27:$A$29,Sheet1!$B$27:$B$29)*Table1[[#This Row], [NUM OF MEM]]*(1+_xlfn.XLOOKUP(Table1[[#This Row], [WEAPON]],Sheet1!$A$27:$A$29,Sheet1!$C$27:$C$29))</f>
        <v>72000</v>
      </c>
      <c r="J602" t="s">
        <v>60</v>
      </c>
      <c r="K602" s="9">
        <f>Table1[[#This Row], [NUM OF MEM]]*Table1[[#This Row], [TOTAL TIME TAKEN]]*_xlfn.XLOOKUP(Table1[[#This Row], [EXIT]],Sheet1!$A$70:$A$71,Sheet1!$B$70:$B$71)*(1+_xlfn.XLOOKUP(Table1[[#This Row], [EXIT]],Sheet1!$A$70:$A$71,Sheet1!$C$70:$C$71))</f>
        <v>1759047.0187499993</v>
      </c>
      <c r="L602" s="13" t="s">
        <v>65</v>
      </c>
      <c r="M602" s="4">
        <f>IF(Table1[[#This Row], [EQUIPMENT]]="YES",Sheet1!$C$44*(1+Sheet1!$D$44),0)</f>
        <v>307500</v>
      </c>
      <c r="N602" s="4">
        <f>_xlfn.XLOOKUP(Table1[[#This Row], [ROOM]],Sheet1!$A$47:$A$66,Sheet1!$F$47:$F$66)</f>
        <v>18000000</v>
      </c>
      <c r="O602" s="9">
        <f>_xlfn.XLOOKUP(_xlfn.CONCAT(Table1[[#This Row], [TEAM]],Table1[[#This Row], [ROOM]]),'ROOM TIME'!$H$2:$H$121,'ROOM TIME'!$J$2:$J$121)</f>
        <v>61.038749999999979</v>
      </c>
      <c r="P602" s="9">
        <f>(INDEX(Sheet1!$X$48:$Z$67,MATCH(Table1[[#This Row], [ROOM]],Sheet1!$P$48:$P$67,0),MATCH(Table1[[#This Row], [WEAPON]],Sheet1!$X$47:$Z$47,0)))/Table1[[#This Row], [NUM OF MEM]]</f>
        <v>7.5</v>
      </c>
      <c r="Q602" s="9">
        <f>Table1[[#This Row], [ROOM TIME]]+Table1[[#This Row], [GUARD TIME]]</f>
        <v>68.538749999999979</v>
      </c>
      <c r="R602" s="4">
        <f>Sheet1!$K$3*_xlfn.XLOOKUP(Table1[[#This Row], [DISGUISE]],Sheet1!$A$21:$A$23,Sheet1!$D$21:$D$23)</f>
        <v>69</v>
      </c>
      <c r="S602" s="9">
        <f>Table1[[#This Row], [TOTAL TIME]]-Table1[[#This Row], [TOTAL TIME TAKEN]]</f>
        <v>0.46125000000002103</v>
      </c>
      <c r="T602" t="str">
        <f>IF(Table1[[#This Row], [TIME DIFFERENCE]]&gt;=0,"PASS","FAIL")</f>
        <v>PASS</v>
      </c>
      <c r="U602" s="9">
        <f>Table1[[#This Row], [TRC]]+Table1[[#This Row], [DRC]]+Table1[[#This Row], [WRC]]+Table1[[#This Row], [ERC]]+Table1[[#This Row], [EQRC]]</f>
        <v>8246947.0187499989</v>
      </c>
      <c r="V602" s="9">
        <f>Table1[[#This Row], [TOTAL COST]]+_xlfn.XLOOKUP(Table1[[#This Row], [TEAM]],Sheet1!$A$12:$A$17,Sheet1!$I$12:$I$17)</f>
        <v>8551087.0187499989</v>
      </c>
      <c r="W602" s="9">
        <f>Table1[[#This Row], [LOOT]]-Table1[[#This Row], [TOTAL COST]]</f>
        <v>9753052.9812500011</v>
      </c>
      <c r="X602" s="9">
        <f>IF(Table1[[#This Row], [PASS/FAIL]]="FAIL",0,Table1[[#This Row], [PROFIT]])</f>
        <v>9753052.9812500011</v>
      </c>
    </row>
    <row r="603" spans="1:24" ht="19.5" customHeight="1" x14ac:dyDescent="0.45">
      <c r="A603" t="s">
        <v>15</v>
      </c>
      <c r="B603" s="14">
        <f>_xlfn.XLOOKUP(Table1[[#This Row], [TEAM]],Sheet1!$A$12:$A$17,Sheet1!$F$12:$F$17)</f>
        <v>2</v>
      </c>
      <c r="C603" s="14">
        <f>_xlfn.XLOOKUP(Table1[[#This Row], [TEAM]],Sheet1!$A$12:$A$17,Sheet1!$G$12:$G$17)</f>
        <v>5932950</v>
      </c>
      <c r="D603" t="s">
        <v>28</v>
      </c>
      <c r="E603" s="4">
        <f>_xlfn.XLOOKUP(Table1[[#This Row], [ROOM]],Sheet1!$A$47:$A$66,Sheet1!$B$47:$B$66)</f>
        <v>156</v>
      </c>
      <c r="F603" t="s">
        <v>62</v>
      </c>
      <c r="G603" s="4">
        <f>_xlfn.XLOOKUP(Table1[[#This Row], [DISGUISE]],Sheet1!$A$21:$A$23,Sheet1!$B$21:$B$23)*Table1[[#This Row], [NUM OF MEM]]*(1+_xlfn.XLOOKUP(Table1[[#This Row], [DISGUISE]],Sheet1!$A$21:$A$23,Sheet1!$C$21:$C$23))</f>
        <v>10400</v>
      </c>
      <c r="H603" s="13" t="s">
        <v>63</v>
      </c>
      <c r="I603" s="4">
        <f>_xlfn.XLOOKUP(Table1[[#This Row], [WEAPON]],Sheet1!$A$27:$A$29,Sheet1!$B$27:$B$29)*Table1[[#This Row], [NUM OF MEM]]*(1+_xlfn.XLOOKUP(Table1[[#This Row], [WEAPON]],Sheet1!$A$27:$A$29,Sheet1!$C$27:$C$29))</f>
        <v>46000</v>
      </c>
      <c r="J603" t="s">
        <v>60</v>
      </c>
      <c r="K603" s="9">
        <f>Table1[[#This Row], [NUM OF MEM]]*Table1[[#This Row], [TOTAL TIME TAKEN]]*_xlfn.XLOOKUP(Table1[[#This Row], [EXIT]],Sheet1!$A$70:$A$71,Sheet1!$B$70:$B$71)*(1+_xlfn.XLOOKUP(Table1[[#This Row], [EXIT]],Sheet1!$A$70:$A$71,Sheet1!$C$70:$C$71))</f>
        <v>1600148.5874999997</v>
      </c>
      <c r="L603" s="13" t="s">
        <v>65</v>
      </c>
      <c r="M603" s="4">
        <f>IF(Table1[[#This Row], [EQUIPMENT]]="YES",Sheet1!$C$44*(1+Sheet1!$D$44),0)</f>
        <v>307500</v>
      </c>
      <c r="N603" s="4">
        <f>_xlfn.XLOOKUP(Table1[[#This Row], [ROOM]],Sheet1!$A$47:$A$66,Sheet1!$F$47:$F$66)</f>
        <v>17650000</v>
      </c>
      <c r="O603" s="9">
        <f>_xlfn.XLOOKUP(_xlfn.CONCAT(Table1[[#This Row], [TEAM]],Table1[[#This Row], [ROOM]]),'ROOM TIME'!$H$2:$H$121,'ROOM TIME'!$J$2:$J$121)</f>
        <v>55.597499999999982</v>
      </c>
      <c r="P603" s="9">
        <f>(INDEX(Sheet1!$X$48:$Z$67,MATCH(Table1[[#This Row], [ROOM]],Sheet1!$P$48:$P$67,0),MATCH(Table1[[#This Row], [WEAPON]],Sheet1!$X$47:$Z$47,0)))/Table1[[#This Row], [NUM OF MEM]]</f>
        <v>6.75</v>
      </c>
      <c r="Q603" s="9">
        <f>Table1[[#This Row], [ROOM TIME]]+Table1[[#This Row], [GUARD TIME]]</f>
        <v>62.347499999999982</v>
      </c>
      <c r="R603" s="4">
        <f>Sheet1!$K$3*_xlfn.XLOOKUP(Table1[[#This Row], [DISGUISE]],Sheet1!$A$21:$A$23,Sheet1!$D$21:$D$23)</f>
        <v>66</v>
      </c>
      <c r="S603" s="9">
        <f>Table1[[#This Row], [TOTAL TIME]]-Table1[[#This Row], [TOTAL TIME TAKEN]]</f>
        <v>3.6525000000000176</v>
      </c>
      <c r="T603" t="str">
        <f>IF(Table1[[#This Row], [TIME DIFFERENCE]]&gt;=0,"PASS","FAIL")</f>
        <v>PASS</v>
      </c>
      <c r="U603" s="9">
        <f>Table1[[#This Row], [TRC]]+Table1[[#This Row], [DRC]]+Table1[[#This Row], [WRC]]+Table1[[#This Row], [ERC]]+Table1[[#This Row], [EQRC]]</f>
        <v>7896998.5874999994</v>
      </c>
      <c r="V603" s="9">
        <f>Table1[[#This Row], [TOTAL COST]]+_xlfn.XLOOKUP(Table1[[#This Row], [TEAM]],Sheet1!$A$12:$A$17,Sheet1!$I$12:$I$17)</f>
        <v>8193646.0874999994</v>
      </c>
      <c r="W603" s="9">
        <f>Table1[[#This Row], [LOOT]]-Table1[[#This Row], [TOTAL COST]]</f>
        <v>9753001.4125000015</v>
      </c>
      <c r="X603" s="9">
        <f>IF(Table1[[#This Row], [PASS/FAIL]]="FAIL",0,Table1[[#This Row], [PROFIT]])</f>
        <v>9753001.4125000015</v>
      </c>
    </row>
    <row r="604" spans="1:24" ht="19.5" customHeight="1" x14ac:dyDescent="0.45">
      <c r="A604" t="s">
        <v>13</v>
      </c>
      <c r="B604" s="14">
        <f>_xlfn.XLOOKUP(Table1[[#This Row], [TEAM]],Sheet1!$A$12:$A$17,Sheet1!$F$12:$F$17)</f>
        <v>3</v>
      </c>
      <c r="C604" s="14">
        <f>_xlfn.XLOOKUP(Table1[[#This Row], [TEAM]],Sheet1!$A$12:$A$17,Sheet1!$G$12:$G$17)</f>
        <v>5930000</v>
      </c>
      <c r="D604" t="s">
        <v>24</v>
      </c>
      <c r="E604" s="4">
        <f>_xlfn.XLOOKUP(Table1[[#This Row], [ROOM]],Sheet1!$A$47:$A$66,Sheet1!$B$47:$B$66)</f>
        <v>345</v>
      </c>
      <c r="F604" t="s">
        <v>58</v>
      </c>
      <c r="G604" s="4">
        <f>_xlfn.XLOOKUP(Table1[[#This Row], [DISGUISE]],Sheet1!$A$21:$A$23,Sheet1!$B$21:$B$23)*Table1[[#This Row], [NUM OF MEM]]*(1+_xlfn.XLOOKUP(Table1[[#This Row], [DISGUISE]],Sheet1!$A$21:$A$23,Sheet1!$C$21:$C$23))</f>
        <v>38400</v>
      </c>
      <c r="H604" s="13" t="s">
        <v>59</v>
      </c>
      <c r="I604" s="4">
        <f>_xlfn.XLOOKUP(Table1[[#This Row], [WEAPON]],Sheet1!$A$27:$A$29,Sheet1!$B$27:$B$29)*Table1[[#This Row], [NUM OF MEM]]*(1+_xlfn.XLOOKUP(Table1[[#This Row], [WEAPON]],Sheet1!$A$27:$A$29,Sheet1!$C$27:$C$29))</f>
        <v>136500</v>
      </c>
      <c r="J604" t="s">
        <v>64</v>
      </c>
      <c r="K604" s="9">
        <f>Table1[[#This Row], [NUM OF MEM]]*Table1[[#This Row], [TOTAL TIME TAKEN]]*_xlfn.XLOOKUP(Table1[[#This Row], [EXIT]],Sheet1!$A$70:$A$71,Sheet1!$B$70:$B$71)*(1+_xlfn.XLOOKUP(Table1[[#This Row], [EXIT]],Sheet1!$A$70:$A$71,Sheet1!$C$70:$C$71))</f>
        <v>1834660.8</v>
      </c>
      <c r="L604" s="13" t="s">
        <v>65</v>
      </c>
      <c r="M604" s="4">
        <f>IF(Table1[[#This Row], [EQUIPMENT]]="YES",Sheet1!$C$44*(1+Sheet1!$D$44),0)</f>
        <v>307500</v>
      </c>
      <c r="N604" s="4">
        <f>_xlfn.XLOOKUP(Table1[[#This Row], [ROOM]],Sheet1!$A$47:$A$66,Sheet1!$F$47:$F$66)</f>
        <v>18000000</v>
      </c>
      <c r="O604" s="9">
        <f>_xlfn.XLOOKUP(_xlfn.CONCAT(Table1[[#This Row], [TEAM]],Table1[[#This Row], [ROOM]]),'ROOM TIME'!$H$2:$H$121,'ROOM TIME'!$J$2:$J$121)</f>
        <v>42.587777777777774</v>
      </c>
      <c r="P604" s="9">
        <f>(INDEX(Sheet1!$X$48:$Z$67,MATCH(Table1[[#This Row], [ROOM]],Sheet1!$P$48:$P$67,0),MATCH(Table1[[#This Row], [WEAPON]],Sheet1!$X$47:$Z$47,0)))/Table1[[#This Row], [NUM OF MEM]]</f>
        <v>4.5999999999999996</v>
      </c>
      <c r="Q604" s="9">
        <f>Table1[[#This Row], [ROOM TIME]]+Table1[[#This Row], [GUARD TIME]]</f>
        <v>47.187777777777775</v>
      </c>
      <c r="R604" s="4">
        <f>Sheet1!$K$3*_xlfn.XLOOKUP(Table1[[#This Row], [DISGUISE]],Sheet1!$A$21:$A$23,Sheet1!$D$21:$D$23)</f>
        <v>69</v>
      </c>
      <c r="S604" s="9">
        <f>Table1[[#This Row], [TOTAL TIME]]-Table1[[#This Row], [TOTAL TIME TAKEN]]</f>
        <v>21.812222222222225</v>
      </c>
      <c r="T604" t="str">
        <f>IF(Table1[[#This Row], [TIME DIFFERENCE]]&gt;=0,"PASS","FAIL")</f>
        <v>PASS</v>
      </c>
      <c r="U604" s="9">
        <f>Table1[[#This Row], [TRC]]+Table1[[#This Row], [DRC]]+Table1[[#This Row], [WRC]]+Table1[[#This Row], [ERC]]+Table1[[#This Row], [EQRC]]</f>
        <v>8247060.7999999998</v>
      </c>
      <c r="V604" s="9">
        <f>Table1[[#This Row], [TOTAL COST]]+_xlfn.XLOOKUP(Table1[[#This Row], [TEAM]],Sheet1!$A$12:$A$17,Sheet1!$I$12:$I$17)</f>
        <v>8543560.8000000007</v>
      </c>
      <c r="W604" s="9">
        <f>Table1[[#This Row], [LOOT]]-Table1[[#This Row], [TOTAL COST]]</f>
        <v>9752939.1999999993</v>
      </c>
      <c r="X604" s="9">
        <f>IF(Table1[[#This Row], [PASS/FAIL]]="FAIL",0,Table1[[#This Row], [PROFIT]])</f>
        <v>9752939.1999999993</v>
      </c>
    </row>
    <row r="605" spans="1:24" ht="19.5" customHeight="1" x14ac:dyDescent="0.45">
      <c r="A605" t="s">
        <v>9</v>
      </c>
      <c r="B605" s="14">
        <f>_xlfn.XLOOKUP(Table1[[#This Row], [TEAM]],Sheet1!$A$12:$A$17,Sheet1!$F$12:$F$17)</f>
        <v>3</v>
      </c>
      <c r="C605" s="14">
        <f>_xlfn.XLOOKUP(Table1[[#This Row], [TEAM]],Sheet1!$A$12:$A$17,Sheet1!$G$12:$G$17)</f>
        <v>6238750</v>
      </c>
      <c r="D605" t="s">
        <v>10</v>
      </c>
      <c r="E605" s="4">
        <f>_xlfn.XLOOKUP(Table1[[#This Row], [ROOM]],Sheet1!$A$47:$A$66,Sheet1!$B$47:$B$66)</f>
        <v>123</v>
      </c>
      <c r="F605" t="s">
        <v>58</v>
      </c>
      <c r="G605" s="4">
        <f>_xlfn.XLOOKUP(Table1[[#This Row], [DISGUISE]],Sheet1!$A$21:$A$23,Sheet1!$B$21:$B$23)*Table1[[#This Row], [NUM OF MEM]]*(1+_xlfn.XLOOKUP(Table1[[#This Row], [DISGUISE]],Sheet1!$A$21:$A$23,Sheet1!$C$21:$C$23))</f>
        <v>38400</v>
      </c>
      <c r="H605" s="13" t="s">
        <v>63</v>
      </c>
      <c r="I605" s="4">
        <f>_xlfn.XLOOKUP(Table1[[#This Row], [WEAPON]],Sheet1!$A$27:$A$29,Sheet1!$B$27:$B$29)*Table1[[#This Row], [NUM OF MEM]]*(1+_xlfn.XLOOKUP(Table1[[#This Row], [WEAPON]],Sheet1!$A$27:$A$29,Sheet1!$C$27:$C$29))</f>
        <v>69000</v>
      </c>
      <c r="J605" t="s">
        <v>64</v>
      </c>
      <c r="K605" s="9">
        <f>Table1[[#This Row], [NUM OF MEM]]*Table1[[#This Row], [TOTAL TIME TAKEN]]*_xlfn.XLOOKUP(Table1[[#This Row], [EXIT]],Sheet1!$A$70:$A$71,Sheet1!$B$70:$B$71)*(1+_xlfn.XLOOKUP(Table1[[#This Row], [EXIT]],Sheet1!$A$70:$A$71,Sheet1!$C$70:$C$71))</f>
        <v>1751003.9999999993</v>
      </c>
      <c r="L605" s="13" t="s">
        <v>61</v>
      </c>
      <c r="M605" s="4">
        <f>IF(Table1[[#This Row], [EQUIPMENT]]="YES",Sheet1!$C$44*(1+Sheet1!$D$44),0)</f>
        <v>0</v>
      </c>
      <c r="N605" s="4">
        <f>_xlfn.XLOOKUP(Table1[[#This Row], [ROOM]],Sheet1!$A$47:$A$66,Sheet1!$F$47:$F$66)</f>
        <v>17850000</v>
      </c>
      <c r="O605" s="9">
        <f>_xlfn.XLOOKUP(_xlfn.CONCAT(Table1[[#This Row], [TEAM]],Table1[[#This Row], [ROOM]]),'ROOM TIME'!$H$2:$H$121,'ROOM TIME'!$J$2:$J$121)</f>
        <v>39.636111111111099</v>
      </c>
      <c r="P605" s="9">
        <f>(INDEX(Sheet1!$X$48:$Z$67,MATCH(Table1[[#This Row], [ROOM]],Sheet1!$P$48:$P$67,0),MATCH(Table1[[#This Row], [WEAPON]],Sheet1!$X$47:$Z$47,0)))/Table1[[#This Row], [NUM OF MEM]]</f>
        <v>5.4000000000000012</v>
      </c>
      <c r="Q605" s="9">
        <f>Table1[[#This Row], [ROOM TIME]]+Table1[[#This Row], [GUARD TIME]]</f>
        <v>45.036111111111097</v>
      </c>
      <c r="R605" s="4">
        <f>Sheet1!$K$3*_xlfn.XLOOKUP(Table1[[#This Row], [DISGUISE]],Sheet1!$A$21:$A$23,Sheet1!$D$21:$D$23)</f>
        <v>69</v>
      </c>
      <c r="S605" s="9">
        <f>Table1[[#This Row], [TOTAL TIME]]-Table1[[#This Row], [TOTAL TIME TAKEN]]</f>
        <v>23.963888888888903</v>
      </c>
      <c r="T605" t="str">
        <f>IF(Table1[[#This Row], [TIME DIFFERENCE]]&gt;=0,"PASS","FAIL")</f>
        <v>PASS</v>
      </c>
      <c r="U605" s="9">
        <f>Table1[[#This Row], [TRC]]+Table1[[#This Row], [DRC]]+Table1[[#This Row], [WRC]]+Table1[[#This Row], [ERC]]+Table1[[#This Row], [EQRC]]</f>
        <v>8097153.9999999991</v>
      </c>
      <c r="V605" s="9">
        <f>Table1[[#This Row], [TOTAL COST]]+_xlfn.XLOOKUP(Table1[[#This Row], [TEAM]],Sheet1!$A$12:$A$17,Sheet1!$I$12:$I$17)</f>
        <v>8409091.5</v>
      </c>
      <c r="W605" s="4">
        <f>Table1[[#This Row], [LOOT]]-Table1[[#This Row], [TOTAL COST]]</f>
        <v>9752846</v>
      </c>
      <c r="X605" s="4">
        <f>IF(Table1[[#This Row], [PASS/FAIL]]="FAIL",0,Table1[[#This Row], [PROFIT]])</f>
        <v>9752846</v>
      </c>
    </row>
    <row r="606" spans="1:24" ht="19.5" customHeight="1" x14ac:dyDescent="0.45">
      <c r="A606" t="s">
        <v>9</v>
      </c>
      <c r="B606" s="14">
        <f>_xlfn.XLOOKUP(Table1[[#This Row], [TEAM]],Sheet1!$A$12:$A$17,Sheet1!$F$12:$F$17)</f>
        <v>3</v>
      </c>
      <c r="C606" s="14">
        <f>_xlfn.XLOOKUP(Table1[[#This Row], [TEAM]],Sheet1!$A$12:$A$17,Sheet1!$G$12:$G$17)</f>
        <v>6238750</v>
      </c>
      <c r="D606" t="s">
        <v>10</v>
      </c>
      <c r="E606" s="4">
        <f>_xlfn.XLOOKUP(Table1[[#This Row], [ROOM]],Sheet1!$A$47:$A$66,Sheet1!$B$47:$B$66)</f>
        <v>123</v>
      </c>
      <c r="F606" t="s">
        <v>62</v>
      </c>
      <c r="G606" s="4">
        <f>_xlfn.XLOOKUP(Table1[[#This Row], [DISGUISE]],Sheet1!$A$21:$A$23,Sheet1!$B$21:$B$23)*Table1[[#This Row], [NUM OF MEM]]*(1+_xlfn.XLOOKUP(Table1[[#This Row], [DISGUISE]],Sheet1!$A$21:$A$23,Sheet1!$C$21:$C$23))</f>
        <v>15600</v>
      </c>
      <c r="H606" s="13" t="s">
        <v>66</v>
      </c>
      <c r="I606" s="4">
        <f>_xlfn.XLOOKUP(Table1[[#This Row], [WEAPON]],Sheet1!$A$27:$A$29,Sheet1!$B$27:$B$29)*Table1[[#This Row], [NUM OF MEM]]*(1+_xlfn.XLOOKUP(Table1[[#This Row], [WEAPON]],Sheet1!$A$27:$A$29,Sheet1!$C$27:$C$29))</f>
        <v>108000</v>
      </c>
      <c r="J606" t="s">
        <v>64</v>
      </c>
      <c r="K606" s="9">
        <f>Table1[[#This Row], [NUM OF MEM]]*Table1[[#This Row], [TOTAL TIME TAKEN]]*_xlfn.XLOOKUP(Table1[[#This Row], [EXIT]],Sheet1!$A$70:$A$71,Sheet1!$B$70:$B$71)*(1+_xlfn.XLOOKUP(Table1[[#This Row], [EXIT]],Sheet1!$A$70:$A$71,Sheet1!$C$70:$C$71))</f>
        <v>1735451.9999999998</v>
      </c>
      <c r="L606" s="13" t="s">
        <v>61</v>
      </c>
      <c r="M606" s="4">
        <f>IF(Table1[[#This Row], [EQUIPMENT]]="YES",Sheet1!$C$44*(1+Sheet1!$D$44),0)</f>
        <v>0</v>
      </c>
      <c r="N606" s="4">
        <f>_xlfn.XLOOKUP(Table1[[#This Row], [ROOM]],Sheet1!$A$47:$A$66,Sheet1!$F$47:$F$66)</f>
        <v>17850000</v>
      </c>
      <c r="O606" s="9">
        <f>_xlfn.XLOOKUP(_xlfn.CONCAT(Table1[[#This Row], [TEAM]],Table1[[#This Row], [ROOM]]),'ROOM TIME'!$H$2:$H$121,'ROOM TIME'!$J$2:$J$121)</f>
        <v>39.636111111111099</v>
      </c>
      <c r="P606" s="4">
        <f>(INDEX(Sheet1!$X$48:$Z$67,MATCH(Table1[[#This Row], [ROOM]],Sheet1!$P$48:$P$67,0),MATCH(Table1[[#This Row], [WEAPON]],Sheet1!$X$47:$Z$47,0)))/Table1[[#This Row], [NUM OF MEM]]</f>
        <v>5</v>
      </c>
      <c r="Q606" s="9">
        <f>Table1[[#This Row], [ROOM TIME]]+Table1[[#This Row], [GUARD TIME]]</f>
        <v>44.636111111111099</v>
      </c>
      <c r="R606" s="4">
        <f>Sheet1!$K$3*_xlfn.XLOOKUP(Table1[[#This Row], [DISGUISE]],Sheet1!$A$21:$A$23,Sheet1!$D$21:$D$23)</f>
        <v>66</v>
      </c>
      <c r="S606" s="9">
        <f>Table1[[#This Row], [TOTAL TIME]]-Table1[[#This Row], [TOTAL TIME TAKEN]]</f>
        <v>21.363888888888901</v>
      </c>
      <c r="T606" t="str">
        <f>IF(Table1[[#This Row], [TIME DIFFERENCE]]&gt;=0,"PASS","FAIL")</f>
        <v>PASS</v>
      </c>
      <c r="U606" s="4">
        <f>Table1[[#This Row], [TRC]]+Table1[[#This Row], [DRC]]+Table1[[#This Row], [WRC]]+Table1[[#This Row], [ERC]]+Table1[[#This Row], [EQRC]]</f>
        <v>8097802</v>
      </c>
      <c r="V606" s="9">
        <f>Table1[[#This Row], [TOTAL COST]]+_xlfn.XLOOKUP(Table1[[#This Row], [TEAM]],Sheet1!$A$12:$A$17,Sheet1!$I$12:$I$17)</f>
        <v>8409739.5</v>
      </c>
      <c r="W606" s="4">
        <f>Table1[[#This Row], [LOOT]]-Table1[[#This Row], [TOTAL COST]]</f>
        <v>9752198</v>
      </c>
      <c r="X606" s="4">
        <f>IF(Table1[[#This Row], [PASS/FAIL]]="FAIL",0,Table1[[#This Row], [PROFIT]])</f>
        <v>9752198</v>
      </c>
    </row>
    <row r="607" spans="1:24" ht="19.5" customHeight="1" x14ac:dyDescent="0.45">
      <c r="A607" t="s">
        <v>12</v>
      </c>
      <c r="B607" s="14">
        <f>_xlfn.XLOOKUP(Table1[[#This Row], [TEAM]],Sheet1!$A$12:$A$17,Sheet1!$F$12:$F$17)</f>
        <v>3</v>
      </c>
      <c r="C607" s="14">
        <f>_xlfn.XLOOKUP(Table1[[#This Row], [TEAM]],Sheet1!$A$12:$A$17,Sheet1!$G$12:$G$17)</f>
        <v>5988750</v>
      </c>
      <c r="D607" t="s">
        <v>19</v>
      </c>
      <c r="E607" s="4">
        <f>_xlfn.XLOOKUP(Table1[[#This Row], [ROOM]],Sheet1!$A$47:$A$66,Sheet1!$B$47:$B$66)</f>
        <v>135</v>
      </c>
      <c r="F607" t="s">
        <v>62</v>
      </c>
      <c r="G607" s="4">
        <f>_xlfn.XLOOKUP(Table1[[#This Row], [DISGUISE]],Sheet1!$A$21:$A$23,Sheet1!$B$21:$B$23)*Table1[[#This Row], [NUM OF MEM]]*(1+_xlfn.XLOOKUP(Table1[[#This Row], [DISGUISE]],Sheet1!$A$21:$A$23,Sheet1!$C$21:$C$23))</f>
        <v>15600</v>
      </c>
      <c r="H607" s="13" t="s">
        <v>66</v>
      </c>
      <c r="I607" s="4">
        <f>_xlfn.XLOOKUP(Table1[[#This Row], [WEAPON]],Sheet1!$A$27:$A$29,Sheet1!$B$27:$B$29)*Table1[[#This Row], [NUM OF MEM]]*(1+_xlfn.XLOOKUP(Table1[[#This Row], [WEAPON]],Sheet1!$A$27:$A$29,Sheet1!$C$27:$C$29))</f>
        <v>108000</v>
      </c>
      <c r="J607" t="s">
        <v>64</v>
      </c>
      <c r="K607" s="9">
        <f>Table1[[#This Row], [NUM OF MEM]]*Table1[[#This Row], [TOTAL TIME TAKEN]]*_xlfn.XLOOKUP(Table1[[#This Row], [EXIT]],Sheet1!$A$70:$A$71,Sheet1!$B$70:$B$71)*(1+_xlfn.XLOOKUP(Table1[[#This Row], [EXIT]],Sheet1!$A$70:$A$71,Sheet1!$C$70:$C$71))</f>
        <v>1778111.9999999993</v>
      </c>
      <c r="L607" s="13" t="s">
        <v>65</v>
      </c>
      <c r="M607" s="4">
        <f>IF(Table1[[#This Row], [EQUIPMENT]]="YES",Sheet1!$C$44*(1+Sheet1!$D$44),0)</f>
        <v>307500</v>
      </c>
      <c r="N607" s="4">
        <f>_xlfn.XLOOKUP(Table1[[#This Row], [ROOM]],Sheet1!$A$47:$A$66,Sheet1!$F$47:$F$66)</f>
        <v>17950000</v>
      </c>
      <c r="O607" s="9">
        <f>_xlfn.XLOOKUP(_xlfn.CONCAT(Table1[[#This Row], [TEAM]],Table1[[#This Row], [ROOM]]),'ROOM TIME'!$H$2:$H$121,'ROOM TIME'!$J$2:$J$121)</f>
        <v>41.149999999999984</v>
      </c>
      <c r="P607" s="9">
        <f>(INDEX(Sheet1!$X$48:$Z$67,MATCH(Table1[[#This Row], [ROOM]],Sheet1!$P$48:$P$67,0),MATCH(Table1[[#This Row], [WEAPON]],Sheet1!$X$47:$Z$47,0)))/Table1[[#This Row], [NUM OF MEM]]</f>
        <v>4.583333333333333</v>
      </c>
      <c r="Q607" s="9">
        <f>Table1[[#This Row], [ROOM TIME]]+Table1[[#This Row], [GUARD TIME]]</f>
        <v>45.73333333333332</v>
      </c>
      <c r="R607" s="4">
        <f>Sheet1!$K$3*_xlfn.XLOOKUP(Table1[[#This Row], [DISGUISE]],Sheet1!$A$21:$A$23,Sheet1!$D$21:$D$23)</f>
        <v>66</v>
      </c>
      <c r="S607" s="9">
        <f>Table1[[#This Row], [TOTAL TIME]]-Table1[[#This Row], [TOTAL TIME TAKEN]]</f>
        <v>20.26666666666668</v>
      </c>
      <c r="T607" t="str">
        <f>IF(Table1[[#This Row], [TIME DIFFERENCE]]&gt;=0,"PASS","FAIL")</f>
        <v>PASS</v>
      </c>
      <c r="U607" s="9">
        <f>Table1[[#This Row], [TRC]]+Table1[[#This Row], [DRC]]+Table1[[#This Row], [WRC]]+Table1[[#This Row], [ERC]]+Table1[[#This Row], [EQRC]]</f>
        <v>8197961.9999999991</v>
      </c>
      <c r="V607" s="9">
        <f>Table1[[#This Row], [TOTAL COST]]+_xlfn.XLOOKUP(Table1[[#This Row], [TEAM]],Sheet1!$A$12:$A$17,Sheet1!$I$12:$I$17)</f>
        <v>8497399.5</v>
      </c>
      <c r="W607" s="4">
        <f>Table1[[#This Row], [LOOT]]-Table1[[#This Row], [TOTAL COST]]</f>
        <v>9752038</v>
      </c>
      <c r="X607" s="4">
        <f>IF(Table1[[#This Row], [PASS/FAIL]]="FAIL",0,Table1[[#This Row], [PROFIT]])</f>
        <v>9752038</v>
      </c>
    </row>
    <row r="608" spans="1:24" ht="19.5" customHeight="1" x14ac:dyDescent="0.45">
      <c r="A608" t="s">
        <v>13</v>
      </c>
      <c r="B608" s="14">
        <f>_xlfn.XLOOKUP(Table1[[#This Row], [TEAM]],Sheet1!$A$12:$A$17,Sheet1!$F$12:$F$17)</f>
        <v>3</v>
      </c>
      <c r="C608" s="14">
        <f>_xlfn.XLOOKUP(Table1[[#This Row], [TEAM]],Sheet1!$A$12:$A$17,Sheet1!$G$12:$G$17)</f>
        <v>5930000</v>
      </c>
      <c r="D608" t="s">
        <v>19</v>
      </c>
      <c r="E608" s="4">
        <f>_xlfn.XLOOKUP(Table1[[#This Row], [ROOM]],Sheet1!$A$47:$A$66,Sheet1!$B$47:$B$66)</f>
        <v>135</v>
      </c>
      <c r="F608" t="s">
        <v>62</v>
      </c>
      <c r="G608" s="4">
        <f>_xlfn.XLOOKUP(Table1[[#This Row], [DISGUISE]],Sheet1!$A$21:$A$23,Sheet1!$B$21:$B$23)*Table1[[#This Row], [NUM OF MEM]]*(1+_xlfn.XLOOKUP(Table1[[#This Row], [DISGUISE]],Sheet1!$A$21:$A$23,Sheet1!$C$21:$C$23))</f>
        <v>15600</v>
      </c>
      <c r="H608" s="13" t="s">
        <v>66</v>
      </c>
      <c r="I608" s="4">
        <f>_xlfn.XLOOKUP(Table1[[#This Row], [WEAPON]],Sheet1!$A$27:$A$29,Sheet1!$B$27:$B$29)*Table1[[#This Row], [NUM OF MEM]]*(1+_xlfn.XLOOKUP(Table1[[#This Row], [WEAPON]],Sheet1!$A$27:$A$29,Sheet1!$C$27:$C$29))</f>
        <v>108000</v>
      </c>
      <c r="J608" t="s">
        <v>64</v>
      </c>
      <c r="K608" s="9">
        <f>Table1[[#This Row], [NUM OF MEM]]*Table1[[#This Row], [TOTAL TIME TAKEN]]*_xlfn.XLOOKUP(Table1[[#This Row], [EXIT]],Sheet1!$A$70:$A$71,Sheet1!$B$70:$B$71)*(1+_xlfn.XLOOKUP(Table1[[#This Row], [EXIT]],Sheet1!$A$70:$A$71,Sheet1!$C$70:$C$71))</f>
        <v>1837468.7999999996</v>
      </c>
      <c r="L608" s="13" t="s">
        <v>65</v>
      </c>
      <c r="M608" s="4">
        <f>IF(Table1[[#This Row], [EQUIPMENT]]="YES",Sheet1!$C$44*(1+Sheet1!$D$44),0)</f>
        <v>307500</v>
      </c>
      <c r="N608" s="4">
        <f>_xlfn.XLOOKUP(Table1[[#This Row], [ROOM]],Sheet1!$A$47:$A$66,Sheet1!$F$47:$F$66)</f>
        <v>17950000</v>
      </c>
      <c r="O608" s="9">
        <f>_xlfn.XLOOKUP(_xlfn.CONCAT(Table1[[#This Row], [TEAM]],Table1[[#This Row], [ROOM]]),'ROOM TIME'!$H$2:$H$121,'ROOM TIME'!$J$2:$J$121)</f>
        <v>42.676666666666655</v>
      </c>
      <c r="P608" s="9">
        <f>(INDEX(Sheet1!$X$48:$Z$67,MATCH(Table1[[#This Row], [ROOM]],Sheet1!$P$48:$P$67,0),MATCH(Table1[[#This Row], [WEAPON]],Sheet1!$X$47:$Z$47,0)))/Table1[[#This Row], [NUM OF MEM]]</f>
        <v>4.583333333333333</v>
      </c>
      <c r="Q608" s="9">
        <f>Table1[[#This Row], [ROOM TIME]]+Table1[[#This Row], [GUARD TIME]]</f>
        <v>47.259999999999991</v>
      </c>
      <c r="R608" s="4">
        <f>Sheet1!$K$3*_xlfn.XLOOKUP(Table1[[#This Row], [DISGUISE]],Sheet1!$A$21:$A$23,Sheet1!$D$21:$D$23)</f>
        <v>66</v>
      </c>
      <c r="S608" s="9">
        <f>Table1[[#This Row], [TOTAL TIME]]-Table1[[#This Row], [TOTAL TIME TAKEN]]</f>
        <v>18.740000000000009</v>
      </c>
      <c r="T608" t="str">
        <f>IF(Table1[[#This Row], [TIME DIFFERENCE]]&gt;=0,"PASS","FAIL")</f>
        <v>PASS</v>
      </c>
      <c r="U608" s="9">
        <f>Table1[[#This Row], [TRC]]+Table1[[#This Row], [DRC]]+Table1[[#This Row], [WRC]]+Table1[[#This Row], [ERC]]+Table1[[#This Row], [EQRC]]</f>
        <v>8198568.7999999998</v>
      </c>
      <c r="V608" s="9">
        <f>Table1[[#This Row], [TOTAL COST]]+_xlfn.XLOOKUP(Table1[[#This Row], [TEAM]],Sheet1!$A$12:$A$17,Sheet1!$I$12:$I$17)</f>
        <v>8495068.8000000007</v>
      </c>
      <c r="W608" s="9">
        <f>Table1[[#This Row], [LOOT]]-Table1[[#This Row], [TOTAL COST]]</f>
        <v>9751431.1999999993</v>
      </c>
      <c r="X608" s="9">
        <f>IF(Table1[[#This Row], [PASS/FAIL]]="FAIL",0,Table1[[#This Row], [PROFIT]])</f>
        <v>9751431.1999999993</v>
      </c>
    </row>
    <row r="609" spans="1:24" ht="19.5" customHeight="1" x14ac:dyDescent="0.45">
      <c r="A609" t="s">
        <v>16</v>
      </c>
      <c r="B609" s="14">
        <f>_xlfn.XLOOKUP(Table1[[#This Row], [TEAM]],Sheet1!$A$12:$A$17,Sheet1!$F$12:$F$17)</f>
        <v>2</v>
      </c>
      <c r="C609" s="14">
        <f>_xlfn.XLOOKUP(Table1[[#This Row], [TEAM]],Sheet1!$A$12:$A$17,Sheet1!$G$12:$G$17)</f>
        <v>6082800</v>
      </c>
      <c r="D609" t="s">
        <v>24</v>
      </c>
      <c r="E609" s="4">
        <f>_xlfn.XLOOKUP(Table1[[#This Row], [ROOM]],Sheet1!$A$47:$A$66,Sheet1!$B$47:$B$66)</f>
        <v>345</v>
      </c>
      <c r="F609" t="s">
        <v>58</v>
      </c>
      <c r="G609" s="4">
        <f>_xlfn.XLOOKUP(Table1[[#This Row], [DISGUISE]],Sheet1!$A$21:$A$23,Sheet1!$B$21:$B$23)*Table1[[#This Row], [NUM OF MEM]]*(1+_xlfn.XLOOKUP(Table1[[#This Row], [DISGUISE]],Sheet1!$A$21:$A$23,Sheet1!$C$21:$C$23))</f>
        <v>25600</v>
      </c>
      <c r="H609" s="13" t="s">
        <v>59</v>
      </c>
      <c r="I609" s="4">
        <f>_xlfn.XLOOKUP(Table1[[#This Row], [WEAPON]],Sheet1!$A$27:$A$29,Sheet1!$B$27:$B$29)*Table1[[#This Row], [NUM OF MEM]]*(1+_xlfn.XLOOKUP(Table1[[#This Row], [WEAPON]],Sheet1!$A$27:$A$29,Sheet1!$C$27:$C$29))</f>
        <v>91000</v>
      </c>
      <c r="J609" t="s">
        <v>60</v>
      </c>
      <c r="K609" s="9">
        <f>Table1[[#This Row], [NUM OF MEM]]*Table1[[#This Row], [TOTAL TIME TAKEN]]*_xlfn.XLOOKUP(Table1[[#This Row], [EXIT]],Sheet1!$A$70:$A$71,Sheet1!$B$70:$B$71)*(1+_xlfn.XLOOKUP(Table1[[#This Row], [EXIT]],Sheet1!$A$70:$A$71,Sheet1!$C$70:$C$71))</f>
        <v>1743648.0187499996</v>
      </c>
      <c r="L609" s="13" t="s">
        <v>65</v>
      </c>
      <c r="M609" s="4">
        <f>IF(Table1[[#This Row], [EQUIPMENT]]="YES",Sheet1!$C$44*(1+Sheet1!$D$44),0)</f>
        <v>307500</v>
      </c>
      <c r="N609" s="4">
        <f>_xlfn.XLOOKUP(Table1[[#This Row], [ROOM]],Sheet1!$A$47:$A$66,Sheet1!$F$47:$F$66)</f>
        <v>18000000</v>
      </c>
      <c r="O609" s="9">
        <f>_xlfn.XLOOKUP(_xlfn.CONCAT(Table1[[#This Row], [TEAM]],Table1[[#This Row], [ROOM]]),'ROOM TIME'!$H$2:$H$121,'ROOM TIME'!$J$2:$J$121)</f>
        <v>61.038749999999979</v>
      </c>
      <c r="P609" s="9">
        <f>(INDEX(Sheet1!$X$48:$Z$67,MATCH(Table1[[#This Row], [ROOM]],Sheet1!$P$48:$P$67,0),MATCH(Table1[[#This Row], [WEAPON]],Sheet1!$X$47:$Z$47,0)))/Table1[[#This Row], [NUM OF MEM]]</f>
        <v>6.8999999999999995</v>
      </c>
      <c r="Q609" s="9">
        <f>Table1[[#This Row], [ROOM TIME]]+Table1[[#This Row], [GUARD TIME]]</f>
        <v>67.938749999999985</v>
      </c>
      <c r="R609" s="4">
        <f>Sheet1!$K$3*_xlfn.XLOOKUP(Table1[[#This Row], [DISGUISE]],Sheet1!$A$21:$A$23,Sheet1!$D$21:$D$23)</f>
        <v>69</v>
      </c>
      <c r="S609" s="9">
        <f>Table1[[#This Row], [TOTAL TIME]]-Table1[[#This Row], [TOTAL TIME TAKEN]]</f>
        <v>1.0612500000000153</v>
      </c>
      <c r="T609" t="str">
        <f>IF(Table1[[#This Row], [TIME DIFFERENCE]]&gt;=0,"PASS","FAIL")</f>
        <v>PASS</v>
      </c>
      <c r="U609" s="9">
        <f>Table1[[#This Row], [TRC]]+Table1[[#This Row], [DRC]]+Table1[[#This Row], [WRC]]+Table1[[#This Row], [ERC]]+Table1[[#This Row], [EQRC]]</f>
        <v>8250548.0187499998</v>
      </c>
      <c r="V609" s="9">
        <f>Table1[[#This Row], [TOTAL COST]]+_xlfn.XLOOKUP(Table1[[#This Row], [TEAM]],Sheet1!$A$12:$A$17,Sheet1!$I$12:$I$17)</f>
        <v>8554688.0187500007</v>
      </c>
      <c r="W609" s="9">
        <f>Table1[[#This Row], [LOOT]]-Table1[[#This Row], [TOTAL COST]]</f>
        <v>9749451.9812499993</v>
      </c>
      <c r="X609" s="9">
        <f>IF(Table1[[#This Row], [PASS/FAIL]]="FAIL",0,Table1[[#This Row], [PROFIT]])</f>
        <v>9749451.9812499993</v>
      </c>
    </row>
    <row r="610" spans="1:24" ht="19.5" customHeight="1" x14ac:dyDescent="0.45">
      <c r="A610" t="s">
        <v>9</v>
      </c>
      <c r="B610" s="14">
        <f>_xlfn.XLOOKUP(Table1[[#This Row], [TEAM]],Sheet1!$A$12:$A$17,Sheet1!$F$12:$F$17)</f>
        <v>3</v>
      </c>
      <c r="C610" s="14">
        <f>_xlfn.XLOOKUP(Table1[[#This Row], [TEAM]],Sheet1!$A$12:$A$17,Sheet1!$G$12:$G$17)</f>
        <v>6238750</v>
      </c>
      <c r="D610" t="s">
        <v>21</v>
      </c>
      <c r="E610" s="4">
        <f>_xlfn.XLOOKUP(Table1[[#This Row], [ROOM]],Sheet1!$A$47:$A$66,Sheet1!$B$47:$B$66)</f>
        <v>234</v>
      </c>
      <c r="F610" t="s">
        <v>58</v>
      </c>
      <c r="G610" s="4">
        <f>_xlfn.XLOOKUP(Table1[[#This Row], [DISGUISE]],Sheet1!$A$21:$A$23,Sheet1!$B$21:$B$23)*Table1[[#This Row], [NUM OF MEM]]*(1+_xlfn.XLOOKUP(Table1[[#This Row], [DISGUISE]],Sheet1!$A$21:$A$23,Sheet1!$C$21:$C$23))</f>
        <v>38400</v>
      </c>
      <c r="H610" s="13" t="s">
        <v>59</v>
      </c>
      <c r="I610" s="4">
        <f>_xlfn.XLOOKUP(Table1[[#This Row], [WEAPON]],Sheet1!$A$27:$A$29,Sheet1!$B$27:$B$29)*Table1[[#This Row], [NUM OF MEM]]*(1+_xlfn.XLOOKUP(Table1[[#This Row], [WEAPON]],Sheet1!$A$27:$A$29,Sheet1!$C$27:$C$29))</f>
        <v>136500</v>
      </c>
      <c r="J610" t="s">
        <v>64</v>
      </c>
      <c r="K610" s="9">
        <f>Table1[[#This Row], [NUM OF MEM]]*Table1[[#This Row], [TOTAL TIME TAKEN]]*_xlfn.XLOOKUP(Table1[[#This Row], [EXIT]],Sheet1!$A$70:$A$71,Sheet1!$B$70:$B$71)*(1+_xlfn.XLOOKUP(Table1[[#This Row], [EXIT]],Sheet1!$A$70:$A$71,Sheet1!$C$70:$C$71))</f>
        <v>1737244.7999999996</v>
      </c>
      <c r="L610" s="13" t="s">
        <v>61</v>
      </c>
      <c r="M610" s="4">
        <f>IF(Table1[[#This Row], [EQUIPMENT]]="YES",Sheet1!$C$44*(1+Sheet1!$D$44),0)</f>
        <v>0</v>
      </c>
      <c r="N610" s="4">
        <f>_xlfn.XLOOKUP(Table1[[#This Row], [ROOM]],Sheet1!$A$47:$A$66,Sheet1!$F$47:$F$66)</f>
        <v>17900000</v>
      </c>
      <c r="O610" s="9">
        <f>_xlfn.XLOOKUP(_xlfn.CONCAT(Table1[[#This Row], [TEAM]],Table1[[#This Row], [ROOM]]),'ROOM TIME'!$H$2:$H$121,'ROOM TIME'!$J$2:$J$121)</f>
        <v>39.698888888888881</v>
      </c>
      <c r="P610" s="9">
        <f>(INDEX(Sheet1!$X$48:$Z$67,MATCH(Table1[[#This Row], [ROOM]],Sheet1!$P$48:$P$67,0),MATCH(Table1[[#This Row], [WEAPON]],Sheet1!$X$47:$Z$47,0)))/Table1[[#This Row], [NUM OF MEM]]</f>
        <v>4.9833333333333334</v>
      </c>
      <c r="Q610" s="9">
        <f>Table1[[#This Row], [ROOM TIME]]+Table1[[#This Row], [GUARD TIME]]</f>
        <v>44.682222222222215</v>
      </c>
      <c r="R610" s="4">
        <f>Sheet1!$K$3*_xlfn.XLOOKUP(Table1[[#This Row], [DISGUISE]],Sheet1!$A$21:$A$23,Sheet1!$D$21:$D$23)</f>
        <v>69</v>
      </c>
      <c r="S610" s="9">
        <f>Table1[[#This Row], [TOTAL TIME]]-Table1[[#This Row], [TOTAL TIME TAKEN]]</f>
        <v>24.317777777777785</v>
      </c>
      <c r="T610" t="str">
        <f>IF(Table1[[#This Row], [TIME DIFFERENCE]]&gt;=0,"PASS","FAIL")</f>
        <v>PASS</v>
      </c>
      <c r="U610" s="9">
        <f>Table1[[#This Row], [TRC]]+Table1[[#This Row], [DRC]]+Table1[[#This Row], [WRC]]+Table1[[#This Row], [ERC]]+Table1[[#This Row], [EQRC]]</f>
        <v>8150894.7999999998</v>
      </c>
      <c r="V610" s="9">
        <f>Table1[[#This Row], [TOTAL COST]]+_xlfn.XLOOKUP(Table1[[#This Row], [TEAM]],Sheet1!$A$12:$A$17,Sheet1!$I$12:$I$17)</f>
        <v>8462832.3000000007</v>
      </c>
      <c r="W610" s="9">
        <f>Table1[[#This Row], [LOOT]]-Table1[[#This Row], [TOTAL COST]]</f>
        <v>9749105.1999999993</v>
      </c>
      <c r="X610" s="9">
        <f>IF(Table1[[#This Row], [PASS/FAIL]]="FAIL",0,Table1[[#This Row], [PROFIT]])</f>
        <v>9749105.1999999993</v>
      </c>
    </row>
    <row r="611" spans="1:24" ht="19.5" customHeight="1" x14ac:dyDescent="0.45">
      <c r="A611" t="s">
        <v>12</v>
      </c>
      <c r="B611" s="14">
        <f>_xlfn.XLOOKUP(Table1[[#This Row], [TEAM]],Sheet1!$A$12:$A$17,Sheet1!$F$12:$F$17)</f>
        <v>3</v>
      </c>
      <c r="C611" s="14">
        <f>_xlfn.XLOOKUP(Table1[[#This Row], [TEAM]],Sheet1!$A$12:$A$17,Sheet1!$G$12:$G$17)</f>
        <v>5988750</v>
      </c>
      <c r="D611" t="s">
        <v>19</v>
      </c>
      <c r="E611" s="4">
        <f>_xlfn.XLOOKUP(Table1[[#This Row], [ROOM]],Sheet1!$A$47:$A$66,Sheet1!$B$47:$B$66)</f>
        <v>135</v>
      </c>
      <c r="F611" t="s">
        <v>58</v>
      </c>
      <c r="G611" s="4">
        <f>_xlfn.XLOOKUP(Table1[[#This Row], [DISGUISE]],Sheet1!$A$21:$A$23,Sheet1!$B$21:$B$23)*Table1[[#This Row], [NUM OF MEM]]*(1+_xlfn.XLOOKUP(Table1[[#This Row], [DISGUISE]],Sheet1!$A$21:$A$23,Sheet1!$C$21:$C$23))</f>
        <v>38400</v>
      </c>
      <c r="H611" s="13" t="s">
        <v>66</v>
      </c>
      <c r="I611" s="4">
        <f>_xlfn.XLOOKUP(Table1[[#This Row], [WEAPON]],Sheet1!$A$27:$A$29,Sheet1!$B$27:$B$29)*Table1[[#This Row], [NUM OF MEM]]*(1+_xlfn.XLOOKUP(Table1[[#This Row], [WEAPON]],Sheet1!$A$27:$A$29,Sheet1!$C$27:$C$29))</f>
        <v>108000</v>
      </c>
      <c r="J611" t="s">
        <v>60</v>
      </c>
      <c r="K611" s="9">
        <f>Table1[[#This Row], [NUM OF MEM]]*Table1[[#This Row], [TOTAL TIME TAKEN]]*_xlfn.XLOOKUP(Table1[[#This Row], [EXIT]],Sheet1!$A$70:$A$71,Sheet1!$B$70:$B$71)*(1+_xlfn.XLOOKUP(Table1[[#This Row], [EXIT]],Sheet1!$A$70:$A$71,Sheet1!$C$70:$C$71))</f>
        <v>1760618.9999999993</v>
      </c>
      <c r="L611" s="13" t="s">
        <v>65</v>
      </c>
      <c r="M611" s="4">
        <f>IF(Table1[[#This Row], [EQUIPMENT]]="YES",Sheet1!$C$44*(1+Sheet1!$D$44),0)</f>
        <v>307500</v>
      </c>
      <c r="N611" s="4">
        <f>_xlfn.XLOOKUP(Table1[[#This Row], [ROOM]],Sheet1!$A$47:$A$66,Sheet1!$F$47:$F$66)</f>
        <v>17950000</v>
      </c>
      <c r="O611" s="9">
        <f>_xlfn.XLOOKUP(_xlfn.CONCAT(Table1[[#This Row], [TEAM]],Table1[[#This Row], [ROOM]]),'ROOM TIME'!$H$2:$H$121,'ROOM TIME'!$J$2:$J$121)</f>
        <v>41.149999999999984</v>
      </c>
      <c r="P611" s="9">
        <f>(INDEX(Sheet1!$X$48:$Z$67,MATCH(Table1[[#This Row], [ROOM]],Sheet1!$P$48:$P$67,0),MATCH(Table1[[#This Row], [WEAPON]],Sheet1!$X$47:$Z$47,0)))/Table1[[#This Row], [NUM OF MEM]]</f>
        <v>4.583333333333333</v>
      </c>
      <c r="Q611" s="9">
        <f>Table1[[#This Row], [ROOM TIME]]+Table1[[#This Row], [GUARD TIME]]</f>
        <v>45.73333333333332</v>
      </c>
      <c r="R611" s="4">
        <f>Sheet1!$K$3*_xlfn.XLOOKUP(Table1[[#This Row], [DISGUISE]],Sheet1!$A$21:$A$23,Sheet1!$D$21:$D$23)</f>
        <v>69</v>
      </c>
      <c r="S611" s="9">
        <f>Table1[[#This Row], [TOTAL TIME]]-Table1[[#This Row], [TOTAL TIME TAKEN]]</f>
        <v>23.26666666666668</v>
      </c>
      <c r="T611" t="str">
        <f>IF(Table1[[#This Row], [TIME DIFFERENCE]]&gt;=0,"PASS","FAIL")</f>
        <v>PASS</v>
      </c>
      <c r="U611" s="9">
        <f>Table1[[#This Row], [TRC]]+Table1[[#This Row], [DRC]]+Table1[[#This Row], [WRC]]+Table1[[#This Row], [ERC]]+Table1[[#This Row], [EQRC]]</f>
        <v>8203268.9999999991</v>
      </c>
      <c r="V611" s="9">
        <f>Table1[[#This Row], [TOTAL COST]]+_xlfn.XLOOKUP(Table1[[#This Row], [TEAM]],Sheet1!$A$12:$A$17,Sheet1!$I$12:$I$17)</f>
        <v>8502706.5</v>
      </c>
      <c r="W611" s="4">
        <f>Table1[[#This Row], [LOOT]]-Table1[[#This Row], [TOTAL COST]]</f>
        <v>9746731</v>
      </c>
      <c r="X611" s="4">
        <f>IF(Table1[[#This Row], [PASS/FAIL]]="FAIL",0,Table1[[#This Row], [PROFIT]])</f>
        <v>9746731</v>
      </c>
    </row>
    <row r="612" spans="1:24" ht="19.5" customHeight="1" x14ac:dyDescent="0.45">
      <c r="A612" t="s">
        <v>13</v>
      </c>
      <c r="B612" s="14">
        <f>_xlfn.XLOOKUP(Table1[[#This Row], [TEAM]],Sheet1!$A$12:$A$17,Sheet1!$F$12:$F$17)</f>
        <v>3</v>
      </c>
      <c r="C612" s="14">
        <f>_xlfn.XLOOKUP(Table1[[#This Row], [TEAM]],Sheet1!$A$12:$A$17,Sheet1!$G$12:$G$17)</f>
        <v>5930000</v>
      </c>
      <c r="D612" t="s">
        <v>19</v>
      </c>
      <c r="E612" s="4">
        <f>_xlfn.XLOOKUP(Table1[[#This Row], [ROOM]],Sheet1!$A$47:$A$66,Sheet1!$B$47:$B$66)</f>
        <v>135</v>
      </c>
      <c r="F612" t="s">
        <v>58</v>
      </c>
      <c r="G612" s="4">
        <f>_xlfn.XLOOKUP(Table1[[#This Row], [DISGUISE]],Sheet1!$A$21:$A$23,Sheet1!$B$21:$B$23)*Table1[[#This Row], [NUM OF MEM]]*(1+_xlfn.XLOOKUP(Table1[[#This Row], [DISGUISE]],Sheet1!$A$21:$A$23,Sheet1!$C$21:$C$23))</f>
        <v>38400</v>
      </c>
      <c r="H612" s="13" t="s">
        <v>66</v>
      </c>
      <c r="I612" s="4">
        <f>_xlfn.XLOOKUP(Table1[[#This Row], [WEAPON]],Sheet1!$A$27:$A$29,Sheet1!$B$27:$B$29)*Table1[[#This Row], [NUM OF MEM]]*(1+_xlfn.XLOOKUP(Table1[[#This Row], [WEAPON]],Sheet1!$A$27:$A$29,Sheet1!$C$27:$C$29))</f>
        <v>108000</v>
      </c>
      <c r="J612" t="s">
        <v>60</v>
      </c>
      <c r="K612" s="9">
        <f>Table1[[#This Row], [NUM OF MEM]]*Table1[[#This Row], [TOTAL TIME TAKEN]]*_xlfn.XLOOKUP(Table1[[#This Row], [EXIT]],Sheet1!$A$70:$A$71,Sheet1!$B$70:$B$71)*(1+_xlfn.XLOOKUP(Table1[[#This Row], [EXIT]],Sheet1!$A$70:$A$71,Sheet1!$C$70:$C$71))</f>
        <v>1819391.8499999996</v>
      </c>
      <c r="L612" s="13" t="s">
        <v>65</v>
      </c>
      <c r="M612" s="4">
        <f>IF(Table1[[#This Row], [EQUIPMENT]]="YES",Sheet1!$C$44*(1+Sheet1!$D$44),0)</f>
        <v>307500</v>
      </c>
      <c r="N612" s="4">
        <f>_xlfn.XLOOKUP(Table1[[#This Row], [ROOM]],Sheet1!$A$47:$A$66,Sheet1!$F$47:$F$66)</f>
        <v>17950000</v>
      </c>
      <c r="O612" s="9">
        <f>_xlfn.XLOOKUP(_xlfn.CONCAT(Table1[[#This Row], [TEAM]],Table1[[#This Row], [ROOM]]),'ROOM TIME'!$H$2:$H$121,'ROOM TIME'!$J$2:$J$121)</f>
        <v>42.676666666666655</v>
      </c>
      <c r="P612" s="9">
        <f>(INDEX(Sheet1!$X$48:$Z$67,MATCH(Table1[[#This Row], [ROOM]],Sheet1!$P$48:$P$67,0),MATCH(Table1[[#This Row], [WEAPON]],Sheet1!$X$47:$Z$47,0)))/Table1[[#This Row], [NUM OF MEM]]</f>
        <v>4.583333333333333</v>
      </c>
      <c r="Q612" s="9">
        <f>Table1[[#This Row], [ROOM TIME]]+Table1[[#This Row], [GUARD TIME]]</f>
        <v>47.259999999999991</v>
      </c>
      <c r="R612" s="4">
        <f>Sheet1!$K$3*_xlfn.XLOOKUP(Table1[[#This Row], [DISGUISE]],Sheet1!$A$21:$A$23,Sheet1!$D$21:$D$23)</f>
        <v>69</v>
      </c>
      <c r="S612" s="9">
        <f>Table1[[#This Row], [TOTAL TIME]]-Table1[[#This Row], [TOTAL TIME TAKEN]]</f>
        <v>21.740000000000009</v>
      </c>
      <c r="T612" t="str">
        <f>IF(Table1[[#This Row], [TIME DIFFERENCE]]&gt;=0,"PASS","FAIL")</f>
        <v>PASS</v>
      </c>
      <c r="U612" s="9">
        <f>Table1[[#This Row], [TRC]]+Table1[[#This Row], [DRC]]+Table1[[#This Row], [WRC]]+Table1[[#This Row], [ERC]]+Table1[[#This Row], [EQRC]]</f>
        <v>8203291.8499999996</v>
      </c>
      <c r="V612" s="9">
        <f>Table1[[#This Row], [TOTAL COST]]+_xlfn.XLOOKUP(Table1[[#This Row], [TEAM]],Sheet1!$A$12:$A$17,Sheet1!$I$12:$I$17)</f>
        <v>8499791.8499999996</v>
      </c>
      <c r="W612" s="9">
        <f>Table1[[#This Row], [LOOT]]-Table1[[#This Row], [TOTAL COST]]</f>
        <v>9746708.1500000004</v>
      </c>
      <c r="X612" s="9">
        <f>IF(Table1[[#This Row], [PASS/FAIL]]="FAIL",0,Table1[[#This Row], [PROFIT]])</f>
        <v>9746708.1500000004</v>
      </c>
    </row>
    <row r="613" spans="1:24" ht="19.5" customHeight="1" x14ac:dyDescent="0.45">
      <c r="A613" t="s">
        <v>15</v>
      </c>
      <c r="B613" s="14">
        <f>_xlfn.XLOOKUP(Table1[[#This Row], [TEAM]],Sheet1!$A$12:$A$17,Sheet1!$F$12:$F$17)</f>
        <v>2</v>
      </c>
      <c r="C613" s="14">
        <f>_xlfn.XLOOKUP(Table1[[#This Row], [TEAM]],Sheet1!$A$12:$A$17,Sheet1!$G$12:$G$17)</f>
        <v>5932950</v>
      </c>
      <c r="D613" t="s">
        <v>34</v>
      </c>
      <c r="E613" s="4">
        <f>_xlfn.XLOOKUP(Table1[[#This Row], [ROOM]],Sheet1!$A$47:$A$66,Sheet1!$B$47:$B$66)</f>
        <v>456</v>
      </c>
      <c r="F613" t="s">
        <v>58</v>
      </c>
      <c r="G613" s="4">
        <f>_xlfn.XLOOKUP(Table1[[#This Row], [DISGUISE]],Sheet1!$A$21:$A$23,Sheet1!$B$21:$B$23)*Table1[[#This Row], [NUM OF MEM]]*(1+_xlfn.XLOOKUP(Table1[[#This Row], [DISGUISE]],Sheet1!$A$21:$A$23,Sheet1!$C$21:$C$23))</f>
        <v>25600</v>
      </c>
      <c r="H613" s="13" t="s">
        <v>66</v>
      </c>
      <c r="I613" s="4">
        <f>_xlfn.XLOOKUP(Table1[[#This Row], [WEAPON]],Sheet1!$A$27:$A$29,Sheet1!$B$27:$B$29)*Table1[[#This Row], [NUM OF MEM]]*(1+_xlfn.XLOOKUP(Table1[[#This Row], [WEAPON]],Sheet1!$A$27:$A$29,Sheet1!$C$27:$C$29))</f>
        <v>72000</v>
      </c>
      <c r="J613" t="s">
        <v>64</v>
      </c>
      <c r="K613" s="9">
        <f>Table1[[#This Row], [NUM OF MEM]]*Table1[[#This Row], [TOTAL TIME TAKEN]]*_xlfn.XLOOKUP(Table1[[#This Row], [EXIT]],Sheet1!$A$70:$A$71,Sheet1!$B$70:$B$71)*(1+_xlfn.XLOOKUP(Table1[[#This Row], [EXIT]],Sheet1!$A$70:$A$71,Sheet1!$C$70:$C$71))</f>
        <v>1615301.9999999998</v>
      </c>
      <c r="L613" s="13" t="s">
        <v>65</v>
      </c>
      <c r="M613" s="4">
        <f>IF(Table1[[#This Row], [EQUIPMENT]]="YES",Sheet1!$C$44*(1+Sheet1!$D$44),0)</f>
        <v>307500</v>
      </c>
      <c r="N613" s="4">
        <f>_xlfn.XLOOKUP(Table1[[#This Row], [ROOM]],Sheet1!$A$47:$A$66,Sheet1!$F$47:$F$66)</f>
        <v>17700000</v>
      </c>
      <c r="O613" s="9">
        <f>_xlfn.XLOOKUP(_xlfn.CONCAT(Table1[[#This Row], [TEAM]],Table1[[#This Row], [ROOM]]),'ROOM TIME'!$H$2:$H$121,'ROOM TIME'!$J$2:$J$121)</f>
        <v>55.443749999999994</v>
      </c>
      <c r="P613" s="9">
        <f>(INDEX(Sheet1!$X$48:$Z$67,MATCH(Table1[[#This Row], [ROOM]],Sheet1!$P$48:$P$67,0),MATCH(Table1[[#This Row], [WEAPON]],Sheet1!$X$47:$Z$47,0)))/Table1[[#This Row], [NUM OF MEM]]</f>
        <v>6.875</v>
      </c>
      <c r="Q613" s="9">
        <f>Table1[[#This Row], [ROOM TIME]]+Table1[[#This Row], [GUARD TIME]]</f>
        <v>62.318749999999994</v>
      </c>
      <c r="R613" s="4">
        <f>Sheet1!$K$3*_xlfn.XLOOKUP(Table1[[#This Row], [DISGUISE]],Sheet1!$A$21:$A$23,Sheet1!$D$21:$D$23)</f>
        <v>69</v>
      </c>
      <c r="S613" s="9">
        <f>Table1[[#This Row], [TOTAL TIME]]-Table1[[#This Row], [TOTAL TIME TAKEN]]</f>
        <v>6.6812500000000057</v>
      </c>
      <c r="T613" t="str">
        <f>IF(Table1[[#This Row], [TIME DIFFERENCE]]&gt;=0,"PASS","FAIL")</f>
        <v>PASS</v>
      </c>
      <c r="U613" s="4">
        <f>Table1[[#This Row], [TRC]]+Table1[[#This Row], [DRC]]+Table1[[#This Row], [WRC]]+Table1[[#This Row], [ERC]]+Table1[[#This Row], [EQRC]]</f>
        <v>7953352</v>
      </c>
      <c r="V613" s="9">
        <f>Table1[[#This Row], [TOTAL COST]]+_xlfn.XLOOKUP(Table1[[#This Row], [TEAM]],Sheet1!$A$12:$A$17,Sheet1!$I$12:$I$17)</f>
        <v>8249999.5</v>
      </c>
      <c r="W613" s="4">
        <f>Table1[[#This Row], [LOOT]]-Table1[[#This Row], [TOTAL COST]]</f>
        <v>9746648</v>
      </c>
      <c r="X613" s="4">
        <f>IF(Table1[[#This Row], [PASS/FAIL]]="FAIL",0,Table1[[#This Row], [PROFIT]])</f>
        <v>9746648</v>
      </c>
    </row>
    <row r="614" spans="1:24" ht="19.5" customHeight="1" x14ac:dyDescent="0.45">
      <c r="A614" t="s">
        <v>9</v>
      </c>
      <c r="B614" s="14">
        <f>_xlfn.XLOOKUP(Table1[[#This Row], [TEAM]],Sheet1!$A$12:$A$17,Sheet1!$F$12:$F$17)</f>
        <v>3</v>
      </c>
      <c r="C614" s="14">
        <f>_xlfn.XLOOKUP(Table1[[#This Row], [TEAM]],Sheet1!$A$12:$A$17,Sheet1!$G$12:$G$17)</f>
        <v>6238750</v>
      </c>
      <c r="D614" t="s">
        <v>10</v>
      </c>
      <c r="E614" s="4">
        <f>_xlfn.XLOOKUP(Table1[[#This Row], [ROOM]],Sheet1!$A$47:$A$66,Sheet1!$B$47:$B$66)</f>
        <v>123</v>
      </c>
      <c r="F614" t="s">
        <v>58</v>
      </c>
      <c r="G614" s="4">
        <f>_xlfn.XLOOKUP(Table1[[#This Row], [DISGUISE]],Sheet1!$A$21:$A$23,Sheet1!$B$21:$B$23)*Table1[[#This Row], [NUM OF MEM]]*(1+_xlfn.XLOOKUP(Table1[[#This Row], [DISGUISE]],Sheet1!$A$21:$A$23,Sheet1!$C$21:$C$23))</f>
        <v>38400</v>
      </c>
      <c r="H614" s="13" t="s">
        <v>66</v>
      </c>
      <c r="I614" s="4">
        <f>_xlfn.XLOOKUP(Table1[[#This Row], [WEAPON]],Sheet1!$A$27:$A$29,Sheet1!$B$27:$B$29)*Table1[[#This Row], [NUM OF MEM]]*(1+_xlfn.XLOOKUP(Table1[[#This Row], [WEAPON]],Sheet1!$A$27:$A$29,Sheet1!$C$27:$C$29))</f>
        <v>108000</v>
      </c>
      <c r="J614" t="s">
        <v>60</v>
      </c>
      <c r="K614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1718378.6874999995</v>
      </c>
      <c r="L614" s="13" t="s">
        <v>61</v>
      </c>
      <c r="M614" s="4">
        <f>IF(Table1[[#This Row], [EQUIPMENT]]="YES",Sheet1!$C$44*(1+Sheet1!$D$44),0)</f>
        <v>0</v>
      </c>
      <c r="N614" s="4">
        <f>_xlfn.XLOOKUP(Table1[[#This Row], [ROOM]],Sheet1!$A$47:$A$66,Sheet1!$F$47:$F$66)</f>
        <v>17850000</v>
      </c>
      <c r="O614" s="9">
        <f>_xlfn.XLOOKUP(_xlfn.CONCAT(Table1[[#This Row], [TEAM]],Table1[[#This Row], [ROOM]]),'ROOM TIME'!$H$2:$H$121,'ROOM TIME'!$J$2:$J$121)</f>
        <v>39.636111111111099</v>
      </c>
      <c r="P614" s="4">
        <f>(INDEX(Sheet1!$X$48:$Z$67,MATCH(Table1[[#This Row], [ROOM]],Sheet1!$P$48:$P$67,0),MATCH(Table1[[#This Row], [WEAPON]],Sheet1!$X$47:$Z$47,0)))/Table1[[#This Row], [NUM OF MEM]]</f>
        <v>5</v>
      </c>
      <c r="Q614" s="9">
        <f>Table1[[#This Row], [ROOM TIME]]+Table1[[#This Row], [GUARD TIME]]</f>
        <v>44.636111111111099</v>
      </c>
      <c r="R614" s="4">
        <f>Sheet1!$K$3*_xlfn.XLOOKUP(Table1[[#This Row], [DISGUISE]],Sheet1!$A$21:$A$23,Sheet1!$D$21:$D$23)</f>
        <v>69</v>
      </c>
      <c r="S614" s="9">
        <f>Table1[[#This Row], [TOTAL TIME]]-Table1[[#This Row], [TOTAL TIME TAKEN]]</f>
        <v>24.363888888888901</v>
      </c>
      <c r="T614" t="str">
        <f>IF(Table1[[#This Row], [TIME DIFFERENCE]]&gt;=0,"PASS","FAIL")</f>
        <v>PASS</v>
      </c>
      <c r="U614" s="9">
        <f>Table1[[#This Row], [TRC]]+Table1[[#This Row], [DRC]]+Table1[[#This Row], [WRC]]+Table1[[#This Row], [ERC]]+Table1[[#This Row], [EQRC]]</f>
        <v>8103528.6875</v>
      </c>
      <c r="V614" s="9">
        <f>Table1[[#This Row], [TOTAL COST]]+_xlfn.XLOOKUP(Table1[[#This Row], [TEAM]],Sheet1!$A$12:$A$17,Sheet1!$I$12:$I$17)</f>
        <v>8415466.1875</v>
      </c>
      <c r="W614" s="9">
        <f>Table1[[#This Row], [LOOT]]-Table1[[#This Row], [TOTAL COST]]</f>
        <v>9746471.3125</v>
      </c>
      <c r="X614" s="9">
        <f>IF(Table1[[#This Row], [PASS/FAIL]]="FAIL",0,Table1[[#This Row], [PROFIT]])</f>
        <v>9746471.3125</v>
      </c>
    </row>
    <row r="615" spans="1:24" ht="19.5" customHeight="1" x14ac:dyDescent="0.45">
      <c r="A615" t="s">
        <v>13</v>
      </c>
      <c r="B615" s="14">
        <f>_xlfn.XLOOKUP(Table1[[#This Row], [TEAM]],Sheet1!$A$12:$A$17,Sheet1!$F$12:$F$17)</f>
        <v>3</v>
      </c>
      <c r="C615" s="14">
        <f>_xlfn.XLOOKUP(Table1[[#This Row], [TEAM]],Sheet1!$A$12:$A$17,Sheet1!$G$12:$G$17)</f>
        <v>5930000</v>
      </c>
      <c r="D615" t="s">
        <v>20</v>
      </c>
      <c r="E615" s="4">
        <f>_xlfn.XLOOKUP(Table1[[#This Row], [ROOM]],Sheet1!$A$47:$A$66,Sheet1!$B$47:$B$66)</f>
        <v>145</v>
      </c>
      <c r="F615" t="s">
        <v>62</v>
      </c>
      <c r="G615" s="4">
        <f>_xlfn.XLOOKUP(Table1[[#This Row], [DISGUISE]],Sheet1!$A$21:$A$23,Sheet1!$B$21:$B$23)*Table1[[#This Row], [NUM OF MEM]]*(1+_xlfn.XLOOKUP(Table1[[#This Row], [DISGUISE]],Sheet1!$A$21:$A$23,Sheet1!$C$21:$C$23))</f>
        <v>15600</v>
      </c>
      <c r="H615" s="13" t="s">
        <v>63</v>
      </c>
      <c r="I615" s="4">
        <f>_xlfn.XLOOKUP(Table1[[#This Row], [WEAPON]],Sheet1!$A$27:$A$29,Sheet1!$B$27:$B$29)*Table1[[#This Row], [NUM OF MEM]]*(1+_xlfn.XLOOKUP(Table1[[#This Row], [WEAPON]],Sheet1!$A$27:$A$29,Sheet1!$C$27:$C$29))</f>
        <v>69000</v>
      </c>
      <c r="J615" t="s">
        <v>64</v>
      </c>
      <c r="K615" s="9">
        <f>Table1[[#This Row], [NUM OF MEM]]*Table1[[#This Row], [TOTAL TIME TAKEN]]*_xlfn.XLOOKUP(Table1[[#This Row], [EXIT]],Sheet1!$A$70:$A$71,Sheet1!$B$70:$B$71)*(1+_xlfn.XLOOKUP(Table1[[#This Row], [EXIT]],Sheet1!$A$70:$A$71,Sheet1!$C$70:$C$71))</f>
        <v>1790164.7999999993</v>
      </c>
      <c r="L615" s="13" t="s">
        <v>61</v>
      </c>
      <c r="M615" s="4">
        <f>IF(Table1[[#This Row], [EQUIPMENT]]="YES",Sheet1!$C$44*(1+Sheet1!$D$44),0)</f>
        <v>0</v>
      </c>
      <c r="N615" s="4">
        <f>_xlfn.XLOOKUP(Table1[[#This Row], [ROOM]],Sheet1!$A$47:$A$66,Sheet1!$F$47:$F$66)</f>
        <v>17550000</v>
      </c>
      <c r="O615" s="9">
        <f>_xlfn.XLOOKUP(_xlfn.CONCAT(Table1[[#This Row], [TEAM]],Table1[[#This Row], [ROOM]]),'ROOM TIME'!$H$2:$H$121,'ROOM TIME'!$J$2:$J$121)</f>
        <v>41.543333333333322</v>
      </c>
      <c r="P615" s="9">
        <f>(INDEX(Sheet1!$X$48:$Z$67,MATCH(Table1[[#This Row], [ROOM]],Sheet1!$P$48:$P$67,0),MATCH(Table1[[#This Row], [WEAPON]],Sheet1!$X$47:$Z$47,0)))/Table1[[#This Row], [NUM OF MEM]]</f>
        <v>4.5</v>
      </c>
      <c r="Q615" s="9">
        <f>Table1[[#This Row], [ROOM TIME]]+Table1[[#This Row], [GUARD TIME]]</f>
        <v>46.043333333333322</v>
      </c>
      <c r="R615" s="4">
        <f>Sheet1!$K$3*_xlfn.XLOOKUP(Table1[[#This Row], [DISGUISE]],Sheet1!$A$21:$A$23,Sheet1!$D$21:$D$23)</f>
        <v>66</v>
      </c>
      <c r="S615" s="9">
        <f>Table1[[#This Row], [TOTAL TIME]]-Table1[[#This Row], [TOTAL TIME TAKEN]]</f>
        <v>19.956666666666678</v>
      </c>
      <c r="T615" t="str">
        <f>IF(Table1[[#This Row], [TIME DIFFERENCE]]&gt;=0,"PASS","FAIL")</f>
        <v>PASS</v>
      </c>
      <c r="U615" s="9">
        <f>Table1[[#This Row], [TRC]]+Table1[[#This Row], [DRC]]+Table1[[#This Row], [WRC]]+Table1[[#This Row], [ERC]]+Table1[[#This Row], [EQRC]]</f>
        <v>7804764.7999999989</v>
      </c>
      <c r="V615" s="9">
        <f>Table1[[#This Row], [TOTAL COST]]+_xlfn.XLOOKUP(Table1[[#This Row], [TEAM]],Sheet1!$A$12:$A$17,Sheet1!$I$12:$I$17)</f>
        <v>8101264.7999999989</v>
      </c>
      <c r="W615" s="9">
        <f>Table1[[#This Row], [LOOT]]-Table1[[#This Row], [TOTAL COST]]</f>
        <v>9745235.2000000011</v>
      </c>
      <c r="X615" s="9">
        <f>IF(Table1[[#This Row], [PASS/FAIL]]="FAIL",0,Table1[[#This Row], [PROFIT]])</f>
        <v>9745235.2000000011</v>
      </c>
    </row>
    <row r="616" spans="1:24" ht="19.5" customHeight="1" x14ac:dyDescent="0.45">
      <c r="A616" t="s">
        <v>14</v>
      </c>
      <c r="B616" s="14">
        <f>_xlfn.XLOOKUP(Table1[[#This Row], [TEAM]],Sheet1!$A$12:$A$17,Sheet1!$F$12:$F$17)</f>
        <v>2</v>
      </c>
      <c r="C616" s="14">
        <f>_xlfn.XLOOKUP(Table1[[#This Row], [TEAM]],Sheet1!$A$12:$A$17,Sheet1!$G$12:$G$17)</f>
        <v>5949600</v>
      </c>
      <c r="D616" t="s">
        <v>34</v>
      </c>
      <c r="E616" s="4">
        <f>_xlfn.XLOOKUP(Table1[[#This Row], [ROOM]],Sheet1!$A$47:$A$66,Sheet1!$B$47:$B$66)</f>
        <v>456</v>
      </c>
      <c r="F616" t="s">
        <v>58</v>
      </c>
      <c r="G616" s="4">
        <f>_xlfn.XLOOKUP(Table1[[#This Row], [DISGUISE]],Sheet1!$A$21:$A$23,Sheet1!$B$21:$B$23)*Table1[[#This Row], [NUM OF MEM]]*(1+_xlfn.XLOOKUP(Table1[[#This Row], [DISGUISE]],Sheet1!$A$21:$A$23,Sheet1!$C$21:$C$23))</f>
        <v>25600</v>
      </c>
      <c r="H616" s="13" t="s">
        <v>66</v>
      </c>
      <c r="I616" s="4">
        <f>_xlfn.XLOOKUP(Table1[[#This Row], [WEAPON]],Sheet1!$A$27:$A$29,Sheet1!$B$27:$B$29)*Table1[[#This Row], [NUM OF MEM]]*(1+_xlfn.XLOOKUP(Table1[[#This Row], [WEAPON]],Sheet1!$A$27:$A$29,Sheet1!$C$27:$C$29))</f>
        <v>72000</v>
      </c>
      <c r="J616" t="s">
        <v>60</v>
      </c>
      <c r="K616" s="9">
        <f>Table1[[#This Row], [NUM OF MEM]]*Table1[[#This Row], [TOTAL TIME TAKEN]]*_xlfn.XLOOKUP(Table1[[#This Row], [EXIT]],Sheet1!$A$70:$A$71,Sheet1!$B$70:$B$71)*(1+_xlfn.XLOOKUP(Table1[[#This Row], [EXIT]],Sheet1!$A$70:$A$71,Sheet1!$C$70:$C$71))</f>
        <v>1600661.8874999997</v>
      </c>
      <c r="L616" s="13" t="s">
        <v>65</v>
      </c>
      <c r="M616" s="4">
        <f>IF(Table1[[#This Row], [EQUIPMENT]]="YES",Sheet1!$C$44*(1+Sheet1!$D$44),0)</f>
        <v>307500</v>
      </c>
      <c r="N616" s="4">
        <f>_xlfn.XLOOKUP(Table1[[#This Row], [ROOM]],Sheet1!$A$47:$A$66,Sheet1!$F$47:$F$66)</f>
        <v>17700000</v>
      </c>
      <c r="O616" s="9">
        <f>_xlfn.XLOOKUP(_xlfn.CONCAT(Table1[[#This Row], [TEAM]],Table1[[#This Row], [ROOM]]),'ROOM TIME'!$H$2:$H$121,'ROOM TIME'!$J$2:$J$121)</f>
        <v>55.492499999999986</v>
      </c>
      <c r="P616" s="9">
        <f>(INDEX(Sheet1!$X$48:$Z$67,MATCH(Table1[[#This Row], [ROOM]],Sheet1!$P$48:$P$67,0),MATCH(Table1[[#This Row], [WEAPON]],Sheet1!$X$47:$Z$47,0)))/Table1[[#This Row], [NUM OF MEM]]</f>
        <v>6.875</v>
      </c>
      <c r="Q616" s="9">
        <f>Table1[[#This Row], [ROOM TIME]]+Table1[[#This Row], [GUARD TIME]]</f>
        <v>62.367499999999986</v>
      </c>
      <c r="R616" s="4">
        <f>Sheet1!$K$3*_xlfn.XLOOKUP(Table1[[#This Row], [DISGUISE]],Sheet1!$A$21:$A$23,Sheet1!$D$21:$D$23)</f>
        <v>69</v>
      </c>
      <c r="S616" s="9">
        <f>Table1[[#This Row], [TOTAL TIME]]-Table1[[#This Row], [TOTAL TIME TAKEN]]</f>
        <v>6.6325000000000145</v>
      </c>
      <c r="T616" t="str">
        <f>IF(Table1[[#This Row], [TIME DIFFERENCE]]&gt;=0,"PASS","FAIL")</f>
        <v>PASS</v>
      </c>
      <c r="U616" s="9">
        <f>Table1[[#This Row], [TRC]]+Table1[[#This Row], [DRC]]+Table1[[#This Row], [WRC]]+Table1[[#This Row], [ERC]]+Table1[[#This Row], [EQRC]]</f>
        <v>7955361.8874999993</v>
      </c>
      <c r="V616" s="9">
        <f>Table1[[#This Row], [TOTAL COST]]+_xlfn.XLOOKUP(Table1[[#This Row], [TEAM]],Sheet1!$A$12:$A$17,Sheet1!$I$12:$I$17)</f>
        <v>8252841.8874999993</v>
      </c>
      <c r="W616" s="9">
        <f>Table1[[#This Row], [LOOT]]-Table1[[#This Row], [TOTAL COST]]</f>
        <v>9744638.1125000007</v>
      </c>
      <c r="X616" s="9">
        <f>IF(Table1[[#This Row], [PASS/FAIL]]="FAIL",0,Table1[[#This Row], [PROFIT]])</f>
        <v>9744638.1125000007</v>
      </c>
    </row>
    <row r="617" spans="1:24" ht="19.5" customHeight="1" x14ac:dyDescent="0.45">
      <c r="A617" t="s">
        <v>12</v>
      </c>
      <c r="B617" s="14">
        <f>_xlfn.XLOOKUP(Table1[[#This Row], [TEAM]],Sheet1!$A$12:$A$17,Sheet1!$F$12:$F$17)</f>
        <v>3</v>
      </c>
      <c r="C617" s="14">
        <f>_xlfn.XLOOKUP(Table1[[#This Row], [TEAM]],Sheet1!$A$12:$A$17,Sheet1!$G$12:$G$17)</f>
        <v>5988750</v>
      </c>
      <c r="D617" t="s">
        <v>27</v>
      </c>
      <c r="E617" s="4">
        <f>_xlfn.XLOOKUP(Table1[[#This Row], [ROOM]],Sheet1!$A$47:$A$66,Sheet1!$B$47:$B$66)</f>
        <v>146</v>
      </c>
      <c r="F617" t="s">
        <v>62</v>
      </c>
      <c r="G617" s="4">
        <f>_xlfn.XLOOKUP(Table1[[#This Row], [DISGUISE]],Sheet1!$A$21:$A$23,Sheet1!$B$21:$B$23)*Table1[[#This Row], [NUM OF MEM]]*(1+_xlfn.XLOOKUP(Table1[[#This Row], [DISGUISE]],Sheet1!$A$21:$A$23,Sheet1!$C$21:$C$23))</f>
        <v>15600</v>
      </c>
      <c r="H617" s="13" t="s">
        <v>63</v>
      </c>
      <c r="I617" s="4">
        <f>_xlfn.XLOOKUP(Table1[[#This Row], [WEAPON]],Sheet1!$A$27:$A$29,Sheet1!$B$27:$B$29)*Table1[[#This Row], [NUM OF MEM]]*(1+_xlfn.XLOOKUP(Table1[[#This Row], [WEAPON]],Sheet1!$A$27:$A$29,Sheet1!$C$27:$C$29))</f>
        <v>69000</v>
      </c>
      <c r="J617" t="s">
        <v>60</v>
      </c>
      <c r="K617" s="9">
        <f>Table1[[#This Row], [NUM OF MEM]]*Table1[[#This Row], [TOTAL TIME TAKEN]]*_xlfn.XLOOKUP(Table1[[#This Row], [EXIT]],Sheet1!$A$70:$A$71,Sheet1!$B$70:$B$71)*(1+_xlfn.XLOOKUP(Table1[[#This Row], [EXIT]],Sheet1!$A$70:$A$71,Sheet1!$C$70:$C$71))</f>
        <v>1624680.0499999993</v>
      </c>
      <c r="L617" s="13" t="s">
        <v>65</v>
      </c>
      <c r="M617" s="4">
        <f>IF(Table1[[#This Row], [EQUIPMENT]]="YES",Sheet1!$C$44*(1+Sheet1!$D$44),0)</f>
        <v>307500</v>
      </c>
      <c r="N617" s="4">
        <f>_xlfn.XLOOKUP(Table1[[#This Row], [ROOM]],Sheet1!$A$47:$A$66,Sheet1!$F$47:$F$66)</f>
        <v>17750000</v>
      </c>
      <c r="O617" s="9">
        <f>_xlfn.XLOOKUP(_xlfn.CONCAT(Table1[[#This Row], [TEAM]],Table1[[#This Row], [ROOM]]),'ROOM TIME'!$H$2:$H$121,'ROOM TIME'!$J$2:$J$121)</f>
        <v>37.252222222222208</v>
      </c>
      <c r="P617" s="9">
        <f>(INDEX(Sheet1!$X$48:$Z$67,MATCH(Table1[[#This Row], [ROOM]],Sheet1!$P$48:$P$67,0),MATCH(Table1[[#This Row], [WEAPON]],Sheet1!$X$47:$Z$47,0)))/Table1[[#This Row], [NUM OF MEM]]</f>
        <v>4.95</v>
      </c>
      <c r="Q617" s="9">
        <f>Table1[[#This Row], [ROOM TIME]]+Table1[[#This Row], [GUARD TIME]]</f>
        <v>42.202222222222211</v>
      </c>
      <c r="R617" s="4">
        <f>Sheet1!$K$3*_xlfn.XLOOKUP(Table1[[#This Row], [DISGUISE]],Sheet1!$A$21:$A$23,Sheet1!$D$21:$D$23)</f>
        <v>66</v>
      </c>
      <c r="S617" s="9">
        <f>Table1[[#This Row], [TOTAL TIME]]-Table1[[#This Row], [TOTAL TIME TAKEN]]</f>
        <v>23.797777777777789</v>
      </c>
      <c r="T617" t="str">
        <f>IF(Table1[[#This Row], [TIME DIFFERENCE]]&gt;=0,"PASS","FAIL")</f>
        <v>PASS</v>
      </c>
      <c r="U617" s="9">
        <f>Table1[[#This Row], [TRC]]+Table1[[#This Row], [DRC]]+Table1[[#This Row], [WRC]]+Table1[[#This Row], [ERC]]+Table1[[#This Row], [EQRC]]</f>
        <v>8005530.0499999989</v>
      </c>
      <c r="V617" s="9">
        <f>Table1[[#This Row], [TOTAL COST]]+_xlfn.XLOOKUP(Table1[[#This Row], [TEAM]],Sheet1!$A$12:$A$17,Sheet1!$I$12:$I$17)</f>
        <v>8304967.5499999989</v>
      </c>
      <c r="W617" s="9">
        <f>Table1[[#This Row], [LOOT]]-Table1[[#This Row], [TOTAL COST]]</f>
        <v>9744469.9500000011</v>
      </c>
      <c r="X617" s="9">
        <f>IF(Table1[[#This Row], [PASS/FAIL]]="FAIL",0,Table1[[#This Row], [PROFIT]])</f>
        <v>9744469.9500000011</v>
      </c>
    </row>
    <row r="618" spans="1:24" ht="19.5" customHeight="1" x14ac:dyDescent="0.45">
      <c r="A618" t="s">
        <v>14</v>
      </c>
      <c r="B618" s="14">
        <f>_xlfn.XLOOKUP(Table1[[#This Row], [TEAM]],Sheet1!$A$12:$A$17,Sheet1!$F$12:$F$17)</f>
        <v>2</v>
      </c>
      <c r="C618" s="14">
        <f>_xlfn.XLOOKUP(Table1[[#This Row], [TEAM]],Sheet1!$A$12:$A$17,Sheet1!$G$12:$G$17)</f>
        <v>5949600</v>
      </c>
      <c r="D618" t="s">
        <v>34</v>
      </c>
      <c r="E618" s="4">
        <f>_xlfn.XLOOKUP(Table1[[#This Row], [ROOM]],Sheet1!$A$47:$A$66,Sheet1!$B$47:$B$66)</f>
        <v>456</v>
      </c>
      <c r="F618" t="s">
        <v>62</v>
      </c>
      <c r="G618" s="4">
        <f>_xlfn.XLOOKUP(Table1[[#This Row], [DISGUISE]],Sheet1!$A$21:$A$23,Sheet1!$B$21:$B$23)*Table1[[#This Row], [NUM OF MEM]]*(1+_xlfn.XLOOKUP(Table1[[#This Row], [DISGUISE]],Sheet1!$A$21:$A$23,Sheet1!$C$21:$C$23))</f>
        <v>10400</v>
      </c>
      <c r="H618" s="13" t="s">
        <v>66</v>
      </c>
      <c r="I618" s="4">
        <f>_xlfn.XLOOKUP(Table1[[#This Row], [WEAPON]],Sheet1!$A$27:$A$29,Sheet1!$B$27:$B$29)*Table1[[#This Row], [NUM OF MEM]]*(1+_xlfn.XLOOKUP(Table1[[#This Row], [WEAPON]],Sheet1!$A$27:$A$29,Sheet1!$C$27:$C$29))</f>
        <v>72000</v>
      </c>
      <c r="J618" t="s">
        <v>64</v>
      </c>
      <c r="K618" s="9">
        <f>Table1[[#This Row], [NUM OF MEM]]*Table1[[#This Row], [TOTAL TIME TAKEN]]*_xlfn.XLOOKUP(Table1[[#This Row], [EXIT]],Sheet1!$A$70:$A$71,Sheet1!$B$70:$B$71)*(1+_xlfn.XLOOKUP(Table1[[#This Row], [EXIT]],Sheet1!$A$70:$A$71,Sheet1!$C$70:$C$71))</f>
        <v>1616565.5999999996</v>
      </c>
      <c r="L618" s="13" t="s">
        <v>65</v>
      </c>
      <c r="M618" s="4">
        <f>IF(Table1[[#This Row], [EQUIPMENT]]="YES",Sheet1!$C$44*(1+Sheet1!$D$44),0)</f>
        <v>307500</v>
      </c>
      <c r="N618" s="4">
        <f>_xlfn.XLOOKUP(Table1[[#This Row], [ROOM]],Sheet1!$A$47:$A$66,Sheet1!$F$47:$F$66)</f>
        <v>17700000</v>
      </c>
      <c r="O618" s="9">
        <f>_xlfn.XLOOKUP(_xlfn.CONCAT(Table1[[#This Row], [TEAM]],Table1[[#This Row], [ROOM]]),'ROOM TIME'!$H$2:$H$121,'ROOM TIME'!$J$2:$J$121)</f>
        <v>55.492499999999986</v>
      </c>
      <c r="P618" s="9">
        <f>(INDEX(Sheet1!$X$48:$Z$67,MATCH(Table1[[#This Row], [ROOM]],Sheet1!$P$48:$P$67,0),MATCH(Table1[[#This Row], [WEAPON]],Sheet1!$X$47:$Z$47,0)))/Table1[[#This Row], [NUM OF MEM]]</f>
        <v>6.875</v>
      </c>
      <c r="Q618" s="9">
        <f>Table1[[#This Row], [ROOM TIME]]+Table1[[#This Row], [GUARD TIME]]</f>
        <v>62.367499999999986</v>
      </c>
      <c r="R618" s="4">
        <f>Sheet1!$K$3*_xlfn.XLOOKUP(Table1[[#This Row], [DISGUISE]],Sheet1!$A$21:$A$23,Sheet1!$D$21:$D$23)</f>
        <v>66</v>
      </c>
      <c r="S618" s="9">
        <f>Table1[[#This Row], [TOTAL TIME]]-Table1[[#This Row], [TOTAL TIME TAKEN]]</f>
        <v>3.6325000000000145</v>
      </c>
      <c r="T618" t="str">
        <f>IF(Table1[[#This Row], [TIME DIFFERENCE]]&gt;=0,"PASS","FAIL")</f>
        <v>PASS</v>
      </c>
      <c r="U618" s="9">
        <f>Table1[[#This Row], [TRC]]+Table1[[#This Row], [DRC]]+Table1[[#This Row], [WRC]]+Table1[[#This Row], [ERC]]+Table1[[#This Row], [EQRC]]</f>
        <v>7956065.5999999996</v>
      </c>
      <c r="V618" s="9">
        <f>Table1[[#This Row], [TOTAL COST]]+_xlfn.XLOOKUP(Table1[[#This Row], [TEAM]],Sheet1!$A$12:$A$17,Sheet1!$I$12:$I$17)</f>
        <v>8253545.5999999996</v>
      </c>
      <c r="W618" s="9">
        <f>Table1[[#This Row], [LOOT]]-Table1[[#This Row], [TOTAL COST]]</f>
        <v>9743934.4000000004</v>
      </c>
      <c r="X618" s="9">
        <f>IF(Table1[[#This Row], [PASS/FAIL]]="FAIL",0,Table1[[#This Row], [PROFIT]])</f>
        <v>9743934.4000000004</v>
      </c>
    </row>
    <row r="619" spans="1:24" ht="19.5" customHeight="1" x14ac:dyDescent="0.45">
      <c r="A619" t="s">
        <v>15</v>
      </c>
      <c r="B619" s="14">
        <f>_xlfn.XLOOKUP(Table1[[#This Row], [TEAM]],Sheet1!$A$12:$A$17,Sheet1!$F$12:$F$17)</f>
        <v>2</v>
      </c>
      <c r="C619" s="14">
        <f>_xlfn.XLOOKUP(Table1[[#This Row], [TEAM]],Sheet1!$A$12:$A$17,Sheet1!$G$12:$G$17)</f>
        <v>5932950</v>
      </c>
      <c r="D619" t="s">
        <v>34</v>
      </c>
      <c r="E619" s="4">
        <f>_xlfn.XLOOKUP(Table1[[#This Row], [ROOM]],Sheet1!$A$47:$A$66,Sheet1!$B$47:$B$66)</f>
        <v>456</v>
      </c>
      <c r="F619" t="s">
        <v>58</v>
      </c>
      <c r="G619" s="4">
        <f>_xlfn.XLOOKUP(Table1[[#This Row], [DISGUISE]],Sheet1!$A$21:$A$23,Sheet1!$B$21:$B$23)*Table1[[#This Row], [NUM OF MEM]]*(1+_xlfn.XLOOKUP(Table1[[#This Row], [DISGUISE]],Sheet1!$A$21:$A$23,Sheet1!$C$21:$C$23))</f>
        <v>25600</v>
      </c>
      <c r="H619" s="13" t="s">
        <v>59</v>
      </c>
      <c r="I619" s="4">
        <f>_xlfn.XLOOKUP(Table1[[#This Row], [WEAPON]],Sheet1!$A$27:$A$29,Sheet1!$B$27:$B$29)*Table1[[#This Row], [NUM OF MEM]]*(1+_xlfn.XLOOKUP(Table1[[#This Row], [WEAPON]],Sheet1!$A$27:$A$29,Sheet1!$C$27:$C$29))</f>
        <v>91000</v>
      </c>
      <c r="J619" t="s">
        <v>64</v>
      </c>
      <c r="K619" s="4">
        <f>Table1[[#This Row], [NUM OF MEM]]*Table1[[#This Row], [TOTAL TIME TAKEN]]*_xlfn.XLOOKUP(Table1[[#This Row], [EXIT]],Sheet1!$A$70:$A$71,Sheet1!$B$70:$B$71)*(1+_xlfn.XLOOKUP(Table1[[#This Row], [EXIT]],Sheet1!$A$70:$A$71,Sheet1!$C$70:$C$71))</f>
        <v>1601046</v>
      </c>
      <c r="L619" s="13" t="s">
        <v>65</v>
      </c>
      <c r="M619" s="4">
        <f>IF(Table1[[#This Row], [EQUIPMENT]]="YES",Sheet1!$C$44*(1+Sheet1!$D$44),0)</f>
        <v>307500</v>
      </c>
      <c r="N619" s="4">
        <f>_xlfn.XLOOKUP(Table1[[#This Row], [ROOM]],Sheet1!$A$47:$A$66,Sheet1!$F$47:$F$66)</f>
        <v>17700000</v>
      </c>
      <c r="O619" s="9">
        <f>_xlfn.XLOOKUP(_xlfn.CONCAT(Table1[[#This Row], [TEAM]],Table1[[#This Row], [ROOM]]),'ROOM TIME'!$H$2:$H$121,'ROOM TIME'!$J$2:$J$121)</f>
        <v>55.443749999999994</v>
      </c>
      <c r="P619" s="9">
        <f>(INDEX(Sheet1!$X$48:$Z$67,MATCH(Table1[[#This Row], [ROOM]],Sheet1!$P$48:$P$67,0),MATCH(Table1[[#This Row], [WEAPON]],Sheet1!$X$47:$Z$47,0)))/Table1[[#This Row], [NUM OF MEM]]</f>
        <v>6.3249999999999993</v>
      </c>
      <c r="Q619" s="9">
        <f>Table1[[#This Row], [ROOM TIME]]+Table1[[#This Row], [GUARD TIME]]</f>
        <v>61.768749999999997</v>
      </c>
      <c r="R619" s="4">
        <f>Sheet1!$K$3*_xlfn.XLOOKUP(Table1[[#This Row], [DISGUISE]],Sheet1!$A$21:$A$23,Sheet1!$D$21:$D$23)</f>
        <v>69</v>
      </c>
      <c r="S619" s="9">
        <f>Table1[[#This Row], [TOTAL TIME]]-Table1[[#This Row], [TOTAL TIME TAKEN]]</f>
        <v>7.2312500000000028</v>
      </c>
      <c r="T619" t="str">
        <f>IF(Table1[[#This Row], [TIME DIFFERENCE]]&gt;=0,"PASS","FAIL")</f>
        <v>PASS</v>
      </c>
      <c r="U619" s="4">
        <f>Table1[[#This Row], [TRC]]+Table1[[#This Row], [DRC]]+Table1[[#This Row], [WRC]]+Table1[[#This Row], [ERC]]+Table1[[#This Row], [EQRC]]</f>
        <v>7958096</v>
      </c>
      <c r="V619" s="9">
        <f>Table1[[#This Row], [TOTAL COST]]+_xlfn.XLOOKUP(Table1[[#This Row], [TEAM]],Sheet1!$A$12:$A$17,Sheet1!$I$12:$I$17)</f>
        <v>8254743.5</v>
      </c>
      <c r="W619" s="4">
        <f>Table1[[#This Row], [LOOT]]-Table1[[#This Row], [TOTAL COST]]</f>
        <v>9741904</v>
      </c>
      <c r="X619" s="4">
        <f>IF(Table1[[#This Row], [PASS/FAIL]]="FAIL",0,Table1[[#This Row], [PROFIT]])</f>
        <v>9741904</v>
      </c>
    </row>
    <row r="620" spans="1:24" ht="19.5" customHeight="1" x14ac:dyDescent="0.45">
      <c r="A620" t="s">
        <v>14</v>
      </c>
      <c r="B620" s="14">
        <f>_xlfn.XLOOKUP(Table1[[#This Row], [TEAM]],Sheet1!$A$12:$A$17,Sheet1!$F$12:$F$17)</f>
        <v>2</v>
      </c>
      <c r="C620" s="14">
        <f>_xlfn.XLOOKUP(Table1[[#This Row], [TEAM]],Sheet1!$A$12:$A$17,Sheet1!$G$12:$G$17)</f>
        <v>5949600</v>
      </c>
      <c r="D620" t="s">
        <v>34</v>
      </c>
      <c r="E620" s="4">
        <f>_xlfn.XLOOKUP(Table1[[#This Row], [ROOM]],Sheet1!$A$47:$A$66,Sheet1!$B$47:$B$66)</f>
        <v>456</v>
      </c>
      <c r="F620" t="s">
        <v>58</v>
      </c>
      <c r="G620" s="4">
        <f>_xlfn.XLOOKUP(Table1[[#This Row], [DISGUISE]],Sheet1!$A$21:$A$23,Sheet1!$B$21:$B$23)*Table1[[#This Row], [NUM OF MEM]]*(1+_xlfn.XLOOKUP(Table1[[#This Row], [DISGUISE]],Sheet1!$A$21:$A$23,Sheet1!$C$21:$C$23))</f>
        <v>25600</v>
      </c>
      <c r="H620" s="13" t="s">
        <v>63</v>
      </c>
      <c r="I620" s="4">
        <f>_xlfn.XLOOKUP(Table1[[#This Row], [WEAPON]],Sheet1!$A$27:$A$29,Sheet1!$B$27:$B$29)*Table1[[#This Row], [NUM OF MEM]]*(1+_xlfn.XLOOKUP(Table1[[#This Row], [WEAPON]],Sheet1!$A$27:$A$29,Sheet1!$C$27:$C$29))</f>
        <v>46000</v>
      </c>
      <c r="J620" t="s">
        <v>64</v>
      </c>
      <c r="K620" s="9">
        <f>Table1[[#This Row], [NUM OF MEM]]*Table1[[#This Row], [TOTAL TIME TAKEN]]*_xlfn.XLOOKUP(Table1[[#This Row], [EXIT]],Sheet1!$A$70:$A$71,Sheet1!$B$70:$B$71)*(1+_xlfn.XLOOKUP(Table1[[#This Row], [EXIT]],Sheet1!$A$70:$A$71,Sheet1!$C$70:$C$71))</f>
        <v>1630821.5999999996</v>
      </c>
      <c r="L620" s="13" t="s">
        <v>65</v>
      </c>
      <c r="M620" s="4">
        <f>IF(Table1[[#This Row], [EQUIPMENT]]="YES",Sheet1!$C$44*(1+Sheet1!$D$44),0)</f>
        <v>307500</v>
      </c>
      <c r="N620" s="4">
        <f>_xlfn.XLOOKUP(Table1[[#This Row], [ROOM]],Sheet1!$A$47:$A$66,Sheet1!$F$47:$F$66)</f>
        <v>17700000</v>
      </c>
      <c r="O620" s="9">
        <f>_xlfn.XLOOKUP(_xlfn.CONCAT(Table1[[#This Row], [TEAM]],Table1[[#This Row], [ROOM]]),'ROOM TIME'!$H$2:$H$121,'ROOM TIME'!$J$2:$J$121)</f>
        <v>55.492499999999986</v>
      </c>
      <c r="P620" s="9">
        <f>(INDEX(Sheet1!$X$48:$Z$67,MATCH(Table1[[#This Row], [ROOM]],Sheet1!$P$48:$P$67,0),MATCH(Table1[[#This Row], [WEAPON]],Sheet1!$X$47:$Z$47,0)))/Table1[[#This Row], [NUM OF MEM]]</f>
        <v>7.4250000000000007</v>
      </c>
      <c r="Q620" s="9">
        <f>Table1[[#This Row], [ROOM TIME]]+Table1[[#This Row], [GUARD TIME]]</f>
        <v>62.91749999999999</v>
      </c>
      <c r="R620" s="4">
        <f>Sheet1!$K$3*_xlfn.XLOOKUP(Table1[[#This Row], [DISGUISE]],Sheet1!$A$21:$A$23,Sheet1!$D$21:$D$23)</f>
        <v>69</v>
      </c>
      <c r="S620" s="9">
        <f>Table1[[#This Row], [TOTAL TIME]]-Table1[[#This Row], [TOTAL TIME TAKEN]]</f>
        <v>6.0825000000000102</v>
      </c>
      <c r="T620" t="str">
        <f>IF(Table1[[#This Row], [TIME DIFFERENCE]]&gt;=0,"PASS","FAIL")</f>
        <v>PASS</v>
      </c>
      <c r="U620" s="9">
        <f>Table1[[#This Row], [TRC]]+Table1[[#This Row], [DRC]]+Table1[[#This Row], [WRC]]+Table1[[#This Row], [ERC]]+Table1[[#This Row], [EQRC]]</f>
        <v>7959521.5999999996</v>
      </c>
      <c r="V620" s="9">
        <f>Table1[[#This Row], [TOTAL COST]]+_xlfn.XLOOKUP(Table1[[#This Row], [TEAM]],Sheet1!$A$12:$A$17,Sheet1!$I$12:$I$17)</f>
        <v>8257001.5999999996</v>
      </c>
      <c r="W620" s="9">
        <f>Table1[[#This Row], [LOOT]]-Table1[[#This Row], [TOTAL COST]]</f>
        <v>9740478.4000000004</v>
      </c>
      <c r="X620" s="9">
        <f>IF(Table1[[#This Row], [PASS/FAIL]]="FAIL",0,Table1[[#This Row], [PROFIT]])</f>
        <v>9740478.4000000004</v>
      </c>
    </row>
    <row r="621" spans="1:24" ht="19.5" customHeight="1" x14ac:dyDescent="0.45">
      <c r="A621" t="s">
        <v>13</v>
      </c>
      <c r="B621" s="14">
        <f>_xlfn.XLOOKUP(Table1[[#This Row], [TEAM]],Sheet1!$A$12:$A$17,Sheet1!$F$12:$F$17)</f>
        <v>3</v>
      </c>
      <c r="C621" s="14">
        <f>_xlfn.XLOOKUP(Table1[[#This Row], [TEAM]],Sheet1!$A$12:$A$17,Sheet1!$G$12:$G$17)</f>
        <v>5930000</v>
      </c>
      <c r="D621" t="s">
        <v>20</v>
      </c>
      <c r="E621" s="4">
        <f>_xlfn.XLOOKUP(Table1[[#This Row], [ROOM]],Sheet1!$A$47:$A$66,Sheet1!$B$47:$B$66)</f>
        <v>145</v>
      </c>
      <c r="F621" t="s">
        <v>58</v>
      </c>
      <c r="G621" s="4">
        <f>_xlfn.XLOOKUP(Table1[[#This Row], [DISGUISE]],Sheet1!$A$21:$A$23,Sheet1!$B$21:$B$23)*Table1[[#This Row], [NUM OF MEM]]*(1+_xlfn.XLOOKUP(Table1[[#This Row], [DISGUISE]],Sheet1!$A$21:$A$23,Sheet1!$C$21:$C$23))</f>
        <v>38400</v>
      </c>
      <c r="H621" s="13" t="s">
        <v>63</v>
      </c>
      <c r="I621" s="4">
        <f>_xlfn.XLOOKUP(Table1[[#This Row], [WEAPON]],Sheet1!$A$27:$A$29,Sheet1!$B$27:$B$29)*Table1[[#This Row], [NUM OF MEM]]*(1+_xlfn.XLOOKUP(Table1[[#This Row], [WEAPON]],Sheet1!$A$27:$A$29,Sheet1!$C$27:$C$29))</f>
        <v>69000</v>
      </c>
      <c r="J621" t="s">
        <v>60</v>
      </c>
      <c r="K621" s="9">
        <f>Table1[[#This Row], [NUM OF MEM]]*Table1[[#This Row], [TOTAL TIME TAKEN]]*_xlfn.XLOOKUP(Table1[[#This Row], [EXIT]],Sheet1!$A$70:$A$71,Sheet1!$B$70:$B$71)*(1+_xlfn.XLOOKUP(Table1[[#This Row], [EXIT]],Sheet1!$A$70:$A$71,Sheet1!$C$70:$C$71))</f>
        <v>1772553.2249999996</v>
      </c>
      <c r="L621" s="13" t="s">
        <v>61</v>
      </c>
      <c r="M621" s="4">
        <f>IF(Table1[[#This Row], [EQUIPMENT]]="YES",Sheet1!$C$44*(1+Sheet1!$D$44),0)</f>
        <v>0</v>
      </c>
      <c r="N621" s="4">
        <f>_xlfn.XLOOKUP(Table1[[#This Row], [ROOM]],Sheet1!$A$47:$A$66,Sheet1!$F$47:$F$66)</f>
        <v>17550000</v>
      </c>
      <c r="O621" s="9">
        <f>_xlfn.XLOOKUP(_xlfn.CONCAT(Table1[[#This Row], [TEAM]],Table1[[#This Row], [ROOM]]),'ROOM TIME'!$H$2:$H$121,'ROOM TIME'!$J$2:$J$121)</f>
        <v>41.543333333333322</v>
      </c>
      <c r="P621" s="9">
        <f>(INDEX(Sheet1!$X$48:$Z$67,MATCH(Table1[[#This Row], [ROOM]],Sheet1!$P$48:$P$67,0),MATCH(Table1[[#This Row], [WEAPON]],Sheet1!$X$47:$Z$47,0)))/Table1[[#This Row], [NUM OF MEM]]</f>
        <v>4.5</v>
      </c>
      <c r="Q621" s="9">
        <f>Table1[[#This Row], [ROOM TIME]]+Table1[[#This Row], [GUARD TIME]]</f>
        <v>46.043333333333322</v>
      </c>
      <c r="R621" s="4">
        <f>Sheet1!$K$3*_xlfn.XLOOKUP(Table1[[#This Row], [DISGUISE]],Sheet1!$A$21:$A$23,Sheet1!$D$21:$D$23)</f>
        <v>69</v>
      </c>
      <c r="S621" s="9">
        <f>Table1[[#This Row], [TOTAL TIME]]-Table1[[#This Row], [TOTAL TIME TAKEN]]</f>
        <v>22.956666666666678</v>
      </c>
      <c r="T621" t="str">
        <f>IF(Table1[[#This Row], [TIME DIFFERENCE]]&gt;=0,"PASS","FAIL")</f>
        <v>PASS</v>
      </c>
      <c r="U621" s="9">
        <f>Table1[[#This Row], [TRC]]+Table1[[#This Row], [DRC]]+Table1[[#This Row], [WRC]]+Table1[[#This Row], [ERC]]+Table1[[#This Row], [EQRC]]</f>
        <v>7809953.2249999996</v>
      </c>
      <c r="V621" s="9">
        <f>Table1[[#This Row], [TOTAL COST]]+_xlfn.XLOOKUP(Table1[[#This Row], [TEAM]],Sheet1!$A$12:$A$17,Sheet1!$I$12:$I$17)</f>
        <v>8106453.2249999996</v>
      </c>
      <c r="W621" s="9">
        <f>Table1[[#This Row], [LOOT]]-Table1[[#This Row], [TOTAL COST]]</f>
        <v>9740046.7750000004</v>
      </c>
      <c r="X621" s="9">
        <f>IF(Table1[[#This Row], [PASS/FAIL]]="FAIL",0,Table1[[#This Row], [PROFIT]])</f>
        <v>9740046.7750000004</v>
      </c>
    </row>
    <row r="622" spans="1:24" ht="19.5" customHeight="1" x14ac:dyDescent="0.45">
      <c r="A622" t="s">
        <v>12</v>
      </c>
      <c r="B622" s="14">
        <f>_xlfn.XLOOKUP(Table1[[#This Row], [TEAM]],Sheet1!$A$12:$A$17,Sheet1!$F$12:$F$17)</f>
        <v>3</v>
      </c>
      <c r="C622" s="14">
        <f>_xlfn.XLOOKUP(Table1[[#This Row], [TEAM]],Sheet1!$A$12:$A$17,Sheet1!$G$12:$G$17)</f>
        <v>5988750</v>
      </c>
      <c r="D622" t="s">
        <v>20</v>
      </c>
      <c r="E622" s="4">
        <f>_xlfn.XLOOKUP(Table1[[#This Row], [ROOM]],Sheet1!$A$47:$A$66,Sheet1!$B$47:$B$66)</f>
        <v>145</v>
      </c>
      <c r="F622" t="s">
        <v>58</v>
      </c>
      <c r="G622" s="4">
        <f>_xlfn.XLOOKUP(Table1[[#This Row], [DISGUISE]],Sheet1!$A$21:$A$23,Sheet1!$B$21:$B$23)*Table1[[#This Row], [NUM OF MEM]]*(1+_xlfn.XLOOKUP(Table1[[#This Row], [DISGUISE]],Sheet1!$A$21:$A$23,Sheet1!$C$21:$C$23))</f>
        <v>38400</v>
      </c>
      <c r="H622" s="13" t="s">
        <v>63</v>
      </c>
      <c r="I622" s="4">
        <f>_xlfn.XLOOKUP(Table1[[#This Row], [WEAPON]],Sheet1!$A$27:$A$29,Sheet1!$B$27:$B$29)*Table1[[#This Row], [NUM OF MEM]]*(1+_xlfn.XLOOKUP(Table1[[#This Row], [WEAPON]],Sheet1!$A$27:$A$29,Sheet1!$C$27:$C$29))</f>
        <v>69000</v>
      </c>
      <c r="J622" t="s">
        <v>64</v>
      </c>
      <c r="K622" s="9">
        <f>Table1[[#This Row], [NUM OF MEM]]*Table1[[#This Row], [TOTAL TIME TAKEN]]*_xlfn.XLOOKUP(Table1[[#This Row], [EXIT]],Sheet1!$A$70:$A$71,Sheet1!$B$70:$B$71)*(1+_xlfn.XLOOKUP(Table1[[#This Row], [EXIT]],Sheet1!$A$70:$A$71,Sheet1!$C$70:$C$71))</f>
        <v>1713959.9999999998</v>
      </c>
      <c r="L622" s="13" t="s">
        <v>61</v>
      </c>
      <c r="M622" s="4">
        <f>IF(Table1[[#This Row], [EQUIPMENT]]="YES",Sheet1!$C$44*(1+Sheet1!$D$44),0)</f>
        <v>0</v>
      </c>
      <c r="N622" s="4">
        <f>_xlfn.XLOOKUP(Table1[[#This Row], [ROOM]],Sheet1!$A$47:$A$66,Sheet1!$F$47:$F$66)</f>
        <v>17550000</v>
      </c>
      <c r="O622" s="9">
        <f>_xlfn.XLOOKUP(_xlfn.CONCAT(Table1[[#This Row], [TEAM]],Table1[[#This Row], [ROOM]]),'ROOM TIME'!$H$2:$H$121,'ROOM TIME'!$J$2:$J$121)</f>
        <v>39.583333333333321</v>
      </c>
      <c r="P622" s="9">
        <f>(INDEX(Sheet1!$X$48:$Z$67,MATCH(Table1[[#This Row], [ROOM]],Sheet1!$P$48:$P$67,0),MATCH(Table1[[#This Row], [WEAPON]],Sheet1!$X$47:$Z$47,0)))/Table1[[#This Row], [NUM OF MEM]]</f>
        <v>4.5</v>
      </c>
      <c r="Q622" s="9">
        <f>Table1[[#This Row], [ROOM TIME]]+Table1[[#This Row], [GUARD TIME]]</f>
        <v>44.083333333333321</v>
      </c>
      <c r="R622" s="4">
        <f>Sheet1!$K$3*_xlfn.XLOOKUP(Table1[[#This Row], [DISGUISE]],Sheet1!$A$21:$A$23,Sheet1!$D$21:$D$23)</f>
        <v>69</v>
      </c>
      <c r="S622" s="9">
        <f>Table1[[#This Row], [TOTAL TIME]]-Table1[[#This Row], [TOTAL TIME TAKEN]]</f>
        <v>24.916666666666679</v>
      </c>
      <c r="T622" t="str">
        <f>IF(Table1[[#This Row], [TIME DIFFERENCE]]&gt;=0,"PASS","FAIL")</f>
        <v>PASS</v>
      </c>
      <c r="U622" s="4">
        <f>Table1[[#This Row], [TRC]]+Table1[[#This Row], [DRC]]+Table1[[#This Row], [WRC]]+Table1[[#This Row], [ERC]]+Table1[[#This Row], [EQRC]]</f>
        <v>7810110</v>
      </c>
      <c r="V622" s="9">
        <f>Table1[[#This Row], [TOTAL COST]]+_xlfn.XLOOKUP(Table1[[#This Row], [TEAM]],Sheet1!$A$12:$A$17,Sheet1!$I$12:$I$17)</f>
        <v>8109547.5</v>
      </c>
      <c r="W622" s="4">
        <f>Table1[[#This Row], [LOOT]]-Table1[[#This Row], [TOTAL COST]]</f>
        <v>9739890</v>
      </c>
      <c r="X622" s="4">
        <f>IF(Table1[[#This Row], [PASS/FAIL]]="FAIL",0,Table1[[#This Row], [PROFIT]])</f>
        <v>9739890</v>
      </c>
    </row>
    <row r="623" spans="1:24" ht="19.5" customHeight="1" x14ac:dyDescent="0.45">
      <c r="A623" t="s">
        <v>15</v>
      </c>
      <c r="B623" s="14">
        <f>_xlfn.XLOOKUP(Table1[[#This Row], [TEAM]],Sheet1!$A$12:$A$17,Sheet1!$F$12:$F$17)</f>
        <v>2</v>
      </c>
      <c r="C623" s="14">
        <f>_xlfn.XLOOKUP(Table1[[#This Row], [TEAM]],Sheet1!$A$12:$A$17,Sheet1!$G$12:$G$17)</f>
        <v>5932950</v>
      </c>
      <c r="D623" t="s">
        <v>28</v>
      </c>
      <c r="E623" s="4">
        <f>_xlfn.XLOOKUP(Table1[[#This Row], [ROOM]],Sheet1!$A$47:$A$66,Sheet1!$B$47:$B$66)</f>
        <v>156</v>
      </c>
      <c r="F623" t="s">
        <v>62</v>
      </c>
      <c r="G623" s="4">
        <f>_xlfn.XLOOKUP(Table1[[#This Row], [DISGUISE]],Sheet1!$A$21:$A$23,Sheet1!$B$21:$B$23)*Table1[[#This Row], [NUM OF MEM]]*(1+_xlfn.XLOOKUP(Table1[[#This Row], [DISGUISE]],Sheet1!$A$21:$A$23,Sheet1!$C$21:$C$23))</f>
        <v>10400</v>
      </c>
      <c r="H623" s="13" t="s">
        <v>66</v>
      </c>
      <c r="I623" s="4">
        <f>_xlfn.XLOOKUP(Table1[[#This Row], [WEAPON]],Sheet1!$A$27:$A$29,Sheet1!$B$27:$B$29)*Table1[[#This Row], [NUM OF MEM]]*(1+_xlfn.XLOOKUP(Table1[[#This Row], [WEAPON]],Sheet1!$A$27:$A$29,Sheet1!$C$27:$C$29))</f>
        <v>72000</v>
      </c>
      <c r="J623" t="s">
        <v>60</v>
      </c>
      <c r="K623" s="9">
        <f>Table1[[#This Row], [NUM OF MEM]]*Table1[[#This Row], [TOTAL TIME TAKEN]]*_xlfn.XLOOKUP(Table1[[#This Row], [EXIT]],Sheet1!$A$70:$A$71,Sheet1!$B$70:$B$71)*(1+_xlfn.XLOOKUP(Table1[[#This Row], [EXIT]],Sheet1!$A$70:$A$71,Sheet1!$C$70:$C$71))</f>
        <v>1587316.0874999997</v>
      </c>
      <c r="L623" s="13" t="s">
        <v>65</v>
      </c>
      <c r="M623" s="4">
        <f>IF(Table1[[#This Row], [EQUIPMENT]]="YES",Sheet1!$C$44*(1+Sheet1!$D$44),0)</f>
        <v>307500</v>
      </c>
      <c r="N623" s="4">
        <f>_xlfn.XLOOKUP(Table1[[#This Row], [ROOM]],Sheet1!$A$47:$A$66,Sheet1!$F$47:$F$66)</f>
        <v>17650000</v>
      </c>
      <c r="O623" s="9">
        <f>_xlfn.XLOOKUP(_xlfn.CONCAT(Table1[[#This Row], [TEAM]],Table1[[#This Row], [ROOM]]),'ROOM TIME'!$H$2:$H$121,'ROOM TIME'!$J$2:$J$121)</f>
        <v>55.597499999999982</v>
      </c>
      <c r="P623" s="9">
        <f>(INDEX(Sheet1!$X$48:$Z$67,MATCH(Table1[[#This Row], [ROOM]],Sheet1!$P$48:$P$67,0),MATCH(Table1[[#This Row], [WEAPON]],Sheet1!$X$47:$Z$47,0)))/Table1[[#This Row], [NUM OF MEM]]</f>
        <v>6.25</v>
      </c>
      <c r="Q623" s="9">
        <f>Table1[[#This Row], [ROOM TIME]]+Table1[[#This Row], [GUARD TIME]]</f>
        <v>61.847499999999982</v>
      </c>
      <c r="R623" s="4">
        <f>Sheet1!$K$3*_xlfn.XLOOKUP(Table1[[#This Row], [DISGUISE]],Sheet1!$A$21:$A$23,Sheet1!$D$21:$D$23)</f>
        <v>66</v>
      </c>
      <c r="S623" s="9">
        <f>Table1[[#This Row], [TOTAL TIME]]-Table1[[#This Row], [TOTAL TIME TAKEN]]</f>
        <v>4.1525000000000176</v>
      </c>
      <c r="T623" t="str">
        <f>IF(Table1[[#This Row], [TIME DIFFERENCE]]&gt;=0,"PASS","FAIL")</f>
        <v>PASS</v>
      </c>
      <c r="U623" s="9">
        <f>Table1[[#This Row], [TRC]]+Table1[[#This Row], [DRC]]+Table1[[#This Row], [WRC]]+Table1[[#This Row], [ERC]]+Table1[[#This Row], [EQRC]]</f>
        <v>7910166.0874999994</v>
      </c>
      <c r="V623" s="9">
        <f>Table1[[#This Row], [TOTAL COST]]+_xlfn.XLOOKUP(Table1[[#This Row], [TEAM]],Sheet1!$A$12:$A$17,Sheet1!$I$12:$I$17)</f>
        <v>8206813.5874999994</v>
      </c>
      <c r="W623" s="9">
        <f>Table1[[#This Row], [LOOT]]-Table1[[#This Row], [TOTAL COST]]</f>
        <v>9739833.9125000015</v>
      </c>
      <c r="X623" s="9">
        <f>IF(Table1[[#This Row], [PASS/FAIL]]="FAIL",0,Table1[[#This Row], [PROFIT]])</f>
        <v>9739833.9125000015</v>
      </c>
    </row>
    <row r="624" spans="1:24" ht="19.5" customHeight="1" x14ac:dyDescent="0.45">
      <c r="A624" t="s">
        <v>14</v>
      </c>
      <c r="B624" s="14">
        <f>_xlfn.XLOOKUP(Table1[[#This Row], [TEAM]],Sheet1!$A$12:$A$17,Sheet1!$F$12:$F$17)</f>
        <v>2</v>
      </c>
      <c r="C624" s="14">
        <f>_xlfn.XLOOKUP(Table1[[#This Row], [TEAM]],Sheet1!$A$12:$A$17,Sheet1!$G$12:$G$17)</f>
        <v>5949600</v>
      </c>
      <c r="D624" t="s">
        <v>34</v>
      </c>
      <c r="E624" s="4">
        <f>_xlfn.XLOOKUP(Table1[[#This Row], [ROOM]],Sheet1!$A$47:$A$66,Sheet1!$B$47:$B$66)</f>
        <v>456</v>
      </c>
      <c r="F624" t="s">
        <v>58</v>
      </c>
      <c r="G624" s="4">
        <f>_xlfn.XLOOKUP(Table1[[#This Row], [DISGUISE]],Sheet1!$A$21:$A$23,Sheet1!$B$21:$B$23)*Table1[[#This Row], [NUM OF MEM]]*(1+_xlfn.XLOOKUP(Table1[[#This Row], [DISGUISE]],Sheet1!$A$21:$A$23,Sheet1!$C$21:$C$23))</f>
        <v>25600</v>
      </c>
      <c r="H624" s="13" t="s">
        <v>59</v>
      </c>
      <c r="I624" s="4">
        <f>_xlfn.XLOOKUP(Table1[[#This Row], [WEAPON]],Sheet1!$A$27:$A$29,Sheet1!$B$27:$B$29)*Table1[[#This Row], [NUM OF MEM]]*(1+_xlfn.XLOOKUP(Table1[[#This Row], [WEAPON]],Sheet1!$A$27:$A$29,Sheet1!$C$27:$C$29))</f>
        <v>91000</v>
      </c>
      <c r="J624" t="s">
        <v>60</v>
      </c>
      <c r="K624" s="9">
        <f>Table1[[#This Row], [NUM OF MEM]]*Table1[[#This Row], [TOTAL TIME TAKEN]]*_xlfn.XLOOKUP(Table1[[#This Row], [EXIT]],Sheet1!$A$70:$A$71,Sheet1!$B$70:$B$71)*(1+_xlfn.XLOOKUP(Table1[[#This Row], [EXIT]],Sheet1!$A$70:$A$71,Sheet1!$C$70:$C$71))</f>
        <v>1586546.1374999997</v>
      </c>
      <c r="L624" s="13" t="s">
        <v>65</v>
      </c>
      <c r="M624" s="4">
        <f>IF(Table1[[#This Row], [EQUIPMENT]]="YES",Sheet1!$C$44*(1+Sheet1!$D$44),0)</f>
        <v>307500</v>
      </c>
      <c r="N624" s="4">
        <f>_xlfn.XLOOKUP(Table1[[#This Row], [ROOM]],Sheet1!$A$47:$A$66,Sheet1!$F$47:$F$66)</f>
        <v>17700000</v>
      </c>
      <c r="O624" s="9">
        <f>_xlfn.XLOOKUP(_xlfn.CONCAT(Table1[[#This Row], [TEAM]],Table1[[#This Row], [ROOM]]),'ROOM TIME'!$H$2:$H$121,'ROOM TIME'!$J$2:$J$121)</f>
        <v>55.492499999999986</v>
      </c>
      <c r="P624" s="9">
        <f>(INDEX(Sheet1!$X$48:$Z$67,MATCH(Table1[[#This Row], [ROOM]],Sheet1!$P$48:$P$67,0),MATCH(Table1[[#This Row], [WEAPON]],Sheet1!$X$47:$Z$47,0)))/Table1[[#This Row], [NUM OF MEM]]</f>
        <v>6.3249999999999993</v>
      </c>
      <c r="Q624" s="9">
        <f>Table1[[#This Row], [ROOM TIME]]+Table1[[#This Row], [GUARD TIME]]</f>
        <v>61.817499999999981</v>
      </c>
      <c r="R624" s="4">
        <f>Sheet1!$K$3*_xlfn.XLOOKUP(Table1[[#This Row], [DISGUISE]],Sheet1!$A$21:$A$23,Sheet1!$D$21:$D$23)</f>
        <v>69</v>
      </c>
      <c r="S624" s="9">
        <f>Table1[[#This Row], [TOTAL TIME]]-Table1[[#This Row], [TOTAL TIME TAKEN]]</f>
        <v>7.1825000000000188</v>
      </c>
      <c r="T624" t="str">
        <f>IF(Table1[[#This Row], [TIME DIFFERENCE]]&gt;=0,"PASS","FAIL")</f>
        <v>PASS</v>
      </c>
      <c r="U624" s="9">
        <f>Table1[[#This Row], [TRC]]+Table1[[#This Row], [DRC]]+Table1[[#This Row], [WRC]]+Table1[[#This Row], [ERC]]+Table1[[#This Row], [EQRC]]</f>
        <v>7960246.1374999993</v>
      </c>
      <c r="V624" s="9">
        <f>Table1[[#This Row], [TOTAL COST]]+_xlfn.XLOOKUP(Table1[[#This Row], [TEAM]],Sheet1!$A$12:$A$17,Sheet1!$I$12:$I$17)</f>
        <v>8257726.1374999993</v>
      </c>
      <c r="W624" s="9">
        <f>Table1[[#This Row], [LOOT]]-Table1[[#This Row], [TOTAL COST]]</f>
        <v>9739753.8625000007</v>
      </c>
      <c r="X624" s="9">
        <f>IF(Table1[[#This Row], [PASS/FAIL]]="FAIL",0,Table1[[#This Row], [PROFIT]])</f>
        <v>9739753.8625000007</v>
      </c>
    </row>
    <row r="625" spans="1:24" ht="19.5" customHeight="1" x14ac:dyDescent="0.45">
      <c r="A625" t="s">
        <v>9</v>
      </c>
      <c r="B625" s="14">
        <f>_xlfn.XLOOKUP(Table1[[#This Row], [TEAM]],Sheet1!$A$12:$A$17,Sheet1!$F$12:$F$17)</f>
        <v>3</v>
      </c>
      <c r="C625" s="14">
        <f>_xlfn.XLOOKUP(Table1[[#This Row], [TEAM]],Sheet1!$A$12:$A$17,Sheet1!$G$12:$G$17)</f>
        <v>6238750</v>
      </c>
      <c r="D625" t="s">
        <v>10</v>
      </c>
      <c r="E625" s="4">
        <f>_xlfn.XLOOKUP(Table1[[#This Row], [ROOM]],Sheet1!$A$47:$A$66,Sheet1!$B$47:$B$66)</f>
        <v>123</v>
      </c>
      <c r="F625" t="s">
        <v>62</v>
      </c>
      <c r="G625" s="4">
        <f>_xlfn.XLOOKUP(Table1[[#This Row], [DISGUISE]],Sheet1!$A$21:$A$23,Sheet1!$B$21:$B$23)*Table1[[#This Row], [NUM OF MEM]]*(1+_xlfn.XLOOKUP(Table1[[#This Row], [DISGUISE]],Sheet1!$A$21:$A$23,Sheet1!$C$21:$C$23))</f>
        <v>15600</v>
      </c>
      <c r="H625" s="13" t="s">
        <v>59</v>
      </c>
      <c r="I625" s="4">
        <f>_xlfn.XLOOKUP(Table1[[#This Row], [WEAPON]],Sheet1!$A$27:$A$29,Sheet1!$B$27:$B$29)*Table1[[#This Row], [NUM OF MEM]]*(1+_xlfn.XLOOKUP(Table1[[#This Row], [WEAPON]],Sheet1!$A$27:$A$29,Sheet1!$C$27:$C$29))</f>
        <v>136500</v>
      </c>
      <c r="J625" t="s">
        <v>64</v>
      </c>
      <c r="K625" s="9">
        <f>Table1[[#This Row], [NUM OF MEM]]*Table1[[#This Row], [TOTAL TIME TAKEN]]*_xlfn.XLOOKUP(Table1[[#This Row], [EXIT]],Sheet1!$A$70:$A$71,Sheet1!$B$70:$B$71)*(1+_xlfn.XLOOKUP(Table1[[#This Row], [EXIT]],Sheet1!$A$70:$A$71,Sheet1!$C$70:$C$71))</f>
        <v>1719899.9999999998</v>
      </c>
      <c r="L625" s="13" t="s">
        <v>61</v>
      </c>
      <c r="M625" s="4">
        <f>IF(Table1[[#This Row], [EQUIPMENT]]="YES",Sheet1!$C$44*(1+Sheet1!$D$44),0)</f>
        <v>0</v>
      </c>
      <c r="N625" s="4">
        <f>_xlfn.XLOOKUP(Table1[[#This Row], [ROOM]],Sheet1!$A$47:$A$66,Sheet1!$F$47:$F$66)</f>
        <v>17850000</v>
      </c>
      <c r="O625" s="9">
        <f>_xlfn.XLOOKUP(_xlfn.CONCAT(Table1[[#This Row], [TEAM]],Table1[[#This Row], [ROOM]]),'ROOM TIME'!$H$2:$H$121,'ROOM TIME'!$J$2:$J$121)</f>
        <v>39.636111111111099</v>
      </c>
      <c r="P625" s="9">
        <f>(INDEX(Sheet1!$X$48:$Z$67,MATCH(Table1[[#This Row], [ROOM]],Sheet1!$P$48:$P$67,0),MATCH(Table1[[#This Row], [WEAPON]],Sheet1!$X$47:$Z$47,0)))/Table1[[#This Row], [NUM OF MEM]]</f>
        <v>4.5999999999999996</v>
      </c>
      <c r="Q625" s="9">
        <f>Table1[[#This Row], [ROOM TIME]]+Table1[[#This Row], [GUARD TIME]]</f>
        <v>44.2361111111111</v>
      </c>
      <c r="R625" s="4">
        <f>Sheet1!$K$3*_xlfn.XLOOKUP(Table1[[#This Row], [DISGUISE]],Sheet1!$A$21:$A$23,Sheet1!$D$21:$D$23)</f>
        <v>66</v>
      </c>
      <c r="S625" s="9">
        <f>Table1[[#This Row], [TOTAL TIME]]-Table1[[#This Row], [TOTAL TIME TAKEN]]</f>
        <v>21.7638888888889</v>
      </c>
      <c r="T625" t="str">
        <f>IF(Table1[[#This Row], [TIME DIFFERENCE]]&gt;=0,"PASS","FAIL")</f>
        <v>PASS</v>
      </c>
      <c r="U625" s="4">
        <f>Table1[[#This Row], [TRC]]+Table1[[#This Row], [DRC]]+Table1[[#This Row], [WRC]]+Table1[[#This Row], [ERC]]+Table1[[#This Row], [EQRC]]</f>
        <v>8110750</v>
      </c>
      <c r="V625" s="9">
        <f>Table1[[#This Row], [TOTAL COST]]+_xlfn.XLOOKUP(Table1[[#This Row], [TEAM]],Sheet1!$A$12:$A$17,Sheet1!$I$12:$I$17)</f>
        <v>8422687.5</v>
      </c>
      <c r="W625" s="4">
        <f>Table1[[#This Row], [LOOT]]-Table1[[#This Row], [TOTAL COST]]</f>
        <v>9739250</v>
      </c>
      <c r="X625" s="4">
        <f>IF(Table1[[#This Row], [PASS/FAIL]]="FAIL",0,Table1[[#This Row], [PROFIT]])</f>
        <v>9739250</v>
      </c>
    </row>
    <row r="626" spans="1:24" ht="19.5" customHeight="1" x14ac:dyDescent="0.45">
      <c r="A626" t="s">
        <v>14</v>
      </c>
      <c r="B626" s="14">
        <f>_xlfn.XLOOKUP(Table1[[#This Row], [TEAM]],Sheet1!$A$12:$A$17,Sheet1!$F$12:$F$17)</f>
        <v>2</v>
      </c>
      <c r="C626" s="14">
        <f>_xlfn.XLOOKUP(Table1[[#This Row], [TEAM]],Sheet1!$A$12:$A$17,Sheet1!$G$12:$G$17)</f>
        <v>5949600</v>
      </c>
      <c r="D626" t="s">
        <v>34</v>
      </c>
      <c r="E626" s="4">
        <f>_xlfn.XLOOKUP(Table1[[#This Row], [ROOM]],Sheet1!$A$47:$A$66,Sheet1!$B$47:$B$66)</f>
        <v>456</v>
      </c>
      <c r="F626" t="s">
        <v>62</v>
      </c>
      <c r="G626" s="4">
        <f>_xlfn.XLOOKUP(Table1[[#This Row], [DISGUISE]],Sheet1!$A$21:$A$23,Sheet1!$B$21:$B$23)*Table1[[#This Row], [NUM OF MEM]]*(1+_xlfn.XLOOKUP(Table1[[#This Row], [DISGUISE]],Sheet1!$A$21:$A$23,Sheet1!$C$21:$C$23))</f>
        <v>10400</v>
      </c>
      <c r="H626" s="13" t="s">
        <v>59</v>
      </c>
      <c r="I626" s="4">
        <f>_xlfn.XLOOKUP(Table1[[#This Row], [WEAPON]],Sheet1!$A$27:$A$29,Sheet1!$B$27:$B$29)*Table1[[#This Row], [NUM OF MEM]]*(1+_xlfn.XLOOKUP(Table1[[#This Row], [WEAPON]],Sheet1!$A$27:$A$29,Sheet1!$C$27:$C$29))</f>
        <v>91000</v>
      </c>
      <c r="J626" t="s">
        <v>64</v>
      </c>
      <c r="K626" s="9">
        <f>Table1[[#This Row], [NUM OF MEM]]*Table1[[#This Row], [TOTAL TIME TAKEN]]*_xlfn.XLOOKUP(Table1[[#This Row], [EXIT]],Sheet1!$A$70:$A$71,Sheet1!$B$70:$B$71)*(1+_xlfn.XLOOKUP(Table1[[#This Row], [EXIT]],Sheet1!$A$70:$A$71,Sheet1!$C$70:$C$71))</f>
        <v>1602309.5999999994</v>
      </c>
      <c r="L626" s="13" t="s">
        <v>65</v>
      </c>
      <c r="M626" s="4">
        <f>IF(Table1[[#This Row], [EQUIPMENT]]="YES",Sheet1!$C$44*(1+Sheet1!$D$44),0)</f>
        <v>307500</v>
      </c>
      <c r="N626" s="4">
        <f>_xlfn.XLOOKUP(Table1[[#This Row], [ROOM]],Sheet1!$A$47:$A$66,Sheet1!$F$47:$F$66)</f>
        <v>17700000</v>
      </c>
      <c r="O626" s="9">
        <f>_xlfn.XLOOKUP(_xlfn.CONCAT(Table1[[#This Row], [TEAM]],Table1[[#This Row], [ROOM]]),'ROOM TIME'!$H$2:$H$121,'ROOM TIME'!$J$2:$J$121)</f>
        <v>55.492499999999986</v>
      </c>
      <c r="P626" s="9">
        <f>(INDEX(Sheet1!$X$48:$Z$67,MATCH(Table1[[#This Row], [ROOM]],Sheet1!$P$48:$P$67,0),MATCH(Table1[[#This Row], [WEAPON]],Sheet1!$X$47:$Z$47,0)))/Table1[[#This Row], [NUM OF MEM]]</f>
        <v>6.3249999999999993</v>
      </c>
      <c r="Q626" s="9">
        <f>Table1[[#This Row], [ROOM TIME]]+Table1[[#This Row], [GUARD TIME]]</f>
        <v>61.817499999999981</v>
      </c>
      <c r="R626" s="4">
        <f>Sheet1!$K$3*_xlfn.XLOOKUP(Table1[[#This Row], [DISGUISE]],Sheet1!$A$21:$A$23,Sheet1!$D$21:$D$23)</f>
        <v>66</v>
      </c>
      <c r="S626" s="9">
        <f>Table1[[#This Row], [TOTAL TIME]]-Table1[[#This Row], [TOTAL TIME TAKEN]]</f>
        <v>4.1825000000000188</v>
      </c>
      <c r="T626" t="str">
        <f>IF(Table1[[#This Row], [TIME DIFFERENCE]]&gt;=0,"PASS","FAIL")</f>
        <v>PASS</v>
      </c>
      <c r="U626" s="9">
        <f>Table1[[#This Row], [TRC]]+Table1[[#This Row], [DRC]]+Table1[[#This Row], [WRC]]+Table1[[#This Row], [ERC]]+Table1[[#This Row], [EQRC]]</f>
        <v>7960809.5999999996</v>
      </c>
      <c r="V626" s="9">
        <f>Table1[[#This Row], [TOTAL COST]]+_xlfn.XLOOKUP(Table1[[#This Row], [TEAM]],Sheet1!$A$12:$A$17,Sheet1!$I$12:$I$17)</f>
        <v>8258289.5999999996</v>
      </c>
      <c r="W626" s="9">
        <f>Table1[[#This Row], [LOOT]]-Table1[[#This Row], [TOTAL COST]]</f>
        <v>9739190.4000000004</v>
      </c>
      <c r="X626" s="9">
        <f>IF(Table1[[#This Row], [PASS/FAIL]]="FAIL",0,Table1[[#This Row], [PROFIT]])</f>
        <v>9739190.4000000004</v>
      </c>
    </row>
    <row r="627" spans="1:24" ht="19.5" customHeight="1" x14ac:dyDescent="0.45">
      <c r="A627" t="s">
        <v>15</v>
      </c>
      <c r="B627" s="14">
        <f>_xlfn.XLOOKUP(Table1[[#This Row], [TEAM]],Sheet1!$A$12:$A$17,Sheet1!$F$12:$F$17)</f>
        <v>2</v>
      </c>
      <c r="C627" s="14">
        <f>_xlfn.XLOOKUP(Table1[[#This Row], [TEAM]],Sheet1!$A$12:$A$17,Sheet1!$G$12:$G$17)</f>
        <v>5932950</v>
      </c>
      <c r="D627" t="s">
        <v>28</v>
      </c>
      <c r="E627" s="4">
        <f>_xlfn.XLOOKUP(Table1[[#This Row], [ROOM]],Sheet1!$A$47:$A$66,Sheet1!$B$47:$B$66)</f>
        <v>156</v>
      </c>
      <c r="F627" t="s">
        <v>58</v>
      </c>
      <c r="G627" s="4">
        <f>_xlfn.XLOOKUP(Table1[[#This Row], [DISGUISE]],Sheet1!$A$21:$A$23,Sheet1!$B$21:$B$23)*Table1[[#This Row], [NUM OF MEM]]*(1+_xlfn.XLOOKUP(Table1[[#This Row], [DISGUISE]],Sheet1!$A$21:$A$23,Sheet1!$C$21:$C$23))</f>
        <v>25600</v>
      </c>
      <c r="H627" s="13" t="s">
        <v>63</v>
      </c>
      <c r="I627" s="4">
        <f>_xlfn.XLOOKUP(Table1[[#This Row], [WEAPON]],Sheet1!$A$27:$A$29,Sheet1!$B$27:$B$29)*Table1[[#This Row], [NUM OF MEM]]*(1+_xlfn.XLOOKUP(Table1[[#This Row], [WEAPON]],Sheet1!$A$27:$A$29,Sheet1!$C$27:$C$29))</f>
        <v>46000</v>
      </c>
      <c r="J627" t="s">
        <v>60</v>
      </c>
      <c r="K627" s="9">
        <f>Table1[[#This Row], [NUM OF MEM]]*Table1[[#This Row], [TOTAL TIME TAKEN]]*_xlfn.XLOOKUP(Table1[[#This Row], [EXIT]],Sheet1!$A$70:$A$71,Sheet1!$B$70:$B$71)*(1+_xlfn.XLOOKUP(Table1[[#This Row], [EXIT]],Sheet1!$A$70:$A$71,Sheet1!$C$70:$C$71))</f>
        <v>1600148.5874999997</v>
      </c>
      <c r="L627" s="13" t="s">
        <v>65</v>
      </c>
      <c r="M627" s="4">
        <f>IF(Table1[[#This Row], [EQUIPMENT]]="YES",Sheet1!$C$44*(1+Sheet1!$D$44),0)</f>
        <v>307500</v>
      </c>
      <c r="N627" s="4">
        <f>_xlfn.XLOOKUP(Table1[[#This Row], [ROOM]],Sheet1!$A$47:$A$66,Sheet1!$F$47:$F$66)</f>
        <v>17650000</v>
      </c>
      <c r="O627" s="9">
        <f>_xlfn.XLOOKUP(_xlfn.CONCAT(Table1[[#This Row], [TEAM]],Table1[[#This Row], [ROOM]]),'ROOM TIME'!$H$2:$H$121,'ROOM TIME'!$J$2:$J$121)</f>
        <v>55.597499999999982</v>
      </c>
      <c r="P627" s="9">
        <f>(INDEX(Sheet1!$X$48:$Z$67,MATCH(Table1[[#This Row], [ROOM]],Sheet1!$P$48:$P$67,0),MATCH(Table1[[#This Row], [WEAPON]],Sheet1!$X$47:$Z$47,0)))/Table1[[#This Row], [NUM OF MEM]]</f>
        <v>6.75</v>
      </c>
      <c r="Q627" s="9">
        <f>Table1[[#This Row], [ROOM TIME]]+Table1[[#This Row], [GUARD TIME]]</f>
        <v>62.347499999999982</v>
      </c>
      <c r="R627" s="4">
        <f>Sheet1!$K$3*_xlfn.XLOOKUP(Table1[[#This Row], [DISGUISE]],Sheet1!$A$21:$A$23,Sheet1!$D$21:$D$23)</f>
        <v>69</v>
      </c>
      <c r="S627" s="9">
        <f>Table1[[#This Row], [TOTAL TIME]]-Table1[[#This Row], [TOTAL TIME TAKEN]]</f>
        <v>6.6525000000000176</v>
      </c>
      <c r="T627" t="str">
        <f>IF(Table1[[#This Row], [TIME DIFFERENCE]]&gt;=0,"PASS","FAIL")</f>
        <v>PASS</v>
      </c>
      <c r="U627" s="9">
        <f>Table1[[#This Row], [TRC]]+Table1[[#This Row], [DRC]]+Table1[[#This Row], [WRC]]+Table1[[#This Row], [ERC]]+Table1[[#This Row], [EQRC]]</f>
        <v>7912198.5874999994</v>
      </c>
      <c r="V627" s="9">
        <f>Table1[[#This Row], [TOTAL COST]]+_xlfn.XLOOKUP(Table1[[#This Row], [TEAM]],Sheet1!$A$12:$A$17,Sheet1!$I$12:$I$17)</f>
        <v>8208846.0874999994</v>
      </c>
      <c r="W627" s="9">
        <f>Table1[[#This Row], [LOOT]]-Table1[[#This Row], [TOTAL COST]]</f>
        <v>9737801.4125000015</v>
      </c>
      <c r="X627" s="9">
        <f>IF(Table1[[#This Row], [PASS/FAIL]]="FAIL",0,Table1[[#This Row], [PROFIT]])</f>
        <v>9737801.4125000015</v>
      </c>
    </row>
    <row r="628" spans="1:24" ht="19.5" customHeight="1" x14ac:dyDescent="0.45">
      <c r="A628" t="s">
        <v>12</v>
      </c>
      <c r="B628" s="14">
        <f>_xlfn.XLOOKUP(Table1[[#This Row], [TEAM]],Sheet1!$A$12:$A$17,Sheet1!$F$12:$F$17)</f>
        <v>3</v>
      </c>
      <c r="C628" s="14">
        <f>_xlfn.XLOOKUP(Table1[[#This Row], [TEAM]],Sheet1!$A$12:$A$17,Sheet1!$G$12:$G$17)</f>
        <v>5988750</v>
      </c>
      <c r="D628" t="s">
        <v>19</v>
      </c>
      <c r="E628" s="4">
        <f>_xlfn.XLOOKUP(Table1[[#This Row], [ROOM]],Sheet1!$A$47:$A$66,Sheet1!$B$47:$B$66)</f>
        <v>135</v>
      </c>
      <c r="F628" t="s">
        <v>62</v>
      </c>
      <c r="G628" s="4">
        <f>_xlfn.XLOOKUP(Table1[[#This Row], [DISGUISE]],Sheet1!$A$21:$A$23,Sheet1!$B$21:$B$23)*Table1[[#This Row], [NUM OF MEM]]*(1+_xlfn.XLOOKUP(Table1[[#This Row], [DISGUISE]],Sheet1!$A$21:$A$23,Sheet1!$C$21:$C$23))</f>
        <v>15600</v>
      </c>
      <c r="H628" s="13" t="s">
        <v>59</v>
      </c>
      <c r="I628" s="4">
        <f>_xlfn.XLOOKUP(Table1[[#This Row], [WEAPON]],Sheet1!$A$27:$A$29,Sheet1!$B$27:$B$29)*Table1[[#This Row], [NUM OF MEM]]*(1+_xlfn.XLOOKUP(Table1[[#This Row], [WEAPON]],Sheet1!$A$27:$A$29,Sheet1!$C$27:$C$29))</f>
        <v>136500</v>
      </c>
      <c r="J628" t="s">
        <v>64</v>
      </c>
      <c r="K628" s="9">
        <f>Table1[[#This Row], [NUM OF MEM]]*Table1[[#This Row], [TOTAL TIME TAKEN]]*_xlfn.XLOOKUP(Table1[[#This Row], [EXIT]],Sheet1!$A$70:$A$71,Sheet1!$B$70:$B$71)*(1+_xlfn.XLOOKUP(Table1[[#This Row], [EXIT]],Sheet1!$A$70:$A$71,Sheet1!$C$70:$C$71))</f>
        <v>1763855.9999999993</v>
      </c>
      <c r="L628" s="13" t="s">
        <v>65</v>
      </c>
      <c r="M628" s="4">
        <f>IF(Table1[[#This Row], [EQUIPMENT]]="YES",Sheet1!$C$44*(1+Sheet1!$D$44),0)</f>
        <v>307500</v>
      </c>
      <c r="N628" s="4">
        <f>_xlfn.XLOOKUP(Table1[[#This Row], [ROOM]],Sheet1!$A$47:$A$66,Sheet1!$F$47:$F$66)</f>
        <v>17950000</v>
      </c>
      <c r="O628" s="9">
        <f>_xlfn.XLOOKUP(_xlfn.CONCAT(Table1[[#This Row], [TEAM]],Table1[[#This Row], [ROOM]]),'ROOM TIME'!$H$2:$H$121,'ROOM TIME'!$J$2:$J$121)</f>
        <v>41.149999999999984</v>
      </c>
      <c r="P628" s="9">
        <f>(INDEX(Sheet1!$X$48:$Z$67,MATCH(Table1[[#This Row], [ROOM]],Sheet1!$P$48:$P$67,0),MATCH(Table1[[#This Row], [WEAPON]],Sheet1!$X$47:$Z$47,0)))/Table1[[#This Row], [NUM OF MEM]]</f>
        <v>4.2166666666666659</v>
      </c>
      <c r="Q628" s="9">
        <f>Table1[[#This Row], [ROOM TIME]]+Table1[[#This Row], [GUARD TIME]]</f>
        <v>45.366666666666653</v>
      </c>
      <c r="R628" s="4">
        <f>Sheet1!$K$3*_xlfn.XLOOKUP(Table1[[#This Row], [DISGUISE]],Sheet1!$A$21:$A$23,Sheet1!$D$21:$D$23)</f>
        <v>66</v>
      </c>
      <c r="S628" s="9">
        <f>Table1[[#This Row], [TOTAL TIME]]-Table1[[#This Row], [TOTAL TIME TAKEN]]</f>
        <v>20.633333333333347</v>
      </c>
      <c r="T628" t="str">
        <f>IF(Table1[[#This Row], [TIME DIFFERENCE]]&gt;=0,"PASS","FAIL")</f>
        <v>PASS</v>
      </c>
      <c r="U628" s="9">
        <f>Table1[[#This Row], [TRC]]+Table1[[#This Row], [DRC]]+Table1[[#This Row], [WRC]]+Table1[[#This Row], [ERC]]+Table1[[#This Row], [EQRC]]</f>
        <v>8212205.9999999991</v>
      </c>
      <c r="V628" s="9">
        <f>Table1[[#This Row], [TOTAL COST]]+_xlfn.XLOOKUP(Table1[[#This Row], [TEAM]],Sheet1!$A$12:$A$17,Sheet1!$I$12:$I$17)</f>
        <v>8511643.5</v>
      </c>
      <c r="W628" s="4">
        <f>Table1[[#This Row], [LOOT]]-Table1[[#This Row], [TOTAL COST]]</f>
        <v>9737794</v>
      </c>
      <c r="X628" s="4">
        <f>IF(Table1[[#This Row], [PASS/FAIL]]="FAIL",0,Table1[[#This Row], [PROFIT]])</f>
        <v>9737794</v>
      </c>
    </row>
    <row r="629" spans="1:24" ht="19.5" customHeight="1" x14ac:dyDescent="0.45">
      <c r="A629" t="s">
        <v>12</v>
      </c>
      <c r="B629" s="14">
        <f>_xlfn.XLOOKUP(Table1[[#This Row], [TEAM]],Sheet1!$A$12:$A$17,Sheet1!$F$12:$F$17)</f>
        <v>3</v>
      </c>
      <c r="C629" s="14">
        <f>_xlfn.XLOOKUP(Table1[[#This Row], [TEAM]],Sheet1!$A$12:$A$17,Sheet1!$G$12:$G$17)</f>
        <v>5988750</v>
      </c>
      <c r="D629" t="s">
        <v>20</v>
      </c>
      <c r="E629" s="4">
        <f>_xlfn.XLOOKUP(Table1[[#This Row], [ROOM]],Sheet1!$A$47:$A$66,Sheet1!$B$47:$B$66)</f>
        <v>145</v>
      </c>
      <c r="F629" t="s">
        <v>62</v>
      </c>
      <c r="G629" s="4">
        <f>_xlfn.XLOOKUP(Table1[[#This Row], [DISGUISE]],Sheet1!$A$21:$A$23,Sheet1!$B$21:$B$23)*Table1[[#This Row], [NUM OF MEM]]*(1+_xlfn.XLOOKUP(Table1[[#This Row], [DISGUISE]],Sheet1!$A$21:$A$23,Sheet1!$C$21:$C$23))</f>
        <v>15600</v>
      </c>
      <c r="H629" s="13" t="s">
        <v>59</v>
      </c>
      <c r="I629" s="4">
        <f>_xlfn.XLOOKUP(Table1[[#This Row], [WEAPON]],Sheet1!$A$27:$A$29,Sheet1!$B$27:$B$29)*Table1[[#This Row], [NUM OF MEM]]*(1+_xlfn.XLOOKUP(Table1[[#This Row], [WEAPON]],Sheet1!$A$27:$A$29,Sheet1!$C$27:$C$29))</f>
        <v>136500</v>
      </c>
      <c r="J629" t="s">
        <v>60</v>
      </c>
      <c r="K629" s="9">
        <f>Table1[[#This Row], [NUM OF MEM]]*Table1[[#This Row], [TOTAL TIME TAKEN]]*_xlfn.XLOOKUP(Table1[[#This Row], [EXIT]],Sheet1!$A$70:$A$71,Sheet1!$B$70:$B$71)*(1+_xlfn.XLOOKUP(Table1[[#This Row], [EXIT]],Sheet1!$A$70:$A$71,Sheet1!$C$70:$C$71))</f>
        <v>1671433.1249999995</v>
      </c>
      <c r="L629" s="13" t="s">
        <v>61</v>
      </c>
      <c r="M629" s="4">
        <f>IF(Table1[[#This Row], [EQUIPMENT]]="YES",Sheet1!$C$44*(1+Sheet1!$D$44),0)</f>
        <v>0</v>
      </c>
      <c r="N629" s="4">
        <f>_xlfn.XLOOKUP(Table1[[#This Row], [ROOM]],Sheet1!$A$47:$A$66,Sheet1!$F$47:$F$66)</f>
        <v>17550000</v>
      </c>
      <c r="O629" s="9">
        <f>_xlfn.XLOOKUP(_xlfn.CONCAT(Table1[[#This Row], [TEAM]],Table1[[#This Row], [ROOM]]),'ROOM TIME'!$H$2:$H$121,'ROOM TIME'!$J$2:$J$121)</f>
        <v>39.583333333333321</v>
      </c>
      <c r="P629" s="9">
        <f>(INDEX(Sheet1!$X$48:$Z$67,MATCH(Table1[[#This Row], [ROOM]],Sheet1!$P$48:$P$67,0),MATCH(Table1[[#This Row], [WEAPON]],Sheet1!$X$47:$Z$47,0)))/Table1[[#This Row], [NUM OF MEM]]</f>
        <v>3.8333333333333335</v>
      </c>
      <c r="Q629" s="9">
        <f>Table1[[#This Row], [ROOM TIME]]+Table1[[#This Row], [GUARD TIME]]</f>
        <v>43.416666666666657</v>
      </c>
      <c r="R629" s="4">
        <f>Sheet1!$K$3*_xlfn.XLOOKUP(Table1[[#This Row], [DISGUISE]],Sheet1!$A$21:$A$23,Sheet1!$D$21:$D$23)</f>
        <v>66</v>
      </c>
      <c r="S629" s="9">
        <f>Table1[[#This Row], [TOTAL TIME]]-Table1[[#This Row], [TOTAL TIME TAKEN]]</f>
        <v>22.583333333333343</v>
      </c>
      <c r="T629" t="str">
        <f>IF(Table1[[#This Row], [TIME DIFFERENCE]]&gt;=0,"PASS","FAIL")</f>
        <v>PASS</v>
      </c>
      <c r="U629" s="9">
        <f>Table1[[#This Row], [TRC]]+Table1[[#This Row], [DRC]]+Table1[[#This Row], [WRC]]+Table1[[#This Row], [ERC]]+Table1[[#This Row], [EQRC]]</f>
        <v>7812283.125</v>
      </c>
      <c r="V629" s="9">
        <f>Table1[[#This Row], [TOTAL COST]]+_xlfn.XLOOKUP(Table1[[#This Row], [TEAM]],Sheet1!$A$12:$A$17,Sheet1!$I$12:$I$17)</f>
        <v>8111720.625</v>
      </c>
      <c r="W629" s="9">
        <f>Table1[[#This Row], [LOOT]]-Table1[[#This Row], [TOTAL COST]]</f>
        <v>9737716.875</v>
      </c>
      <c r="X629" s="9">
        <f>IF(Table1[[#This Row], [PASS/FAIL]]="FAIL",0,Table1[[#This Row], [PROFIT]])</f>
        <v>9737716.875</v>
      </c>
    </row>
    <row r="630" spans="1:24" ht="19.5" customHeight="1" x14ac:dyDescent="0.45">
      <c r="A630" t="s">
        <v>13</v>
      </c>
      <c r="B630" s="14">
        <f>_xlfn.XLOOKUP(Table1[[#This Row], [TEAM]],Sheet1!$A$12:$A$17,Sheet1!$F$12:$F$17)</f>
        <v>3</v>
      </c>
      <c r="C630" s="14">
        <f>_xlfn.XLOOKUP(Table1[[#This Row], [TEAM]],Sheet1!$A$12:$A$17,Sheet1!$G$12:$G$17)</f>
        <v>5930000</v>
      </c>
      <c r="D630" t="s">
        <v>19</v>
      </c>
      <c r="E630" s="4">
        <f>_xlfn.XLOOKUP(Table1[[#This Row], [ROOM]],Sheet1!$A$47:$A$66,Sheet1!$B$47:$B$66)</f>
        <v>135</v>
      </c>
      <c r="F630" t="s">
        <v>62</v>
      </c>
      <c r="G630" s="4">
        <f>_xlfn.XLOOKUP(Table1[[#This Row], [DISGUISE]],Sheet1!$A$21:$A$23,Sheet1!$B$21:$B$23)*Table1[[#This Row], [NUM OF MEM]]*(1+_xlfn.XLOOKUP(Table1[[#This Row], [DISGUISE]],Sheet1!$A$21:$A$23,Sheet1!$C$21:$C$23))</f>
        <v>15600</v>
      </c>
      <c r="H630" s="13" t="s">
        <v>59</v>
      </c>
      <c r="I630" s="4">
        <f>_xlfn.XLOOKUP(Table1[[#This Row], [WEAPON]],Sheet1!$A$27:$A$29,Sheet1!$B$27:$B$29)*Table1[[#This Row], [NUM OF MEM]]*(1+_xlfn.XLOOKUP(Table1[[#This Row], [WEAPON]],Sheet1!$A$27:$A$29,Sheet1!$C$27:$C$29))</f>
        <v>136500</v>
      </c>
      <c r="J630" t="s">
        <v>64</v>
      </c>
      <c r="K630" s="9">
        <f>Table1[[#This Row], [NUM OF MEM]]*Table1[[#This Row], [TOTAL TIME TAKEN]]*_xlfn.XLOOKUP(Table1[[#This Row], [EXIT]],Sheet1!$A$70:$A$71,Sheet1!$B$70:$B$71)*(1+_xlfn.XLOOKUP(Table1[[#This Row], [EXIT]],Sheet1!$A$70:$A$71,Sheet1!$C$70:$C$71))</f>
        <v>1823212.7999999996</v>
      </c>
      <c r="L630" s="13" t="s">
        <v>65</v>
      </c>
      <c r="M630" s="4">
        <f>IF(Table1[[#This Row], [EQUIPMENT]]="YES",Sheet1!$C$44*(1+Sheet1!$D$44),0)</f>
        <v>307500</v>
      </c>
      <c r="N630" s="4">
        <f>_xlfn.XLOOKUP(Table1[[#This Row], [ROOM]],Sheet1!$A$47:$A$66,Sheet1!$F$47:$F$66)</f>
        <v>17950000</v>
      </c>
      <c r="O630" s="9">
        <f>_xlfn.XLOOKUP(_xlfn.CONCAT(Table1[[#This Row], [TEAM]],Table1[[#This Row], [ROOM]]),'ROOM TIME'!$H$2:$H$121,'ROOM TIME'!$J$2:$J$121)</f>
        <v>42.676666666666655</v>
      </c>
      <c r="P630" s="9">
        <f>(INDEX(Sheet1!$X$48:$Z$67,MATCH(Table1[[#This Row], [ROOM]],Sheet1!$P$48:$P$67,0),MATCH(Table1[[#This Row], [WEAPON]],Sheet1!$X$47:$Z$47,0)))/Table1[[#This Row], [NUM OF MEM]]</f>
        <v>4.2166666666666659</v>
      </c>
      <c r="Q630" s="9">
        <f>Table1[[#This Row], [ROOM TIME]]+Table1[[#This Row], [GUARD TIME]]</f>
        <v>46.893333333333324</v>
      </c>
      <c r="R630" s="4">
        <f>Sheet1!$K$3*_xlfn.XLOOKUP(Table1[[#This Row], [DISGUISE]],Sheet1!$A$21:$A$23,Sheet1!$D$21:$D$23)</f>
        <v>66</v>
      </c>
      <c r="S630" s="9">
        <f>Table1[[#This Row], [TOTAL TIME]]-Table1[[#This Row], [TOTAL TIME TAKEN]]</f>
        <v>19.106666666666676</v>
      </c>
      <c r="T630" t="str">
        <f>IF(Table1[[#This Row], [TIME DIFFERENCE]]&gt;=0,"PASS","FAIL")</f>
        <v>PASS</v>
      </c>
      <c r="U630" s="9">
        <f>Table1[[#This Row], [TRC]]+Table1[[#This Row], [DRC]]+Table1[[#This Row], [WRC]]+Table1[[#This Row], [ERC]]+Table1[[#This Row], [EQRC]]</f>
        <v>8212812.7999999998</v>
      </c>
      <c r="V630" s="9">
        <f>Table1[[#This Row], [TOTAL COST]]+_xlfn.XLOOKUP(Table1[[#This Row], [TEAM]],Sheet1!$A$12:$A$17,Sheet1!$I$12:$I$17)</f>
        <v>8509312.8000000007</v>
      </c>
      <c r="W630" s="9">
        <f>Table1[[#This Row], [LOOT]]-Table1[[#This Row], [TOTAL COST]]</f>
        <v>9737187.1999999993</v>
      </c>
      <c r="X630" s="9">
        <f>IF(Table1[[#This Row], [PASS/FAIL]]="FAIL",0,Table1[[#This Row], [PROFIT]])</f>
        <v>9737187.1999999993</v>
      </c>
    </row>
    <row r="631" spans="1:24" ht="19.5" customHeight="1" x14ac:dyDescent="0.45">
      <c r="A631" t="s">
        <v>15</v>
      </c>
      <c r="B631" s="14">
        <f>_xlfn.XLOOKUP(Table1[[#This Row], [TEAM]],Sheet1!$A$12:$A$17,Sheet1!$F$12:$F$17)</f>
        <v>2</v>
      </c>
      <c r="C631" s="14">
        <f>_xlfn.XLOOKUP(Table1[[#This Row], [TEAM]],Sheet1!$A$12:$A$17,Sheet1!$G$12:$G$17)</f>
        <v>5932950</v>
      </c>
      <c r="D631" t="s">
        <v>28</v>
      </c>
      <c r="E631" s="4">
        <f>_xlfn.XLOOKUP(Table1[[#This Row], [ROOM]],Sheet1!$A$47:$A$66,Sheet1!$B$47:$B$66)</f>
        <v>156</v>
      </c>
      <c r="F631" t="s">
        <v>62</v>
      </c>
      <c r="G631" s="4">
        <f>_xlfn.XLOOKUP(Table1[[#This Row], [DISGUISE]],Sheet1!$A$21:$A$23,Sheet1!$B$21:$B$23)*Table1[[#This Row], [NUM OF MEM]]*(1+_xlfn.XLOOKUP(Table1[[#This Row], [DISGUISE]],Sheet1!$A$21:$A$23,Sheet1!$C$21:$C$23))</f>
        <v>10400</v>
      </c>
      <c r="H631" s="13" t="s">
        <v>63</v>
      </c>
      <c r="I631" s="4">
        <f>_xlfn.XLOOKUP(Table1[[#This Row], [WEAPON]],Sheet1!$A$27:$A$29,Sheet1!$B$27:$B$29)*Table1[[#This Row], [NUM OF MEM]]*(1+_xlfn.XLOOKUP(Table1[[#This Row], [WEAPON]],Sheet1!$A$27:$A$29,Sheet1!$C$27:$C$29))</f>
        <v>46000</v>
      </c>
      <c r="J631" t="s">
        <v>64</v>
      </c>
      <c r="K631" s="9">
        <f>Table1[[#This Row], [NUM OF MEM]]*Table1[[#This Row], [TOTAL TIME TAKEN]]*_xlfn.XLOOKUP(Table1[[#This Row], [EXIT]],Sheet1!$A$70:$A$71,Sheet1!$B$70:$B$71)*(1+_xlfn.XLOOKUP(Table1[[#This Row], [EXIT]],Sheet1!$A$70:$A$71,Sheet1!$C$70:$C$71))</f>
        <v>1616047.1999999995</v>
      </c>
      <c r="L631" s="13" t="s">
        <v>65</v>
      </c>
      <c r="M631" s="4">
        <f>IF(Table1[[#This Row], [EQUIPMENT]]="YES",Sheet1!$C$44*(1+Sheet1!$D$44),0)</f>
        <v>307500</v>
      </c>
      <c r="N631" s="4">
        <f>_xlfn.XLOOKUP(Table1[[#This Row], [ROOM]],Sheet1!$A$47:$A$66,Sheet1!$F$47:$F$66)</f>
        <v>17650000</v>
      </c>
      <c r="O631" s="9">
        <f>_xlfn.XLOOKUP(_xlfn.CONCAT(Table1[[#This Row], [TEAM]],Table1[[#This Row], [ROOM]]),'ROOM TIME'!$H$2:$H$121,'ROOM TIME'!$J$2:$J$121)</f>
        <v>55.597499999999982</v>
      </c>
      <c r="P631" s="9">
        <f>(INDEX(Sheet1!$X$48:$Z$67,MATCH(Table1[[#This Row], [ROOM]],Sheet1!$P$48:$P$67,0),MATCH(Table1[[#This Row], [WEAPON]],Sheet1!$X$47:$Z$47,0)))/Table1[[#This Row], [NUM OF MEM]]</f>
        <v>6.75</v>
      </c>
      <c r="Q631" s="9">
        <f>Table1[[#This Row], [ROOM TIME]]+Table1[[#This Row], [GUARD TIME]]</f>
        <v>62.347499999999982</v>
      </c>
      <c r="R631" s="4">
        <f>Sheet1!$K$3*_xlfn.XLOOKUP(Table1[[#This Row], [DISGUISE]],Sheet1!$A$21:$A$23,Sheet1!$D$21:$D$23)</f>
        <v>66</v>
      </c>
      <c r="S631" s="9">
        <f>Table1[[#This Row], [TOTAL TIME]]-Table1[[#This Row], [TOTAL TIME TAKEN]]</f>
        <v>3.6525000000000176</v>
      </c>
      <c r="T631" t="str">
        <f>IF(Table1[[#This Row], [TIME DIFFERENCE]]&gt;=0,"PASS","FAIL")</f>
        <v>PASS</v>
      </c>
      <c r="U631" s="9">
        <f>Table1[[#This Row], [TRC]]+Table1[[#This Row], [DRC]]+Table1[[#This Row], [WRC]]+Table1[[#This Row], [ERC]]+Table1[[#This Row], [EQRC]]</f>
        <v>7912897.1999999993</v>
      </c>
      <c r="V631" s="9">
        <f>Table1[[#This Row], [TOTAL COST]]+_xlfn.XLOOKUP(Table1[[#This Row], [TEAM]],Sheet1!$A$12:$A$17,Sheet1!$I$12:$I$17)</f>
        <v>8209544.6999999993</v>
      </c>
      <c r="W631" s="9">
        <f>Table1[[#This Row], [LOOT]]-Table1[[#This Row], [TOTAL COST]]</f>
        <v>9737102.8000000007</v>
      </c>
      <c r="X631" s="9">
        <f>IF(Table1[[#This Row], [PASS/FAIL]]="FAIL",0,Table1[[#This Row], [PROFIT]])</f>
        <v>9737102.8000000007</v>
      </c>
    </row>
    <row r="632" spans="1:24" ht="19.5" customHeight="1" x14ac:dyDescent="0.45">
      <c r="A632" t="s">
        <v>9</v>
      </c>
      <c r="B632" s="14">
        <f>_xlfn.XLOOKUP(Table1[[#This Row], [TEAM]],Sheet1!$A$12:$A$17,Sheet1!$F$12:$F$17)</f>
        <v>3</v>
      </c>
      <c r="C632" s="14">
        <f>_xlfn.XLOOKUP(Table1[[#This Row], [TEAM]],Sheet1!$A$12:$A$17,Sheet1!$G$12:$G$17)</f>
        <v>6238750</v>
      </c>
      <c r="D632" t="s">
        <v>22</v>
      </c>
      <c r="E632" s="4">
        <f>_xlfn.XLOOKUP(Table1[[#This Row], [ROOM]],Sheet1!$A$47:$A$66,Sheet1!$B$47:$B$66)</f>
        <v>235</v>
      </c>
      <c r="F632" t="s">
        <v>62</v>
      </c>
      <c r="G632" s="4">
        <f>_xlfn.XLOOKUP(Table1[[#This Row], [DISGUISE]],Sheet1!$A$21:$A$23,Sheet1!$B$21:$B$23)*Table1[[#This Row], [NUM OF MEM]]*(1+_xlfn.XLOOKUP(Table1[[#This Row], [DISGUISE]],Sheet1!$A$21:$A$23,Sheet1!$C$21:$C$23))</f>
        <v>15600</v>
      </c>
      <c r="H632" s="13" t="s">
        <v>63</v>
      </c>
      <c r="I632" s="4">
        <f>_xlfn.XLOOKUP(Table1[[#This Row], [WEAPON]],Sheet1!$A$27:$A$29,Sheet1!$B$27:$B$29)*Table1[[#This Row], [NUM OF MEM]]*(1+_xlfn.XLOOKUP(Table1[[#This Row], [WEAPON]],Sheet1!$A$27:$A$29,Sheet1!$C$27:$C$29))</f>
        <v>69000</v>
      </c>
      <c r="J632" t="s">
        <v>64</v>
      </c>
      <c r="K632" s="9">
        <f>Table1[[#This Row], [NUM OF MEM]]*Table1[[#This Row], [TOTAL TIME TAKEN]]*_xlfn.XLOOKUP(Table1[[#This Row], [EXIT]],Sheet1!$A$70:$A$71,Sheet1!$B$70:$B$71)*(1+_xlfn.XLOOKUP(Table1[[#This Row], [EXIT]],Sheet1!$A$70:$A$71,Sheet1!$C$70:$C$71))</f>
        <v>1739663.9999999993</v>
      </c>
      <c r="L632" s="13" t="s">
        <v>61</v>
      </c>
      <c r="M632" s="4">
        <f>IF(Table1[[#This Row], [EQUIPMENT]]="YES",Sheet1!$C$44*(1+Sheet1!$D$44),0)</f>
        <v>0</v>
      </c>
      <c r="N632" s="4">
        <f>_xlfn.XLOOKUP(Table1[[#This Row], [ROOM]],Sheet1!$A$47:$A$66,Sheet1!$F$47:$F$66)</f>
        <v>17800000</v>
      </c>
      <c r="O632" s="9">
        <f>_xlfn.XLOOKUP(_xlfn.CONCAT(Table1[[#This Row], [TEAM]],Table1[[#This Row], [ROOM]]),'ROOM TIME'!$H$2:$H$121,'ROOM TIME'!$J$2:$J$121)</f>
        <v>39.344444444444434</v>
      </c>
      <c r="P632" s="9">
        <f>(INDEX(Sheet1!$X$48:$Z$67,MATCH(Table1[[#This Row], [ROOM]],Sheet1!$P$48:$P$67,0),MATCH(Table1[[#This Row], [WEAPON]],Sheet1!$X$47:$Z$47,0)))/Table1[[#This Row], [NUM OF MEM]]</f>
        <v>5.4000000000000012</v>
      </c>
      <c r="Q632" s="9">
        <f>Table1[[#This Row], [ROOM TIME]]+Table1[[#This Row], [GUARD TIME]]</f>
        <v>44.744444444444433</v>
      </c>
      <c r="R632" s="4">
        <f>Sheet1!$K$3*_xlfn.XLOOKUP(Table1[[#This Row], [DISGUISE]],Sheet1!$A$21:$A$23,Sheet1!$D$21:$D$23)</f>
        <v>66</v>
      </c>
      <c r="S632" s="9">
        <f>Table1[[#This Row], [TOTAL TIME]]-Table1[[#This Row], [TOTAL TIME TAKEN]]</f>
        <v>21.255555555555567</v>
      </c>
      <c r="T632" t="str">
        <f>IF(Table1[[#This Row], [TIME DIFFERENCE]]&gt;=0,"PASS","FAIL")</f>
        <v>PASS</v>
      </c>
      <c r="U632" s="9">
        <f>Table1[[#This Row], [TRC]]+Table1[[#This Row], [DRC]]+Table1[[#This Row], [WRC]]+Table1[[#This Row], [ERC]]+Table1[[#This Row], [EQRC]]</f>
        <v>8063013.9999999991</v>
      </c>
      <c r="V632" s="9">
        <f>Table1[[#This Row], [TOTAL COST]]+_xlfn.XLOOKUP(Table1[[#This Row], [TEAM]],Sheet1!$A$12:$A$17,Sheet1!$I$12:$I$17)</f>
        <v>8374951.4999999991</v>
      </c>
      <c r="W632" s="4">
        <f>Table1[[#This Row], [LOOT]]-Table1[[#This Row], [TOTAL COST]]</f>
        <v>9736986</v>
      </c>
      <c r="X632" s="4">
        <f>IF(Table1[[#This Row], [PASS/FAIL]]="FAIL",0,Table1[[#This Row], [PROFIT]])</f>
        <v>9736986</v>
      </c>
    </row>
    <row r="633" spans="1:24" ht="19.5" customHeight="1" x14ac:dyDescent="0.45">
      <c r="A633" t="s">
        <v>13</v>
      </c>
      <c r="B633" s="14">
        <f>_xlfn.XLOOKUP(Table1[[#This Row], [TEAM]],Sheet1!$A$12:$A$17,Sheet1!$F$12:$F$17)</f>
        <v>3</v>
      </c>
      <c r="C633" s="14">
        <f>_xlfn.XLOOKUP(Table1[[#This Row], [TEAM]],Sheet1!$A$12:$A$17,Sheet1!$G$12:$G$17)</f>
        <v>5930000</v>
      </c>
      <c r="D633" t="s">
        <v>20</v>
      </c>
      <c r="E633" s="4">
        <f>_xlfn.XLOOKUP(Table1[[#This Row], [ROOM]],Sheet1!$A$47:$A$66,Sheet1!$B$47:$B$66)</f>
        <v>145</v>
      </c>
      <c r="F633" t="s">
        <v>62</v>
      </c>
      <c r="G633" s="4">
        <f>_xlfn.XLOOKUP(Table1[[#This Row], [DISGUISE]],Sheet1!$A$21:$A$23,Sheet1!$B$21:$B$23)*Table1[[#This Row], [NUM OF MEM]]*(1+_xlfn.XLOOKUP(Table1[[#This Row], [DISGUISE]],Sheet1!$A$21:$A$23,Sheet1!$C$21:$C$23))</f>
        <v>15600</v>
      </c>
      <c r="H633" s="13" t="s">
        <v>66</v>
      </c>
      <c r="I633" s="4">
        <f>_xlfn.XLOOKUP(Table1[[#This Row], [WEAPON]],Sheet1!$A$27:$A$29,Sheet1!$B$27:$B$29)*Table1[[#This Row], [NUM OF MEM]]*(1+_xlfn.XLOOKUP(Table1[[#This Row], [WEAPON]],Sheet1!$A$27:$A$29,Sheet1!$C$27:$C$29))</f>
        <v>108000</v>
      </c>
      <c r="J633" t="s">
        <v>60</v>
      </c>
      <c r="K633" s="9">
        <f>Table1[[#This Row], [NUM OF MEM]]*Table1[[#This Row], [TOTAL TIME TAKEN]]*_xlfn.XLOOKUP(Table1[[#This Row], [EXIT]],Sheet1!$A$70:$A$71,Sheet1!$B$70:$B$71)*(1+_xlfn.XLOOKUP(Table1[[#This Row], [EXIT]],Sheet1!$A$70:$A$71,Sheet1!$C$70:$C$71))</f>
        <v>1759720.7249999996</v>
      </c>
      <c r="L633" s="13" t="s">
        <v>61</v>
      </c>
      <c r="M633" s="4">
        <f>IF(Table1[[#This Row], [EQUIPMENT]]="YES",Sheet1!$C$44*(1+Sheet1!$D$44),0)</f>
        <v>0</v>
      </c>
      <c r="N633" s="4">
        <f>_xlfn.XLOOKUP(Table1[[#This Row], [ROOM]],Sheet1!$A$47:$A$66,Sheet1!$F$47:$F$66)</f>
        <v>17550000</v>
      </c>
      <c r="O633" s="9">
        <f>_xlfn.XLOOKUP(_xlfn.CONCAT(Table1[[#This Row], [TEAM]],Table1[[#This Row], [ROOM]]),'ROOM TIME'!$H$2:$H$121,'ROOM TIME'!$J$2:$J$121)</f>
        <v>41.543333333333322</v>
      </c>
      <c r="P633" s="9">
        <f>(INDEX(Sheet1!$X$48:$Z$67,MATCH(Table1[[#This Row], [ROOM]],Sheet1!$P$48:$P$67,0),MATCH(Table1[[#This Row], [WEAPON]],Sheet1!$X$47:$Z$47,0)))/Table1[[#This Row], [NUM OF MEM]]</f>
        <v>4.166666666666667</v>
      </c>
      <c r="Q633" s="9">
        <f>Table1[[#This Row], [ROOM TIME]]+Table1[[#This Row], [GUARD TIME]]</f>
        <v>45.709999999999987</v>
      </c>
      <c r="R633" s="4">
        <f>Sheet1!$K$3*_xlfn.XLOOKUP(Table1[[#This Row], [DISGUISE]],Sheet1!$A$21:$A$23,Sheet1!$D$21:$D$23)</f>
        <v>66</v>
      </c>
      <c r="S633" s="9">
        <f>Table1[[#This Row], [TOTAL TIME]]-Table1[[#This Row], [TOTAL TIME TAKEN]]</f>
        <v>20.290000000000013</v>
      </c>
      <c r="T633" t="str">
        <f>IF(Table1[[#This Row], [TIME DIFFERENCE]]&gt;=0,"PASS","FAIL")</f>
        <v>PASS</v>
      </c>
      <c r="U633" s="9">
        <f>Table1[[#This Row], [TRC]]+Table1[[#This Row], [DRC]]+Table1[[#This Row], [WRC]]+Table1[[#This Row], [ERC]]+Table1[[#This Row], [EQRC]]</f>
        <v>7813320.7249999996</v>
      </c>
      <c r="V633" s="9">
        <f>Table1[[#This Row], [TOTAL COST]]+_xlfn.XLOOKUP(Table1[[#This Row], [TEAM]],Sheet1!$A$12:$A$17,Sheet1!$I$12:$I$17)</f>
        <v>8109820.7249999996</v>
      </c>
      <c r="W633" s="9">
        <f>Table1[[#This Row], [LOOT]]-Table1[[#This Row], [TOTAL COST]]</f>
        <v>9736679.2750000004</v>
      </c>
      <c r="X633" s="9">
        <f>IF(Table1[[#This Row], [PASS/FAIL]]="FAIL",0,Table1[[#This Row], [PROFIT]])</f>
        <v>9736679.2750000004</v>
      </c>
    </row>
    <row r="634" spans="1:24" ht="19.5" customHeight="1" x14ac:dyDescent="0.45">
      <c r="A634" t="s">
        <v>12</v>
      </c>
      <c r="B634" s="14">
        <f>_xlfn.XLOOKUP(Table1[[#This Row], [TEAM]],Sheet1!$A$12:$A$17,Sheet1!$F$12:$F$17)</f>
        <v>3</v>
      </c>
      <c r="C634" s="14">
        <f>_xlfn.XLOOKUP(Table1[[#This Row], [TEAM]],Sheet1!$A$12:$A$17,Sheet1!$G$12:$G$17)</f>
        <v>5988750</v>
      </c>
      <c r="D634" t="s">
        <v>20</v>
      </c>
      <c r="E634" s="4">
        <f>_xlfn.XLOOKUP(Table1[[#This Row], [ROOM]],Sheet1!$A$47:$A$66,Sheet1!$B$47:$B$66)</f>
        <v>145</v>
      </c>
      <c r="F634" t="s">
        <v>62</v>
      </c>
      <c r="G634" s="4">
        <f>_xlfn.XLOOKUP(Table1[[#This Row], [DISGUISE]],Sheet1!$A$21:$A$23,Sheet1!$B$21:$B$23)*Table1[[#This Row], [NUM OF MEM]]*(1+_xlfn.XLOOKUP(Table1[[#This Row], [DISGUISE]],Sheet1!$A$21:$A$23,Sheet1!$C$21:$C$23))</f>
        <v>15600</v>
      </c>
      <c r="H634" s="13" t="s">
        <v>66</v>
      </c>
      <c r="I634" s="4">
        <f>_xlfn.XLOOKUP(Table1[[#This Row], [WEAPON]],Sheet1!$A$27:$A$29,Sheet1!$B$27:$B$29)*Table1[[#This Row], [NUM OF MEM]]*(1+_xlfn.XLOOKUP(Table1[[#This Row], [WEAPON]],Sheet1!$A$27:$A$29,Sheet1!$C$27:$C$29))</f>
        <v>108000</v>
      </c>
      <c r="J634" t="s">
        <v>64</v>
      </c>
      <c r="K634" s="9">
        <f>Table1[[#This Row], [NUM OF MEM]]*Table1[[#This Row], [TOTAL TIME TAKEN]]*_xlfn.XLOOKUP(Table1[[#This Row], [EXIT]],Sheet1!$A$70:$A$71,Sheet1!$B$70:$B$71)*(1+_xlfn.XLOOKUP(Table1[[#This Row], [EXIT]],Sheet1!$A$70:$A$71,Sheet1!$C$70:$C$71))</f>
        <v>1700999.9999999991</v>
      </c>
      <c r="L634" s="13" t="s">
        <v>61</v>
      </c>
      <c r="M634" s="4">
        <f>IF(Table1[[#This Row], [EQUIPMENT]]="YES",Sheet1!$C$44*(1+Sheet1!$D$44),0)</f>
        <v>0</v>
      </c>
      <c r="N634" s="4">
        <f>_xlfn.XLOOKUP(Table1[[#This Row], [ROOM]],Sheet1!$A$47:$A$66,Sheet1!$F$47:$F$66)</f>
        <v>17550000</v>
      </c>
      <c r="O634" s="9">
        <f>_xlfn.XLOOKUP(_xlfn.CONCAT(Table1[[#This Row], [TEAM]],Table1[[#This Row], [ROOM]]),'ROOM TIME'!$H$2:$H$121,'ROOM TIME'!$J$2:$J$121)</f>
        <v>39.583333333333321</v>
      </c>
      <c r="P634" s="9">
        <f>(INDEX(Sheet1!$X$48:$Z$67,MATCH(Table1[[#This Row], [ROOM]],Sheet1!$P$48:$P$67,0),MATCH(Table1[[#This Row], [WEAPON]],Sheet1!$X$47:$Z$47,0)))/Table1[[#This Row], [NUM OF MEM]]</f>
        <v>4.166666666666667</v>
      </c>
      <c r="Q634" s="9">
        <f>Table1[[#This Row], [ROOM TIME]]+Table1[[#This Row], [GUARD TIME]]</f>
        <v>43.749999999999986</v>
      </c>
      <c r="R634" s="4">
        <f>Sheet1!$K$3*_xlfn.XLOOKUP(Table1[[#This Row], [DISGUISE]],Sheet1!$A$21:$A$23,Sheet1!$D$21:$D$23)</f>
        <v>66</v>
      </c>
      <c r="S634" s="9">
        <f>Table1[[#This Row], [TOTAL TIME]]-Table1[[#This Row], [TOTAL TIME TAKEN]]</f>
        <v>22.250000000000014</v>
      </c>
      <c r="T634" t="str">
        <f>IF(Table1[[#This Row], [TIME DIFFERENCE]]&gt;=0,"PASS","FAIL")</f>
        <v>PASS</v>
      </c>
      <c r="U634" s="9">
        <f>Table1[[#This Row], [TRC]]+Table1[[#This Row], [DRC]]+Table1[[#This Row], [WRC]]+Table1[[#This Row], [ERC]]+Table1[[#This Row], [EQRC]]</f>
        <v>7813349.9999999991</v>
      </c>
      <c r="V634" s="9">
        <f>Table1[[#This Row], [TOTAL COST]]+_xlfn.XLOOKUP(Table1[[#This Row], [TEAM]],Sheet1!$A$12:$A$17,Sheet1!$I$12:$I$17)</f>
        <v>8112787.4999999991</v>
      </c>
      <c r="W634" s="4">
        <f>Table1[[#This Row], [LOOT]]-Table1[[#This Row], [TOTAL COST]]</f>
        <v>9736650</v>
      </c>
      <c r="X634" s="4">
        <f>IF(Table1[[#This Row], [PASS/FAIL]]="FAIL",0,Table1[[#This Row], [PROFIT]])</f>
        <v>9736650</v>
      </c>
    </row>
    <row r="635" spans="1:24" ht="19.5" customHeight="1" x14ac:dyDescent="0.45">
      <c r="A635" t="s">
        <v>16</v>
      </c>
      <c r="B635" s="14">
        <f>_xlfn.XLOOKUP(Table1[[#This Row], [TEAM]],Sheet1!$A$12:$A$17,Sheet1!$F$12:$F$17)</f>
        <v>2</v>
      </c>
      <c r="C635" s="14">
        <f>_xlfn.XLOOKUP(Table1[[#This Row], [TEAM]],Sheet1!$A$12:$A$17,Sheet1!$G$12:$G$17)</f>
        <v>6082800</v>
      </c>
      <c r="D635" t="s">
        <v>19</v>
      </c>
      <c r="E635" s="4">
        <f>_xlfn.XLOOKUP(Table1[[#This Row], [ROOM]],Sheet1!$A$47:$A$66,Sheet1!$B$47:$B$66)</f>
        <v>135</v>
      </c>
      <c r="F635" t="s">
        <v>58</v>
      </c>
      <c r="G635" s="4">
        <f>_xlfn.XLOOKUP(Table1[[#This Row], [DISGUISE]],Sheet1!$A$21:$A$23,Sheet1!$B$21:$B$23)*Table1[[#This Row], [NUM OF MEM]]*(1+_xlfn.XLOOKUP(Table1[[#This Row], [DISGUISE]],Sheet1!$A$21:$A$23,Sheet1!$C$21:$C$23))</f>
        <v>25600</v>
      </c>
      <c r="H635" s="13" t="s">
        <v>63</v>
      </c>
      <c r="I635" s="4">
        <f>_xlfn.XLOOKUP(Table1[[#This Row], [WEAPON]],Sheet1!$A$27:$A$29,Sheet1!$B$27:$B$29)*Table1[[#This Row], [NUM OF MEM]]*(1+_xlfn.XLOOKUP(Table1[[#This Row], [WEAPON]],Sheet1!$A$27:$A$29,Sheet1!$C$27:$C$29))</f>
        <v>46000</v>
      </c>
      <c r="J635" t="s">
        <v>60</v>
      </c>
      <c r="K635" s="9">
        <f>Table1[[#This Row], [NUM OF MEM]]*Table1[[#This Row], [TOTAL TIME TAKEN]]*_xlfn.XLOOKUP(Table1[[#This Row], [EXIT]],Sheet1!$A$70:$A$71,Sheet1!$B$70:$B$71)*(1+_xlfn.XLOOKUP(Table1[[#This Row], [EXIT]],Sheet1!$A$70:$A$71,Sheet1!$C$70:$C$71))</f>
        <v>1751507.9249999993</v>
      </c>
      <c r="L635" s="13" t="s">
        <v>65</v>
      </c>
      <c r="M635" s="4">
        <f>IF(Table1[[#This Row], [EQUIPMENT]]="YES",Sheet1!$C$44*(1+Sheet1!$D$44),0)</f>
        <v>307500</v>
      </c>
      <c r="N635" s="4">
        <f>_xlfn.XLOOKUP(Table1[[#This Row], [ROOM]],Sheet1!$A$47:$A$66,Sheet1!$F$47:$F$66)</f>
        <v>17950000</v>
      </c>
      <c r="O635" s="9">
        <f>_xlfn.XLOOKUP(_xlfn.CONCAT(Table1[[#This Row], [TEAM]],Table1[[#This Row], [ROOM]]),'ROOM TIME'!$H$2:$H$121,'ROOM TIME'!$J$2:$J$121)</f>
        <v>60.819999999999979</v>
      </c>
      <c r="P635" s="9">
        <f>(INDEX(Sheet1!$X$48:$Z$67,MATCH(Table1[[#This Row], [ROOM]],Sheet1!$P$48:$P$67,0),MATCH(Table1[[#This Row], [WEAPON]],Sheet1!$X$47:$Z$47,0)))/Table1[[#This Row], [NUM OF MEM]]</f>
        <v>7.4250000000000007</v>
      </c>
      <c r="Q635" s="9">
        <f>Table1[[#This Row], [ROOM TIME]]+Table1[[#This Row], [GUARD TIME]]</f>
        <v>68.244999999999976</v>
      </c>
      <c r="R635" s="4">
        <f>Sheet1!$K$3*_xlfn.XLOOKUP(Table1[[#This Row], [DISGUISE]],Sheet1!$A$21:$A$23,Sheet1!$D$21:$D$23)</f>
        <v>69</v>
      </c>
      <c r="S635" s="9">
        <f>Table1[[#This Row], [TOTAL TIME]]-Table1[[#This Row], [TOTAL TIME TAKEN]]</f>
        <v>0.75500000000002387</v>
      </c>
      <c r="T635" t="str">
        <f>IF(Table1[[#This Row], [TIME DIFFERENCE]]&gt;=0,"PASS","FAIL")</f>
        <v>PASS</v>
      </c>
      <c r="U635" s="9">
        <f>Table1[[#This Row], [TRC]]+Table1[[#This Row], [DRC]]+Table1[[#This Row], [WRC]]+Table1[[#This Row], [ERC]]+Table1[[#This Row], [EQRC]]</f>
        <v>8213407.9249999989</v>
      </c>
      <c r="V635" s="9">
        <f>Table1[[#This Row], [TOTAL COST]]+_xlfn.XLOOKUP(Table1[[#This Row], [TEAM]],Sheet1!$A$12:$A$17,Sheet1!$I$12:$I$17)</f>
        <v>8517547.9249999989</v>
      </c>
      <c r="W635" s="9">
        <f>Table1[[#This Row], [LOOT]]-Table1[[#This Row], [TOTAL COST]]</f>
        <v>9736592.0750000011</v>
      </c>
      <c r="X635" s="9">
        <f>IF(Table1[[#This Row], [PASS/FAIL]]="FAIL",0,Table1[[#This Row], [PROFIT]])</f>
        <v>9736592.0750000011</v>
      </c>
    </row>
    <row r="636" spans="1:24" ht="19.5" customHeight="1" x14ac:dyDescent="0.45">
      <c r="A636" t="s">
        <v>16</v>
      </c>
      <c r="B636" s="14">
        <f>_xlfn.XLOOKUP(Table1[[#This Row], [TEAM]],Sheet1!$A$12:$A$17,Sheet1!$F$12:$F$17)</f>
        <v>2</v>
      </c>
      <c r="C636" s="14">
        <f>_xlfn.XLOOKUP(Table1[[#This Row], [TEAM]],Sheet1!$A$12:$A$17,Sheet1!$G$12:$G$17)</f>
        <v>6082800</v>
      </c>
      <c r="D636" t="s">
        <v>24</v>
      </c>
      <c r="E636" s="4">
        <f>_xlfn.XLOOKUP(Table1[[#This Row], [ROOM]],Sheet1!$A$47:$A$66,Sheet1!$B$47:$B$66)</f>
        <v>345</v>
      </c>
      <c r="F636" t="s">
        <v>58</v>
      </c>
      <c r="G636" s="4">
        <f>_xlfn.XLOOKUP(Table1[[#This Row], [DISGUISE]],Sheet1!$A$21:$A$23,Sheet1!$B$21:$B$23)*Table1[[#This Row], [NUM OF MEM]]*(1+_xlfn.XLOOKUP(Table1[[#This Row], [DISGUISE]],Sheet1!$A$21:$A$23,Sheet1!$C$21:$C$23))</f>
        <v>25600</v>
      </c>
      <c r="H636" s="13" t="s">
        <v>66</v>
      </c>
      <c r="I636" s="4">
        <f>_xlfn.XLOOKUP(Table1[[#This Row], [WEAPON]],Sheet1!$A$27:$A$29,Sheet1!$B$27:$B$29)*Table1[[#This Row], [NUM OF MEM]]*(1+_xlfn.XLOOKUP(Table1[[#This Row], [WEAPON]],Sheet1!$A$27:$A$29,Sheet1!$C$27:$C$29))</f>
        <v>72000</v>
      </c>
      <c r="J636" t="s">
        <v>64</v>
      </c>
      <c r="K636" s="9">
        <f>Table1[[#This Row], [NUM OF MEM]]*Table1[[#This Row], [TOTAL TIME TAKEN]]*_xlfn.XLOOKUP(Table1[[#This Row], [EXIT]],Sheet1!$A$70:$A$71,Sheet1!$B$70:$B$71)*(1+_xlfn.XLOOKUP(Table1[[#This Row], [EXIT]],Sheet1!$A$70:$A$71,Sheet1!$C$70:$C$71))</f>
        <v>1776524.3999999994</v>
      </c>
      <c r="L636" s="13" t="s">
        <v>65</v>
      </c>
      <c r="M636" s="4">
        <f>IF(Table1[[#This Row], [EQUIPMENT]]="YES",Sheet1!$C$44*(1+Sheet1!$D$44),0)</f>
        <v>307500</v>
      </c>
      <c r="N636" s="4">
        <f>_xlfn.XLOOKUP(Table1[[#This Row], [ROOM]],Sheet1!$A$47:$A$66,Sheet1!$F$47:$F$66)</f>
        <v>18000000</v>
      </c>
      <c r="O636" s="9">
        <f>_xlfn.XLOOKUP(_xlfn.CONCAT(Table1[[#This Row], [TEAM]],Table1[[#This Row], [ROOM]]),'ROOM TIME'!$H$2:$H$121,'ROOM TIME'!$J$2:$J$121)</f>
        <v>61.038749999999979</v>
      </c>
      <c r="P636" s="9">
        <f>(INDEX(Sheet1!$X$48:$Z$67,MATCH(Table1[[#This Row], [ROOM]],Sheet1!$P$48:$P$67,0),MATCH(Table1[[#This Row], [WEAPON]],Sheet1!$X$47:$Z$47,0)))/Table1[[#This Row], [NUM OF MEM]]</f>
        <v>7.5</v>
      </c>
      <c r="Q636" s="9">
        <f>Table1[[#This Row], [ROOM TIME]]+Table1[[#This Row], [GUARD TIME]]</f>
        <v>68.538749999999979</v>
      </c>
      <c r="R636" s="4">
        <f>Sheet1!$K$3*_xlfn.XLOOKUP(Table1[[#This Row], [DISGUISE]],Sheet1!$A$21:$A$23,Sheet1!$D$21:$D$23)</f>
        <v>69</v>
      </c>
      <c r="S636" s="9">
        <f>Table1[[#This Row], [TOTAL TIME]]-Table1[[#This Row], [TOTAL TIME TAKEN]]</f>
        <v>0.46125000000002103</v>
      </c>
      <c r="T636" t="str">
        <f>IF(Table1[[#This Row], [TIME DIFFERENCE]]&gt;=0,"PASS","FAIL")</f>
        <v>PASS</v>
      </c>
      <c r="U636" s="9">
        <f>Table1[[#This Row], [TRC]]+Table1[[#This Row], [DRC]]+Table1[[#This Row], [WRC]]+Table1[[#This Row], [ERC]]+Table1[[#This Row], [EQRC]]</f>
        <v>8264424.3999999994</v>
      </c>
      <c r="V636" s="9">
        <f>Table1[[#This Row], [TOTAL COST]]+_xlfn.XLOOKUP(Table1[[#This Row], [TEAM]],Sheet1!$A$12:$A$17,Sheet1!$I$12:$I$17)</f>
        <v>8568564.3999999985</v>
      </c>
      <c r="W636" s="9">
        <f>Table1[[#This Row], [LOOT]]-Table1[[#This Row], [TOTAL COST]]</f>
        <v>9735575.6000000015</v>
      </c>
      <c r="X636" s="9">
        <f>IF(Table1[[#This Row], [PASS/FAIL]]="FAIL",0,Table1[[#This Row], [PROFIT]])</f>
        <v>9735575.6000000015</v>
      </c>
    </row>
    <row r="637" spans="1:24" ht="19.5" customHeight="1" x14ac:dyDescent="0.45">
      <c r="A637" t="s">
        <v>13</v>
      </c>
      <c r="B637" s="14">
        <f>_xlfn.XLOOKUP(Table1[[#This Row], [TEAM]],Sheet1!$A$12:$A$17,Sheet1!$F$12:$F$17)</f>
        <v>3</v>
      </c>
      <c r="C637" s="14">
        <f>_xlfn.XLOOKUP(Table1[[#This Row], [TEAM]],Sheet1!$A$12:$A$17,Sheet1!$G$12:$G$17)</f>
        <v>5930000</v>
      </c>
      <c r="D637" t="s">
        <v>27</v>
      </c>
      <c r="E637" s="4">
        <f>_xlfn.XLOOKUP(Table1[[#This Row], [ROOM]],Sheet1!$A$47:$A$66,Sheet1!$B$47:$B$66)</f>
        <v>146</v>
      </c>
      <c r="F637" t="s">
        <v>62</v>
      </c>
      <c r="G637" s="4">
        <f>_xlfn.XLOOKUP(Table1[[#This Row], [DISGUISE]],Sheet1!$A$21:$A$23,Sheet1!$B$21:$B$23)*Table1[[#This Row], [NUM OF MEM]]*(1+_xlfn.XLOOKUP(Table1[[#This Row], [DISGUISE]],Sheet1!$A$21:$A$23,Sheet1!$C$21:$C$23))</f>
        <v>15600</v>
      </c>
      <c r="H637" s="13" t="s">
        <v>63</v>
      </c>
      <c r="I637" s="4">
        <f>_xlfn.XLOOKUP(Table1[[#This Row], [WEAPON]],Sheet1!$A$27:$A$29,Sheet1!$B$27:$B$29)*Table1[[#This Row], [NUM OF MEM]]*(1+_xlfn.XLOOKUP(Table1[[#This Row], [WEAPON]],Sheet1!$A$27:$A$29,Sheet1!$C$27:$C$29))</f>
        <v>69000</v>
      </c>
      <c r="J637" t="s">
        <v>60</v>
      </c>
      <c r="K637" s="9">
        <f>Table1[[#This Row], [NUM OF MEM]]*Table1[[#This Row], [TOTAL TIME TAKEN]]*_xlfn.XLOOKUP(Table1[[#This Row], [EXIT]],Sheet1!$A$70:$A$71,Sheet1!$B$70:$B$71)*(1+_xlfn.XLOOKUP(Table1[[#This Row], [EXIT]],Sheet1!$A$70:$A$71,Sheet1!$C$70:$C$71))</f>
        <v>1692606.7499999995</v>
      </c>
      <c r="L637" s="13" t="s">
        <v>65</v>
      </c>
      <c r="M637" s="4">
        <f>IF(Table1[[#This Row], [EQUIPMENT]]="YES",Sheet1!$C$44*(1+Sheet1!$D$44),0)</f>
        <v>307500</v>
      </c>
      <c r="N637" s="4">
        <f>_xlfn.XLOOKUP(Table1[[#This Row], [ROOM]],Sheet1!$A$47:$A$66,Sheet1!$F$47:$F$66)</f>
        <v>17750000</v>
      </c>
      <c r="O637" s="9">
        <f>_xlfn.XLOOKUP(_xlfn.CONCAT(Table1[[#This Row], [TEAM]],Table1[[#This Row], [ROOM]]),'ROOM TIME'!$H$2:$H$121,'ROOM TIME'!$J$2:$J$121)</f>
        <v>39.016666666666659</v>
      </c>
      <c r="P637" s="9">
        <f>(INDEX(Sheet1!$X$48:$Z$67,MATCH(Table1[[#This Row], [ROOM]],Sheet1!$P$48:$P$67,0),MATCH(Table1[[#This Row], [WEAPON]],Sheet1!$X$47:$Z$47,0)))/Table1[[#This Row], [NUM OF MEM]]</f>
        <v>4.95</v>
      </c>
      <c r="Q637" s="9">
        <f>Table1[[#This Row], [ROOM TIME]]+Table1[[#This Row], [GUARD TIME]]</f>
        <v>43.966666666666661</v>
      </c>
      <c r="R637" s="4">
        <f>Sheet1!$K$3*_xlfn.XLOOKUP(Table1[[#This Row], [DISGUISE]],Sheet1!$A$21:$A$23,Sheet1!$D$21:$D$23)</f>
        <v>66</v>
      </c>
      <c r="S637" s="9">
        <f>Table1[[#This Row], [TOTAL TIME]]-Table1[[#This Row], [TOTAL TIME TAKEN]]</f>
        <v>22.033333333333339</v>
      </c>
      <c r="T637" t="str">
        <f>IF(Table1[[#This Row], [TIME DIFFERENCE]]&gt;=0,"PASS","FAIL")</f>
        <v>PASS</v>
      </c>
      <c r="U637" s="9">
        <f>Table1[[#This Row], [TRC]]+Table1[[#This Row], [DRC]]+Table1[[#This Row], [WRC]]+Table1[[#This Row], [ERC]]+Table1[[#This Row], [EQRC]]</f>
        <v>8014706.75</v>
      </c>
      <c r="V637" s="9">
        <f>Table1[[#This Row], [TOTAL COST]]+_xlfn.XLOOKUP(Table1[[#This Row], [TEAM]],Sheet1!$A$12:$A$17,Sheet1!$I$12:$I$17)</f>
        <v>8311206.75</v>
      </c>
      <c r="W637" s="9">
        <f>Table1[[#This Row], [LOOT]]-Table1[[#This Row], [TOTAL COST]]</f>
        <v>9735293.25</v>
      </c>
      <c r="X637" s="9">
        <f>IF(Table1[[#This Row], [PASS/FAIL]]="FAIL",0,Table1[[#This Row], [PROFIT]])</f>
        <v>9735293.25</v>
      </c>
    </row>
    <row r="638" spans="1:24" ht="19.5" customHeight="1" x14ac:dyDescent="0.45">
      <c r="A638" t="s">
        <v>15</v>
      </c>
      <c r="B638" s="14">
        <f>_xlfn.XLOOKUP(Table1[[#This Row], [TEAM]],Sheet1!$A$12:$A$17,Sheet1!$F$12:$F$17)</f>
        <v>2</v>
      </c>
      <c r="C638" s="14">
        <f>_xlfn.XLOOKUP(Table1[[#This Row], [TEAM]],Sheet1!$A$12:$A$17,Sheet1!$G$12:$G$17)</f>
        <v>5932950</v>
      </c>
      <c r="D638" t="s">
        <v>28</v>
      </c>
      <c r="E638" s="4">
        <f>_xlfn.XLOOKUP(Table1[[#This Row], [ROOM]],Sheet1!$A$47:$A$66,Sheet1!$B$47:$B$66)</f>
        <v>156</v>
      </c>
      <c r="F638" t="s">
        <v>62</v>
      </c>
      <c r="G638" s="4">
        <f>_xlfn.XLOOKUP(Table1[[#This Row], [DISGUISE]],Sheet1!$A$21:$A$23,Sheet1!$B$21:$B$23)*Table1[[#This Row], [NUM OF MEM]]*(1+_xlfn.XLOOKUP(Table1[[#This Row], [DISGUISE]],Sheet1!$A$21:$A$23,Sheet1!$C$21:$C$23))</f>
        <v>10400</v>
      </c>
      <c r="H638" s="13" t="s">
        <v>59</v>
      </c>
      <c r="I638" s="4">
        <f>_xlfn.XLOOKUP(Table1[[#This Row], [WEAPON]],Sheet1!$A$27:$A$29,Sheet1!$B$27:$B$29)*Table1[[#This Row], [NUM OF MEM]]*(1+_xlfn.XLOOKUP(Table1[[#This Row], [WEAPON]],Sheet1!$A$27:$A$29,Sheet1!$C$27:$C$29))</f>
        <v>91000</v>
      </c>
      <c r="J638" t="s">
        <v>60</v>
      </c>
      <c r="K638" s="9">
        <f>Table1[[#This Row], [NUM OF MEM]]*Table1[[#This Row], [TOTAL TIME TAKEN]]*_xlfn.XLOOKUP(Table1[[#This Row], [EXIT]],Sheet1!$A$70:$A$71,Sheet1!$B$70:$B$71)*(1+_xlfn.XLOOKUP(Table1[[#This Row], [EXIT]],Sheet1!$A$70:$A$71,Sheet1!$C$70:$C$71))</f>
        <v>1574483.5874999997</v>
      </c>
      <c r="L638" s="13" t="s">
        <v>65</v>
      </c>
      <c r="M638" s="4">
        <f>IF(Table1[[#This Row], [EQUIPMENT]]="YES",Sheet1!$C$44*(1+Sheet1!$D$44),0)</f>
        <v>307500</v>
      </c>
      <c r="N638" s="4">
        <f>_xlfn.XLOOKUP(Table1[[#This Row], [ROOM]],Sheet1!$A$47:$A$66,Sheet1!$F$47:$F$66)</f>
        <v>17650000</v>
      </c>
      <c r="O638" s="9">
        <f>_xlfn.XLOOKUP(_xlfn.CONCAT(Table1[[#This Row], [TEAM]],Table1[[#This Row], [ROOM]]),'ROOM TIME'!$H$2:$H$121,'ROOM TIME'!$J$2:$J$121)</f>
        <v>55.597499999999982</v>
      </c>
      <c r="P638" s="9">
        <f>(INDEX(Sheet1!$X$48:$Z$67,MATCH(Table1[[#This Row], [ROOM]],Sheet1!$P$48:$P$67,0),MATCH(Table1[[#This Row], [WEAPON]],Sheet1!$X$47:$Z$47,0)))/Table1[[#This Row], [NUM OF MEM]]</f>
        <v>5.75</v>
      </c>
      <c r="Q638" s="9">
        <f>Table1[[#This Row], [ROOM TIME]]+Table1[[#This Row], [GUARD TIME]]</f>
        <v>61.347499999999982</v>
      </c>
      <c r="R638" s="4">
        <f>Sheet1!$K$3*_xlfn.XLOOKUP(Table1[[#This Row], [DISGUISE]],Sheet1!$A$21:$A$23,Sheet1!$D$21:$D$23)</f>
        <v>66</v>
      </c>
      <c r="S638" s="9">
        <f>Table1[[#This Row], [TOTAL TIME]]-Table1[[#This Row], [TOTAL TIME TAKEN]]</f>
        <v>4.6525000000000176</v>
      </c>
      <c r="T638" t="str">
        <f>IF(Table1[[#This Row], [TIME DIFFERENCE]]&gt;=0,"PASS","FAIL")</f>
        <v>PASS</v>
      </c>
      <c r="U638" s="9">
        <f>Table1[[#This Row], [TRC]]+Table1[[#This Row], [DRC]]+Table1[[#This Row], [WRC]]+Table1[[#This Row], [ERC]]+Table1[[#This Row], [EQRC]]</f>
        <v>7916333.5874999994</v>
      </c>
      <c r="V638" s="9">
        <f>Table1[[#This Row], [TOTAL COST]]+_xlfn.XLOOKUP(Table1[[#This Row], [TEAM]],Sheet1!$A$12:$A$17,Sheet1!$I$12:$I$17)</f>
        <v>8212981.0874999994</v>
      </c>
      <c r="W638" s="9">
        <f>Table1[[#This Row], [LOOT]]-Table1[[#This Row], [TOTAL COST]]</f>
        <v>9733666.4125000015</v>
      </c>
      <c r="X638" s="9">
        <f>IF(Table1[[#This Row], [PASS/FAIL]]="FAIL",0,Table1[[#This Row], [PROFIT]])</f>
        <v>9733666.4125000015</v>
      </c>
    </row>
    <row r="639" spans="1:24" ht="19.5" customHeight="1" x14ac:dyDescent="0.45">
      <c r="A639" t="s">
        <v>9</v>
      </c>
      <c r="B639" s="14">
        <f>_xlfn.XLOOKUP(Table1[[#This Row], [TEAM]],Sheet1!$A$12:$A$17,Sheet1!$F$12:$F$17)</f>
        <v>3</v>
      </c>
      <c r="C639" s="14">
        <f>_xlfn.XLOOKUP(Table1[[#This Row], [TEAM]],Sheet1!$A$12:$A$17,Sheet1!$G$12:$G$17)</f>
        <v>6238750</v>
      </c>
      <c r="D639" t="s">
        <v>10</v>
      </c>
      <c r="E639" s="4">
        <f>_xlfn.XLOOKUP(Table1[[#This Row], [ROOM]],Sheet1!$A$47:$A$66,Sheet1!$B$47:$B$66)</f>
        <v>123</v>
      </c>
      <c r="F639" t="s">
        <v>58</v>
      </c>
      <c r="G639" s="4">
        <f>_xlfn.XLOOKUP(Table1[[#This Row], [DISGUISE]],Sheet1!$A$21:$A$23,Sheet1!$B$21:$B$23)*Table1[[#This Row], [NUM OF MEM]]*(1+_xlfn.XLOOKUP(Table1[[#This Row], [DISGUISE]],Sheet1!$A$21:$A$23,Sheet1!$C$21:$C$23))</f>
        <v>38400</v>
      </c>
      <c r="H639" s="13" t="s">
        <v>59</v>
      </c>
      <c r="I639" s="4">
        <f>_xlfn.XLOOKUP(Table1[[#This Row], [WEAPON]],Sheet1!$A$27:$A$29,Sheet1!$B$27:$B$29)*Table1[[#This Row], [NUM OF MEM]]*(1+_xlfn.XLOOKUP(Table1[[#This Row], [WEAPON]],Sheet1!$A$27:$A$29,Sheet1!$C$27:$C$29))</f>
        <v>136500</v>
      </c>
      <c r="J639" t="s">
        <v>60</v>
      </c>
      <c r="K639" s="9">
        <f>Table1[[#This Row], [NUM OF MEM]]*Table1[[#This Row], [TOTAL TIME TAKEN]]*_xlfn.XLOOKUP(Table1[[#This Row], [EXIT]],Sheet1!$A$70:$A$71,Sheet1!$B$70:$B$71)*(1+_xlfn.XLOOKUP(Table1[[#This Row], [EXIT]],Sheet1!$A$70:$A$71,Sheet1!$C$70:$C$71))</f>
        <v>1702979.6874999995</v>
      </c>
      <c r="L639" s="13" t="s">
        <v>61</v>
      </c>
      <c r="M639" s="4">
        <f>IF(Table1[[#This Row], [EQUIPMENT]]="YES",Sheet1!$C$44*(1+Sheet1!$D$44),0)</f>
        <v>0</v>
      </c>
      <c r="N639" s="4">
        <f>_xlfn.XLOOKUP(Table1[[#This Row], [ROOM]],Sheet1!$A$47:$A$66,Sheet1!$F$47:$F$66)</f>
        <v>17850000</v>
      </c>
      <c r="O639" s="9">
        <f>_xlfn.XLOOKUP(_xlfn.CONCAT(Table1[[#This Row], [TEAM]],Table1[[#This Row], [ROOM]]),'ROOM TIME'!$H$2:$H$121,'ROOM TIME'!$J$2:$J$121)</f>
        <v>39.636111111111099</v>
      </c>
      <c r="P639" s="9">
        <f>(INDEX(Sheet1!$X$48:$Z$67,MATCH(Table1[[#This Row], [ROOM]],Sheet1!$P$48:$P$67,0),MATCH(Table1[[#This Row], [WEAPON]],Sheet1!$X$47:$Z$47,0)))/Table1[[#This Row], [NUM OF MEM]]</f>
        <v>4.5999999999999996</v>
      </c>
      <c r="Q639" s="9">
        <f>Table1[[#This Row], [ROOM TIME]]+Table1[[#This Row], [GUARD TIME]]</f>
        <v>44.2361111111111</v>
      </c>
      <c r="R639" s="4">
        <f>Sheet1!$K$3*_xlfn.XLOOKUP(Table1[[#This Row], [DISGUISE]],Sheet1!$A$21:$A$23,Sheet1!$D$21:$D$23)</f>
        <v>69</v>
      </c>
      <c r="S639" s="9">
        <f>Table1[[#This Row], [TOTAL TIME]]-Table1[[#This Row], [TOTAL TIME TAKEN]]</f>
        <v>24.7638888888889</v>
      </c>
      <c r="T639" t="str">
        <f>IF(Table1[[#This Row], [TIME DIFFERENCE]]&gt;=0,"PASS","FAIL")</f>
        <v>PASS</v>
      </c>
      <c r="U639" s="9">
        <f>Table1[[#This Row], [TRC]]+Table1[[#This Row], [DRC]]+Table1[[#This Row], [WRC]]+Table1[[#This Row], [ERC]]+Table1[[#This Row], [EQRC]]</f>
        <v>8116629.6875</v>
      </c>
      <c r="V639" s="9">
        <f>Table1[[#This Row], [TOTAL COST]]+_xlfn.XLOOKUP(Table1[[#This Row], [TEAM]],Sheet1!$A$12:$A$17,Sheet1!$I$12:$I$17)</f>
        <v>8428567.1875</v>
      </c>
      <c r="W639" s="9">
        <f>Table1[[#This Row], [LOOT]]-Table1[[#This Row], [TOTAL COST]]</f>
        <v>9733370.3125</v>
      </c>
      <c r="X639" s="9">
        <f>IF(Table1[[#This Row], [PASS/FAIL]]="FAIL",0,Table1[[#This Row], [PROFIT]])</f>
        <v>9733370.3125</v>
      </c>
    </row>
    <row r="640" spans="1:24" ht="19.5" customHeight="1" x14ac:dyDescent="0.45">
      <c r="A640" t="s">
        <v>12</v>
      </c>
      <c r="B640" s="14">
        <f>_xlfn.XLOOKUP(Table1[[#This Row], [TEAM]],Sheet1!$A$12:$A$17,Sheet1!$F$12:$F$17)</f>
        <v>3</v>
      </c>
      <c r="C640" s="14">
        <f>_xlfn.XLOOKUP(Table1[[#This Row], [TEAM]],Sheet1!$A$12:$A$17,Sheet1!$G$12:$G$17)</f>
        <v>5988750</v>
      </c>
      <c r="D640" t="s">
        <v>19</v>
      </c>
      <c r="E640" s="4">
        <f>_xlfn.XLOOKUP(Table1[[#This Row], [ROOM]],Sheet1!$A$47:$A$66,Sheet1!$B$47:$B$66)</f>
        <v>135</v>
      </c>
      <c r="F640" t="s">
        <v>58</v>
      </c>
      <c r="G640" s="4">
        <f>_xlfn.XLOOKUP(Table1[[#This Row], [DISGUISE]],Sheet1!$A$21:$A$23,Sheet1!$B$21:$B$23)*Table1[[#This Row], [NUM OF MEM]]*(1+_xlfn.XLOOKUP(Table1[[#This Row], [DISGUISE]],Sheet1!$A$21:$A$23,Sheet1!$C$21:$C$23))</f>
        <v>38400</v>
      </c>
      <c r="H640" s="13" t="s">
        <v>59</v>
      </c>
      <c r="I640" s="4">
        <f>_xlfn.XLOOKUP(Table1[[#This Row], [WEAPON]],Sheet1!$A$27:$A$29,Sheet1!$B$27:$B$29)*Table1[[#This Row], [NUM OF MEM]]*(1+_xlfn.XLOOKUP(Table1[[#This Row], [WEAPON]],Sheet1!$A$27:$A$29,Sheet1!$C$27:$C$29))</f>
        <v>136500</v>
      </c>
      <c r="J640" t="s">
        <v>60</v>
      </c>
      <c r="K640" s="9">
        <f>Table1[[#This Row], [NUM OF MEM]]*Table1[[#This Row], [TOTAL TIME TAKEN]]*_xlfn.XLOOKUP(Table1[[#This Row], [EXIT]],Sheet1!$A$70:$A$71,Sheet1!$B$70:$B$71)*(1+_xlfn.XLOOKUP(Table1[[#This Row], [EXIT]],Sheet1!$A$70:$A$71,Sheet1!$C$70:$C$71))</f>
        <v>1746503.2499999995</v>
      </c>
      <c r="L640" s="13" t="s">
        <v>65</v>
      </c>
      <c r="M640" s="4">
        <f>IF(Table1[[#This Row], [EQUIPMENT]]="YES",Sheet1!$C$44*(1+Sheet1!$D$44),0)</f>
        <v>307500</v>
      </c>
      <c r="N640" s="4">
        <f>_xlfn.XLOOKUP(Table1[[#This Row], [ROOM]],Sheet1!$A$47:$A$66,Sheet1!$F$47:$F$66)</f>
        <v>17950000</v>
      </c>
      <c r="O640" s="9">
        <f>_xlfn.XLOOKUP(_xlfn.CONCAT(Table1[[#This Row], [TEAM]],Table1[[#This Row], [ROOM]]),'ROOM TIME'!$H$2:$H$121,'ROOM TIME'!$J$2:$J$121)</f>
        <v>41.149999999999984</v>
      </c>
      <c r="P640" s="9">
        <f>(INDEX(Sheet1!$X$48:$Z$67,MATCH(Table1[[#This Row], [ROOM]],Sheet1!$P$48:$P$67,0),MATCH(Table1[[#This Row], [WEAPON]],Sheet1!$X$47:$Z$47,0)))/Table1[[#This Row], [NUM OF MEM]]</f>
        <v>4.2166666666666659</v>
      </c>
      <c r="Q640" s="9">
        <f>Table1[[#This Row], [ROOM TIME]]+Table1[[#This Row], [GUARD TIME]]</f>
        <v>45.366666666666653</v>
      </c>
      <c r="R640" s="4">
        <f>Sheet1!$K$3*_xlfn.XLOOKUP(Table1[[#This Row], [DISGUISE]],Sheet1!$A$21:$A$23,Sheet1!$D$21:$D$23)</f>
        <v>69</v>
      </c>
      <c r="S640" s="9">
        <f>Table1[[#This Row], [TOTAL TIME]]-Table1[[#This Row], [TOTAL TIME TAKEN]]</f>
        <v>23.633333333333347</v>
      </c>
      <c r="T640" t="str">
        <f>IF(Table1[[#This Row], [TIME DIFFERENCE]]&gt;=0,"PASS","FAIL")</f>
        <v>PASS</v>
      </c>
      <c r="U640" s="9">
        <f>Table1[[#This Row], [TRC]]+Table1[[#This Row], [DRC]]+Table1[[#This Row], [WRC]]+Table1[[#This Row], [ERC]]+Table1[[#This Row], [EQRC]]</f>
        <v>8217653.25</v>
      </c>
      <c r="V640" s="9">
        <f>Table1[[#This Row], [TOTAL COST]]+_xlfn.XLOOKUP(Table1[[#This Row], [TEAM]],Sheet1!$A$12:$A$17,Sheet1!$I$12:$I$17)</f>
        <v>8517090.75</v>
      </c>
      <c r="W640" s="9">
        <f>Table1[[#This Row], [LOOT]]-Table1[[#This Row], [TOTAL COST]]</f>
        <v>9732346.75</v>
      </c>
      <c r="X640" s="9">
        <f>IF(Table1[[#This Row], [PASS/FAIL]]="FAIL",0,Table1[[#This Row], [PROFIT]])</f>
        <v>9732346.75</v>
      </c>
    </row>
    <row r="641" spans="1:24" ht="19.5" customHeight="1" x14ac:dyDescent="0.45">
      <c r="A641" t="s">
        <v>13</v>
      </c>
      <c r="B641" s="14">
        <f>_xlfn.XLOOKUP(Table1[[#This Row], [TEAM]],Sheet1!$A$12:$A$17,Sheet1!$F$12:$F$17)</f>
        <v>3</v>
      </c>
      <c r="C641" s="14">
        <f>_xlfn.XLOOKUP(Table1[[#This Row], [TEAM]],Sheet1!$A$12:$A$17,Sheet1!$G$12:$G$17)</f>
        <v>5930000</v>
      </c>
      <c r="D641" t="s">
        <v>19</v>
      </c>
      <c r="E641" s="4">
        <f>_xlfn.XLOOKUP(Table1[[#This Row], [ROOM]],Sheet1!$A$47:$A$66,Sheet1!$B$47:$B$66)</f>
        <v>135</v>
      </c>
      <c r="F641" t="s">
        <v>58</v>
      </c>
      <c r="G641" s="4">
        <f>_xlfn.XLOOKUP(Table1[[#This Row], [DISGUISE]],Sheet1!$A$21:$A$23,Sheet1!$B$21:$B$23)*Table1[[#This Row], [NUM OF MEM]]*(1+_xlfn.XLOOKUP(Table1[[#This Row], [DISGUISE]],Sheet1!$A$21:$A$23,Sheet1!$C$21:$C$23))</f>
        <v>38400</v>
      </c>
      <c r="H641" s="13" t="s">
        <v>59</v>
      </c>
      <c r="I641" s="4">
        <f>_xlfn.XLOOKUP(Table1[[#This Row], [WEAPON]],Sheet1!$A$27:$A$29,Sheet1!$B$27:$B$29)*Table1[[#This Row], [NUM OF MEM]]*(1+_xlfn.XLOOKUP(Table1[[#This Row], [WEAPON]],Sheet1!$A$27:$A$29,Sheet1!$C$27:$C$29))</f>
        <v>136500</v>
      </c>
      <c r="J641" t="s">
        <v>60</v>
      </c>
      <c r="K641" s="9">
        <f>Table1[[#This Row], [NUM OF MEM]]*Table1[[#This Row], [TOTAL TIME TAKEN]]*_xlfn.XLOOKUP(Table1[[#This Row], [EXIT]],Sheet1!$A$70:$A$71,Sheet1!$B$70:$B$71)*(1+_xlfn.XLOOKUP(Table1[[#This Row], [EXIT]],Sheet1!$A$70:$A$71,Sheet1!$C$70:$C$71))</f>
        <v>1805276.0999999996</v>
      </c>
      <c r="L641" s="13" t="s">
        <v>65</v>
      </c>
      <c r="M641" s="4">
        <f>IF(Table1[[#This Row], [EQUIPMENT]]="YES",Sheet1!$C$44*(1+Sheet1!$D$44),0)</f>
        <v>307500</v>
      </c>
      <c r="N641" s="4">
        <f>_xlfn.XLOOKUP(Table1[[#This Row], [ROOM]],Sheet1!$A$47:$A$66,Sheet1!$F$47:$F$66)</f>
        <v>17950000</v>
      </c>
      <c r="O641" s="9">
        <f>_xlfn.XLOOKUP(_xlfn.CONCAT(Table1[[#This Row], [TEAM]],Table1[[#This Row], [ROOM]]),'ROOM TIME'!$H$2:$H$121,'ROOM TIME'!$J$2:$J$121)</f>
        <v>42.676666666666655</v>
      </c>
      <c r="P641" s="9">
        <f>(INDEX(Sheet1!$X$48:$Z$67,MATCH(Table1[[#This Row], [ROOM]],Sheet1!$P$48:$P$67,0),MATCH(Table1[[#This Row], [WEAPON]],Sheet1!$X$47:$Z$47,0)))/Table1[[#This Row], [NUM OF MEM]]</f>
        <v>4.2166666666666659</v>
      </c>
      <c r="Q641" s="9">
        <f>Table1[[#This Row], [ROOM TIME]]+Table1[[#This Row], [GUARD TIME]]</f>
        <v>46.893333333333324</v>
      </c>
      <c r="R641" s="4">
        <f>Sheet1!$K$3*_xlfn.XLOOKUP(Table1[[#This Row], [DISGUISE]],Sheet1!$A$21:$A$23,Sheet1!$D$21:$D$23)</f>
        <v>69</v>
      </c>
      <c r="S641" s="9">
        <f>Table1[[#This Row], [TOTAL TIME]]-Table1[[#This Row], [TOTAL TIME TAKEN]]</f>
        <v>22.106666666666676</v>
      </c>
      <c r="T641" t="str">
        <f>IF(Table1[[#This Row], [TIME DIFFERENCE]]&gt;=0,"PASS","FAIL")</f>
        <v>PASS</v>
      </c>
      <c r="U641" s="9">
        <f>Table1[[#This Row], [TRC]]+Table1[[#This Row], [DRC]]+Table1[[#This Row], [WRC]]+Table1[[#This Row], [ERC]]+Table1[[#This Row], [EQRC]]</f>
        <v>8217676.0999999996</v>
      </c>
      <c r="V641" s="9">
        <f>Table1[[#This Row], [TOTAL COST]]+_xlfn.XLOOKUP(Table1[[#This Row], [TEAM]],Sheet1!$A$12:$A$17,Sheet1!$I$12:$I$17)</f>
        <v>8514176.0999999996</v>
      </c>
      <c r="W641" s="9">
        <f>Table1[[#This Row], [LOOT]]-Table1[[#This Row], [TOTAL COST]]</f>
        <v>9732323.9000000004</v>
      </c>
      <c r="X641" s="9">
        <f>IF(Table1[[#This Row], [PASS/FAIL]]="FAIL",0,Table1[[#This Row], [PROFIT]])</f>
        <v>9732323.9000000004</v>
      </c>
    </row>
    <row r="642" spans="1:24" ht="19.5" customHeight="1" x14ac:dyDescent="0.45">
      <c r="A642" t="s">
        <v>16</v>
      </c>
      <c r="B642" s="14">
        <f>_xlfn.XLOOKUP(Table1[[#This Row], [TEAM]],Sheet1!$A$12:$A$17,Sheet1!$F$12:$F$17)</f>
        <v>2</v>
      </c>
      <c r="C642" s="14">
        <f>_xlfn.XLOOKUP(Table1[[#This Row], [TEAM]],Sheet1!$A$12:$A$17,Sheet1!$G$12:$G$17)</f>
        <v>6082800</v>
      </c>
      <c r="D642" t="s">
        <v>24</v>
      </c>
      <c r="E642" s="4">
        <f>_xlfn.XLOOKUP(Table1[[#This Row], [ROOM]],Sheet1!$A$47:$A$66,Sheet1!$B$47:$B$66)</f>
        <v>345</v>
      </c>
      <c r="F642" t="s">
        <v>58</v>
      </c>
      <c r="G642" s="4">
        <f>_xlfn.XLOOKUP(Table1[[#This Row], [DISGUISE]],Sheet1!$A$21:$A$23,Sheet1!$B$21:$B$23)*Table1[[#This Row], [NUM OF MEM]]*(1+_xlfn.XLOOKUP(Table1[[#This Row], [DISGUISE]],Sheet1!$A$21:$A$23,Sheet1!$C$21:$C$23))</f>
        <v>25600</v>
      </c>
      <c r="H642" s="13" t="s">
        <v>59</v>
      </c>
      <c r="I642" s="4">
        <f>_xlfn.XLOOKUP(Table1[[#This Row], [WEAPON]],Sheet1!$A$27:$A$29,Sheet1!$B$27:$B$29)*Table1[[#This Row], [NUM OF MEM]]*(1+_xlfn.XLOOKUP(Table1[[#This Row], [WEAPON]],Sheet1!$A$27:$A$29,Sheet1!$C$27:$C$29))</f>
        <v>91000</v>
      </c>
      <c r="J642" t="s">
        <v>64</v>
      </c>
      <c r="K642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1760972.3999999997</v>
      </c>
      <c r="L642" s="13" t="s">
        <v>65</v>
      </c>
      <c r="M642" s="4">
        <f>IF(Table1[[#This Row], [EQUIPMENT]]="YES",Sheet1!$C$44*(1+Sheet1!$D$44),0)</f>
        <v>307500</v>
      </c>
      <c r="N642" s="4">
        <f>_xlfn.XLOOKUP(Table1[[#This Row], [ROOM]],Sheet1!$A$47:$A$66,Sheet1!$F$47:$F$66)</f>
        <v>18000000</v>
      </c>
      <c r="O642" s="9">
        <f>_xlfn.XLOOKUP(_xlfn.CONCAT(Table1[[#This Row], [TEAM]],Table1[[#This Row], [ROOM]]),'ROOM TIME'!$H$2:$H$121,'ROOM TIME'!$J$2:$J$121)</f>
        <v>61.038749999999979</v>
      </c>
      <c r="P642" s="9">
        <f>(INDEX(Sheet1!$X$48:$Z$67,MATCH(Table1[[#This Row], [ROOM]],Sheet1!$P$48:$P$67,0),MATCH(Table1[[#This Row], [WEAPON]],Sheet1!$X$47:$Z$47,0)))/Table1[[#This Row], [NUM OF MEM]]</f>
        <v>6.8999999999999995</v>
      </c>
      <c r="Q642" s="9">
        <f>Table1[[#This Row], [ROOM TIME]]+Table1[[#This Row], [GUARD TIME]]</f>
        <v>67.938749999999985</v>
      </c>
      <c r="R642" s="4">
        <f>Sheet1!$K$3*_xlfn.XLOOKUP(Table1[[#This Row], [DISGUISE]],Sheet1!$A$21:$A$23,Sheet1!$D$21:$D$23)</f>
        <v>69</v>
      </c>
      <c r="S642" s="9">
        <f>Table1[[#This Row], [TOTAL TIME]]-Table1[[#This Row], [TOTAL TIME TAKEN]]</f>
        <v>1.0612500000000153</v>
      </c>
      <c r="T642" t="str">
        <f>IF(Table1[[#This Row], [TIME DIFFERENCE]]&gt;=0,"PASS","FAIL")</f>
        <v>PASS</v>
      </c>
      <c r="U642" s="9">
        <f>Table1[[#This Row], [TRC]]+Table1[[#This Row], [DRC]]+Table1[[#This Row], [WRC]]+Table1[[#This Row], [ERC]]+Table1[[#This Row], [EQRC]]</f>
        <v>8267872.3999999994</v>
      </c>
      <c r="V642" s="9">
        <f>Table1[[#This Row], [TOTAL COST]]+_xlfn.XLOOKUP(Table1[[#This Row], [TEAM]],Sheet1!$A$12:$A$17,Sheet1!$I$12:$I$17)</f>
        <v>8572012.3999999985</v>
      </c>
      <c r="W642" s="9">
        <f>Table1[[#This Row], [LOOT]]-Table1[[#This Row], [TOTAL COST]]</f>
        <v>9732127.6000000015</v>
      </c>
      <c r="X642" s="9">
        <f>IF(Table1[[#This Row], [PASS/FAIL]]="FAIL",0,Table1[[#This Row], [PROFIT]])</f>
        <v>9732127.6000000015</v>
      </c>
    </row>
    <row r="643" spans="1:24" ht="19.5" customHeight="1" x14ac:dyDescent="0.45">
      <c r="A643" t="s">
        <v>9</v>
      </c>
      <c r="B643" s="14">
        <f>_xlfn.XLOOKUP(Table1[[#This Row], [TEAM]],Sheet1!$A$12:$A$17,Sheet1!$F$12:$F$17)</f>
        <v>3</v>
      </c>
      <c r="C643" s="14">
        <f>_xlfn.XLOOKUP(Table1[[#This Row], [TEAM]],Sheet1!$A$12:$A$17,Sheet1!$G$12:$G$17)</f>
        <v>6238750</v>
      </c>
      <c r="D643" t="s">
        <v>22</v>
      </c>
      <c r="E643" s="4">
        <f>_xlfn.XLOOKUP(Table1[[#This Row], [ROOM]],Sheet1!$A$47:$A$66,Sheet1!$B$47:$B$66)</f>
        <v>235</v>
      </c>
      <c r="F643" t="s">
        <v>58</v>
      </c>
      <c r="G643" s="4">
        <f>_xlfn.XLOOKUP(Table1[[#This Row], [DISGUISE]],Sheet1!$A$21:$A$23,Sheet1!$B$21:$B$23)*Table1[[#This Row], [NUM OF MEM]]*(1+_xlfn.XLOOKUP(Table1[[#This Row], [DISGUISE]],Sheet1!$A$21:$A$23,Sheet1!$C$21:$C$23))</f>
        <v>38400</v>
      </c>
      <c r="H643" s="13" t="s">
        <v>63</v>
      </c>
      <c r="I643" s="4">
        <f>_xlfn.XLOOKUP(Table1[[#This Row], [WEAPON]],Sheet1!$A$27:$A$29,Sheet1!$B$27:$B$29)*Table1[[#This Row], [NUM OF MEM]]*(1+_xlfn.XLOOKUP(Table1[[#This Row], [WEAPON]],Sheet1!$A$27:$A$29,Sheet1!$C$27:$C$29))</f>
        <v>69000</v>
      </c>
      <c r="J643" t="s">
        <v>60</v>
      </c>
      <c r="K643" s="9">
        <f>Table1[[#This Row], [NUM OF MEM]]*Table1[[#This Row], [TOTAL TIME TAKEN]]*_xlfn.XLOOKUP(Table1[[#This Row], [EXIT]],Sheet1!$A$70:$A$71,Sheet1!$B$70:$B$71)*(1+_xlfn.XLOOKUP(Table1[[#This Row], [EXIT]],Sheet1!$A$70:$A$71,Sheet1!$C$70:$C$71))</f>
        <v>1722549.2499999993</v>
      </c>
      <c r="L643" s="13" t="s">
        <v>61</v>
      </c>
      <c r="M643" s="4">
        <f>IF(Table1[[#This Row], [EQUIPMENT]]="YES",Sheet1!$C$44*(1+Sheet1!$D$44),0)</f>
        <v>0</v>
      </c>
      <c r="N643" s="4">
        <f>_xlfn.XLOOKUP(Table1[[#This Row], [ROOM]],Sheet1!$A$47:$A$66,Sheet1!$F$47:$F$66)</f>
        <v>17800000</v>
      </c>
      <c r="O643" s="9">
        <f>_xlfn.XLOOKUP(_xlfn.CONCAT(Table1[[#This Row], [TEAM]],Table1[[#This Row], [ROOM]]),'ROOM TIME'!$H$2:$H$121,'ROOM TIME'!$J$2:$J$121)</f>
        <v>39.344444444444434</v>
      </c>
      <c r="P643" s="9">
        <f>(INDEX(Sheet1!$X$48:$Z$67,MATCH(Table1[[#This Row], [ROOM]],Sheet1!$P$48:$P$67,0),MATCH(Table1[[#This Row], [WEAPON]],Sheet1!$X$47:$Z$47,0)))/Table1[[#This Row], [NUM OF MEM]]</f>
        <v>5.4000000000000012</v>
      </c>
      <c r="Q643" s="9">
        <f>Table1[[#This Row], [ROOM TIME]]+Table1[[#This Row], [GUARD TIME]]</f>
        <v>44.744444444444433</v>
      </c>
      <c r="R643" s="4">
        <f>Sheet1!$K$3*_xlfn.XLOOKUP(Table1[[#This Row], [DISGUISE]],Sheet1!$A$21:$A$23,Sheet1!$D$21:$D$23)</f>
        <v>69</v>
      </c>
      <c r="S643" s="9">
        <f>Table1[[#This Row], [TOTAL TIME]]-Table1[[#This Row], [TOTAL TIME TAKEN]]</f>
        <v>24.255555555555567</v>
      </c>
      <c r="T643" t="str">
        <f>IF(Table1[[#This Row], [TIME DIFFERENCE]]&gt;=0,"PASS","FAIL")</f>
        <v>PASS</v>
      </c>
      <c r="U643" s="9">
        <f>Table1[[#This Row], [TRC]]+Table1[[#This Row], [DRC]]+Table1[[#This Row], [WRC]]+Table1[[#This Row], [ERC]]+Table1[[#This Row], [EQRC]]</f>
        <v>8068699.2499999991</v>
      </c>
      <c r="V643" s="9">
        <f>Table1[[#This Row], [TOTAL COST]]+_xlfn.XLOOKUP(Table1[[#This Row], [TEAM]],Sheet1!$A$12:$A$17,Sheet1!$I$12:$I$17)</f>
        <v>8380636.7499999991</v>
      </c>
      <c r="W643" s="9">
        <f>Table1[[#This Row], [LOOT]]-Table1[[#This Row], [TOTAL COST]]</f>
        <v>9731300.75</v>
      </c>
      <c r="X643" s="9">
        <f>IF(Table1[[#This Row], [PASS/FAIL]]="FAIL",0,Table1[[#This Row], [PROFIT]])</f>
        <v>9731300.75</v>
      </c>
    </row>
    <row r="644" spans="1:24" ht="19.5" customHeight="1" x14ac:dyDescent="0.45">
      <c r="A644" t="s">
        <v>12</v>
      </c>
      <c r="B644" s="14">
        <f>_xlfn.XLOOKUP(Table1[[#This Row], [TEAM]],Sheet1!$A$12:$A$17,Sheet1!$F$12:$F$17)</f>
        <v>3</v>
      </c>
      <c r="C644" s="14">
        <f>_xlfn.XLOOKUP(Table1[[#This Row], [TEAM]],Sheet1!$A$12:$A$17,Sheet1!$G$12:$G$17)</f>
        <v>5988750</v>
      </c>
      <c r="D644" t="s">
        <v>20</v>
      </c>
      <c r="E644" s="4">
        <f>_xlfn.XLOOKUP(Table1[[#This Row], [ROOM]],Sheet1!$A$47:$A$66,Sheet1!$B$47:$B$66)</f>
        <v>145</v>
      </c>
      <c r="F644" t="s">
        <v>58</v>
      </c>
      <c r="G644" s="4">
        <f>_xlfn.XLOOKUP(Table1[[#This Row], [DISGUISE]],Sheet1!$A$21:$A$23,Sheet1!$B$21:$B$23)*Table1[[#This Row], [NUM OF MEM]]*(1+_xlfn.XLOOKUP(Table1[[#This Row], [DISGUISE]],Sheet1!$A$21:$A$23,Sheet1!$C$21:$C$23))</f>
        <v>38400</v>
      </c>
      <c r="H644" s="13" t="s">
        <v>66</v>
      </c>
      <c r="I644" s="4">
        <f>_xlfn.XLOOKUP(Table1[[#This Row], [WEAPON]],Sheet1!$A$27:$A$29,Sheet1!$B$27:$B$29)*Table1[[#This Row], [NUM OF MEM]]*(1+_xlfn.XLOOKUP(Table1[[#This Row], [WEAPON]],Sheet1!$A$27:$A$29,Sheet1!$C$27:$C$29))</f>
        <v>108000</v>
      </c>
      <c r="J644" t="s">
        <v>60</v>
      </c>
      <c r="K644" s="9">
        <f>Table1[[#This Row], [NUM OF MEM]]*Table1[[#This Row], [TOTAL TIME TAKEN]]*_xlfn.XLOOKUP(Table1[[#This Row], [EXIT]],Sheet1!$A$70:$A$71,Sheet1!$B$70:$B$71)*(1+_xlfn.XLOOKUP(Table1[[#This Row], [EXIT]],Sheet1!$A$70:$A$71,Sheet1!$C$70:$C$71))</f>
        <v>1684265.6249999993</v>
      </c>
      <c r="L644" s="13" t="s">
        <v>61</v>
      </c>
      <c r="M644" s="4">
        <f>IF(Table1[[#This Row], [EQUIPMENT]]="YES",Sheet1!$C$44*(1+Sheet1!$D$44),0)</f>
        <v>0</v>
      </c>
      <c r="N644" s="4">
        <f>_xlfn.XLOOKUP(Table1[[#This Row], [ROOM]],Sheet1!$A$47:$A$66,Sheet1!$F$47:$F$66)</f>
        <v>17550000</v>
      </c>
      <c r="O644" s="9">
        <f>_xlfn.XLOOKUP(_xlfn.CONCAT(Table1[[#This Row], [TEAM]],Table1[[#This Row], [ROOM]]),'ROOM TIME'!$H$2:$H$121,'ROOM TIME'!$J$2:$J$121)</f>
        <v>39.583333333333321</v>
      </c>
      <c r="P644" s="9">
        <f>(INDEX(Sheet1!$X$48:$Z$67,MATCH(Table1[[#This Row], [ROOM]],Sheet1!$P$48:$P$67,0),MATCH(Table1[[#This Row], [WEAPON]],Sheet1!$X$47:$Z$47,0)))/Table1[[#This Row], [NUM OF MEM]]</f>
        <v>4.166666666666667</v>
      </c>
      <c r="Q644" s="9">
        <f>Table1[[#This Row], [ROOM TIME]]+Table1[[#This Row], [GUARD TIME]]</f>
        <v>43.749999999999986</v>
      </c>
      <c r="R644" s="4">
        <f>Sheet1!$K$3*_xlfn.XLOOKUP(Table1[[#This Row], [DISGUISE]],Sheet1!$A$21:$A$23,Sheet1!$D$21:$D$23)</f>
        <v>69</v>
      </c>
      <c r="S644" s="9">
        <f>Table1[[#This Row], [TOTAL TIME]]-Table1[[#This Row], [TOTAL TIME TAKEN]]</f>
        <v>25.250000000000014</v>
      </c>
      <c r="T644" t="str">
        <f>IF(Table1[[#This Row], [TIME DIFFERENCE]]&gt;=0,"PASS","FAIL")</f>
        <v>PASS</v>
      </c>
      <c r="U644" s="9">
        <f>Table1[[#This Row], [TRC]]+Table1[[#This Row], [DRC]]+Table1[[#This Row], [WRC]]+Table1[[#This Row], [ERC]]+Table1[[#This Row], [EQRC]]</f>
        <v>7819415.6249999991</v>
      </c>
      <c r="V644" s="9">
        <f>Table1[[#This Row], [TOTAL COST]]+_xlfn.XLOOKUP(Table1[[#This Row], [TEAM]],Sheet1!$A$12:$A$17,Sheet1!$I$12:$I$17)</f>
        <v>8118853.1249999991</v>
      </c>
      <c r="W644" s="9">
        <f>Table1[[#This Row], [LOOT]]-Table1[[#This Row], [TOTAL COST]]</f>
        <v>9730584.375</v>
      </c>
      <c r="X644" s="9">
        <f>IF(Table1[[#This Row], [PASS/FAIL]]="FAIL",0,Table1[[#This Row], [PROFIT]])</f>
        <v>9730584.375</v>
      </c>
    </row>
    <row r="645" spans="1:24" ht="19.5" customHeight="1" x14ac:dyDescent="0.45">
      <c r="A645" t="s">
        <v>9</v>
      </c>
      <c r="B645" s="14">
        <f>_xlfn.XLOOKUP(Table1[[#This Row], [TEAM]],Sheet1!$A$12:$A$17,Sheet1!$F$12:$F$17)</f>
        <v>3</v>
      </c>
      <c r="C645" s="14">
        <f>_xlfn.XLOOKUP(Table1[[#This Row], [TEAM]],Sheet1!$A$12:$A$17,Sheet1!$G$12:$G$17)</f>
        <v>6238750</v>
      </c>
      <c r="D645" t="s">
        <v>22</v>
      </c>
      <c r="E645" s="4">
        <f>_xlfn.XLOOKUP(Table1[[#This Row], [ROOM]],Sheet1!$A$47:$A$66,Sheet1!$B$47:$B$66)</f>
        <v>235</v>
      </c>
      <c r="F645" t="s">
        <v>62</v>
      </c>
      <c r="G645" s="4">
        <f>_xlfn.XLOOKUP(Table1[[#This Row], [DISGUISE]],Sheet1!$A$21:$A$23,Sheet1!$B$21:$B$23)*Table1[[#This Row], [NUM OF MEM]]*(1+_xlfn.XLOOKUP(Table1[[#This Row], [DISGUISE]],Sheet1!$A$21:$A$23,Sheet1!$C$21:$C$23))</f>
        <v>15600</v>
      </c>
      <c r="H645" s="13" t="s">
        <v>66</v>
      </c>
      <c r="I645" s="4">
        <f>_xlfn.XLOOKUP(Table1[[#This Row], [WEAPON]],Sheet1!$A$27:$A$29,Sheet1!$B$27:$B$29)*Table1[[#This Row], [NUM OF MEM]]*(1+_xlfn.XLOOKUP(Table1[[#This Row], [WEAPON]],Sheet1!$A$27:$A$29,Sheet1!$C$27:$C$29))</f>
        <v>108000</v>
      </c>
      <c r="J645" t="s">
        <v>60</v>
      </c>
      <c r="K645" s="9">
        <f>Table1[[#This Row], [NUM OF MEM]]*Table1[[#This Row], [TOTAL TIME TAKEN]]*_xlfn.XLOOKUP(Table1[[#This Row], [EXIT]],Sheet1!$A$70:$A$71,Sheet1!$B$70:$B$71)*(1+_xlfn.XLOOKUP(Table1[[#This Row], [EXIT]],Sheet1!$A$70:$A$71,Sheet1!$C$70:$C$71))</f>
        <v>1707150.2499999995</v>
      </c>
      <c r="L645" s="13" t="s">
        <v>61</v>
      </c>
      <c r="M645" s="4">
        <f>IF(Table1[[#This Row], [EQUIPMENT]]="YES",Sheet1!$C$44*(1+Sheet1!$D$44),0)</f>
        <v>0</v>
      </c>
      <c r="N645" s="4">
        <f>_xlfn.XLOOKUP(Table1[[#This Row], [ROOM]],Sheet1!$A$47:$A$66,Sheet1!$F$47:$F$66)</f>
        <v>17800000</v>
      </c>
      <c r="O645" s="9">
        <f>_xlfn.XLOOKUP(_xlfn.CONCAT(Table1[[#This Row], [TEAM]],Table1[[#This Row], [ROOM]]),'ROOM TIME'!$H$2:$H$121,'ROOM TIME'!$J$2:$J$121)</f>
        <v>39.344444444444434</v>
      </c>
      <c r="P645" s="4">
        <f>(INDEX(Sheet1!$X$48:$Z$67,MATCH(Table1[[#This Row], [ROOM]],Sheet1!$P$48:$P$67,0),MATCH(Table1[[#This Row], [WEAPON]],Sheet1!$X$47:$Z$47,0)))/Table1[[#This Row], [NUM OF MEM]]</f>
        <v>5</v>
      </c>
      <c r="Q645" s="9">
        <f>Table1[[#This Row], [ROOM TIME]]+Table1[[#This Row], [GUARD TIME]]</f>
        <v>44.344444444444434</v>
      </c>
      <c r="R645" s="4">
        <f>Sheet1!$K$3*_xlfn.XLOOKUP(Table1[[#This Row], [DISGUISE]],Sheet1!$A$21:$A$23,Sheet1!$D$21:$D$23)</f>
        <v>66</v>
      </c>
      <c r="S645" s="9">
        <f>Table1[[#This Row], [TOTAL TIME]]-Table1[[#This Row], [TOTAL TIME TAKEN]]</f>
        <v>21.655555555555566</v>
      </c>
      <c r="T645" t="str">
        <f>IF(Table1[[#This Row], [TIME DIFFERENCE]]&gt;=0,"PASS","FAIL")</f>
        <v>PASS</v>
      </c>
      <c r="U645" s="9">
        <f>Table1[[#This Row], [TRC]]+Table1[[#This Row], [DRC]]+Table1[[#This Row], [WRC]]+Table1[[#This Row], [ERC]]+Table1[[#This Row], [EQRC]]</f>
        <v>8069500.25</v>
      </c>
      <c r="V645" s="9">
        <f>Table1[[#This Row], [TOTAL COST]]+_xlfn.XLOOKUP(Table1[[#This Row], [TEAM]],Sheet1!$A$12:$A$17,Sheet1!$I$12:$I$17)</f>
        <v>8381437.75</v>
      </c>
      <c r="W645" s="9">
        <f>Table1[[#This Row], [LOOT]]-Table1[[#This Row], [TOTAL COST]]</f>
        <v>9730499.75</v>
      </c>
      <c r="X645" s="9">
        <f>IF(Table1[[#This Row], [PASS/FAIL]]="FAIL",0,Table1[[#This Row], [PROFIT]])</f>
        <v>9730499.75</v>
      </c>
    </row>
    <row r="646" spans="1:24" ht="19.5" customHeight="1" x14ac:dyDescent="0.45">
      <c r="A646" t="s">
        <v>14</v>
      </c>
      <c r="B646" s="14">
        <f>_xlfn.XLOOKUP(Table1[[#This Row], [TEAM]],Sheet1!$A$12:$A$17,Sheet1!$F$12:$F$17)</f>
        <v>2</v>
      </c>
      <c r="C646" s="14">
        <f>_xlfn.XLOOKUP(Table1[[#This Row], [TEAM]],Sheet1!$A$12:$A$17,Sheet1!$G$12:$G$17)</f>
        <v>5949600</v>
      </c>
      <c r="D646" t="s">
        <v>28</v>
      </c>
      <c r="E646" s="4">
        <f>_xlfn.XLOOKUP(Table1[[#This Row], [ROOM]],Sheet1!$A$47:$A$66,Sheet1!$B$47:$B$66)</f>
        <v>156</v>
      </c>
      <c r="F646" t="s">
        <v>62</v>
      </c>
      <c r="G646" s="4">
        <f>_xlfn.XLOOKUP(Table1[[#This Row], [DISGUISE]],Sheet1!$A$21:$A$23,Sheet1!$B$21:$B$23)*Table1[[#This Row], [NUM OF MEM]]*(1+_xlfn.XLOOKUP(Table1[[#This Row], [DISGUISE]],Sheet1!$A$21:$A$23,Sheet1!$C$21:$C$23))</f>
        <v>10400</v>
      </c>
      <c r="H646" s="13" t="s">
        <v>63</v>
      </c>
      <c r="I646" s="4">
        <f>_xlfn.XLOOKUP(Table1[[#This Row], [WEAPON]],Sheet1!$A$27:$A$29,Sheet1!$B$27:$B$29)*Table1[[#This Row], [NUM OF MEM]]*(1+_xlfn.XLOOKUP(Table1[[#This Row], [WEAPON]],Sheet1!$A$27:$A$29,Sheet1!$C$27:$C$29))</f>
        <v>46000</v>
      </c>
      <c r="J646" t="s">
        <v>60</v>
      </c>
      <c r="K646" s="9">
        <f>Table1[[#This Row], [NUM OF MEM]]*Table1[[#This Row], [TOTAL TIME TAKEN]]*_xlfn.XLOOKUP(Table1[[#This Row], [EXIT]],Sheet1!$A$70:$A$71,Sheet1!$B$70:$B$71)*(1+_xlfn.XLOOKUP(Table1[[#This Row], [EXIT]],Sheet1!$A$70:$A$71,Sheet1!$C$70:$C$71))</f>
        <v>1606051.5374999992</v>
      </c>
      <c r="L646" s="13" t="s">
        <v>65</v>
      </c>
      <c r="M646" s="4">
        <f>IF(Table1[[#This Row], [EQUIPMENT]]="YES",Sheet1!$C$44*(1+Sheet1!$D$44),0)</f>
        <v>307500</v>
      </c>
      <c r="N646" s="4">
        <f>_xlfn.XLOOKUP(Table1[[#This Row], [ROOM]],Sheet1!$A$47:$A$66,Sheet1!$F$47:$F$66)</f>
        <v>17650000</v>
      </c>
      <c r="O646" s="9">
        <f>_xlfn.XLOOKUP(_xlfn.CONCAT(Table1[[#This Row], [TEAM]],Table1[[#This Row], [ROOM]]),'ROOM TIME'!$H$2:$H$121,'ROOM TIME'!$J$2:$J$121)</f>
        <v>55.827499999999979</v>
      </c>
      <c r="P646" s="9">
        <f>(INDEX(Sheet1!$X$48:$Z$67,MATCH(Table1[[#This Row], [ROOM]],Sheet1!$P$48:$P$67,0),MATCH(Table1[[#This Row], [WEAPON]],Sheet1!$X$47:$Z$47,0)))/Table1[[#This Row], [NUM OF MEM]]</f>
        <v>6.75</v>
      </c>
      <c r="Q646" s="9">
        <f>Table1[[#This Row], [ROOM TIME]]+Table1[[#This Row], [GUARD TIME]]</f>
        <v>62.577499999999979</v>
      </c>
      <c r="R646" s="4">
        <f>Sheet1!$K$3*_xlfn.XLOOKUP(Table1[[#This Row], [DISGUISE]],Sheet1!$A$21:$A$23,Sheet1!$D$21:$D$23)</f>
        <v>66</v>
      </c>
      <c r="S646" s="9">
        <f>Table1[[#This Row], [TOTAL TIME]]-Table1[[#This Row], [TOTAL TIME TAKEN]]</f>
        <v>3.4225000000000207</v>
      </c>
      <c r="T646" t="str">
        <f>IF(Table1[[#This Row], [TIME DIFFERENCE]]&gt;=0,"PASS","FAIL")</f>
        <v>PASS</v>
      </c>
      <c r="U646" s="9">
        <f>Table1[[#This Row], [TRC]]+Table1[[#This Row], [DRC]]+Table1[[#This Row], [WRC]]+Table1[[#This Row], [ERC]]+Table1[[#This Row], [EQRC]]</f>
        <v>7919551.5374999996</v>
      </c>
      <c r="V646" s="9">
        <f>Table1[[#This Row], [TOTAL COST]]+_xlfn.XLOOKUP(Table1[[#This Row], [TEAM]],Sheet1!$A$12:$A$17,Sheet1!$I$12:$I$17)</f>
        <v>8217031.5374999996</v>
      </c>
      <c r="W646" s="9">
        <f>Table1[[#This Row], [LOOT]]-Table1[[#This Row], [TOTAL COST]]</f>
        <v>9730448.4625000004</v>
      </c>
      <c r="X646" s="9">
        <f>IF(Table1[[#This Row], [PASS/FAIL]]="FAIL",0,Table1[[#This Row], [PROFIT]])</f>
        <v>9730448.4625000004</v>
      </c>
    </row>
    <row r="647" spans="1:24" ht="19.5" customHeight="1" x14ac:dyDescent="0.45">
      <c r="A647" t="s">
        <v>9</v>
      </c>
      <c r="B647" s="14">
        <f>_xlfn.XLOOKUP(Table1[[#This Row], [TEAM]],Sheet1!$A$12:$A$17,Sheet1!$F$12:$F$17)</f>
        <v>3</v>
      </c>
      <c r="C647" s="14">
        <f>_xlfn.XLOOKUP(Table1[[#This Row], [TEAM]],Sheet1!$A$12:$A$17,Sheet1!$G$12:$G$17)</f>
        <v>6238750</v>
      </c>
      <c r="D647" t="s">
        <v>10</v>
      </c>
      <c r="E647" s="4">
        <f>_xlfn.XLOOKUP(Table1[[#This Row], [ROOM]],Sheet1!$A$47:$A$66,Sheet1!$B$47:$B$66)</f>
        <v>123</v>
      </c>
      <c r="F647" t="s">
        <v>58</v>
      </c>
      <c r="G647" s="4">
        <f>_xlfn.XLOOKUP(Table1[[#This Row], [DISGUISE]],Sheet1!$A$21:$A$23,Sheet1!$B$21:$B$23)*Table1[[#This Row], [NUM OF MEM]]*(1+_xlfn.XLOOKUP(Table1[[#This Row], [DISGUISE]],Sheet1!$A$21:$A$23,Sheet1!$C$21:$C$23))</f>
        <v>38400</v>
      </c>
      <c r="H647" s="13" t="s">
        <v>66</v>
      </c>
      <c r="I647" s="4">
        <f>_xlfn.XLOOKUP(Table1[[#This Row], [WEAPON]],Sheet1!$A$27:$A$29,Sheet1!$B$27:$B$29)*Table1[[#This Row], [NUM OF MEM]]*(1+_xlfn.XLOOKUP(Table1[[#This Row], [WEAPON]],Sheet1!$A$27:$A$29,Sheet1!$C$27:$C$29))</f>
        <v>108000</v>
      </c>
      <c r="J647" t="s">
        <v>64</v>
      </c>
      <c r="K647" s="9">
        <f>Table1[[#This Row], [NUM OF MEM]]*Table1[[#This Row], [TOTAL TIME TAKEN]]*_xlfn.XLOOKUP(Table1[[#This Row], [EXIT]],Sheet1!$A$70:$A$71,Sheet1!$B$70:$B$71)*(1+_xlfn.XLOOKUP(Table1[[#This Row], [EXIT]],Sheet1!$A$70:$A$71,Sheet1!$C$70:$C$71))</f>
        <v>1735451.9999999998</v>
      </c>
      <c r="L647" s="13" t="s">
        <v>61</v>
      </c>
      <c r="M647" s="4">
        <f>IF(Table1[[#This Row], [EQUIPMENT]]="YES",Sheet1!$C$44*(1+Sheet1!$D$44),0)</f>
        <v>0</v>
      </c>
      <c r="N647" s="4">
        <f>_xlfn.XLOOKUP(Table1[[#This Row], [ROOM]],Sheet1!$A$47:$A$66,Sheet1!$F$47:$F$66)</f>
        <v>17850000</v>
      </c>
      <c r="O647" s="9">
        <f>_xlfn.XLOOKUP(_xlfn.CONCAT(Table1[[#This Row], [TEAM]],Table1[[#This Row], [ROOM]]),'ROOM TIME'!$H$2:$H$121,'ROOM TIME'!$J$2:$J$121)</f>
        <v>39.636111111111099</v>
      </c>
      <c r="P647" s="4">
        <f>(INDEX(Sheet1!$X$48:$Z$67,MATCH(Table1[[#This Row], [ROOM]],Sheet1!$P$48:$P$67,0),MATCH(Table1[[#This Row], [WEAPON]],Sheet1!$X$47:$Z$47,0)))/Table1[[#This Row], [NUM OF MEM]]</f>
        <v>5</v>
      </c>
      <c r="Q647" s="9">
        <f>Table1[[#This Row], [ROOM TIME]]+Table1[[#This Row], [GUARD TIME]]</f>
        <v>44.636111111111099</v>
      </c>
      <c r="R647" s="4">
        <f>Sheet1!$K$3*_xlfn.XLOOKUP(Table1[[#This Row], [DISGUISE]],Sheet1!$A$21:$A$23,Sheet1!$D$21:$D$23)</f>
        <v>69</v>
      </c>
      <c r="S647" s="9">
        <f>Table1[[#This Row], [TOTAL TIME]]-Table1[[#This Row], [TOTAL TIME TAKEN]]</f>
        <v>24.363888888888901</v>
      </c>
      <c r="T647" t="str">
        <f>IF(Table1[[#This Row], [TIME DIFFERENCE]]&gt;=0,"PASS","FAIL")</f>
        <v>PASS</v>
      </c>
      <c r="U647" s="4">
        <f>Table1[[#This Row], [TRC]]+Table1[[#This Row], [DRC]]+Table1[[#This Row], [WRC]]+Table1[[#This Row], [ERC]]+Table1[[#This Row], [EQRC]]</f>
        <v>8120602</v>
      </c>
      <c r="V647" s="9">
        <f>Table1[[#This Row], [TOTAL COST]]+_xlfn.XLOOKUP(Table1[[#This Row], [TEAM]],Sheet1!$A$12:$A$17,Sheet1!$I$12:$I$17)</f>
        <v>8432539.5</v>
      </c>
      <c r="W647" s="4">
        <f>Table1[[#This Row], [LOOT]]-Table1[[#This Row], [TOTAL COST]]</f>
        <v>9729398</v>
      </c>
      <c r="X647" s="4">
        <f>IF(Table1[[#This Row], [PASS/FAIL]]="FAIL",0,Table1[[#This Row], [PROFIT]])</f>
        <v>9729398</v>
      </c>
    </row>
    <row r="648" spans="1:24" ht="19.5" customHeight="1" x14ac:dyDescent="0.45">
      <c r="A648" t="s">
        <v>12</v>
      </c>
      <c r="B648" s="14">
        <f>_xlfn.XLOOKUP(Table1[[#This Row], [TEAM]],Sheet1!$A$12:$A$17,Sheet1!$F$12:$F$17)</f>
        <v>3</v>
      </c>
      <c r="C648" s="14">
        <f>_xlfn.XLOOKUP(Table1[[#This Row], [TEAM]],Sheet1!$A$12:$A$17,Sheet1!$G$12:$G$17)</f>
        <v>5988750</v>
      </c>
      <c r="D648" t="s">
        <v>19</v>
      </c>
      <c r="E648" s="4">
        <f>_xlfn.XLOOKUP(Table1[[#This Row], [ROOM]],Sheet1!$A$47:$A$66,Sheet1!$B$47:$B$66)</f>
        <v>135</v>
      </c>
      <c r="F648" t="s">
        <v>58</v>
      </c>
      <c r="G648" s="4">
        <f>_xlfn.XLOOKUP(Table1[[#This Row], [DISGUISE]],Sheet1!$A$21:$A$23,Sheet1!$B$21:$B$23)*Table1[[#This Row], [NUM OF MEM]]*(1+_xlfn.XLOOKUP(Table1[[#This Row], [DISGUISE]],Sheet1!$A$21:$A$23,Sheet1!$C$21:$C$23))</f>
        <v>38400</v>
      </c>
      <c r="H648" s="13" t="s">
        <v>66</v>
      </c>
      <c r="I648" s="4">
        <f>_xlfn.XLOOKUP(Table1[[#This Row], [WEAPON]],Sheet1!$A$27:$A$29,Sheet1!$B$27:$B$29)*Table1[[#This Row], [NUM OF MEM]]*(1+_xlfn.XLOOKUP(Table1[[#This Row], [WEAPON]],Sheet1!$A$27:$A$29,Sheet1!$C$27:$C$29))</f>
        <v>108000</v>
      </c>
      <c r="J648" t="s">
        <v>64</v>
      </c>
      <c r="K648" s="9">
        <f>Table1[[#This Row], [NUM OF MEM]]*Table1[[#This Row], [TOTAL TIME TAKEN]]*_xlfn.XLOOKUP(Table1[[#This Row], [EXIT]],Sheet1!$A$70:$A$71,Sheet1!$B$70:$B$71)*(1+_xlfn.XLOOKUP(Table1[[#This Row], [EXIT]],Sheet1!$A$70:$A$71,Sheet1!$C$70:$C$71))</f>
        <v>1778111.9999999993</v>
      </c>
      <c r="L648" s="13" t="s">
        <v>65</v>
      </c>
      <c r="M648" s="4">
        <f>IF(Table1[[#This Row], [EQUIPMENT]]="YES",Sheet1!$C$44*(1+Sheet1!$D$44),0)</f>
        <v>307500</v>
      </c>
      <c r="N648" s="4">
        <f>_xlfn.XLOOKUP(Table1[[#This Row], [ROOM]],Sheet1!$A$47:$A$66,Sheet1!$F$47:$F$66)</f>
        <v>17950000</v>
      </c>
      <c r="O648" s="9">
        <f>_xlfn.XLOOKUP(_xlfn.CONCAT(Table1[[#This Row], [TEAM]],Table1[[#This Row], [ROOM]]),'ROOM TIME'!$H$2:$H$121,'ROOM TIME'!$J$2:$J$121)</f>
        <v>41.149999999999984</v>
      </c>
      <c r="P648" s="9">
        <f>(INDEX(Sheet1!$X$48:$Z$67,MATCH(Table1[[#This Row], [ROOM]],Sheet1!$P$48:$P$67,0),MATCH(Table1[[#This Row], [WEAPON]],Sheet1!$X$47:$Z$47,0)))/Table1[[#This Row], [NUM OF MEM]]</f>
        <v>4.583333333333333</v>
      </c>
      <c r="Q648" s="9">
        <f>Table1[[#This Row], [ROOM TIME]]+Table1[[#This Row], [GUARD TIME]]</f>
        <v>45.73333333333332</v>
      </c>
      <c r="R648" s="4">
        <f>Sheet1!$K$3*_xlfn.XLOOKUP(Table1[[#This Row], [DISGUISE]],Sheet1!$A$21:$A$23,Sheet1!$D$21:$D$23)</f>
        <v>69</v>
      </c>
      <c r="S648" s="9">
        <f>Table1[[#This Row], [TOTAL TIME]]-Table1[[#This Row], [TOTAL TIME TAKEN]]</f>
        <v>23.26666666666668</v>
      </c>
      <c r="T648" t="str">
        <f>IF(Table1[[#This Row], [TIME DIFFERENCE]]&gt;=0,"PASS","FAIL")</f>
        <v>PASS</v>
      </c>
      <c r="U648" s="9">
        <f>Table1[[#This Row], [TRC]]+Table1[[#This Row], [DRC]]+Table1[[#This Row], [WRC]]+Table1[[#This Row], [ERC]]+Table1[[#This Row], [EQRC]]</f>
        <v>8220761.9999999991</v>
      </c>
      <c r="V648" s="9">
        <f>Table1[[#This Row], [TOTAL COST]]+_xlfn.XLOOKUP(Table1[[#This Row], [TEAM]],Sheet1!$A$12:$A$17,Sheet1!$I$12:$I$17)</f>
        <v>8520199.5</v>
      </c>
      <c r="W648" s="4">
        <f>Table1[[#This Row], [LOOT]]-Table1[[#This Row], [TOTAL COST]]</f>
        <v>9729238</v>
      </c>
      <c r="X648" s="4">
        <f>IF(Table1[[#This Row], [PASS/FAIL]]="FAIL",0,Table1[[#This Row], [PROFIT]])</f>
        <v>9729238</v>
      </c>
    </row>
    <row r="649" spans="1:24" ht="19.5" customHeight="1" x14ac:dyDescent="0.45">
      <c r="A649" t="s">
        <v>14</v>
      </c>
      <c r="B649" s="14">
        <f>_xlfn.XLOOKUP(Table1[[#This Row], [TEAM]],Sheet1!$A$12:$A$17,Sheet1!$F$12:$F$17)</f>
        <v>2</v>
      </c>
      <c r="C649" s="14">
        <f>_xlfn.XLOOKUP(Table1[[#This Row], [TEAM]],Sheet1!$A$12:$A$17,Sheet1!$G$12:$G$17)</f>
        <v>5949600</v>
      </c>
      <c r="D649" t="s">
        <v>34</v>
      </c>
      <c r="E649" s="4">
        <f>_xlfn.XLOOKUP(Table1[[#This Row], [ROOM]],Sheet1!$A$47:$A$66,Sheet1!$B$47:$B$66)</f>
        <v>456</v>
      </c>
      <c r="F649" t="s">
        <v>58</v>
      </c>
      <c r="G649" s="4">
        <f>_xlfn.XLOOKUP(Table1[[#This Row], [DISGUISE]],Sheet1!$A$21:$A$23,Sheet1!$B$21:$B$23)*Table1[[#This Row], [NUM OF MEM]]*(1+_xlfn.XLOOKUP(Table1[[#This Row], [DISGUISE]],Sheet1!$A$21:$A$23,Sheet1!$C$21:$C$23))</f>
        <v>25600</v>
      </c>
      <c r="H649" s="13" t="s">
        <v>66</v>
      </c>
      <c r="I649" s="4">
        <f>_xlfn.XLOOKUP(Table1[[#This Row], [WEAPON]],Sheet1!$A$27:$A$29,Sheet1!$B$27:$B$29)*Table1[[#This Row], [NUM OF MEM]]*(1+_xlfn.XLOOKUP(Table1[[#This Row], [WEAPON]],Sheet1!$A$27:$A$29,Sheet1!$C$27:$C$29))</f>
        <v>72000</v>
      </c>
      <c r="J649" t="s">
        <v>64</v>
      </c>
      <c r="K649" s="9">
        <f>Table1[[#This Row], [NUM OF MEM]]*Table1[[#This Row], [TOTAL TIME TAKEN]]*_xlfn.XLOOKUP(Table1[[#This Row], [EXIT]],Sheet1!$A$70:$A$71,Sheet1!$B$70:$B$71)*(1+_xlfn.XLOOKUP(Table1[[#This Row], [EXIT]],Sheet1!$A$70:$A$71,Sheet1!$C$70:$C$71))</f>
        <v>1616565.5999999996</v>
      </c>
      <c r="L649" s="13" t="s">
        <v>65</v>
      </c>
      <c r="M649" s="4">
        <f>IF(Table1[[#This Row], [EQUIPMENT]]="YES",Sheet1!$C$44*(1+Sheet1!$D$44),0)</f>
        <v>307500</v>
      </c>
      <c r="N649" s="4">
        <f>_xlfn.XLOOKUP(Table1[[#This Row], [ROOM]],Sheet1!$A$47:$A$66,Sheet1!$F$47:$F$66)</f>
        <v>17700000</v>
      </c>
      <c r="O649" s="9">
        <f>_xlfn.XLOOKUP(_xlfn.CONCAT(Table1[[#This Row], [TEAM]],Table1[[#This Row], [ROOM]]),'ROOM TIME'!$H$2:$H$121,'ROOM TIME'!$J$2:$J$121)</f>
        <v>55.492499999999986</v>
      </c>
      <c r="P649" s="9">
        <f>(INDEX(Sheet1!$X$48:$Z$67,MATCH(Table1[[#This Row], [ROOM]],Sheet1!$P$48:$P$67,0),MATCH(Table1[[#This Row], [WEAPON]],Sheet1!$X$47:$Z$47,0)))/Table1[[#This Row], [NUM OF MEM]]</f>
        <v>6.875</v>
      </c>
      <c r="Q649" s="9">
        <f>Table1[[#This Row], [ROOM TIME]]+Table1[[#This Row], [GUARD TIME]]</f>
        <v>62.367499999999986</v>
      </c>
      <c r="R649" s="4">
        <f>Sheet1!$K$3*_xlfn.XLOOKUP(Table1[[#This Row], [DISGUISE]],Sheet1!$A$21:$A$23,Sheet1!$D$21:$D$23)</f>
        <v>69</v>
      </c>
      <c r="S649" s="9">
        <f>Table1[[#This Row], [TOTAL TIME]]-Table1[[#This Row], [TOTAL TIME TAKEN]]</f>
        <v>6.6325000000000145</v>
      </c>
      <c r="T649" t="str">
        <f>IF(Table1[[#This Row], [TIME DIFFERENCE]]&gt;=0,"PASS","FAIL")</f>
        <v>PASS</v>
      </c>
      <c r="U649" s="9">
        <f>Table1[[#This Row], [TRC]]+Table1[[#This Row], [DRC]]+Table1[[#This Row], [WRC]]+Table1[[#This Row], [ERC]]+Table1[[#This Row], [EQRC]]</f>
        <v>7971265.5999999996</v>
      </c>
      <c r="V649" s="9">
        <f>Table1[[#This Row], [TOTAL COST]]+_xlfn.XLOOKUP(Table1[[#This Row], [TEAM]],Sheet1!$A$12:$A$17,Sheet1!$I$12:$I$17)</f>
        <v>8268745.5999999996</v>
      </c>
      <c r="W649" s="9">
        <f>Table1[[#This Row], [LOOT]]-Table1[[#This Row], [TOTAL COST]]</f>
        <v>9728734.4000000004</v>
      </c>
      <c r="X649" s="9">
        <f>IF(Table1[[#This Row], [PASS/FAIL]]="FAIL",0,Table1[[#This Row], [PROFIT]])</f>
        <v>9728734.4000000004</v>
      </c>
    </row>
    <row r="650" spans="1:24" ht="19.5" customHeight="1" x14ac:dyDescent="0.45">
      <c r="A650" t="s">
        <v>13</v>
      </c>
      <c r="B650" s="14">
        <f>_xlfn.XLOOKUP(Table1[[#This Row], [TEAM]],Sheet1!$A$12:$A$17,Sheet1!$F$12:$F$17)</f>
        <v>3</v>
      </c>
      <c r="C650" s="14">
        <f>_xlfn.XLOOKUP(Table1[[#This Row], [TEAM]],Sheet1!$A$12:$A$17,Sheet1!$G$12:$G$17)</f>
        <v>5930000</v>
      </c>
      <c r="D650" t="s">
        <v>19</v>
      </c>
      <c r="E650" s="4">
        <f>_xlfn.XLOOKUP(Table1[[#This Row], [ROOM]],Sheet1!$A$47:$A$66,Sheet1!$B$47:$B$66)</f>
        <v>135</v>
      </c>
      <c r="F650" t="s">
        <v>58</v>
      </c>
      <c r="G650" s="4">
        <f>_xlfn.XLOOKUP(Table1[[#This Row], [DISGUISE]],Sheet1!$A$21:$A$23,Sheet1!$B$21:$B$23)*Table1[[#This Row], [NUM OF MEM]]*(1+_xlfn.XLOOKUP(Table1[[#This Row], [DISGUISE]],Sheet1!$A$21:$A$23,Sheet1!$C$21:$C$23))</f>
        <v>38400</v>
      </c>
      <c r="H650" s="13" t="s">
        <v>66</v>
      </c>
      <c r="I650" s="4">
        <f>_xlfn.XLOOKUP(Table1[[#This Row], [WEAPON]],Sheet1!$A$27:$A$29,Sheet1!$B$27:$B$29)*Table1[[#This Row], [NUM OF MEM]]*(1+_xlfn.XLOOKUP(Table1[[#This Row], [WEAPON]],Sheet1!$A$27:$A$29,Sheet1!$C$27:$C$29))</f>
        <v>108000</v>
      </c>
      <c r="J650" t="s">
        <v>64</v>
      </c>
      <c r="K650" s="9">
        <f>Table1[[#This Row], [NUM OF MEM]]*Table1[[#This Row], [TOTAL TIME TAKEN]]*_xlfn.XLOOKUP(Table1[[#This Row], [EXIT]],Sheet1!$A$70:$A$71,Sheet1!$B$70:$B$71)*(1+_xlfn.XLOOKUP(Table1[[#This Row], [EXIT]],Sheet1!$A$70:$A$71,Sheet1!$C$70:$C$71))</f>
        <v>1837468.7999999996</v>
      </c>
      <c r="L650" s="13" t="s">
        <v>65</v>
      </c>
      <c r="M650" s="4">
        <f>IF(Table1[[#This Row], [EQUIPMENT]]="YES",Sheet1!$C$44*(1+Sheet1!$D$44),0)</f>
        <v>307500</v>
      </c>
      <c r="N650" s="4">
        <f>_xlfn.XLOOKUP(Table1[[#This Row], [ROOM]],Sheet1!$A$47:$A$66,Sheet1!$F$47:$F$66)</f>
        <v>17950000</v>
      </c>
      <c r="O650" s="9">
        <f>_xlfn.XLOOKUP(_xlfn.CONCAT(Table1[[#This Row], [TEAM]],Table1[[#This Row], [ROOM]]),'ROOM TIME'!$H$2:$H$121,'ROOM TIME'!$J$2:$J$121)</f>
        <v>42.676666666666655</v>
      </c>
      <c r="P650" s="9">
        <f>(INDEX(Sheet1!$X$48:$Z$67,MATCH(Table1[[#This Row], [ROOM]],Sheet1!$P$48:$P$67,0),MATCH(Table1[[#This Row], [WEAPON]],Sheet1!$X$47:$Z$47,0)))/Table1[[#This Row], [NUM OF MEM]]</f>
        <v>4.583333333333333</v>
      </c>
      <c r="Q650" s="9">
        <f>Table1[[#This Row], [ROOM TIME]]+Table1[[#This Row], [GUARD TIME]]</f>
        <v>47.259999999999991</v>
      </c>
      <c r="R650" s="4">
        <f>Sheet1!$K$3*_xlfn.XLOOKUP(Table1[[#This Row], [DISGUISE]],Sheet1!$A$21:$A$23,Sheet1!$D$21:$D$23)</f>
        <v>69</v>
      </c>
      <c r="S650" s="9">
        <f>Table1[[#This Row], [TOTAL TIME]]-Table1[[#This Row], [TOTAL TIME TAKEN]]</f>
        <v>21.740000000000009</v>
      </c>
      <c r="T650" t="str">
        <f>IF(Table1[[#This Row], [TIME DIFFERENCE]]&gt;=0,"PASS","FAIL")</f>
        <v>PASS</v>
      </c>
      <c r="U650" s="9">
        <f>Table1[[#This Row], [TRC]]+Table1[[#This Row], [DRC]]+Table1[[#This Row], [WRC]]+Table1[[#This Row], [ERC]]+Table1[[#This Row], [EQRC]]</f>
        <v>8221368.7999999998</v>
      </c>
      <c r="V650" s="9">
        <f>Table1[[#This Row], [TOTAL COST]]+_xlfn.XLOOKUP(Table1[[#This Row], [TEAM]],Sheet1!$A$12:$A$17,Sheet1!$I$12:$I$17)</f>
        <v>8517868.8000000007</v>
      </c>
      <c r="W650" s="9">
        <f>Table1[[#This Row], [LOOT]]-Table1[[#This Row], [TOTAL COST]]</f>
        <v>9728631.1999999993</v>
      </c>
      <c r="X650" s="9">
        <f>IF(Table1[[#This Row], [PASS/FAIL]]="FAIL",0,Table1[[#This Row], [PROFIT]])</f>
        <v>9728631.1999999993</v>
      </c>
    </row>
    <row r="651" spans="1:24" ht="19.5" customHeight="1" x14ac:dyDescent="0.45">
      <c r="A651" t="s">
        <v>12</v>
      </c>
      <c r="B651" s="14">
        <f>_xlfn.XLOOKUP(Table1[[#This Row], [TEAM]],Sheet1!$A$12:$A$17,Sheet1!$F$12:$F$17)</f>
        <v>3</v>
      </c>
      <c r="C651" s="14">
        <f>_xlfn.XLOOKUP(Table1[[#This Row], [TEAM]],Sheet1!$A$12:$A$17,Sheet1!$G$12:$G$17)</f>
        <v>5988750</v>
      </c>
      <c r="D651" t="s">
        <v>27</v>
      </c>
      <c r="E651" s="4">
        <f>_xlfn.XLOOKUP(Table1[[#This Row], [ROOM]],Sheet1!$A$47:$A$66,Sheet1!$B$47:$B$66)</f>
        <v>146</v>
      </c>
      <c r="F651" t="s">
        <v>62</v>
      </c>
      <c r="G651" s="4">
        <f>_xlfn.XLOOKUP(Table1[[#This Row], [DISGUISE]],Sheet1!$A$21:$A$23,Sheet1!$B$21:$B$23)*Table1[[#This Row], [NUM OF MEM]]*(1+_xlfn.XLOOKUP(Table1[[#This Row], [DISGUISE]],Sheet1!$A$21:$A$23,Sheet1!$C$21:$C$23))</f>
        <v>15600</v>
      </c>
      <c r="H651" s="13" t="s">
        <v>63</v>
      </c>
      <c r="I651" s="4">
        <f>_xlfn.XLOOKUP(Table1[[#This Row], [WEAPON]],Sheet1!$A$27:$A$29,Sheet1!$B$27:$B$29)*Table1[[#This Row], [NUM OF MEM]]*(1+_xlfn.XLOOKUP(Table1[[#This Row], [WEAPON]],Sheet1!$A$27:$A$29,Sheet1!$C$27:$C$29))</f>
        <v>69000</v>
      </c>
      <c r="J651" t="s">
        <v>64</v>
      </c>
      <c r="K651" s="9">
        <f>Table1[[#This Row], [NUM OF MEM]]*Table1[[#This Row], [TOTAL TIME TAKEN]]*_xlfn.XLOOKUP(Table1[[#This Row], [EXIT]],Sheet1!$A$70:$A$71,Sheet1!$B$70:$B$71)*(1+_xlfn.XLOOKUP(Table1[[#This Row], [EXIT]],Sheet1!$A$70:$A$71,Sheet1!$C$70:$C$71))</f>
        <v>1640822.3999999994</v>
      </c>
      <c r="L651" s="13" t="s">
        <v>65</v>
      </c>
      <c r="M651" s="4">
        <f>IF(Table1[[#This Row], [EQUIPMENT]]="YES",Sheet1!$C$44*(1+Sheet1!$D$44),0)</f>
        <v>307500</v>
      </c>
      <c r="N651" s="4">
        <f>_xlfn.XLOOKUP(Table1[[#This Row], [ROOM]],Sheet1!$A$47:$A$66,Sheet1!$F$47:$F$66)</f>
        <v>17750000</v>
      </c>
      <c r="O651" s="9">
        <f>_xlfn.XLOOKUP(_xlfn.CONCAT(Table1[[#This Row], [TEAM]],Table1[[#This Row], [ROOM]]),'ROOM TIME'!$H$2:$H$121,'ROOM TIME'!$J$2:$J$121)</f>
        <v>37.252222222222208</v>
      </c>
      <c r="P651" s="9">
        <f>(INDEX(Sheet1!$X$48:$Z$67,MATCH(Table1[[#This Row], [ROOM]],Sheet1!$P$48:$P$67,0),MATCH(Table1[[#This Row], [WEAPON]],Sheet1!$X$47:$Z$47,0)))/Table1[[#This Row], [NUM OF MEM]]</f>
        <v>4.95</v>
      </c>
      <c r="Q651" s="9">
        <f>Table1[[#This Row], [ROOM TIME]]+Table1[[#This Row], [GUARD TIME]]</f>
        <v>42.202222222222211</v>
      </c>
      <c r="R651" s="4">
        <f>Sheet1!$K$3*_xlfn.XLOOKUP(Table1[[#This Row], [DISGUISE]],Sheet1!$A$21:$A$23,Sheet1!$D$21:$D$23)</f>
        <v>66</v>
      </c>
      <c r="S651" s="9">
        <f>Table1[[#This Row], [TOTAL TIME]]-Table1[[#This Row], [TOTAL TIME TAKEN]]</f>
        <v>23.797777777777789</v>
      </c>
      <c r="T651" t="str">
        <f>IF(Table1[[#This Row], [TIME DIFFERENCE]]&gt;=0,"PASS","FAIL")</f>
        <v>PASS</v>
      </c>
      <c r="U651" s="9">
        <f>Table1[[#This Row], [TRC]]+Table1[[#This Row], [DRC]]+Table1[[#This Row], [WRC]]+Table1[[#This Row], [ERC]]+Table1[[#This Row], [EQRC]]</f>
        <v>8021672.3999999994</v>
      </c>
      <c r="V651" s="9">
        <f>Table1[[#This Row], [TOTAL COST]]+_xlfn.XLOOKUP(Table1[[#This Row], [TEAM]],Sheet1!$A$12:$A$17,Sheet1!$I$12:$I$17)</f>
        <v>8321109.8999999994</v>
      </c>
      <c r="W651" s="9">
        <f>Table1[[#This Row], [LOOT]]-Table1[[#This Row], [TOTAL COST]]</f>
        <v>9728327.6000000015</v>
      </c>
      <c r="X651" s="9">
        <f>IF(Table1[[#This Row], [PASS/FAIL]]="FAIL",0,Table1[[#This Row], [PROFIT]])</f>
        <v>9728327.6000000015</v>
      </c>
    </row>
    <row r="652" spans="1:24" ht="19.5" customHeight="1" x14ac:dyDescent="0.45">
      <c r="A652" t="s">
        <v>16</v>
      </c>
      <c r="B652" s="14">
        <f>_xlfn.XLOOKUP(Table1[[#This Row], [TEAM]],Sheet1!$A$12:$A$17,Sheet1!$F$12:$F$17)</f>
        <v>2</v>
      </c>
      <c r="C652" s="14">
        <f>_xlfn.XLOOKUP(Table1[[#This Row], [TEAM]],Sheet1!$A$12:$A$17,Sheet1!$G$12:$G$17)</f>
        <v>6082800</v>
      </c>
      <c r="D652" t="s">
        <v>19</v>
      </c>
      <c r="E652" s="4">
        <f>_xlfn.XLOOKUP(Table1[[#This Row], [ROOM]],Sheet1!$A$47:$A$66,Sheet1!$B$47:$B$66)</f>
        <v>135</v>
      </c>
      <c r="F652" t="s">
        <v>58</v>
      </c>
      <c r="G652" s="4">
        <f>_xlfn.XLOOKUP(Table1[[#This Row], [DISGUISE]],Sheet1!$A$21:$A$23,Sheet1!$B$21:$B$23)*Table1[[#This Row], [NUM OF MEM]]*(1+_xlfn.XLOOKUP(Table1[[#This Row], [DISGUISE]],Sheet1!$A$21:$A$23,Sheet1!$C$21:$C$23))</f>
        <v>25600</v>
      </c>
      <c r="H652" s="13" t="s">
        <v>66</v>
      </c>
      <c r="I652" s="4">
        <f>_xlfn.XLOOKUP(Table1[[#This Row], [WEAPON]],Sheet1!$A$27:$A$29,Sheet1!$B$27:$B$29)*Table1[[#This Row], [NUM OF MEM]]*(1+_xlfn.XLOOKUP(Table1[[#This Row], [WEAPON]],Sheet1!$A$27:$A$29,Sheet1!$C$27:$C$29))</f>
        <v>72000</v>
      </c>
      <c r="J652" t="s">
        <v>60</v>
      </c>
      <c r="K652" s="9">
        <f>Table1[[#This Row], [NUM OF MEM]]*Table1[[#This Row], [TOTAL TIME TAKEN]]*_xlfn.XLOOKUP(Table1[[#This Row], [EXIT]],Sheet1!$A$70:$A$71,Sheet1!$B$70:$B$71)*(1+_xlfn.XLOOKUP(Table1[[#This Row], [EXIT]],Sheet1!$A$70:$A$71,Sheet1!$C$70:$C$71))</f>
        <v>1737392.1749999993</v>
      </c>
      <c r="L652" s="13" t="s">
        <v>65</v>
      </c>
      <c r="M652" s="4">
        <f>IF(Table1[[#This Row], [EQUIPMENT]]="YES",Sheet1!$C$44*(1+Sheet1!$D$44),0)</f>
        <v>307500</v>
      </c>
      <c r="N652" s="4">
        <f>_xlfn.XLOOKUP(Table1[[#This Row], [ROOM]],Sheet1!$A$47:$A$66,Sheet1!$F$47:$F$66)</f>
        <v>17950000</v>
      </c>
      <c r="O652" s="9">
        <f>_xlfn.XLOOKUP(_xlfn.CONCAT(Table1[[#This Row], [TEAM]],Table1[[#This Row], [ROOM]]),'ROOM TIME'!$H$2:$H$121,'ROOM TIME'!$J$2:$J$121)</f>
        <v>60.819999999999979</v>
      </c>
      <c r="P652" s="9">
        <f>(INDEX(Sheet1!$X$48:$Z$67,MATCH(Table1[[#This Row], [ROOM]],Sheet1!$P$48:$P$67,0),MATCH(Table1[[#This Row], [WEAPON]],Sheet1!$X$47:$Z$47,0)))/Table1[[#This Row], [NUM OF MEM]]</f>
        <v>6.875</v>
      </c>
      <c r="Q652" s="9">
        <f>Table1[[#This Row], [ROOM TIME]]+Table1[[#This Row], [GUARD TIME]]</f>
        <v>67.694999999999979</v>
      </c>
      <c r="R652" s="4">
        <f>Sheet1!$K$3*_xlfn.XLOOKUP(Table1[[#This Row], [DISGUISE]],Sheet1!$A$21:$A$23,Sheet1!$D$21:$D$23)</f>
        <v>69</v>
      </c>
      <c r="S652" s="9">
        <f>Table1[[#This Row], [TOTAL TIME]]-Table1[[#This Row], [TOTAL TIME TAKEN]]</f>
        <v>1.305000000000021</v>
      </c>
      <c r="T652" t="str">
        <f>IF(Table1[[#This Row], [TIME DIFFERENCE]]&gt;=0,"PASS","FAIL")</f>
        <v>PASS</v>
      </c>
      <c r="U652" s="9">
        <f>Table1[[#This Row], [TRC]]+Table1[[#This Row], [DRC]]+Table1[[#This Row], [WRC]]+Table1[[#This Row], [ERC]]+Table1[[#This Row], [EQRC]]</f>
        <v>8225292.1749999989</v>
      </c>
      <c r="V652" s="9">
        <f>Table1[[#This Row], [TOTAL COST]]+_xlfn.XLOOKUP(Table1[[#This Row], [TEAM]],Sheet1!$A$12:$A$17,Sheet1!$I$12:$I$17)</f>
        <v>8529432.1749999989</v>
      </c>
      <c r="W652" s="9">
        <f>Table1[[#This Row], [LOOT]]-Table1[[#This Row], [TOTAL COST]]</f>
        <v>9724707.8250000011</v>
      </c>
      <c r="X652" s="9">
        <f>IF(Table1[[#This Row], [PASS/FAIL]]="FAIL",0,Table1[[#This Row], [PROFIT]])</f>
        <v>9724707.8250000011</v>
      </c>
    </row>
    <row r="653" spans="1:24" ht="19.5" customHeight="1" x14ac:dyDescent="0.45">
      <c r="A653" t="s">
        <v>15</v>
      </c>
      <c r="B653" s="14">
        <f>_xlfn.XLOOKUP(Table1[[#This Row], [TEAM]],Sheet1!$A$12:$A$17,Sheet1!$F$12:$F$17)</f>
        <v>2</v>
      </c>
      <c r="C653" s="14">
        <f>_xlfn.XLOOKUP(Table1[[#This Row], [TEAM]],Sheet1!$A$12:$A$17,Sheet1!$G$12:$G$17)</f>
        <v>5932950</v>
      </c>
      <c r="D653" t="s">
        <v>28</v>
      </c>
      <c r="E653" s="4">
        <f>_xlfn.XLOOKUP(Table1[[#This Row], [ROOM]],Sheet1!$A$47:$A$66,Sheet1!$B$47:$B$66)</f>
        <v>156</v>
      </c>
      <c r="F653" t="s">
        <v>58</v>
      </c>
      <c r="G653" s="4">
        <f>_xlfn.XLOOKUP(Table1[[#This Row], [DISGUISE]],Sheet1!$A$21:$A$23,Sheet1!$B$21:$B$23)*Table1[[#This Row], [NUM OF MEM]]*(1+_xlfn.XLOOKUP(Table1[[#This Row], [DISGUISE]],Sheet1!$A$21:$A$23,Sheet1!$C$21:$C$23))</f>
        <v>25600</v>
      </c>
      <c r="H653" s="13" t="s">
        <v>66</v>
      </c>
      <c r="I653" s="4">
        <f>_xlfn.XLOOKUP(Table1[[#This Row], [WEAPON]],Sheet1!$A$27:$A$29,Sheet1!$B$27:$B$29)*Table1[[#This Row], [NUM OF MEM]]*(1+_xlfn.XLOOKUP(Table1[[#This Row], [WEAPON]],Sheet1!$A$27:$A$29,Sheet1!$C$27:$C$29))</f>
        <v>72000</v>
      </c>
      <c r="J653" t="s">
        <v>60</v>
      </c>
      <c r="K653" s="9">
        <f>Table1[[#This Row], [NUM OF MEM]]*Table1[[#This Row], [TOTAL TIME TAKEN]]*_xlfn.XLOOKUP(Table1[[#This Row], [EXIT]],Sheet1!$A$70:$A$71,Sheet1!$B$70:$B$71)*(1+_xlfn.XLOOKUP(Table1[[#This Row], [EXIT]],Sheet1!$A$70:$A$71,Sheet1!$C$70:$C$71))</f>
        <v>1587316.0874999997</v>
      </c>
      <c r="L653" s="13" t="s">
        <v>65</v>
      </c>
      <c r="M653" s="4">
        <f>IF(Table1[[#This Row], [EQUIPMENT]]="YES",Sheet1!$C$44*(1+Sheet1!$D$44),0)</f>
        <v>307500</v>
      </c>
      <c r="N653" s="4">
        <f>_xlfn.XLOOKUP(Table1[[#This Row], [ROOM]],Sheet1!$A$47:$A$66,Sheet1!$F$47:$F$66)</f>
        <v>17650000</v>
      </c>
      <c r="O653" s="9">
        <f>_xlfn.XLOOKUP(_xlfn.CONCAT(Table1[[#This Row], [TEAM]],Table1[[#This Row], [ROOM]]),'ROOM TIME'!$H$2:$H$121,'ROOM TIME'!$J$2:$J$121)</f>
        <v>55.597499999999982</v>
      </c>
      <c r="P653" s="9">
        <f>(INDEX(Sheet1!$X$48:$Z$67,MATCH(Table1[[#This Row], [ROOM]],Sheet1!$P$48:$P$67,0),MATCH(Table1[[#This Row], [WEAPON]],Sheet1!$X$47:$Z$47,0)))/Table1[[#This Row], [NUM OF MEM]]</f>
        <v>6.25</v>
      </c>
      <c r="Q653" s="9">
        <f>Table1[[#This Row], [ROOM TIME]]+Table1[[#This Row], [GUARD TIME]]</f>
        <v>61.847499999999982</v>
      </c>
      <c r="R653" s="4">
        <f>Sheet1!$K$3*_xlfn.XLOOKUP(Table1[[#This Row], [DISGUISE]],Sheet1!$A$21:$A$23,Sheet1!$D$21:$D$23)</f>
        <v>69</v>
      </c>
      <c r="S653" s="9">
        <f>Table1[[#This Row], [TOTAL TIME]]-Table1[[#This Row], [TOTAL TIME TAKEN]]</f>
        <v>7.1525000000000176</v>
      </c>
      <c r="T653" t="str">
        <f>IF(Table1[[#This Row], [TIME DIFFERENCE]]&gt;=0,"PASS","FAIL")</f>
        <v>PASS</v>
      </c>
      <c r="U653" s="9">
        <f>Table1[[#This Row], [TRC]]+Table1[[#This Row], [DRC]]+Table1[[#This Row], [WRC]]+Table1[[#This Row], [ERC]]+Table1[[#This Row], [EQRC]]</f>
        <v>7925366.0874999994</v>
      </c>
      <c r="V653" s="9">
        <f>Table1[[#This Row], [TOTAL COST]]+_xlfn.XLOOKUP(Table1[[#This Row], [TEAM]],Sheet1!$A$12:$A$17,Sheet1!$I$12:$I$17)</f>
        <v>8222013.5874999994</v>
      </c>
      <c r="W653" s="9">
        <f>Table1[[#This Row], [LOOT]]-Table1[[#This Row], [TOTAL COST]]</f>
        <v>9724633.9125000015</v>
      </c>
      <c r="X653" s="9">
        <f>IF(Table1[[#This Row], [PASS/FAIL]]="FAIL",0,Table1[[#This Row], [PROFIT]])</f>
        <v>9724633.9125000015</v>
      </c>
    </row>
    <row r="654" spans="1:24" ht="19.5" customHeight="1" x14ac:dyDescent="0.45">
      <c r="A654" t="s">
        <v>15</v>
      </c>
      <c r="B654" s="14">
        <f>_xlfn.XLOOKUP(Table1[[#This Row], [TEAM]],Sheet1!$A$12:$A$17,Sheet1!$F$12:$F$17)</f>
        <v>2</v>
      </c>
      <c r="C654" s="14">
        <f>_xlfn.XLOOKUP(Table1[[#This Row], [TEAM]],Sheet1!$A$12:$A$17,Sheet1!$G$12:$G$17)</f>
        <v>5932950</v>
      </c>
      <c r="D654" t="s">
        <v>28</v>
      </c>
      <c r="E654" s="4">
        <f>_xlfn.XLOOKUP(Table1[[#This Row], [ROOM]],Sheet1!$A$47:$A$66,Sheet1!$B$47:$B$66)</f>
        <v>156</v>
      </c>
      <c r="F654" t="s">
        <v>62</v>
      </c>
      <c r="G654" s="4">
        <f>_xlfn.XLOOKUP(Table1[[#This Row], [DISGUISE]],Sheet1!$A$21:$A$23,Sheet1!$B$21:$B$23)*Table1[[#This Row], [NUM OF MEM]]*(1+_xlfn.XLOOKUP(Table1[[#This Row], [DISGUISE]],Sheet1!$A$21:$A$23,Sheet1!$C$21:$C$23))</f>
        <v>10400</v>
      </c>
      <c r="H654" s="13" t="s">
        <v>66</v>
      </c>
      <c r="I654" s="4">
        <f>_xlfn.XLOOKUP(Table1[[#This Row], [WEAPON]],Sheet1!$A$27:$A$29,Sheet1!$B$27:$B$29)*Table1[[#This Row], [NUM OF MEM]]*(1+_xlfn.XLOOKUP(Table1[[#This Row], [WEAPON]],Sheet1!$A$27:$A$29,Sheet1!$C$27:$C$29))</f>
        <v>72000</v>
      </c>
      <c r="J654" t="s">
        <v>64</v>
      </c>
      <c r="K654" s="9">
        <f>Table1[[#This Row], [NUM OF MEM]]*Table1[[#This Row], [TOTAL TIME TAKEN]]*_xlfn.XLOOKUP(Table1[[#This Row], [EXIT]],Sheet1!$A$70:$A$71,Sheet1!$B$70:$B$71)*(1+_xlfn.XLOOKUP(Table1[[#This Row], [EXIT]],Sheet1!$A$70:$A$71,Sheet1!$C$70:$C$71))</f>
        <v>1603087.1999999995</v>
      </c>
      <c r="L654" s="13" t="s">
        <v>65</v>
      </c>
      <c r="M654" s="4">
        <f>IF(Table1[[#This Row], [EQUIPMENT]]="YES",Sheet1!$C$44*(1+Sheet1!$D$44),0)</f>
        <v>307500</v>
      </c>
      <c r="N654" s="4">
        <f>_xlfn.XLOOKUP(Table1[[#This Row], [ROOM]],Sheet1!$A$47:$A$66,Sheet1!$F$47:$F$66)</f>
        <v>17650000</v>
      </c>
      <c r="O654" s="9">
        <f>_xlfn.XLOOKUP(_xlfn.CONCAT(Table1[[#This Row], [TEAM]],Table1[[#This Row], [ROOM]]),'ROOM TIME'!$H$2:$H$121,'ROOM TIME'!$J$2:$J$121)</f>
        <v>55.597499999999982</v>
      </c>
      <c r="P654" s="9">
        <f>(INDEX(Sheet1!$X$48:$Z$67,MATCH(Table1[[#This Row], [ROOM]],Sheet1!$P$48:$P$67,0),MATCH(Table1[[#This Row], [WEAPON]],Sheet1!$X$47:$Z$47,0)))/Table1[[#This Row], [NUM OF MEM]]</f>
        <v>6.25</v>
      </c>
      <c r="Q654" s="9">
        <f>Table1[[#This Row], [ROOM TIME]]+Table1[[#This Row], [GUARD TIME]]</f>
        <v>61.847499999999982</v>
      </c>
      <c r="R654" s="4">
        <f>Sheet1!$K$3*_xlfn.XLOOKUP(Table1[[#This Row], [DISGUISE]],Sheet1!$A$21:$A$23,Sheet1!$D$21:$D$23)</f>
        <v>66</v>
      </c>
      <c r="S654" s="9">
        <f>Table1[[#This Row], [TOTAL TIME]]-Table1[[#This Row], [TOTAL TIME TAKEN]]</f>
        <v>4.1525000000000176</v>
      </c>
      <c r="T654" t="str">
        <f>IF(Table1[[#This Row], [TIME DIFFERENCE]]&gt;=0,"PASS","FAIL")</f>
        <v>PASS</v>
      </c>
      <c r="U654" s="9">
        <f>Table1[[#This Row], [TRC]]+Table1[[#This Row], [DRC]]+Table1[[#This Row], [WRC]]+Table1[[#This Row], [ERC]]+Table1[[#This Row], [EQRC]]</f>
        <v>7925937.1999999993</v>
      </c>
      <c r="V654" s="9">
        <f>Table1[[#This Row], [TOTAL COST]]+_xlfn.XLOOKUP(Table1[[#This Row], [TEAM]],Sheet1!$A$12:$A$17,Sheet1!$I$12:$I$17)</f>
        <v>8222584.6999999993</v>
      </c>
      <c r="W654" s="9">
        <f>Table1[[#This Row], [LOOT]]-Table1[[#This Row], [TOTAL COST]]</f>
        <v>9724062.8000000007</v>
      </c>
      <c r="X654" s="9">
        <f>IF(Table1[[#This Row], [PASS/FAIL]]="FAIL",0,Table1[[#This Row], [PROFIT]])</f>
        <v>9724062.8000000007</v>
      </c>
    </row>
    <row r="655" spans="1:24" ht="19.5" customHeight="1" x14ac:dyDescent="0.45">
      <c r="A655" t="s">
        <v>14</v>
      </c>
      <c r="B655" s="14">
        <f>_xlfn.XLOOKUP(Table1[[#This Row], [TEAM]],Sheet1!$A$12:$A$17,Sheet1!$F$12:$F$17)</f>
        <v>2</v>
      </c>
      <c r="C655" s="14">
        <f>_xlfn.XLOOKUP(Table1[[#This Row], [TEAM]],Sheet1!$A$12:$A$17,Sheet1!$G$12:$G$17)</f>
        <v>5949600</v>
      </c>
      <c r="D655" t="s">
        <v>34</v>
      </c>
      <c r="E655" s="4">
        <f>_xlfn.XLOOKUP(Table1[[#This Row], [ROOM]],Sheet1!$A$47:$A$66,Sheet1!$B$47:$B$66)</f>
        <v>456</v>
      </c>
      <c r="F655" t="s">
        <v>58</v>
      </c>
      <c r="G655" s="4">
        <f>_xlfn.XLOOKUP(Table1[[#This Row], [DISGUISE]],Sheet1!$A$21:$A$23,Sheet1!$B$21:$B$23)*Table1[[#This Row], [NUM OF MEM]]*(1+_xlfn.XLOOKUP(Table1[[#This Row], [DISGUISE]],Sheet1!$A$21:$A$23,Sheet1!$C$21:$C$23))</f>
        <v>25600</v>
      </c>
      <c r="H655" s="13" t="s">
        <v>59</v>
      </c>
      <c r="I655" s="4">
        <f>_xlfn.XLOOKUP(Table1[[#This Row], [WEAPON]],Sheet1!$A$27:$A$29,Sheet1!$B$27:$B$29)*Table1[[#This Row], [NUM OF MEM]]*(1+_xlfn.XLOOKUP(Table1[[#This Row], [WEAPON]],Sheet1!$A$27:$A$29,Sheet1!$C$27:$C$29))</f>
        <v>91000</v>
      </c>
      <c r="J655" t="s">
        <v>64</v>
      </c>
      <c r="K655" s="9">
        <f>Table1[[#This Row], [NUM OF MEM]]*Table1[[#This Row], [TOTAL TIME TAKEN]]*_xlfn.XLOOKUP(Table1[[#This Row], [EXIT]],Sheet1!$A$70:$A$71,Sheet1!$B$70:$B$71)*(1+_xlfn.XLOOKUP(Table1[[#This Row], [EXIT]],Sheet1!$A$70:$A$71,Sheet1!$C$70:$C$71))</f>
        <v>1602309.5999999994</v>
      </c>
      <c r="L655" s="13" t="s">
        <v>65</v>
      </c>
      <c r="M655" s="4">
        <f>IF(Table1[[#This Row], [EQUIPMENT]]="YES",Sheet1!$C$44*(1+Sheet1!$D$44),0)</f>
        <v>307500</v>
      </c>
      <c r="N655" s="4">
        <f>_xlfn.XLOOKUP(Table1[[#This Row], [ROOM]],Sheet1!$A$47:$A$66,Sheet1!$F$47:$F$66)</f>
        <v>17700000</v>
      </c>
      <c r="O655" s="9">
        <f>_xlfn.XLOOKUP(_xlfn.CONCAT(Table1[[#This Row], [TEAM]],Table1[[#This Row], [ROOM]]),'ROOM TIME'!$H$2:$H$121,'ROOM TIME'!$J$2:$J$121)</f>
        <v>55.492499999999986</v>
      </c>
      <c r="P655" s="9">
        <f>(INDEX(Sheet1!$X$48:$Z$67,MATCH(Table1[[#This Row], [ROOM]],Sheet1!$P$48:$P$67,0),MATCH(Table1[[#This Row], [WEAPON]],Sheet1!$X$47:$Z$47,0)))/Table1[[#This Row], [NUM OF MEM]]</f>
        <v>6.3249999999999993</v>
      </c>
      <c r="Q655" s="9">
        <f>Table1[[#This Row], [ROOM TIME]]+Table1[[#This Row], [GUARD TIME]]</f>
        <v>61.817499999999981</v>
      </c>
      <c r="R655" s="4">
        <f>Sheet1!$K$3*_xlfn.XLOOKUP(Table1[[#This Row], [DISGUISE]],Sheet1!$A$21:$A$23,Sheet1!$D$21:$D$23)</f>
        <v>69</v>
      </c>
      <c r="S655" s="9">
        <f>Table1[[#This Row], [TOTAL TIME]]-Table1[[#This Row], [TOTAL TIME TAKEN]]</f>
        <v>7.1825000000000188</v>
      </c>
      <c r="T655" t="str">
        <f>IF(Table1[[#This Row], [TIME DIFFERENCE]]&gt;=0,"PASS","FAIL")</f>
        <v>PASS</v>
      </c>
      <c r="U655" s="9">
        <f>Table1[[#This Row], [TRC]]+Table1[[#This Row], [DRC]]+Table1[[#This Row], [WRC]]+Table1[[#This Row], [ERC]]+Table1[[#This Row], [EQRC]]</f>
        <v>7976009.5999999996</v>
      </c>
      <c r="V655" s="9">
        <f>Table1[[#This Row], [TOTAL COST]]+_xlfn.XLOOKUP(Table1[[#This Row], [TEAM]],Sheet1!$A$12:$A$17,Sheet1!$I$12:$I$17)</f>
        <v>8273489.5999999996</v>
      </c>
      <c r="W655" s="9">
        <f>Table1[[#This Row], [LOOT]]-Table1[[#This Row], [TOTAL COST]]</f>
        <v>9723990.4000000004</v>
      </c>
      <c r="X655" s="9">
        <f>IF(Table1[[#This Row], [PASS/FAIL]]="FAIL",0,Table1[[#This Row], [PROFIT]])</f>
        <v>9723990.4000000004</v>
      </c>
    </row>
    <row r="656" spans="1:24" ht="19.5" customHeight="1" x14ac:dyDescent="0.45">
      <c r="A656" t="s">
        <v>13</v>
      </c>
      <c r="B656" s="14">
        <f>_xlfn.XLOOKUP(Table1[[#This Row], [TEAM]],Sheet1!$A$12:$A$17,Sheet1!$F$12:$F$17)</f>
        <v>3</v>
      </c>
      <c r="C656" s="14">
        <f>_xlfn.XLOOKUP(Table1[[#This Row], [TEAM]],Sheet1!$A$12:$A$17,Sheet1!$G$12:$G$17)</f>
        <v>5930000</v>
      </c>
      <c r="D656" t="s">
        <v>20</v>
      </c>
      <c r="E656" s="4">
        <f>_xlfn.XLOOKUP(Table1[[#This Row], [ROOM]],Sheet1!$A$47:$A$66,Sheet1!$B$47:$B$66)</f>
        <v>145</v>
      </c>
      <c r="F656" t="s">
        <v>58</v>
      </c>
      <c r="G656" s="4">
        <f>_xlfn.XLOOKUP(Table1[[#This Row], [DISGUISE]],Sheet1!$A$21:$A$23,Sheet1!$B$21:$B$23)*Table1[[#This Row], [NUM OF MEM]]*(1+_xlfn.XLOOKUP(Table1[[#This Row], [DISGUISE]],Sheet1!$A$21:$A$23,Sheet1!$C$21:$C$23))</f>
        <v>38400</v>
      </c>
      <c r="H656" s="13" t="s">
        <v>63</v>
      </c>
      <c r="I656" s="4">
        <f>_xlfn.XLOOKUP(Table1[[#This Row], [WEAPON]],Sheet1!$A$27:$A$29,Sheet1!$B$27:$B$29)*Table1[[#This Row], [NUM OF MEM]]*(1+_xlfn.XLOOKUP(Table1[[#This Row], [WEAPON]],Sheet1!$A$27:$A$29,Sheet1!$C$27:$C$29))</f>
        <v>69000</v>
      </c>
      <c r="J656" t="s">
        <v>64</v>
      </c>
      <c r="K656" s="9">
        <f>Table1[[#This Row], [NUM OF MEM]]*Table1[[#This Row], [TOTAL TIME TAKEN]]*_xlfn.XLOOKUP(Table1[[#This Row], [EXIT]],Sheet1!$A$70:$A$71,Sheet1!$B$70:$B$71)*(1+_xlfn.XLOOKUP(Table1[[#This Row], [EXIT]],Sheet1!$A$70:$A$71,Sheet1!$C$70:$C$71))</f>
        <v>1790164.7999999993</v>
      </c>
      <c r="L656" s="13" t="s">
        <v>61</v>
      </c>
      <c r="M656" s="4">
        <f>IF(Table1[[#This Row], [EQUIPMENT]]="YES",Sheet1!$C$44*(1+Sheet1!$D$44),0)</f>
        <v>0</v>
      </c>
      <c r="N656" s="4">
        <f>_xlfn.XLOOKUP(Table1[[#This Row], [ROOM]],Sheet1!$A$47:$A$66,Sheet1!$F$47:$F$66)</f>
        <v>17550000</v>
      </c>
      <c r="O656" s="9">
        <f>_xlfn.XLOOKUP(_xlfn.CONCAT(Table1[[#This Row], [TEAM]],Table1[[#This Row], [ROOM]]),'ROOM TIME'!$H$2:$H$121,'ROOM TIME'!$J$2:$J$121)</f>
        <v>41.543333333333322</v>
      </c>
      <c r="P656" s="9">
        <f>(INDEX(Sheet1!$X$48:$Z$67,MATCH(Table1[[#This Row], [ROOM]],Sheet1!$P$48:$P$67,0),MATCH(Table1[[#This Row], [WEAPON]],Sheet1!$X$47:$Z$47,0)))/Table1[[#This Row], [NUM OF MEM]]</f>
        <v>4.5</v>
      </c>
      <c r="Q656" s="9">
        <f>Table1[[#This Row], [ROOM TIME]]+Table1[[#This Row], [GUARD TIME]]</f>
        <v>46.043333333333322</v>
      </c>
      <c r="R656" s="4">
        <f>Sheet1!$K$3*_xlfn.XLOOKUP(Table1[[#This Row], [DISGUISE]],Sheet1!$A$21:$A$23,Sheet1!$D$21:$D$23)</f>
        <v>69</v>
      </c>
      <c r="S656" s="9">
        <f>Table1[[#This Row], [TOTAL TIME]]-Table1[[#This Row], [TOTAL TIME TAKEN]]</f>
        <v>22.956666666666678</v>
      </c>
      <c r="T656" t="str">
        <f>IF(Table1[[#This Row], [TIME DIFFERENCE]]&gt;=0,"PASS","FAIL")</f>
        <v>PASS</v>
      </c>
      <c r="U656" s="9">
        <f>Table1[[#This Row], [TRC]]+Table1[[#This Row], [DRC]]+Table1[[#This Row], [WRC]]+Table1[[#This Row], [ERC]]+Table1[[#This Row], [EQRC]]</f>
        <v>7827564.7999999989</v>
      </c>
      <c r="V656" s="9">
        <f>Table1[[#This Row], [TOTAL COST]]+_xlfn.XLOOKUP(Table1[[#This Row], [TEAM]],Sheet1!$A$12:$A$17,Sheet1!$I$12:$I$17)</f>
        <v>8124064.7999999989</v>
      </c>
      <c r="W656" s="9">
        <f>Table1[[#This Row], [LOOT]]-Table1[[#This Row], [TOTAL COST]]</f>
        <v>9722435.2000000011</v>
      </c>
      <c r="X656" s="9">
        <f>IF(Table1[[#This Row], [PASS/FAIL]]="FAIL",0,Table1[[#This Row], [PROFIT]])</f>
        <v>9722435.2000000011</v>
      </c>
    </row>
    <row r="657" spans="1:24" ht="19.5" customHeight="1" x14ac:dyDescent="0.45">
      <c r="A657" t="s">
        <v>15</v>
      </c>
      <c r="B657" s="14">
        <f>_xlfn.XLOOKUP(Table1[[#This Row], [TEAM]],Sheet1!$A$12:$A$17,Sheet1!$F$12:$F$17)</f>
        <v>2</v>
      </c>
      <c r="C657" s="14">
        <f>_xlfn.XLOOKUP(Table1[[#This Row], [TEAM]],Sheet1!$A$12:$A$17,Sheet1!$G$12:$G$17)</f>
        <v>5932950</v>
      </c>
      <c r="D657" t="s">
        <v>28</v>
      </c>
      <c r="E657" s="4">
        <f>_xlfn.XLOOKUP(Table1[[#This Row], [ROOM]],Sheet1!$A$47:$A$66,Sheet1!$B$47:$B$66)</f>
        <v>156</v>
      </c>
      <c r="F657" t="s">
        <v>58</v>
      </c>
      <c r="G657" s="4">
        <f>_xlfn.XLOOKUP(Table1[[#This Row], [DISGUISE]],Sheet1!$A$21:$A$23,Sheet1!$B$21:$B$23)*Table1[[#This Row], [NUM OF MEM]]*(1+_xlfn.XLOOKUP(Table1[[#This Row], [DISGUISE]],Sheet1!$A$21:$A$23,Sheet1!$C$21:$C$23))</f>
        <v>25600</v>
      </c>
      <c r="H657" s="13" t="s">
        <v>63</v>
      </c>
      <c r="I657" s="4">
        <f>_xlfn.XLOOKUP(Table1[[#This Row], [WEAPON]],Sheet1!$A$27:$A$29,Sheet1!$B$27:$B$29)*Table1[[#This Row], [NUM OF MEM]]*(1+_xlfn.XLOOKUP(Table1[[#This Row], [WEAPON]],Sheet1!$A$27:$A$29,Sheet1!$C$27:$C$29))</f>
        <v>46000</v>
      </c>
      <c r="J657" t="s">
        <v>64</v>
      </c>
      <c r="K657" s="9">
        <f>Table1[[#This Row], [NUM OF MEM]]*Table1[[#This Row], [TOTAL TIME TAKEN]]*_xlfn.XLOOKUP(Table1[[#This Row], [EXIT]],Sheet1!$A$70:$A$71,Sheet1!$B$70:$B$71)*(1+_xlfn.XLOOKUP(Table1[[#This Row], [EXIT]],Sheet1!$A$70:$A$71,Sheet1!$C$70:$C$71))</f>
        <v>1616047.1999999995</v>
      </c>
      <c r="L657" s="13" t="s">
        <v>65</v>
      </c>
      <c r="M657" s="4">
        <f>IF(Table1[[#This Row], [EQUIPMENT]]="YES",Sheet1!$C$44*(1+Sheet1!$D$44),0)</f>
        <v>307500</v>
      </c>
      <c r="N657" s="4">
        <f>_xlfn.XLOOKUP(Table1[[#This Row], [ROOM]],Sheet1!$A$47:$A$66,Sheet1!$F$47:$F$66)</f>
        <v>17650000</v>
      </c>
      <c r="O657" s="9">
        <f>_xlfn.XLOOKUP(_xlfn.CONCAT(Table1[[#This Row], [TEAM]],Table1[[#This Row], [ROOM]]),'ROOM TIME'!$H$2:$H$121,'ROOM TIME'!$J$2:$J$121)</f>
        <v>55.597499999999982</v>
      </c>
      <c r="P657" s="9">
        <f>(INDEX(Sheet1!$X$48:$Z$67,MATCH(Table1[[#This Row], [ROOM]],Sheet1!$P$48:$P$67,0),MATCH(Table1[[#This Row], [WEAPON]],Sheet1!$X$47:$Z$47,0)))/Table1[[#This Row], [NUM OF MEM]]</f>
        <v>6.75</v>
      </c>
      <c r="Q657" s="9">
        <f>Table1[[#This Row], [ROOM TIME]]+Table1[[#This Row], [GUARD TIME]]</f>
        <v>62.347499999999982</v>
      </c>
      <c r="R657" s="4">
        <f>Sheet1!$K$3*_xlfn.XLOOKUP(Table1[[#This Row], [DISGUISE]],Sheet1!$A$21:$A$23,Sheet1!$D$21:$D$23)</f>
        <v>69</v>
      </c>
      <c r="S657" s="9">
        <f>Table1[[#This Row], [TOTAL TIME]]-Table1[[#This Row], [TOTAL TIME TAKEN]]</f>
        <v>6.6525000000000176</v>
      </c>
      <c r="T657" t="str">
        <f>IF(Table1[[#This Row], [TIME DIFFERENCE]]&gt;=0,"PASS","FAIL")</f>
        <v>PASS</v>
      </c>
      <c r="U657" s="9">
        <f>Table1[[#This Row], [TRC]]+Table1[[#This Row], [DRC]]+Table1[[#This Row], [WRC]]+Table1[[#This Row], [ERC]]+Table1[[#This Row], [EQRC]]</f>
        <v>7928097.1999999993</v>
      </c>
      <c r="V657" s="9">
        <f>Table1[[#This Row], [TOTAL COST]]+_xlfn.XLOOKUP(Table1[[#This Row], [TEAM]],Sheet1!$A$12:$A$17,Sheet1!$I$12:$I$17)</f>
        <v>8224744.6999999993</v>
      </c>
      <c r="W657" s="9">
        <f>Table1[[#This Row], [LOOT]]-Table1[[#This Row], [TOTAL COST]]</f>
        <v>9721902.8000000007</v>
      </c>
      <c r="X657" s="9">
        <f>IF(Table1[[#This Row], [PASS/FAIL]]="FAIL",0,Table1[[#This Row], [PROFIT]])</f>
        <v>9721902.8000000007</v>
      </c>
    </row>
    <row r="658" spans="1:24" ht="19.5" customHeight="1" x14ac:dyDescent="0.45">
      <c r="A658" t="s">
        <v>12</v>
      </c>
      <c r="B658" s="14">
        <f>_xlfn.XLOOKUP(Table1[[#This Row], [TEAM]],Sheet1!$A$12:$A$17,Sheet1!$F$12:$F$17)</f>
        <v>3</v>
      </c>
      <c r="C658" s="14">
        <f>_xlfn.XLOOKUP(Table1[[#This Row], [TEAM]],Sheet1!$A$12:$A$17,Sheet1!$G$12:$G$17)</f>
        <v>5988750</v>
      </c>
      <c r="D658" t="s">
        <v>27</v>
      </c>
      <c r="E658" s="4">
        <f>_xlfn.XLOOKUP(Table1[[#This Row], [ROOM]],Sheet1!$A$47:$A$66,Sheet1!$B$47:$B$66)</f>
        <v>146</v>
      </c>
      <c r="F658" t="s">
        <v>58</v>
      </c>
      <c r="G658" s="4">
        <f>_xlfn.XLOOKUP(Table1[[#This Row], [DISGUISE]],Sheet1!$A$21:$A$23,Sheet1!$B$21:$B$23)*Table1[[#This Row], [NUM OF MEM]]*(1+_xlfn.XLOOKUP(Table1[[#This Row], [DISGUISE]],Sheet1!$A$21:$A$23,Sheet1!$C$21:$C$23))</f>
        <v>38400</v>
      </c>
      <c r="H658" s="13" t="s">
        <v>63</v>
      </c>
      <c r="I658" s="4">
        <f>_xlfn.XLOOKUP(Table1[[#This Row], [WEAPON]],Sheet1!$A$27:$A$29,Sheet1!$B$27:$B$29)*Table1[[#This Row], [NUM OF MEM]]*(1+_xlfn.XLOOKUP(Table1[[#This Row], [WEAPON]],Sheet1!$A$27:$A$29,Sheet1!$C$27:$C$29))</f>
        <v>69000</v>
      </c>
      <c r="J658" t="s">
        <v>60</v>
      </c>
      <c r="K658" s="9">
        <f>Table1[[#This Row], [NUM OF MEM]]*Table1[[#This Row], [TOTAL TIME TAKEN]]*_xlfn.XLOOKUP(Table1[[#This Row], [EXIT]],Sheet1!$A$70:$A$71,Sheet1!$B$70:$B$71)*(1+_xlfn.XLOOKUP(Table1[[#This Row], [EXIT]],Sheet1!$A$70:$A$71,Sheet1!$C$70:$C$71))</f>
        <v>1624680.0499999993</v>
      </c>
      <c r="L658" s="13" t="s">
        <v>65</v>
      </c>
      <c r="M658" s="4">
        <f>IF(Table1[[#This Row], [EQUIPMENT]]="YES",Sheet1!$C$44*(1+Sheet1!$D$44),0)</f>
        <v>307500</v>
      </c>
      <c r="N658" s="4">
        <f>_xlfn.XLOOKUP(Table1[[#This Row], [ROOM]],Sheet1!$A$47:$A$66,Sheet1!$F$47:$F$66)</f>
        <v>17750000</v>
      </c>
      <c r="O658" s="9">
        <f>_xlfn.XLOOKUP(_xlfn.CONCAT(Table1[[#This Row], [TEAM]],Table1[[#This Row], [ROOM]]),'ROOM TIME'!$H$2:$H$121,'ROOM TIME'!$J$2:$J$121)</f>
        <v>37.252222222222208</v>
      </c>
      <c r="P658" s="9">
        <f>(INDEX(Sheet1!$X$48:$Z$67,MATCH(Table1[[#This Row], [ROOM]],Sheet1!$P$48:$P$67,0),MATCH(Table1[[#This Row], [WEAPON]],Sheet1!$X$47:$Z$47,0)))/Table1[[#This Row], [NUM OF MEM]]</f>
        <v>4.95</v>
      </c>
      <c r="Q658" s="9">
        <f>Table1[[#This Row], [ROOM TIME]]+Table1[[#This Row], [GUARD TIME]]</f>
        <v>42.202222222222211</v>
      </c>
      <c r="R658" s="4">
        <f>Sheet1!$K$3*_xlfn.XLOOKUP(Table1[[#This Row], [DISGUISE]],Sheet1!$A$21:$A$23,Sheet1!$D$21:$D$23)</f>
        <v>69</v>
      </c>
      <c r="S658" s="9">
        <f>Table1[[#This Row], [TOTAL TIME]]-Table1[[#This Row], [TOTAL TIME TAKEN]]</f>
        <v>26.797777777777789</v>
      </c>
      <c r="T658" t="str">
        <f>IF(Table1[[#This Row], [TIME DIFFERENCE]]&gt;=0,"PASS","FAIL")</f>
        <v>PASS</v>
      </c>
      <c r="U658" s="9">
        <f>Table1[[#This Row], [TRC]]+Table1[[#This Row], [DRC]]+Table1[[#This Row], [WRC]]+Table1[[#This Row], [ERC]]+Table1[[#This Row], [EQRC]]</f>
        <v>8028330.0499999989</v>
      </c>
      <c r="V658" s="9">
        <f>Table1[[#This Row], [TOTAL COST]]+_xlfn.XLOOKUP(Table1[[#This Row], [TEAM]],Sheet1!$A$12:$A$17,Sheet1!$I$12:$I$17)</f>
        <v>8327767.5499999989</v>
      </c>
      <c r="W658" s="9">
        <f>Table1[[#This Row], [LOOT]]-Table1[[#This Row], [TOTAL COST]]</f>
        <v>9721669.9500000011</v>
      </c>
      <c r="X658" s="9">
        <f>IF(Table1[[#This Row], [PASS/FAIL]]="FAIL",0,Table1[[#This Row], [PROFIT]])</f>
        <v>9721669.9500000011</v>
      </c>
    </row>
    <row r="659" spans="1:24" ht="19.5" customHeight="1" x14ac:dyDescent="0.45">
      <c r="A659" t="s">
        <v>12</v>
      </c>
      <c r="B659" s="14">
        <f>_xlfn.XLOOKUP(Table1[[#This Row], [TEAM]],Sheet1!$A$12:$A$17,Sheet1!$F$12:$F$17)</f>
        <v>3</v>
      </c>
      <c r="C659" s="14">
        <f>_xlfn.XLOOKUP(Table1[[#This Row], [TEAM]],Sheet1!$A$12:$A$17,Sheet1!$G$12:$G$17)</f>
        <v>5988750</v>
      </c>
      <c r="D659" t="s">
        <v>20</v>
      </c>
      <c r="E659" s="4">
        <f>_xlfn.XLOOKUP(Table1[[#This Row], [ROOM]],Sheet1!$A$47:$A$66,Sheet1!$B$47:$B$66)</f>
        <v>145</v>
      </c>
      <c r="F659" t="s">
        <v>62</v>
      </c>
      <c r="G659" s="4">
        <f>_xlfn.XLOOKUP(Table1[[#This Row], [DISGUISE]],Sheet1!$A$21:$A$23,Sheet1!$B$21:$B$23)*Table1[[#This Row], [NUM OF MEM]]*(1+_xlfn.XLOOKUP(Table1[[#This Row], [DISGUISE]],Sheet1!$A$21:$A$23,Sheet1!$C$21:$C$23))</f>
        <v>15600</v>
      </c>
      <c r="H659" s="13" t="s">
        <v>59</v>
      </c>
      <c r="I659" s="4">
        <f>_xlfn.XLOOKUP(Table1[[#This Row], [WEAPON]],Sheet1!$A$27:$A$29,Sheet1!$B$27:$B$29)*Table1[[#This Row], [NUM OF MEM]]*(1+_xlfn.XLOOKUP(Table1[[#This Row], [WEAPON]],Sheet1!$A$27:$A$29,Sheet1!$C$27:$C$29))</f>
        <v>136500</v>
      </c>
      <c r="J659" t="s">
        <v>64</v>
      </c>
      <c r="K659" s="9">
        <f>Table1[[#This Row], [NUM OF MEM]]*Table1[[#This Row], [TOTAL TIME TAKEN]]*_xlfn.XLOOKUP(Table1[[#This Row], [EXIT]],Sheet1!$A$70:$A$71,Sheet1!$B$70:$B$71)*(1+_xlfn.XLOOKUP(Table1[[#This Row], [EXIT]],Sheet1!$A$70:$A$71,Sheet1!$C$70:$C$71))</f>
        <v>1688039.9999999998</v>
      </c>
      <c r="L659" s="13" t="s">
        <v>61</v>
      </c>
      <c r="M659" s="4">
        <f>IF(Table1[[#This Row], [EQUIPMENT]]="YES",Sheet1!$C$44*(1+Sheet1!$D$44),0)</f>
        <v>0</v>
      </c>
      <c r="N659" s="4">
        <f>_xlfn.XLOOKUP(Table1[[#This Row], [ROOM]],Sheet1!$A$47:$A$66,Sheet1!$F$47:$F$66)</f>
        <v>17550000</v>
      </c>
      <c r="O659" s="9">
        <f>_xlfn.XLOOKUP(_xlfn.CONCAT(Table1[[#This Row], [TEAM]],Table1[[#This Row], [ROOM]]),'ROOM TIME'!$H$2:$H$121,'ROOM TIME'!$J$2:$J$121)</f>
        <v>39.583333333333321</v>
      </c>
      <c r="P659" s="9">
        <f>(INDEX(Sheet1!$X$48:$Z$67,MATCH(Table1[[#This Row], [ROOM]],Sheet1!$P$48:$P$67,0),MATCH(Table1[[#This Row], [WEAPON]],Sheet1!$X$47:$Z$47,0)))/Table1[[#This Row], [NUM OF MEM]]</f>
        <v>3.8333333333333335</v>
      </c>
      <c r="Q659" s="9">
        <f>Table1[[#This Row], [ROOM TIME]]+Table1[[#This Row], [GUARD TIME]]</f>
        <v>43.416666666666657</v>
      </c>
      <c r="R659" s="4">
        <f>Sheet1!$K$3*_xlfn.XLOOKUP(Table1[[#This Row], [DISGUISE]],Sheet1!$A$21:$A$23,Sheet1!$D$21:$D$23)</f>
        <v>66</v>
      </c>
      <c r="S659" s="9">
        <f>Table1[[#This Row], [TOTAL TIME]]-Table1[[#This Row], [TOTAL TIME TAKEN]]</f>
        <v>22.583333333333343</v>
      </c>
      <c r="T659" t="str">
        <f>IF(Table1[[#This Row], [TIME DIFFERENCE]]&gt;=0,"PASS","FAIL")</f>
        <v>PASS</v>
      </c>
      <c r="U659" s="4">
        <f>Table1[[#This Row], [TRC]]+Table1[[#This Row], [DRC]]+Table1[[#This Row], [WRC]]+Table1[[#This Row], [ERC]]+Table1[[#This Row], [EQRC]]</f>
        <v>7828890</v>
      </c>
      <c r="V659" s="9">
        <f>Table1[[#This Row], [TOTAL COST]]+_xlfn.XLOOKUP(Table1[[#This Row], [TEAM]],Sheet1!$A$12:$A$17,Sheet1!$I$12:$I$17)</f>
        <v>8128327.5</v>
      </c>
      <c r="W659" s="4">
        <f>Table1[[#This Row], [LOOT]]-Table1[[#This Row], [TOTAL COST]]</f>
        <v>9721110</v>
      </c>
      <c r="X659" s="4">
        <f>IF(Table1[[#This Row], [PASS/FAIL]]="FAIL",0,Table1[[#This Row], [PROFIT]])</f>
        <v>9721110</v>
      </c>
    </row>
    <row r="660" spans="1:24" ht="19.5" customHeight="1" x14ac:dyDescent="0.45">
      <c r="A660" t="s">
        <v>13</v>
      </c>
      <c r="B660" s="14">
        <f>_xlfn.XLOOKUP(Table1[[#This Row], [TEAM]],Sheet1!$A$12:$A$17,Sheet1!$F$12:$F$17)</f>
        <v>3</v>
      </c>
      <c r="C660" s="14">
        <f>_xlfn.XLOOKUP(Table1[[#This Row], [TEAM]],Sheet1!$A$12:$A$17,Sheet1!$G$12:$G$17)</f>
        <v>5930000</v>
      </c>
      <c r="D660" t="s">
        <v>20</v>
      </c>
      <c r="E660" s="4">
        <f>_xlfn.XLOOKUP(Table1[[#This Row], [ROOM]],Sheet1!$A$47:$A$66,Sheet1!$B$47:$B$66)</f>
        <v>145</v>
      </c>
      <c r="F660" t="s">
        <v>62</v>
      </c>
      <c r="G660" s="4">
        <f>_xlfn.XLOOKUP(Table1[[#This Row], [DISGUISE]],Sheet1!$A$21:$A$23,Sheet1!$B$21:$B$23)*Table1[[#This Row], [NUM OF MEM]]*(1+_xlfn.XLOOKUP(Table1[[#This Row], [DISGUISE]],Sheet1!$A$21:$A$23,Sheet1!$C$21:$C$23))</f>
        <v>15600</v>
      </c>
      <c r="H660" s="13" t="s">
        <v>59</v>
      </c>
      <c r="I660" s="4">
        <f>_xlfn.XLOOKUP(Table1[[#This Row], [WEAPON]],Sheet1!$A$27:$A$29,Sheet1!$B$27:$B$29)*Table1[[#This Row], [NUM OF MEM]]*(1+_xlfn.XLOOKUP(Table1[[#This Row], [WEAPON]],Sheet1!$A$27:$A$29,Sheet1!$C$27:$C$29))</f>
        <v>136500</v>
      </c>
      <c r="J660" t="s">
        <v>60</v>
      </c>
      <c r="K660" s="9">
        <f>Table1[[#This Row], [NUM OF MEM]]*Table1[[#This Row], [TOTAL TIME TAKEN]]*_xlfn.XLOOKUP(Table1[[#This Row], [EXIT]],Sheet1!$A$70:$A$71,Sheet1!$B$70:$B$71)*(1+_xlfn.XLOOKUP(Table1[[#This Row], [EXIT]],Sheet1!$A$70:$A$71,Sheet1!$C$70:$C$71))</f>
        <v>1746888.2249999996</v>
      </c>
      <c r="L660" s="13" t="s">
        <v>61</v>
      </c>
      <c r="M660" s="4">
        <f>IF(Table1[[#This Row], [EQUIPMENT]]="YES",Sheet1!$C$44*(1+Sheet1!$D$44),0)</f>
        <v>0</v>
      </c>
      <c r="N660" s="4">
        <f>_xlfn.XLOOKUP(Table1[[#This Row], [ROOM]],Sheet1!$A$47:$A$66,Sheet1!$F$47:$F$66)</f>
        <v>17550000</v>
      </c>
      <c r="O660" s="9">
        <f>_xlfn.XLOOKUP(_xlfn.CONCAT(Table1[[#This Row], [TEAM]],Table1[[#This Row], [ROOM]]),'ROOM TIME'!$H$2:$H$121,'ROOM TIME'!$J$2:$J$121)</f>
        <v>41.543333333333322</v>
      </c>
      <c r="P660" s="9">
        <f>(INDEX(Sheet1!$X$48:$Z$67,MATCH(Table1[[#This Row], [ROOM]],Sheet1!$P$48:$P$67,0),MATCH(Table1[[#This Row], [WEAPON]],Sheet1!$X$47:$Z$47,0)))/Table1[[#This Row], [NUM OF MEM]]</f>
        <v>3.8333333333333335</v>
      </c>
      <c r="Q660" s="9">
        <f>Table1[[#This Row], [ROOM TIME]]+Table1[[#This Row], [GUARD TIME]]</f>
        <v>45.376666666666658</v>
      </c>
      <c r="R660" s="4">
        <f>Sheet1!$K$3*_xlfn.XLOOKUP(Table1[[#This Row], [DISGUISE]],Sheet1!$A$21:$A$23,Sheet1!$D$21:$D$23)</f>
        <v>66</v>
      </c>
      <c r="S660" s="9">
        <f>Table1[[#This Row], [TOTAL TIME]]-Table1[[#This Row], [TOTAL TIME TAKEN]]</f>
        <v>20.623333333333342</v>
      </c>
      <c r="T660" t="str">
        <f>IF(Table1[[#This Row], [TIME DIFFERENCE]]&gt;=0,"PASS","FAIL")</f>
        <v>PASS</v>
      </c>
      <c r="U660" s="9">
        <f>Table1[[#This Row], [TRC]]+Table1[[#This Row], [DRC]]+Table1[[#This Row], [WRC]]+Table1[[#This Row], [ERC]]+Table1[[#This Row], [EQRC]]</f>
        <v>7828988.2249999996</v>
      </c>
      <c r="V660" s="9">
        <f>Table1[[#This Row], [TOTAL COST]]+_xlfn.XLOOKUP(Table1[[#This Row], [TEAM]],Sheet1!$A$12:$A$17,Sheet1!$I$12:$I$17)</f>
        <v>8125488.2249999996</v>
      </c>
      <c r="W660" s="9">
        <f>Table1[[#This Row], [LOOT]]-Table1[[#This Row], [TOTAL COST]]</f>
        <v>9721011.7750000004</v>
      </c>
      <c r="X660" s="9">
        <f>IF(Table1[[#This Row], [PASS/FAIL]]="FAIL",0,Table1[[#This Row], [PROFIT]])</f>
        <v>9721011.7750000004</v>
      </c>
    </row>
    <row r="661" spans="1:24" ht="19.5" customHeight="1" x14ac:dyDescent="0.45">
      <c r="A661" t="s">
        <v>16</v>
      </c>
      <c r="B661" s="14">
        <f>_xlfn.XLOOKUP(Table1[[#This Row], [TEAM]],Sheet1!$A$12:$A$17,Sheet1!$F$12:$F$17)</f>
        <v>2</v>
      </c>
      <c r="C661" s="14">
        <f>_xlfn.XLOOKUP(Table1[[#This Row], [TEAM]],Sheet1!$A$12:$A$17,Sheet1!$G$12:$G$17)</f>
        <v>6082800</v>
      </c>
      <c r="D661" t="s">
        <v>19</v>
      </c>
      <c r="E661" s="4">
        <f>_xlfn.XLOOKUP(Table1[[#This Row], [ROOM]],Sheet1!$A$47:$A$66,Sheet1!$B$47:$B$66)</f>
        <v>135</v>
      </c>
      <c r="F661" t="s">
        <v>58</v>
      </c>
      <c r="G661" s="4">
        <f>_xlfn.XLOOKUP(Table1[[#This Row], [DISGUISE]],Sheet1!$A$21:$A$23,Sheet1!$B$21:$B$23)*Table1[[#This Row], [NUM OF MEM]]*(1+_xlfn.XLOOKUP(Table1[[#This Row], [DISGUISE]],Sheet1!$A$21:$A$23,Sheet1!$C$21:$C$23))</f>
        <v>25600</v>
      </c>
      <c r="H661" s="13" t="s">
        <v>59</v>
      </c>
      <c r="I661" s="4">
        <f>_xlfn.XLOOKUP(Table1[[#This Row], [WEAPON]],Sheet1!$A$27:$A$29,Sheet1!$B$27:$B$29)*Table1[[#This Row], [NUM OF MEM]]*(1+_xlfn.XLOOKUP(Table1[[#This Row], [WEAPON]],Sheet1!$A$27:$A$29,Sheet1!$C$27:$C$29))</f>
        <v>91000</v>
      </c>
      <c r="J661" t="s">
        <v>60</v>
      </c>
      <c r="K661" s="9">
        <f>Table1[[#This Row], [NUM OF MEM]]*Table1[[#This Row], [TOTAL TIME TAKEN]]*_xlfn.XLOOKUP(Table1[[#This Row], [EXIT]],Sheet1!$A$70:$A$71,Sheet1!$B$70:$B$71)*(1+_xlfn.XLOOKUP(Table1[[#This Row], [EXIT]],Sheet1!$A$70:$A$71,Sheet1!$C$70:$C$71))</f>
        <v>1723276.4249999996</v>
      </c>
      <c r="L661" s="13" t="s">
        <v>65</v>
      </c>
      <c r="M661" s="4">
        <f>IF(Table1[[#This Row], [EQUIPMENT]]="YES",Sheet1!$C$44*(1+Sheet1!$D$44),0)</f>
        <v>307500</v>
      </c>
      <c r="N661" s="4">
        <f>_xlfn.XLOOKUP(Table1[[#This Row], [ROOM]],Sheet1!$A$47:$A$66,Sheet1!$F$47:$F$66)</f>
        <v>17950000</v>
      </c>
      <c r="O661" s="9">
        <f>_xlfn.XLOOKUP(_xlfn.CONCAT(Table1[[#This Row], [TEAM]],Table1[[#This Row], [ROOM]]),'ROOM TIME'!$H$2:$H$121,'ROOM TIME'!$J$2:$J$121)</f>
        <v>60.819999999999979</v>
      </c>
      <c r="P661" s="9">
        <f>(INDEX(Sheet1!$X$48:$Z$67,MATCH(Table1[[#This Row], [ROOM]],Sheet1!$P$48:$P$67,0),MATCH(Table1[[#This Row], [WEAPON]],Sheet1!$X$47:$Z$47,0)))/Table1[[#This Row], [NUM OF MEM]]</f>
        <v>6.3249999999999993</v>
      </c>
      <c r="Q661" s="9">
        <f>Table1[[#This Row], [ROOM TIME]]+Table1[[#This Row], [GUARD TIME]]</f>
        <v>67.144999999999982</v>
      </c>
      <c r="R661" s="4">
        <f>Sheet1!$K$3*_xlfn.XLOOKUP(Table1[[#This Row], [DISGUISE]],Sheet1!$A$21:$A$23,Sheet1!$D$21:$D$23)</f>
        <v>69</v>
      </c>
      <c r="S661" s="9">
        <f>Table1[[#This Row], [TOTAL TIME]]-Table1[[#This Row], [TOTAL TIME TAKEN]]</f>
        <v>1.8550000000000182</v>
      </c>
      <c r="T661" t="str">
        <f>IF(Table1[[#This Row], [TIME DIFFERENCE]]&gt;=0,"PASS","FAIL")</f>
        <v>PASS</v>
      </c>
      <c r="U661" s="9">
        <f>Table1[[#This Row], [TRC]]+Table1[[#This Row], [DRC]]+Table1[[#This Row], [WRC]]+Table1[[#This Row], [ERC]]+Table1[[#This Row], [EQRC]]</f>
        <v>8230176.4249999998</v>
      </c>
      <c r="V661" s="9">
        <f>Table1[[#This Row], [TOTAL COST]]+_xlfn.XLOOKUP(Table1[[#This Row], [TEAM]],Sheet1!$A$12:$A$17,Sheet1!$I$12:$I$17)</f>
        <v>8534316.4250000007</v>
      </c>
      <c r="W661" s="9">
        <f>Table1[[#This Row], [LOOT]]-Table1[[#This Row], [TOTAL COST]]</f>
        <v>9719823.5749999993</v>
      </c>
      <c r="X661" s="9">
        <f>IF(Table1[[#This Row], [PASS/FAIL]]="FAIL",0,Table1[[#This Row], [PROFIT]])</f>
        <v>9719823.5749999993</v>
      </c>
    </row>
    <row r="662" spans="1:24" ht="19.5" customHeight="1" x14ac:dyDescent="0.45">
      <c r="A662" t="s">
        <v>12</v>
      </c>
      <c r="B662" s="14">
        <f>_xlfn.XLOOKUP(Table1[[#This Row], [TEAM]],Sheet1!$A$12:$A$17,Sheet1!$F$12:$F$17)</f>
        <v>3</v>
      </c>
      <c r="C662" s="14">
        <f>_xlfn.XLOOKUP(Table1[[#This Row], [TEAM]],Sheet1!$A$12:$A$17,Sheet1!$G$12:$G$17)</f>
        <v>5988750</v>
      </c>
      <c r="D662" t="s">
        <v>27</v>
      </c>
      <c r="E662" s="4">
        <f>_xlfn.XLOOKUP(Table1[[#This Row], [ROOM]],Sheet1!$A$47:$A$66,Sheet1!$B$47:$B$66)</f>
        <v>146</v>
      </c>
      <c r="F662" t="s">
        <v>62</v>
      </c>
      <c r="G662" s="4">
        <f>_xlfn.XLOOKUP(Table1[[#This Row], [DISGUISE]],Sheet1!$A$21:$A$23,Sheet1!$B$21:$B$23)*Table1[[#This Row], [NUM OF MEM]]*(1+_xlfn.XLOOKUP(Table1[[#This Row], [DISGUISE]],Sheet1!$A$21:$A$23,Sheet1!$C$21:$C$23))</f>
        <v>15600</v>
      </c>
      <c r="H662" s="13" t="s">
        <v>66</v>
      </c>
      <c r="I662" s="4">
        <f>_xlfn.XLOOKUP(Table1[[#This Row], [WEAPON]],Sheet1!$A$27:$A$29,Sheet1!$B$27:$B$29)*Table1[[#This Row], [NUM OF MEM]]*(1+_xlfn.XLOOKUP(Table1[[#This Row], [WEAPON]],Sheet1!$A$27:$A$29,Sheet1!$C$27:$C$29))</f>
        <v>108000</v>
      </c>
      <c r="J662" t="s">
        <v>60</v>
      </c>
      <c r="K662" s="9">
        <f>Table1[[#This Row], [NUM OF MEM]]*Table1[[#This Row], [TOTAL TIME TAKEN]]*_xlfn.XLOOKUP(Table1[[#This Row], [EXIT]],Sheet1!$A$70:$A$71,Sheet1!$B$70:$B$71)*(1+_xlfn.XLOOKUP(Table1[[#This Row], [EXIT]],Sheet1!$A$70:$A$71,Sheet1!$C$70:$C$71))</f>
        <v>1610564.2999999996</v>
      </c>
      <c r="L662" s="13" t="s">
        <v>65</v>
      </c>
      <c r="M662" s="4">
        <f>IF(Table1[[#This Row], [EQUIPMENT]]="YES",Sheet1!$C$44*(1+Sheet1!$D$44),0)</f>
        <v>307500</v>
      </c>
      <c r="N662" s="4">
        <f>_xlfn.XLOOKUP(Table1[[#This Row], [ROOM]],Sheet1!$A$47:$A$66,Sheet1!$F$47:$F$66)</f>
        <v>17750000</v>
      </c>
      <c r="O662" s="9">
        <f>_xlfn.XLOOKUP(_xlfn.CONCAT(Table1[[#This Row], [TEAM]],Table1[[#This Row], [ROOM]]),'ROOM TIME'!$H$2:$H$121,'ROOM TIME'!$J$2:$J$121)</f>
        <v>37.252222222222208</v>
      </c>
      <c r="P662" s="9">
        <f>(INDEX(Sheet1!$X$48:$Z$67,MATCH(Table1[[#This Row], [ROOM]],Sheet1!$P$48:$P$67,0),MATCH(Table1[[#This Row], [WEAPON]],Sheet1!$X$47:$Z$47,0)))/Table1[[#This Row], [NUM OF MEM]]</f>
        <v>4.583333333333333</v>
      </c>
      <c r="Q662" s="9">
        <f>Table1[[#This Row], [ROOM TIME]]+Table1[[#This Row], [GUARD TIME]]</f>
        <v>41.835555555555544</v>
      </c>
      <c r="R662" s="4">
        <f>Sheet1!$K$3*_xlfn.XLOOKUP(Table1[[#This Row], [DISGUISE]],Sheet1!$A$21:$A$23,Sheet1!$D$21:$D$23)</f>
        <v>66</v>
      </c>
      <c r="S662" s="9">
        <f>Table1[[#This Row], [TOTAL TIME]]-Table1[[#This Row], [TOTAL TIME TAKEN]]</f>
        <v>24.164444444444456</v>
      </c>
      <c r="T662" t="str">
        <f>IF(Table1[[#This Row], [TIME DIFFERENCE]]&gt;=0,"PASS","FAIL")</f>
        <v>PASS</v>
      </c>
      <c r="U662" s="9">
        <f>Table1[[#This Row], [TRC]]+Table1[[#This Row], [DRC]]+Table1[[#This Row], [WRC]]+Table1[[#This Row], [ERC]]+Table1[[#This Row], [EQRC]]</f>
        <v>8030414.2999999998</v>
      </c>
      <c r="V662" s="9">
        <f>Table1[[#This Row], [TOTAL COST]]+_xlfn.XLOOKUP(Table1[[#This Row], [TEAM]],Sheet1!$A$12:$A$17,Sheet1!$I$12:$I$17)</f>
        <v>8329851.7999999998</v>
      </c>
      <c r="W662" s="9">
        <f>Table1[[#This Row], [LOOT]]-Table1[[#This Row], [TOTAL COST]]</f>
        <v>9719585.6999999993</v>
      </c>
      <c r="X662" s="9">
        <f>IF(Table1[[#This Row], [PASS/FAIL]]="FAIL",0,Table1[[#This Row], [PROFIT]])</f>
        <v>9719585.6999999993</v>
      </c>
    </row>
    <row r="663" spans="1:24" ht="19.5" customHeight="1" x14ac:dyDescent="0.45">
      <c r="A663" t="s">
        <v>13</v>
      </c>
      <c r="B663" s="14">
        <f>_xlfn.XLOOKUP(Table1[[#This Row], [TEAM]],Sheet1!$A$12:$A$17,Sheet1!$F$12:$F$17)</f>
        <v>3</v>
      </c>
      <c r="C663" s="14">
        <f>_xlfn.XLOOKUP(Table1[[#This Row], [TEAM]],Sheet1!$A$12:$A$17,Sheet1!$G$12:$G$17)</f>
        <v>5930000</v>
      </c>
      <c r="D663" t="s">
        <v>20</v>
      </c>
      <c r="E663" s="4">
        <f>_xlfn.XLOOKUP(Table1[[#This Row], [ROOM]],Sheet1!$A$47:$A$66,Sheet1!$B$47:$B$66)</f>
        <v>145</v>
      </c>
      <c r="F663" t="s">
        <v>62</v>
      </c>
      <c r="G663" s="4">
        <f>_xlfn.XLOOKUP(Table1[[#This Row], [DISGUISE]],Sheet1!$A$21:$A$23,Sheet1!$B$21:$B$23)*Table1[[#This Row], [NUM OF MEM]]*(1+_xlfn.XLOOKUP(Table1[[#This Row], [DISGUISE]],Sheet1!$A$21:$A$23,Sheet1!$C$21:$C$23))</f>
        <v>15600</v>
      </c>
      <c r="H663" s="13" t="s">
        <v>66</v>
      </c>
      <c r="I663" s="4">
        <f>_xlfn.XLOOKUP(Table1[[#This Row], [WEAPON]],Sheet1!$A$27:$A$29,Sheet1!$B$27:$B$29)*Table1[[#This Row], [NUM OF MEM]]*(1+_xlfn.XLOOKUP(Table1[[#This Row], [WEAPON]],Sheet1!$A$27:$A$29,Sheet1!$C$27:$C$29))</f>
        <v>108000</v>
      </c>
      <c r="J663" t="s">
        <v>64</v>
      </c>
      <c r="K663" s="9">
        <f>Table1[[#This Row], [NUM OF MEM]]*Table1[[#This Row], [TOTAL TIME TAKEN]]*_xlfn.XLOOKUP(Table1[[#This Row], [EXIT]],Sheet1!$A$70:$A$71,Sheet1!$B$70:$B$71)*(1+_xlfn.XLOOKUP(Table1[[#This Row], [EXIT]],Sheet1!$A$70:$A$71,Sheet1!$C$70:$C$71))</f>
        <v>1777204.7999999993</v>
      </c>
      <c r="L663" s="13" t="s">
        <v>61</v>
      </c>
      <c r="M663" s="4">
        <f>IF(Table1[[#This Row], [EQUIPMENT]]="YES",Sheet1!$C$44*(1+Sheet1!$D$44),0)</f>
        <v>0</v>
      </c>
      <c r="N663" s="4">
        <f>_xlfn.XLOOKUP(Table1[[#This Row], [ROOM]],Sheet1!$A$47:$A$66,Sheet1!$F$47:$F$66)</f>
        <v>17550000</v>
      </c>
      <c r="O663" s="9">
        <f>_xlfn.XLOOKUP(_xlfn.CONCAT(Table1[[#This Row], [TEAM]],Table1[[#This Row], [ROOM]]),'ROOM TIME'!$H$2:$H$121,'ROOM TIME'!$J$2:$J$121)</f>
        <v>41.543333333333322</v>
      </c>
      <c r="P663" s="9">
        <f>(INDEX(Sheet1!$X$48:$Z$67,MATCH(Table1[[#This Row], [ROOM]],Sheet1!$P$48:$P$67,0),MATCH(Table1[[#This Row], [WEAPON]],Sheet1!$X$47:$Z$47,0)))/Table1[[#This Row], [NUM OF MEM]]</f>
        <v>4.166666666666667</v>
      </c>
      <c r="Q663" s="9">
        <f>Table1[[#This Row], [ROOM TIME]]+Table1[[#This Row], [GUARD TIME]]</f>
        <v>45.709999999999987</v>
      </c>
      <c r="R663" s="4">
        <f>Sheet1!$K$3*_xlfn.XLOOKUP(Table1[[#This Row], [DISGUISE]],Sheet1!$A$21:$A$23,Sheet1!$D$21:$D$23)</f>
        <v>66</v>
      </c>
      <c r="S663" s="9">
        <f>Table1[[#This Row], [TOTAL TIME]]-Table1[[#This Row], [TOTAL TIME TAKEN]]</f>
        <v>20.290000000000013</v>
      </c>
      <c r="T663" t="str">
        <f>IF(Table1[[#This Row], [TIME DIFFERENCE]]&gt;=0,"PASS","FAIL")</f>
        <v>PASS</v>
      </c>
      <c r="U663" s="9">
        <f>Table1[[#This Row], [TRC]]+Table1[[#This Row], [DRC]]+Table1[[#This Row], [WRC]]+Table1[[#This Row], [ERC]]+Table1[[#This Row], [EQRC]]</f>
        <v>7830804.7999999989</v>
      </c>
      <c r="V663" s="9">
        <f>Table1[[#This Row], [TOTAL COST]]+_xlfn.XLOOKUP(Table1[[#This Row], [TEAM]],Sheet1!$A$12:$A$17,Sheet1!$I$12:$I$17)</f>
        <v>8127304.7999999989</v>
      </c>
      <c r="W663" s="9">
        <f>Table1[[#This Row], [LOOT]]-Table1[[#This Row], [TOTAL COST]]</f>
        <v>9719195.2000000011</v>
      </c>
      <c r="X663" s="9">
        <f>IF(Table1[[#This Row], [PASS/FAIL]]="FAIL",0,Table1[[#This Row], [PROFIT]])</f>
        <v>9719195.2000000011</v>
      </c>
    </row>
    <row r="664" spans="1:24" ht="19.5" customHeight="1" x14ac:dyDescent="0.45">
      <c r="A664" t="s">
        <v>16</v>
      </c>
      <c r="B664" s="14">
        <f>_xlfn.XLOOKUP(Table1[[#This Row], [TEAM]],Sheet1!$A$12:$A$17,Sheet1!$F$12:$F$17)</f>
        <v>2</v>
      </c>
      <c r="C664" s="14">
        <f>_xlfn.XLOOKUP(Table1[[#This Row], [TEAM]],Sheet1!$A$12:$A$17,Sheet1!$G$12:$G$17)</f>
        <v>6082800</v>
      </c>
      <c r="D664" t="s">
        <v>19</v>
      </c>
      <c r="E664" s="4">
        <f>_xlfn.XLOOKUP(Table1[[#This Row], [ROOM]],Sheet1!$A$47:$A$66,Sheet1!$B$47:$B$66)</f>
        <v>135</v>
      </c>
      <c r="F664" t="s">
        <v>58</v>
      </c>
      <c r="G664" s="4">
        <f>_xlfn.XLOOKUP(Table1[[#This Row], [DISGUISE]],Sheet1!$A$21:$A$23,Sheet1!$B$21:$B$23)*Table1[[#This Row], [NUM OF MEM]]*(1+_xlfn.XLOOKUP(Table1[[#This Row], [DISGUISE]],Sheet1!$A$21:$A$23,Sheet1!$C$21:$C$23))</f>
        <v>25600</v>
      </c>
      <c r="H664" s="13" t="s">
        <v>63</v>
      </c>
      <c r="I664" s="4">
        <f>_xlfn.XLOOKUP(Table1[[#This Row], [WEAPON]],Sheet1!$A$27:$A$29,Sheet1!$B$27:$B$29)*Table1[[#This Row], [NUM OF MEM]]*(1+_xlfn.XLOOKUP(Table1[[#This Row], [WEAPON]],Sheet1!$A$27:$A$29,Sheet1!$C$27:$C$29))</f>
        <v>46000</v>
      </c>
      <c r="J664" t="s">
        <v>64</v>
      </c>
      <c r="K664" s="9">
        <f>Table1[[#This Row], [NUM OF MEM]]*Table1[[#This Row], [TOTAL TIME TAKEN]]*_xlfn.XLOOKUP(Table1[[#This Row], [EXIT]],Sheet1!$A$70:$A$71,Sheet1!$B$70:$B$71)*(1+_xlfn.XLOOKUP(Table1[[#This Row], [EXIT]],Sheet1!$A$70:$A$71,Sheet1!$C$70:$C$71))</f>
        <v>1768910.3999999994</v>
      </c>
      <c r="L664" s="13" t="s">
        <v>65</v>
      </c>
      <c r="M664" s="4">
        <f>IF(Table1[[#This Row], [EQUIPMENT]]="YES",Sheet1!$C$44*(1+Sheet1!$D$44),0)</f>
        <v>307500</v>
      </c>
      <c r="N664" s="4">
        <f>_xlfn.XLOOKUP(Table1[[#This Row], [ROOM]],Sheet1!$A$47:$A$66,Sheet1!$F$47:$F$66)</f>
        <v>17950000</v>
      </c>
      <c r="O664" s="9">
        <f>_xlfn.XLOOKUP(_xlfn.CONCAT(Table1[[#This Row], [TEAM]],Table1[[#This Row], [ROOM]]),'ROOM TIME'!$H$2:$H$121,'ROOM TIME'!$J$2:$J$121)</f>
        <v>60.819999999999979</v>
      </c>
      <c r="P664" s="9">
        <f>(INDEX(Sheet1!$X$48:$Z$67,MATCH(Table1[[#This Row], [ROOM]],Sheet1!$P$48:$P$67,0),MATCH(Table1[[#This Row], [WEAPON]],Sheet1!$X$47:$Z$47,0)))/Table1[[#This Row], [NUM OF MEM]]</f>
        <v>7.4250000000000007</v>
      </c>
      <c r="Q664" s="9">
        <f>Table1[[#This Row], [ROOM TIME]]+Table1[[#This Row], [GUARD TIME]]</f>
        <v>68.244999999999976</v>
      </c>
      <c r="R664" s="4">
        <f>Sheet1!$K$3*_xlfn.XLOOKUP(Table1[[#This Row], [DISGUISE]],Sheet1!$A$21:$A$23,Sheet1!$D$21:$D$23)</f>
        <v>69</v>
      </c>
      <c r="S664" s="9">
        <f>Table1[[#This Row], [TOTAL TIME]]-Table1[[#This Row], [TOTAL TIME TAKEN]]</f>
        <v>0.75500000000002387</v>
      </c>
      <c r="T664" t="str">
        <f>IF(Table1[[#This Row], [TIME DIFFERENCE]]&gt;=0,"PASS","FAIL")</f>
        <v>PASS</v>
      </c>
      <c r="U664" s="9">
        <f>Table1[[#This Row], [TRC]]+Table1[[#This Row], [DRC]]+Table1[[#This Row], [WRC]]+Table1[[#This Row], [ERC]]+Table1[[#This Row], [EQRC]]</f>
        <v>8230810.3999999994</v>
      </c>
      <c r="V664" s="9">
        <f>Table1[[#This Row], [TOTAL COST]]+_xlfn.XLOOKUP(Table1[[#This Row], [TEAM]],Sheet1!$A$12:$A$17,Sheet1!$I$12:$I$17)</f>
        <v>8534950.3999999985</v>
      </c>
      <c r="W664" s="9">
        <f>Table1[[#This Row], [LOOT]]-Table1[[#This Row], [TOTAL COST]]</f>
        <v>9719189.6000000015</v>
      </c>
      <c r="X664" s="9">
        <f>IF(Table1[[#This Row], [PASS/FAIL]]="FAIL",0,Table1[[#This Row], [PROFIT]])</f>
        <v>9719189.6000000015</v>
      </c>
    </row>
    <row r="665" spans="1:24" ht="19.5" customHeight="1" x14ac:dyDescent="0.45">
      <c r="A665" t="s">
        <v>13</v>
      </c>
      <c r="B665" s="14">
        <f>_xlfn.XLOOKUP(Table1[[#This Row], [TEAM]],Sheet1!$A$12:$A$17,Sheet1!$F$12:$F$17)</f>
        <v>3</v>
      </c>
      <c r="C665" s="14">
        <f>_xlfn.XLOOKUP(Table1[[#This Row], [TEAM]],Sheet1!$A$12:$A$17,Sheet1!$G$12:$G$17)</f>
        <v>5930000</v>
      </c>
      <c r="D665" t="s">
        <v>27</v>
      </c>
      <c r="E665" s="4">
        <f>_xlfn.XLOOKUP(Table1[[#This Row], [ROOM]],Sheet1!$A$47:$A$66,Sheet1!$B$47:$B$66)</f>
        <v>146</v>
      </c>
      <c r="F665" t="s">
        <v>62</v>
      </c>
      <c r="G665" s="4">
        <f>_xlfn.XLOOKUP(Table1[[#This Row], [DISGUISE]],Sheet1!$A$21:$A$23,Sheet1!$B$21:$B$23)*Table1[[#This Row], [NUM OF MEM]]*(1+_xlfn.XLOOKUP(Table1[[#This Row], [DISGUISE]],Sheet1!$A$21:$A$23,Sheet1!$C$21:$C$23))</f>
        <v>15600</v>
      </c>
      <c r="H665" s="13" t="s">
        <v>63</v>
      </c>
      <c r="I665" s="4">
        <f>_xlfn.XLOOKUP(Table1[[#This Row], [WEAPON]],Sheet1!$A$27:$A$29,Sheet1!$B$27:$B$29)*Table1[[#This Row], [NUM OF MEM]]*(1+_xlfn.XLOOKUP(Table1[[#This Row], [WEAPON]],Sheet1!$A$27:$A$29,Sheet1!$C$27:$C$29))</f>
        <v>69000</v>
      </c>
      <c r="J665" t="s">
        <v>64</v>
      </c>
      <c r="K665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1709423.9999999998</v>
      </c>
      <c r="L665" s="13" t="s">
        <v>65</v>
      </c>
      <c r="M665" s="4">
        <f>IF(Table1[[#This Row], [EQUIPMENT]]="YES",Sheet1!$C$44*(1+Sheet1!$D$44),0)</f>
        <v>307500</v>
      </c>
      <c r="N665" s="4">
        <f>_xlfn.XLOOKUP(Table1[[#This Row], [ROOM]],Sheet1!$A$47:$A$66,Sheet1!$F$47:$F$66)</f>
        <v>17750000</v>
      </c>
      <c r="O665" s="9">
        <f>_xlfn.XLOOKUP(_xlfn.CONCAT(Table1[[#This Row], [TEAM]],Table1[[#This Row], [ROOM]]),'ROOM TIME'!$H$2:$H$121,'ROOM TIME'!$J$2:$J$121)</f>
        <v>39.016666666666659</v>
      </c>
      <c r="P665" s="9">
        <f>(INDEX(Sheet1!$X$48:$Z$67,MATCH(Table1[[#This Row], [ROOM]],Sheet1!$P$48:$P$67,0),MATCH(Table1[[#This Row], [WEAPON]],Sheet1!$X$47:$Z$47,0)))/Table1[[#This Row], [NUM OF MEM]]</f>
        <v>4.95</v>
      </c>
      <c r="Q665" s="9">
        <f>Table1[[#This Row], [ROOM TIME]]+Table1[[#This Row], [GUARD TIME]]</f>
        <v>43.966666666666661</v>
      </c>
      <c r="R665" s="4">
        <f>Sheet1!$K$3*_xlfn.XLOOKUP(Table1[[#This Row], [DISGUISE]],Sheet1!$A$21:$A$23,Sheet1!$D$21:$D$23)</f>
        <v>66</v>
      </c>
      <c r="S665" s="9">
        <f>Table1[[#This Row], [TOTAL TIME]]-Table1[[#This Row], [TOTAL TIME TAKEN]]</f>
        <v>22.033333333333339</v>
      </c>
      <c r="T665" t="str">
        <f>IF(Table1[[#This Row], [TIME DIFFERENCE]]&gt;=0,"PASS","FAIL")</f>
        <v>PASS</v>
      </c>
      <c r="U665" s="4">
        <f>Table1[[#This Row], [TRC]]+Table1[[#This Row], [DRC]]+Table1[[#This Row], [WRC]]+Table1[[#This Row], [ERC]]+Table1[[#This Row], [EQRC]]</f>
        <v>8031524</v>
      </c>
      <c r="V665" s="4">
        <f>Table1[[#This Row], [TOTAL COST]]+_xlfn.XLOOKUP(Table1[[#This Row], [TEAM]],Sheet1!$A$12:$A$17,Sheet1!$I$12:$I$17)</f>
        <v>8328024</v>
      </c>
      <c r="W665" s="4">
        <f>Table1[[#This Row], [LOOT]]-Table1[[#This Row], [TOTAL COST]]</f>
        <v>9718476</v>
      </c>
      <c r="X665" s="4">
        <f>IF(Table1[[#This Row], [PASS/FAIL]]="FAIL",0,Table1[[#This Row], [PROFIT]])</f>
        <v>9718476</v>
      </c>
    </row>
    <row r="666" spans="1:24" ht="19.5" customHeight="1" x14ac:dyDescent="0.45">
      <c r="A666" t="s">
        <v>15</v>
      </c>
      <c r="B666" s="14">
        <f>_xlfn.XLOOKUP(Table1[[#This Row], [TEAM]],Sheet1!$A$12:$A$17,Sheet1!$F$12:$F$17)</f>
        <v>2</v>
      </c>
      <c r="C666" s="14">
        <f>_xlfn.XLOOKUP(Table1[[#This Row], [TEAM]],Sheet1!$A$12:$A$17,Sheet1!$G$12:$G$17)</f>
        <v>5932950</v>
      </c>
      <c r="D666" t="s">
        <v>28</v>
      </c>
      <c r="E666" s="4">
        <f>_xlfn.XLOOKUP(Table1[[#This Row], [ROOM]],Sheet1!$A$47:$A$66,Sheet1!$B$47:$B$66)</f>
        <v>156</v>
      </c>
      <c r="F666" t="s">
        <v>58</v>
      </c>
      <c r="G666" s="4">
        <f>_xlfn.XLOOKUP(Table1[[#This Row], [DISGUISE]],Sheet1!$A$21:$A$23,Sheet1!$B$21:$B$23)*Table1[[#This Row], [NUM OF MEM]]*(1+_xlfn.XLOOKUP(Table1[[#This Row], [DISGUISE]],Sheet1!$A$21:$A$23,Sheet1!$C$21:$C$23))</f>
        <v>25600</v>
      </c>
      <c r="H666" s="13" t="s">
        <v>59</v>
      </c>
      <c r="I666" s="4">
        <f>_xlfn.XLOOKUP(Table1[[#This Row], [WEAPON]],Sheet1!$A$27:$A$29,Sheet1!$B$27:$B$29)*Table1[[#This Row], [NUM OF MEM]]*(1+_xlfn.XLOOKUP(Table1[[#This Row], [WEAPON]],Sheet1!$A$27:$A$29,Sheet1!$C$27:$C$29))</f>
        <v>91000</v>
      </c>
      <c r="J666" t="s">
        <v>60</v>
      </c>
      <c r="K666" s="9">
        <f>Table1[[#This Row], [NUM OF MEM]]*Table1[[#This Row], [TOTAL TIME TAKEN]]*_xlfn.XLOOKUP(Table1[[#This Row], [EXIT]],Sheet1!$A$70:$A$71,Sheet1!$B$70:$B$71)*(1+_xlfn.XLOOKUP(Table1[[#This Row], [EXIT]],Sheet1!$A$70:$A$71,Sheet1!$C$70:$C$71))</f>
        <v>1574483.5874999997</v>
      </c>
      <c r="L666" s="13" t="s">
        <v>65</v>
      </c>
      <c r="M666" s="4">
        <f>IF(Table1[[#This Row], [EQUIPMENT]]="YES",Sheet1!$C$44*(1+Sheet1!$D$44),0)</f>
        <v>307500</v>
      </c>
      <c r="N666" s="4">
        <f>_xlfn.XLOOKUP(Table1[[#This Row], [ROOM]],Sheet1!$A$47:$A$66,Sheet1!$F$47:$F$66)</f>
        <v>17650000</v>
      </c>
      <c r="O666" s="9">
        <f>_xlfn.XLOOKUP(_xlfn.CONCAT(Table1[[#This Row], [TEAM]],Table1[[#This Row], [ROOM]]),'ROOM TIME'!$H$2:$H$121,'ROOM TIME'!$J$2:$J$121)</f>
        <v>55.597499999999982</v>
      </c>
      <c r="P666" s="9">
        <f>(INDEX(Sheet1!$X$48:$Z$67,MATCH(Table1[[#This Row], [ROOM]],Sheet1!$P$48:$P$67,0),MATCH(Table1[[#This Row], [WEAPON]],Sheet1!$X$47:$Z$47,0)))/Table1[[#This Row], [NUM OF MEM]]</f>
        <v>5.75</v>
      </c>
      <c r="Q666" s="9">
        <f>Table1[[#This Row], [ROOM TIME]]+Table1[[#This Row], [GUARD TIME]]</f>
        <v>61.347499999999982</v>
      </c>
      <c r="R666" s="4">
        <f>Sheet1!$K$3*_xlfn.XLOOKUP(Table1[[#This Row], [DISGUISE]],Sheet1!$A$21:$A$23,Sheet1!$D$21:$D$23)</f>
        <v>69</v>
      </c>
      <c r="S666" s="9">
        <f>Table1[[#This Row], [TOTAL TIME]]-Table1[[#This Row], [TOTAL TIME TAKEN]]</f>
        <v>7.6525000000000176</v>
      </c>
      <c r="T666" t="str">
        <f>IF(Table1[[#This Row], [TIME DIFFERENCE]]&gt;=0,"PASS","FAIL")</f>
        <v>PASS</v>
      </c>
      <c r="U666" s="9">
        <f>Table1[[#This Row], [TRC]]+Table1[[#This Row], [DRC]]+Table1[[#This Row], [WRC]]+Table1[[#This Row], [ERC]]+Table1[[#This Row], [EQRC]]</f>
        <v>7931533.5874999994</v>
      </c>
      <c r="V666" s="9">
        <f>Table1[[#This Row], [TOTAL COST]]+_xlfn.XLOOKUP(Table1[[#This Row], [TEAM]],Sheet1!$A$12:$A$17,Sheet1!$I$12:$I$17)</f>
        <v>8228181.0874999994</v>
      </c>
      <c r="W666" s="9">
        <f>Table1[[#This Row], [LOOT]]-Table1[[#This Row], [TOTAL COST]]</f>
        <v>9718466.4125000015</v>
      </c>
      <c r="X666" s="9">
        <f>IF(Table1[[#This Row], [PASS/FAIL]]="FAIL",0,Table1[[#This Row], [PROFIT]])</f>
        <v>9718466.4125000015</v>
      </c>
    </row>
    <row r="667" spans="1:24" ht="19.5" customHeight="1" x14ac:dyDescent="0.45">
      <c r="A667" t="s">
        <v>15</v>
      </c>
      <c r="B667" s="14">
        <f>_xlfn.XLOOKUP(Table1[[#This Row], [TEAM]],Sheet1!$A$12:$A$17,Sheet1!$F$12:$F$17)</f>
        <v>2</v>
      </c>
      <c r="C667" s="14">
        <f>_xlfn.XLOOKUP(Table1[[#This Row], [TEAM]],Sheet1!$A$12:$A$17,Sheet1!$G$12:$G$17)</f>
        <v>5932950</v>
      </c>
      <c r="D667" t="s">
        <v>28</v>
      </c>
      <c r="E667" s="4">
        <f>_xlfn.XLOOKUP(Table1[[#This Row], [ROOM]],Sheet1!$A$47:$A$66,Sheet1!$B$47:$B$66)</f>
        <v>156</v>
      </c>
      <c r="F667" t="s">
        <v>62</v>
      </c>
      <c r="G667" s="4">
        <f>_xlfn.XLOOKUP(Table1[[#This Row], [DISGUISE]],Sheet1!$A$21:$A$23,Sheet1!$B$21:$B$23)*Table1[[#This Row], [NUM OF MEM]]*(1+_xlfn.XLOOKUP(Table1[[#This Row], [DISGUISE]],Sheet1!$A$21:$A$23,Sheet1!$C$21:$C$23))</f>
        <v>10400</v>
      </c>
      <c r="H667" s="13" t="s">
        <v>59</v>
      </c>
      <c r="I667" s="4">
        <f>_xlfn.XLOOKUP(Table1[[#This Row], [WEAPON]],Sheet1!$A$27:$A$29,Sheet1!$B$27:$B$29)*Table1[[#This Row], [NUM OF MEM]]*(1+_xlfn.XLOOKUP(Table1[[#This Row], [WEAPON]],Sheet1!$A$27:$A$29,Sheet1!$C$27:$C$29))</f>
        <v>91000</v>
      </c>
      <c r="J667" t="s">
        <v>64</v>
      </c>
      <c r="K667" s="9">
        <f>Table1[[#This Row], [NUM OF MEM]]*Table1[[#This Row], [TOTAL TIME TAKEN]]*_xlfn.XLOOKUP(Table1[[#This Row], [EXIT]],Sheet1!$A$70:$A$71,Sheet1!$B$70:$B$71)*(1+_xlfn.XLOOKUP(Table1[[#This Row], [EXIT]],Sheet1!$A$70:$A$71,Sheet1!$C$70:$C$71))</f>
        <v>1590127.1999999995</v>
      </c>
      <c r="L667" s="13" t="s">
        <v>65</v>
      </c>
      <c r="M667" s="4">
        <f>IF(Table1[[#This Row], [EQUIPMENT]]="YES",Sheet1!$C$44*(1+Sheet1!$D$44),0)</f>
        <v>307500</v>
      </c>
      <c r="N667" s="4">
        <f>_xlfn.XLOOKUP(Table1[[#This Row], [ROOM]],Sheet1!$A$47:$A$66,Sheet1!$F$47:$F$66)</f>
        <v>17650000</v>
      </c>
      <c r="O667" s="9">
        <f>_xlfn.XLOOKUP(_xlfn.CONCAT(Table1[[#This Row], [TEAM]],Table1[[#This Row], [ROOM]]),'ROOM TIME'!$H$2:$H$121,'ROOM TIME'!$J$2:$J$121)</f>
        <v>55.597499999999982</v>
      </c>
      <c r="P667" s="9">
        <f>(INDEX(Sheet1!$X$48:$Z$67,MATCH(Table1[[#This Row], [ROOM]],Sheet1!$P$48:$P$67,0),MATCH(Table1[[#This Row], [WEAPON]],Sheet1!$X$47:$Z$47,0)))/Table1[[#This Row], [NUM OF MEM]]</f>
        <v>5.75</v>
      </c>
      <c r="Q667" s="9">
        <f>Table1[[#This Row], [ROOM TIME]]+Table1[[#This Row], [GUARD TIME]]</f>
        <v>61.347499999999982</v>
      </c>
      <c r="R667" s="4">
        <f>Sheet1!$K$3*_xlfn.XLOOKUP(Table1[[#This Row], [DISGUISE]],Sheet1!$A$21:$A$23,Sheet1!$D$21:$D$23)</f>
        <v>66</v>
      </c>
      <c r="S667" s="9">
        <f>Table1[[#This Row], [TOTAL TIME]]-Table1[[#This Row], [TOTAL TIME TAKEN]]</f>
        <v>4.6525000000000176</v>
      </c>
      <c r="T667" t="str">
        <f>IF(Table1[[#This Row], [TIME DIFFERENCE]]&gt;=0,"PASS","FAIL")</f>
        <v>PASS</v>
      </c>
      <c r="U667" s="9">
        <f>Table1[[#This Row], [TRC]]+Table1[[#This Row], [DRC]]+Table1[[#This Row], [WRC]]+Table1[[#This Row], [ERC]]+Table1[[#This Row], [EQRC]]</f>
        <v>7931977.1999999993</v>
      </c>
      <c r="V667" s="9">
        <f>Table1[[#This Row], [TOTAL COST]]+_xlfn.XLOOKUP(Table1[[#This Row], [TEAM]],Sheet1!$A$12:$A$17,Sheet1!$I$12:$I$17)</f>
        <v>8228624.6999999993</v>
      </c>
      <c r="W667" s="9">
        <f>Table1[[#This Row], [LOOT]]-Table1[[#This Row], [TOTAL COST]]</f>
        <v>9718022.8000000007</v>
      </c>
      <c r="X667" s="9">
        <f>IF(Table1[[#This Row], [PASS/FAIL]]="FAIL",0,Table1[[#This Row], [PROFIT]])</f>
        <v>9718022.8000000007</v>
      </c>
    </row>
    <row r="668" spans="1:24" ht="19.5" customHeight="1" x14ac:dyDescent="0.45">
      <c r="A668" t="s">
        <v>9</v>
      </c>
      <c r="B668" s="14">
        <f>_xlfn.XLOOKUP(Table1[[#This Row], [TEAM]],Sheet1!$A$12:$A$17,Sheet1!$F$12:$F$17)</f>
        <v>3</v>
      </c>
      <c r="C668" s="14">
        <f>_xlfn.XLOOKUP(Table1[[#This Row], [TEAM]],Sheet1!$A$12:$A$17,Sheet1!$G$12:$G$17)</f>
        <v>6238750</v>
      </c>
      <c r="D668" t="s">
        <v>22</v>
      </c>
      <c r="E668" s="4">
        <f>_xlfn.XLOOKUP(Table1[[#This Row], [ROOM]],Sheet1!$A$47:$A$66,Sheet1!$B$47:$B$66)</f>
        <v>235</v>
      </c>
      <c r="F668" t="s">
        <v>62</v>
      </c>
      <c r="G668" s="4">
        <f>_xlfn.XLOOKUP(Table1[[#This Row], [DISGUISE]],Sheet1!$A$21:$A$23,Sheet1!$B$21:$B$23)*Table1[[#This Row], [NUM OF MEM]]*(1+_xlfn.XLOOKUP(Table1[[#This Row], [DISGUISE]],Sheet1!$A$21:$A$23,Sheet1!$C$21:$C$23))</f>
        <v>15600</v>
      </c>
      <c r="H668" s="13" t="s">
        <v>59</v>
      </c>
      <c r="I668" s="4">
        <f>_xlfn.XLOOKUP(Table1[[#This Row], [WEAPON]],Sheet1!$A$27:$A$29,Sheet1!$B$27:$B$29)*Table1[[#This Row], [NUM OF MEM]]*(1+_xlfn.XLOOKUP(Table1[[#This Row], [WEAPON]],Sheet1!$A$27:$A$29,Sheet1!$C$27:$C$29))</f>
        <v>136500</v>
      </c>
      <c r="J668" t="s">
        <v>60</v>
      </c>
      <c r="K668" s="9">
        <f>Table1[[#This Row], [NUM OF MEM]]*Table1[[#This Row], [TOTAL TIME TAKEN]]*_xlfn.XLOOKUP(Table1[[#This Row], [EXIT]],Sheet1!$A$70:$A$71,Sheet1!$B$70:$B$71)*(1+_xlfn.XLOOKUP(Table1[[#This Row], [EXIT]],Sheet1!$A$70:$A$71,Sheet1!$C$70:$C$71))</f>
        <v>1691751.2499999995</v>
      </c>
      <c r="L668" s="13" t="s">
        <v>61</v>
      </c>
      <c r="M668" s="4">
        <f>IF(Table1[[#This Row], [EQUIPMENT]]="YES",Sheet1!$C$44*(1+Sheet1!$D$44),0)</f>
        <v>0</v>
      </c>
      <c r="N668" s="4">
        <f>_xlfn.XLOOKUP(Table1[[#This Row], [ROOM]],Sheet1!$A$47:$A$66,Sheet1!$F$47:$F$66)</f>
        <v>17800000</v>
      </c>
      <c r="O668" s="9">
        <f>_xlfn.XLOOKUP(_xlfn.CONCAT(Table1[[#This Row], [TEAM]],Table1[[#This Row], [ROOM]]),'ROOM TIME'!$H$2:$H$121,'ROOM TIME'!$J$2:$J$121)</f>
        <v>39.344444444444434</v>
      </c>
      <c r="P668" s="9">
        <f>(INDEX(Sheet1!$X$48:$Z$67,MATCH(Table1[[#This Row], [ROOM]],Sheet1!$P$48:$P$67,0),MATCH(Table1[[#This Row], [WEAPON]],Sheet1!$X$47:$Z$47,0)))/Table1[[#This Row], [NUM OF MEM]]</f>
        <v>4.5999999999999996</v>
      </c>
      <c r="Q668" s="9">
        <f>Table1[[#This Row], [ROOM TIME]]+Table1[[#This Row], [GUARD TIME]]</f>
        <v>43.944444444444436</v>
      </c>
      <c r="R668" s="4">
        <f>Sheet1!$K$3*_xlfn.XLOOKUP(Table1[[#This Row], [DISGUISE]],Sheet1!$A$21:$A$23,Sheet1!$D$21:$D$23)</f>
        <v>66</v>
      </c>
      <c r="S668" s="9">
        <f>Table1[[#This Row], [TOTAL TIME]]-Table1[[#This Row], [TOTAL TIME TAKEN]]</f>
        <v>22.055555555555564</v>
      </c>
      <c r="T668" t="str">
        <f>IF(Table1[[#This Row], [TIME DIFFERENCE]]&gt;=0,"PASS","FAIL")</f>
        <v>PASS</v>
      </c>
      <c r="U668" s="9">
        <f>Table1[[#This Row], [TRC]]+Table1[[#This Row], [DRC]]+Table1[[#This Row], [WRC]]+Table1[[#This Row], [ERC]]+Table1[[#This Row], [EQRC]]</f>
        <v>8082601.25</v>
      </c>
      <c r="V668" s="9">
        <f>Table1[[#This Row], [TOTAL COST]]+_xlfn.XLOOKUP(Table1[[#This Row], [TEAM]],Sheet1!$A$12:$A$17,Sheet1!$I$12:$I$17)</f>
        <v>8394538.75</v>
      </c>
      <c r="W668" s="9">
        <f>Table1[[#This Row], [LOOT]]-Table1[[#This Row], [TOTAL COST]]</f>
        <v>9717398.75</v>
      </c>
      <c r="X668" s="9">
        <f>IF(Table1[[#This Row], [PASS/FAIL]]="FAIL",0,Table1[[#This Row], [PROFIT]])</f>
        <v>9717398.75</v>
      </c>
    </row>
    <row r="669" spans="1:24" ht="19.5" customHeight="1" x14ac:dyDescent="0.45">
      <c r="A669" t="s">
        <v>14</v>
      </c>
      <c r="B669" s="14">
        <f>_xlfn.XLOOKUP(Table1[[#This Row], [TEAM]],Sheet1!$A$12:$A$17,Sheet1!$F$12:$F$17)</f>
        <v>2</v>
      </c>
      <c r="C669" s="14">
        <f>_xlfn.XLOOKUP(Table1[[#This Row], [TEAM]],Sheet1!$A$12:$A$17,Sheet1!$G$12:$G$17)</f>
        <v>5949600</v>
      </c>
      <c r="D669" t="s">
        <v>28</v>
      </c>
      <c r="E669" s="4">
        <f>_xlfn.XLOOKUP(Table1[[#This Row], [ROOM]],Sheet1!$A$47:$A$66,Sheet1!$B$47:$B$66)</f>
        <v>156</v>
      </c>
      <c r="F669" t="s">
        <v>62</v>
      </c>
      <c r="G669" s="4">
        <f>_xlfn.XLOOKUP(Table1[[#This Row], [DISGUISE]],Sheet1!$A$21:$A$23,Sheet1!$B$21:$B$23)*Table1[[#This Row], [NUM OF MEM]]*(1+_xlfn.XLOOKUP(Table1[[#This Row], [DISGUISE]],Sheet1!$A$21:$A$23,Sheet1!$C$21:$C$23))</f>
        <v>10400</v>
      </c>
      <c r="H669" s="13" t="s">
        <v>66</v>
      </c>
      <c r="I669" s="4">
        <f>_xlfn.XLOOKUP(Table1[[#This Row], [WEAPON]],Sheet1!$A$27:$A$29,Sheet1!$B$27:$B$29)*Table1[[#This Row], [NUM OF MEM]]*(1+_xlfn.XLOOKUP(Table1[[#This Row], [WEAPON]],Sheet1!$A$27:$A$29,Sheet1!$C$27:$C$29))</f>
        <v>72000</v>
      </c>
      <c r="J669" t="s">
        <v>60</v>
      </c>
      <c r="K669" s="9">
        <f>Table1[[#This Row], [NUM OF MEM]]*Table1[[#This Row], [TOTAL TIME TAKEN]]*_xlfn.XLOOKUP(Table1[[#This Row], [EXIT]],Sheet1!$A$70:$A$71,Sheet1!$B$70:$B$71)*(1+_xlfn.XLOOKUP(Table1[[#This Row], [EXIT]],Sheet1!$A$70:$A$71,Sheet1!$C$70:$C$71))</f>
        <v>1593219.0374999992</v>
      </c>
      <c r="L669" s="13" t="s">
        <v>65</v>
      </c>
      <c r="M669" s="4">
        <f>IF(Table1[[#This Row], [EQUIPMENT]]="YES",Sheet1!$C$44*(1+Sheet1!$D$44),0)</f>
        <v>307500</v>
      </c>
      <c r="N669" s="4">
        <f>_xlfn.XLOOKUP(Table1[[#This Row], [ROOM]],Sheet1!$A$47:$A$66,Sheet1!$F$47:$F$66)</f>
        <v>17650000</v>
      </c>
      <c r="O669" s="9">
        <f>_xlfn.XLOOKUP(_xlfn.CONCAT(Table1[[#This Row], [TEAM]],Table1[[#This Row], [ROOM]]),'ROOM TIME'!$H$2:$H$121,'ROOM TIME'!$J$2:$J$121)</f>
        <v>55.827499999999979</v>
      </c>
      <c r="P669" s="9">
        <f>(INDEX(Sheet1!$X$48:$Z$67,MATCH(Table1[[#This Row], [ROOM]],Sheet1!$P$48:$P$67,0),MATCH(Table1[[#This Row], [WEAPON]],Sheet1!$X$47:$Z$47,0)))/Table1[[#This Row], [NUM OF MEM]]</f>
        <v>6.25</v>
      </c>
      <c r="Q669" s="9">
        <f>Table1[[#This Row], [ROOM TIME]]+Table1[[#This Row], [GUARD TIME]]</f>
        <v>62.077499999999979</v>
      </c>
      <c r="R669" s="4">
        <f>Sheet1!$K$3*_xlfn.XLOOKUP(Table1[[#This Row], [DISGUISE]],Sheet1!$A$21:$A$23,Sheet1!$D$21:$D$23)</f>
        <v>66</v>
      </c>
      <c r="S669" s="9">
        <f>Table1[[#This Row], [TOTAL TIME]]-Table1[[#This Row], [TOTAL TIME TAKEN]]</f>
        <v>3.9225000000000207</v>
      </c>
      <c r="T669" t="str">
        <f>IF(Table1[[#This Row], [TIME DIFFERENCE]]&gt;=0,"PASS","FAIL")</f>
        <v>PASS</v>
      </c>
      <c r="U669" s="9">
        <f>Table1[[#This Row], [TRC]]+Table1[[#This Row], [DRC]]+Table1[[#This Row], [WRC]]+Table1[[#This Row], [ERC]]+Table1[[#This Row], [EQRC]]</f>
        <v>7932719.0374999996</v>
      </c>
      <c r="V669" s="9">
        <f>Table1[[#This Row], [TOTAL COST]]+_xlfn.XLOOKUP(Table1[[#This Row], [TEAM]],Sheet1!$A$12:$A$17,Sheet1!$I$12:$I$17)</f>
        <v>8230199.0374999996</v>
      </c>
      <c r="W669" s="9">
        <f>Table1[[#This Row], [LOOT]]-Table1[[#This Row], [TOTAL COST]]</f>
        <v>9717280.9625000004</v>
      </c>
      <c r="X669" s="9">
        <f>IF(Table1[[#This Row], [PASS/FAIL]]="FAIL",0,Table1[[#This Row], [PROFIT]])</f>
        <v>9717280.9625000004</v>
      </c>
    </row>
    <row r="670" spans="1:24" ht="19.5" customHeight="1" x14ac:dyDescent="0.45">
      <c r="A670" t="s">
        <v>9</v>
      </c>
      <c r="B670" s="14">
        <f>_xlfn.XLOOKUP(Table1[[#This Row], [TEAM]],Sheet1!$A$12:$A$17,Sheet1!$F$12:$F$17)</f>
        <v>3</v>
      </c>
      <c r="C670" s="14">
        <f>_xlfn.XLOOKUP(Table1[[#This Row], [TEAM]],Sheet1!$A$12:$A$17,Sheet1!$G$12:$G$17)</f>
        <v>6238750</v>
      </c>
      <c r="D670" t="s">
        <v>10</v>
      </c>
      <c r="E670" s="4">
        <f>_xlfn.XLOOKUP(Table1[[#This Row], [ROOM]],Sheet1!$A$47:$A$66,Sheet1!$B$47:$B$66)</f>
        <v>123</v>
      </c>
      <c r="F670" t="s">
        <v>58</v>
      </c>
      <c r="G670" s="4">
        <f>_xlfn.XLOOKUP(Table1[[#This Row], [DISGUISE]],Sheet1!$A$21:$A$23,Sheet1!$B$21:$B$23)*Table1[[#This Row], [NUM OF MEM]]*(1+_xlfn.XLOOKUP(Table1[[#This Row], [DISGUISE]],Sheet1!$A$21:$A$23,Sheet1!$C$21:$C$23))</f>
        <v>38400</v>
      </c>
      <c r="H670" s="13" t="s">
        <v>59</v>
      </c>
      <c r="I670" s="4">
        <f>_xlfn.XLOOKUP(Table1[[#This Row], [WEAPON]],Sheet1!$A$27:$A$29,Sheet1!$B$27:$B$29)*Table1[[#This Row], [NUM OF MEM]]*(1+_xlfn.XLOOKUP(Table1[[#This Row], [WEAPON]],Sheet1!$A$27:$A$29,Sheet1!$C$27:$C$29))</f>
        <v>136500</v>
      </c>
      <c r="J670" t="s">
        <v>64</v>
      </c>
      <c r="K670" s="9">
        <f>Table1[[#This Row], [NUM OF MEM]]*Table1[[#This Row], [TOTAL TIME TAKEN]]*_xlfn.XLOOKUP(Table1[[#This Row], [EXIT]],Sheet1!$A$70:$A$71,Sheet1!$B$70:$B$71)*(1+_xlfn.XLOOKUP(Table1[[#This Row], [EXIT]],Sheet1!$A$70:$A$71,Sheet1!$C$70:$C$71))</f>
        <v>1719899.9999999998</v>
      </c>
      <c r="L670" s="13" t="s">
        <v>61</v>
      </c>
      <c r="M670" s="4">
        <f>IF(Table1[[#This Row], [EQUIPMENT]]="YES",Sheet1!$C$44*(1+Sheet1!$D$44),0)</f>
        <v>0</v>
      </c>
      <c r="N670" s="4">
        <f>_xlfn.XLOOKUP(Table1[[#This Row], [ROOM]],Sheet1!$A$47:$A$66,Sheet1!$F$47:$F$66)</f>
        <v>17850000</v>
      </c>
      <c r="O670" s="9">
        <f>_xlfn.XLOOKUP(_xlfn.CONCAT(Table1[[#This Row], [TEAM]],Table1[[#This Row], [ROOM]]),'ROOM TIME'!$H$2:$H$121,'ROOM TIME'!$J$2:$J$121)</f>
        <v>39.636111111111099</v>
      </c>
      <c r="P670" s="9">
        <f>(INDEX(Sheet1!$X$48:$Z$67,MATCH(Table1[[#This Row], [ROOM]],Sheet1!$P$48:$P$67,0),MATCH(Table1[[#This Row], [WEAPON]],Sheet1!$X$47:$Z$47,0)))/Table1[[#This Row], [NUM OF MEM]]</f>
        <v>4.5999999999999996</v>
      </c>
      <c r="Q670" s="9">
        <f>Table1[[#This Row], [ROOM TIME]]+Table1[[#This Row], [GUARD TIME]]</f>
        <v>44.2361111111111</v>
      </c>
      <c r="R670" s="4">
        <f>Sheet1!$K$3*_xlfn.XLOOKUP(Table1[[#This Row], [DISGUISE]],Sheet1!$A$21:$A$23,Sheet1!$D$21:$D$23)</f>
        <v>69</v>
      </c>
      <c r="S670" s="9">
        <f>Table1[[#This Row], [TOTAL TIME]]-Table1[[#This Row], [TOTAL TIME TAKEN]]</f>
        <v>24.7638888888889</v>
      </c>
      <c r="T670" t="str">
        <f>IF(Table1[[#This Row], [TIME DIFFERENCE]]&gt;=0,"PASS","FAIL")</f>
        <v>PASS</v>
      </c>
      <c r="U670" s="4">
        <f>Table1[[#This Row], [TRC]]+Table1[[#This Row], [DRC]]+Table1[[#This Row], [WRC]]+Table1[[#This Row], [ERC]]+Table1[[#This Row], [EQRC]]</f>
        <v>8133550</v>
      </c>
      <c r="V670" s="9">
        <f>Table1[[#This Row], [TOTAL COST]]+_xlfn.XLOOKUP(Table1[[#This Row], [TEAM]],Sheet1!$A$12:$A$17,Sheet1!$I$12:$I$17)</f>
        <v>8445487.5</v>
      </c>
      <c r="W670" s="4">
        <f>Table1[[#This Row], [LOOT]]-Table1[[#This Row], [TOTAL COST]]</f>
        <v>9716450</v>
      </c>
      <c r="X670" s="4">
        <f>IF(Table1[[#This Row], [PASS/FAIL]]="FAIL",0,Table1[[#This Row], [PROFIT]])</f>
        <v>9716450</v>
      </c>
    </row>
    <row r="671" spans="1:24" ht="19.5" customHeight="1" x14ac:dyDescent="0.45">
      <c r="A671" t="s">
        <v>14</v>
      </c>
      <c r="B671" s="14">
        <f>_xlfn.XLOOKUP(Table1[[#This Row], [TEAM]],Sheet1!$A$12:$A$17,Sheet1!$F$12:$F$17)</f>
        <v>2</v>
      </c>
      <c r="C671" s="14">
        <f>_xlfn.XLOOKUP(Table1[[#This Row], [TEAM]],Sheet1!$A$12:$A$17,Sheet1!$G$12:$G$17)</f>
        <v>5949600</v>
      </c>
      <c r="D671" t="s">
        <v>28</v>
      </c>
      <c r="E671" s="4">
        <f>_xlfn.XLOOKUP(Table1[[#This Row], [ROOM]],Sheet1!$A$47:$A$66,Sheet1!$B$47:$B$66)</f>
        <v>156</v>
      </c>
      <c r="F671" t="s">
        <v>58</v>
      </c>
      <c r="G671" s="4">
        <f>_xlfn.XLOOKUP(Table1[[#This Row], [DISGUISE]],Sheet1!$A$21:$A$23,Sheet1!$B$21:$B$23)*Table1[[#This Row], [NUM OF MEM]]*(1+_xlfn.XLOOKUP(Table1[[#This Row], [DISGUISE]],Sheet1!$A$21:$A$23,Sheet1!$C$21:$C$23))</f>
        <v>25600</v>
      </c>
      <c r="H671" s="13" t="s">
        <v>63</v>
      </c>
      <c r="I671" s="4">
        <f>_xlfn.XLOOKUP(Table1[[#This Row], [WEAPON]],Sheet1!$A$27:$A$29,Sheet1!$B$27:$B$29)*Table1[[#This Row], [NUM OF MEM]]*(1+_xlfn.XLOOKUP(Table1[[#This Row], [WEAPON]],Sheet1!$A$27:$A$29,Sheet1!$C$27:$C$29))</f>
        <v>46000</v>
      </c>
      <c r="J671" t="s">
        <v>60</v>
      </c>
      <c r="K671" s="9">
        <f>Table1[[#This Row], [NUM OF MEM]]*Table1[[#This Row], [TOTAL TIME TAKEN]]*_xlfn.XLOOKUP(Table1[[#This Row], [EXIT]],Sheet1!$A$70:$A$71,Sheet1!$B$70:$B$71)*(1+_xlfn.XLOOKUP(Table1[[#This Row], [EXIT]],Sheet1!$A$70:$A$71,Sheet1!$C$70:$C$71))</f>
        <v>1606051.5374999992</v>
      </c>
      <c r="L671" s="13" t="s">
        <v>65</v>
      </c>
      <c r="M671" s="4">
        <f>IF(Table1[[#This Row], [EQUIPMENT]]="YES",Sheet1!$C$44*(1+Sheet1!$D$44),0)</f>
        <v>307500</v>
      </c>
      <c r="N671" s="4">
        <f>_xlfn.XLOOKUP(Table1[[#This Row], [ROOM]],Sheet1!$A$47:$A$66,Sheet1!$F$47:$F$66)</f>
        <v>17650000</v>
      </c>
      <c r="O671" s="9">
        <f>_xlfn.XLOOKUP(_xlfn.CONCAT(Table1[[#This Row], [TEAM]],Table1[[#This Row], [ROOM]]),'ROOM TIME'!$H$2:$H$121,'ROOM TIME'!$J$2:$J$121)</f>
        <v>55.827499999999979</v>
      </c>
      <c r="P671" s="9">
        <f>(INDEX(Sheet1!$X$48:$Z$67,MATCH(Table1[[#This Row], [ROOM]],Sheet1!$P$48:$P$67,0),MATCH(Table1[[#This Row], [WEAPON]],Sheet1!$X$47:$Z$47,0)))/Table1[[#This Row], [NUM OF MEM]]</f>
        <v>6.75</v>
      </c>
      <c r="Q671" s="9">
        <f>Table1[[#This Row], [ROOM TIME]]+Table1[[#This Row], [GUARD TIME]]</f>
        <v>62.577499999999979</v>
      </c>
      <c r="R671" s="4">
        <f>Sheet1!$K$3*_xlfn.XLOOKUP(Table1[[#This Row], [DISGUISE]],Sheet1!$A$21:$A$23,Sheet1!$D$21:$D$23)</f>
        <v>69</v>
      </c>
      <c r="S671" s="9">
        <f>Table1[[#This Row], [TOTAL TIME]]-Table1[[#This Row], [TOTAL TIME TAKEN]]</f>
        <v>6.4225000000000207</v>
      </c>
      <c r="T671" t="str">
        <f>IF(Table1[[#This Row], [TIME DIFFERENCE]]&gt;=0,"PASS","FAIL")</f>
        <v>PASS</v>
      </c>
      <c r="U671" s="9">
        <f>Table1[[#This Row], [TRC]]+Table1[[#This Row], [DRC]]+Table1[[#This Row], [WRC]]+Table1[[#This Row], [ERC]]+Table1[[#This Row], [EQRC]]</f>
        <v>7934751.5374999996</v>
      </c>
      <c r="V671" s="9">
        <f>Table1[[#This Row], [TOTAL COST]]+_xlfn.XLOOKUP(Table1[[#This Row], [TEAM]],Sheet1!$A$12:$A$17,Sheet1!$I$12:$I$17)</f>
        <v>8232231.5374999996</v>
      </c>
      <c r="W671" s="9">
        <f>Table1[[#This Row], [LOOT]]-Table1[[#This Row], [TOTAL COST]]</f>
        <v>9715248.4625000004</v>
      </c>
      <c r="X671" s="9">
        <f>IF(Table1[[#This Row], [PASS/FAIL]]="FAIL",0,Table1[[#This Row], [PROFIT]])</f>
        <v>9715248.4625000004</v>
      </c>
    </row>
    <row r="672" spans="1:24" ht="19.5" customHeight="1" x14ac:dyDescent="0.45">
      <c r="A672" t="s">
        <v>12</v>
      </c>
      <c r="B672" s="14">
        <f>_xlfn.XLOOKUP(Table1[[#This Row], [TEAM]],Sheet1!$A$12:$A$17,Sheet1!$F$12:$F$17)</f>
        <v>3</v>
      </c>
      <c r="C672" s="14">
        <f>_xlfn.XLOOKUP(Table1[[#This Row], [TEAM]],Sheet1!$A$12:$A$17,Sheet1!$G$12:$G$17)</f>
        <v>5988750</v>
      </c>
      <c r="D672" t="s">
        <v>19</v>
      </c>
      <c r="E672" s="4">
        <f>_xlfn.XLOOKUP(Table1[[#This Row], [ROOM]],Sheet1!$A$47:$A$66,Sheet1!$B$47:$B$66)</f>
        <v>135</v>
      </c>
      <c r="F672" t="s">
        <v>58</v>
      </c>
      <c r="G672" s="4">
        <f>_xlfn.XLOOKUP(Table1[[#This Row], [DISGUISE]],Sheet1!$A$21:$A$23,Sheet1!$B$21:$B$23)*Table1[[#This Row], [NUM OF MEM]]*(1+_xlfn.XLOOKUP(Table1[[#This Row], [DISGUISE]],Sheet1!$A$21:$A$23,Sheet1!$C$21:$C$23))</f>
        <v>38400</v>
      </c>
      <c r="H672" s="13" t="s">
        <v>59</v>
      </c>
      <c r="I672" s="4">
        <f>_xlfn.XLOOKUP(Table1[[#This Row], [WEAPON]],Sheet1!$A$27:$A$29,Sheet1!$B$27:$B$29)*Table1[[#This Row], [NUM OF MEM]]*(1+_xlfn.XLOOKUP(Table1[[#This Row], [WEAPON]],Sheet1!$A$27:$A$29,Sheet1!$C$27:$C$29))</f>
        <v>136500</v>
      </c>
      <c r="J672" t="s">
        <v>64</v>
      </c>
      <c r="K672" s="9">
        <f>Table1[[#This Row], [NUM OF MEM]]*Table1[[#This Row], [TOTAL TIME TAKEN]]*_xlfn.XLOOKUP(Table1[[#This Row], [EXIT]],Sheet1!$A$70:$A$71,Sheet1!$B$70:$B$71)*(1+_xlfn.XLOOKUP(Table1[[#This Row], [EXIT]],Sheet1!$A$70:$A$71,Sheet1!$C$70:$C$71))</f>
        <v>1763855.9999999993</v>
      </c>
      <c r="L672" s="13" t="s">
        <v>65</v>
      </c>
      <c r="M672" s="4">
        <f>IF(Table1[[#This Row], [EQUIPMENT]]="YES",Sheet1!$C$44*(1+Sheet1!$D$44),0)</f>
        <v>307500</v>
      </c>
      <c r="N672" s="4">
        <f>_xlfn.XLOOKUP(Table1[[#This Row], [ROOM]],Sheet1!$A$47:$A$66,Sheet1!$F$47:$F$66)</f>
        <v>17950000</v>
      </c>
      <c r="O672" s="9">
        <f>_xlfn.XLOOKUP(_xlfn.CONCAT(Table1[[#This Row], [TEAM]],Table1[[#This Row], [ROOM]]),'ROOM TIME'!$H$2:$H$121,'ROOM TIME'!$J$2:$J$121)</f>
        <v>41.149999999999984</v>
      </c>
      <c r="P672" s="9">
        <f>(INDEX(Sheet1!$X$48:$Z$67,MATCH(Table1[[#This Row], [ROOM]],Sheet1!$P$48:$P$67,0),MATCH(Table1[[#This Row], [WEAPON]],Sheet1!$X$47:$Z$47,0)))/Table1[[#This Row], [NUM OF MEM]]</f>
        <v>4.2166666666666659</v>
      </c>
      <c r="Q672" s="9">
        <f>Table1[[#This Row], [ROOM TIME]]+Table1[[#This Row], [GUARD TIME]]</f>
        <v>45.366666666666653</v>
      </c>
      <c r="R672" s="4">
        <f>Sheet1!$K$3*_xlfn.XLOOKUP(Table1[[#This Row], [DISGUISE]],Sheet1!$A$21:$A$23,Sheet1!$D$21:$D$23)</f>
        <v>69</v>
      </c>
      <c r="S672" s="9">
        <f>Table1[[#This Row], [TOTAL TIME]]-Table1[[#This Row], [TOTAL TIME TAKEN]]</f>
        <v>23.633333333333347</v>
      </c>
      <c r="T672" t="str">
        <f>IF(Table1[[#This Row], [TIME DIFFERENCE]]&gt;=0,"PASS","FAIL")</f>
        <v>PASS</v>
      </c>
      <c r="U672" s="9">
        <f>Table1[[#This Row], [TRC]]+Table1[[#This Row], [DRC]]+Table1[[#This Row], [WRC]]+Table1[[#This Row], [ERC]]+Table1[[#This Row], [EQRC]]</f>
        <v>8235005.9999999991</v>
      </c>
      <c r="V672" s="9">
        <f>Table1[[#This Row], [TOTAL COST]]+_xlfn.XLOOKUP(Table1[[#This Row], [TEAM]],Sheet1!$A$12:$A$17,Sheet1!$I$12:$I$17)</f>
        <v>8534443.5</v>
      </c>
      <c r="W672" s="4">
        <f>Table1[[#This Row], [LOOT]]-Table1[[#This Row], [TOTAL COST]]</f>
        <v>9714994</v>
      </c>
      <c r="X672" s="4">
        <f>IF(Table1[[#This Row], [PASS/FAIL]]="FAIL",0,Table1[[#This Row], [PROFIT]])</f>
        <v>9714994</v>
      </c>
    </row>
    <row r="673" spans="1:24" ht="19.5" customHeight="1" x14ac:dyDescent="0.45">
      <c r="A673" t="s">
        <v>12</v>
      </c>
      <c r="B673" s="14">
        <f>_xlfn.XLOOKUP(Table1[[#This Row], [TEAM]],Sheet1!$A$12:$A$17,Sheet1!$F$12:$F$17)</f>
        <v>3</v>
      </c>
      <c r="C673" s="14">
        <f>_xlfn.XLOOKUP(Table1[[#This Row], [TEAM]],Sheet1!$A$12:$A$17,Sheet1!$G$12:$G$17)</f>
        <v>5988750</v>
      </c>
      <c r="D673" t="s">
        <v>20</v>
      </c>
      <c r="E673" s="4">
        <f>_xlfn.XLOOKUP(Table1[[#This Row], [ROOM]],Sheet1!$A$47:$A$66,Sheet1!$B$47:$B$66)</f>
        <v>145</v>
      </c>
      <c r="F673" t="s">
        <v>58</v>
      </c>
      <c r="G673" s="4">
        <f>_xlfn.XLOOKUP(Table1[[#This Row], [DISGUISE]],Sheet1!$A$21:$A$23,Sheet1!$B$21:$B$23)*Table1[[#This Row], [NUM OF MEM]]*(1+_xlfn.XLOOKUP(Table1[[#This Row], [DISGUISE]],Sheet1!$A$21:$A$23,Sheet1!$C$21:$C$23))</f>
        <v>38400</v>
      </c>
      <c r="H673" s="13" t="s">
        <v>59</v>
      </c>
      <c r="I673" s="4">
        <f>_xlfn.XLOOKUP(Table1[[#This Row], [WEAPON]],Sheet1!$A$27:$A$29,Sheet1!$B$27:$B$29)*Table1[[#This Row], [NUM OF MEM]]*(1+_xlfn.XLOOKUP(Table1[[#This Row], [WEAPON]],Sheet1!$A$27:$A$29,Sheet1!$C$27:$C$29))</f>
        <v>136500</v>
      </c>
      <c r="J673" t="s">
        <v>60</v>
      </c>
      <c r="K673" s="9">
        <f>Table1[[#This Row], [NUM OF MEM]]*Table1[[#This Row], [TOTAL TIME TAKEN]]*_xlfn.XLOOKUP(Table1[[#This Row], [EXIT]],Sheet1!$A$70:$A$71,Sheet1!$B$70:$B$71)*(1+_xlfn.XLOOKUP(Table1[[#This Row], [EXIT]],Sheet1!$A$70:$A$71,Sheet1!$C$70:$C$71))</f>
        <v>1671433.1249999995</v>
      </c>
      <c r="L673" s="13" t="s">
        <v>61</v>
      </c>
      <c r="M673" s="4">
        <f>IF(Table1[[#This Row], [EQUIPMENT]]="YES",Sheet1!$C$44*(1+Sheet1!$D$44),0)</f>
        <v>0</v>
      </c>
      <c r="N673" s="4">
        <f>_xlfn.XLOOKUP(Table1[[#This Row], [ROOM]],Sheet1!$A$47:$A$66,Sheet1!$F$47:$F$66)</f>
        <v>17550000</v>
      </c>
      <c r="O673" s="9">
        <f>_xlfn.XLOOKUP(_xlfn.CONCAT(Table1[[#This Row], [TEAM]],Table1[[#This Row], [ROOM]]),'ROOM TIME'!$H$2:$H$121,'ROOM TIME'!$J$2:$J$121)</f>
        <v>39.583333333333321</v>
      </c>
      <c r="P673" s="9">
        <f>(INDEX(Sheet1!$X$48:$Z$67,MATCH(Table1[[#This Row], [ROOM]],Sheet1!$P$48:$P$67,0),MATCH(Table1[[#This Row], [WEAPON]],Sheet1!$X$47:$Z$47,0)))/Table1[[#This Row], [NUM OF MEM]]</f>
        <v>3.8333333333333335</v>
      </c>
      <c r="Q673" s="9">
        <f>Table1[[#This Row], [ROOM TIME]]+Table1[[#This Row], [GUARD TIME]]</f>
        <v>43.416666666666657</v>
      </c>
      <c r="R673" s="4">
        <f>Sheet1!$K$3*_xlfn.XLOOKUP(Table1[[#This Row], [DISGUISE]],Sheet1!$A$21:$A$23,Sheet1!$D$21:$D$23)</f>
        <v>69</v>
      </c>
      <c r="S673" s="9">
        <f>Table1[[#This Row], [TOTAL TIME]]-Table1[[#This Row], [TOTAL TIME TAKEN]]</f>
        <v>25.583333333333343</v>
      </c>
      <c r="T673" t="str">
        <f>IF(Table1[[#This Row], [TIME DIFFERENCE]]&gt;=0,"PASS","FAIL")</f>
        <v>PASS</v>
      </c>
      <c r="U673" s="9">
        <f>Table1[[#This Row], [TRC]]+Table1[[#This Row], [DRC]]+Table1[[#This Row], [WRC]]+Table1[[#This Row], [ERC]]+Table1[[#This Row], [EQRC]]</f>
        <v>7835083.125</v>
      </c>
      <c r="V673" s="9">
        <f>Table1[[#This Row], [TOTAL COST]]+_xlfn.XLOOKUP(Table1[[#This Row], [TEAM]],Sheet1!$A$12:$A$17,Sheet1!$I$12:$I$17)</f>
        <v>8134520.625</v>
      </c>
      <c r="W673" s="9">
        <f>Table1[[#This Row], [LOOT]]-Table1[[#This Row], [TOTAL COST]]</f>
        <v>9714916.875</v>
      </c>
      <c r="X673" s="9">
        <f>IF(Table1[[#This Row], [PASS/FAIL]]="FAIL",0,Table1[[#This Row], [PROFIT]])</f>
        <v>9714916.875</v>
      </c>
    </row>
    <row r="674" spans="1:24" ht="19.5" customHeight="1" x14ac:dyDescent="0.45">
      <c r="A674" t="s">
        <v>14</v>
      </c>
      <c r="B674" s="14">
        <f>_xlfn.XLOOKUP(Table1[[#This Row], [TEAM]],Sheet1!$A$12:$A$17,Sheet1!$F$12:$F$17)</f>
        <v>2</v>
      </c>
      <c r="C674" s="14">
        <f>_xlfn.XLOOKUP(Table1[[#This Row], [TEAM]],Sheet1!$A$12:$A$17,Sheet1!$G$12:$G$17)</f>
        <v>5949600</v>
      </c>
      <c r="D674" t="s">
        <v>28</v>
      </c>
      <c r="E674" s="4">
        <f>_xlfn.XLOOKUP(Table1[[#This Row], [ROOM]],Sheet1!$A$47:$A$66,Sheet1!$B$47:$B$66)</f>
        <v>156</v>
      </c>
      <c r="F674" t="s">
        <v>62</v>
      </c>
      <c r="G674" s="4">
        <f>_xlfn.XLOOKUP(Table1[[#This Row], [DISGUISE]],Sheet1!$A$21:$A$23,Sheet1!$B$21:$B$23)*Table1[[#This Row], [NUM OF MEM]]*(1+_xlfn.XLOOKUP(Table1[[#This Row], [DISGUISE]],Sheet1!$A$21:$A$23,Sheet1!$C$21:$C$23))</f>
        <v>10400</v>
      </c>
      <c r="H674" s="13" t="s">
        <v>63</v>
      </c>
      <c r="I674" s="4">
        <f>_xlfn.XLOOKUP(Table1[[#This Row], [WEAPON]],Sheet1!$A$27:$A$29,Sheet1!$B$27:$B$29)*Table1[[#This Row], [NUM OF MEM]]*(1+_xlfn.XLOOKUP(Table1[[#This Row], [WEAPON]],Sheet1!$A$27:$A$29,Sheet1!$C$27:$C$29))</f>
        <v>46000</v>
      </c>
      <c r="J674" t="s">
        <v>64</v>
      </c>
      <c r="K674" s="9">
        <f>Table1[[#This Row], [NUM OF MEM]]*Table1[[#This Row], [TOTAL TIME TAKEN]]*_xlfn.XLOOKUP(Table1[[#This Row], [EXIT]],Sheet1!$A$70:$A$71,Sheet1!$B$70:$B$71)*(1+_xlfn.XLOOKUP(Table1[[#This Row], [EXIT]],Sheet1!$A$70:$A$71,Sheet1!$C$70:$C$71))</f>
        <v>1622008.7999999993</v>
      </c>
      <c r="L674" s="13" t="s">
        <v>65</v>
      </c>
      <c r="M674" s="4">
        <f>IF(Table1[[#This Row], [EQUIPMENT]]="YES",Sheet1!$C$44*(1+Sheet1!$D$44),0)</f>
        <v>307500</v>
      </c>
      <c r="N674" s="4">
        <f>_xlfn.XLOOKUP(Table1[[#This Row], [ROOM]],Sheet1!$A$47:$A$66,Sheet1!$F$47:$F$66)</f>
        <v>17650000</v>
      </c>
      <c r="O674" s="9">
        <f>_xlfn.XLOOKUP(_xlfn.CONCAT(Table1[[#This Row], [TEAM]],Table1[[#This Row], [ROOM]]),'ROOM TIME'!$H$2:$H$121,'ROOM TIME'!$J$2:$J$121)</f>
        <v>55.827499999999979</v>
      </c>
      <c r="P674" s="9">
        <f>(INDEX(Sheet1!$X$48:$Z$67,MATCH(Table1[[#This Row], [ROOM]],Sheet1!$P$48:$P$67,0),MATCH(Table1[[#This Row], [WEAPON]],Sheet1!$X$47:$Z$47,0)))/Table1[[#This Row], [NUM OF MEM]]</f>
        <v>6.75</v>
      </c>
      <c r="Q674" s="9">
        <f>Table1[[#This Row], [ROOM TIME]]+Table1[[#This Row], [GUARD TIME]]</f>
        <v>62.577499999999979</v>
      </c>
      <c r="R674" s="4">
        <f>Sheet1!$K$3*_xlfn.XLOOKUP(Table1[[#This Row], [DISGUISE]],Sheet1!$A$21:$A$23,Sheet1!$D$21:$D$23)</f>
        <v>66</v>
      </c>
      <c r="S674" s="9">
        <f>Table1[[#This Row], [TOTAL TIME]]-Table1[[#This Row], [TOTAL TIME TAKEN]]</f>
        <v>3.4225000000000207</v>
      </c>
      <c r="T674" t="str">
        <f>IF(Table1[[#This Row], [TIME DIFFERENCE]]&gt;=0,"PASS","FAIL")</f>
        <v>PASS</v>
      </c>
      <c r="U674" s="9">
        <f>Table1[[#This Row], [TRC]]+Table1[[#This Row], [DRC]]+Table1[[#This Row], [WRC]]+Table1[[#This Row], [ERC]]+Table1[[#This Row], [EQRC]]</f>
        <v>7935508.7999999989</v>
      </c>
      <c r="V674" s="9">
        <f>Table1[[#This Row], [TOTAL COST]]+_xlfn.XLOOKUP(Table1[[#This Row], [TEAM]],Sheet1!$A$12:$A$17,Sheet1!$I$12:$I$17)</f>
        <v>8232988.7999999989</v>
      </c>
      <c r="W674" s="9">
        <f>Table1[[#This Row], [LOOT]]-Table1[[#This Row], [TOTAL COST]]</f>
        <v>9714491.2000000011</v>
      </c>
      <c r="X674" s="9">
        <f>IF(Table1[[#This Row], [PASS/FAIL]]="FAIL",0,Table1[[#This Row], [PROFIT]])</f>
        <v>9714491.2000000011</v>
      </c>
    </row>
    <row r="675" spans="1:24" ht="19.5" customHeight="1" x14ac:dyDescent="0.45">
      <c r="A675" t="s">
        <v>13</v>
      </c>
      <c r="B675" s="14">
        <f>_xlfn.XLOOKUP(Table1[[#This Row], [TEAM]],Sheet1!$A$12:$A$17,Sheet1!$F$12:$F$17)</f>
        <v>3</v>
      </c>
      <c r="C675" s="14">
        <f>_xlfn.XLOOKUP(Table1[[#This Row], [TEAM]],Sheet1!$A$12:$A$17,Sheet1!$G$12:$G$17)</f>
        <v>5930000</v>
      </c>
      <c r="D675" t="s">
        <v>19</v>
      </c>
      <c r="E675" s="4">
        <f>_xlfn.XLOOKUP(Table1[[#This Row], [ROOM]],Sheet1!$A$47:$A$66,Sheet1!$B$47:$B$66)</f>
        <v>135</v>
      </c>
      <c r="F675" t="s">
        <v>58</v>
      </c>
      <c r="G675" s="4">
        <f>_xlfn.XLOOKUP(Table1[[#This Row], [DISGUISE]],Sheet1!$A$21:$A$23,Sheet1!$B$21:$B$23)*Table1[[#This Row], [NUM OF MEM]]*(1+_xlfn.XLOOKUP(Table1[[#This Row], [DISGUISE]],Sheet1!$A$21:$A$23,Sheet1!$C$21:$C$23))</f>
        <v>38400</v>
      </c>
      <c r="H675" s="13" t="s">
        <v>59</v>
      </c>
      <c r="I675" s="4">
        <f>_xlfn.XLOOKUP(Table1[[#This Row], [WEAPON]],Sheet1!$A$27:$A$29,Sheet1!$B$27:$B$29)*Table1[[#This Row], [NUM OF MEM]]*(1+_xlfn.XLOOKUP(Table1[[#This Row], [WEAPON]],Sheet1!$A$27:$A$29,Sheet1!$C$27:$C$29))</f>
        <v>136500</v>
      </c>
      <c r="J675" t="s">
        <v>64</v>
      </c>
      <c r="K675" s="9">
        <f>Table1[[#This Row], [NUM OF MEM]]*Table1[[#This Row], [TOTAL TIME TAKEN]]*_xlfn.XLOOKUP(Table1[[#This Row], [EXIT]],Sheet1!$A$70:$A$71,Sheet1!$B$70:$B$71)*(1+_xlfn.XLOOKUP(Table1[[#This Row], [EXIT]],Sheet1!$A$70:$A$71,Sheet1!$C$70:$C$71))</f>
        <v>1823212.7999999996</v>
      </c>
      <c r="L675" s="13" t="s">
        <v>65</v>
      </c>
      <c r="M675" s="4">
        <f>IF(Table1[[#This Row], [EQUIPMENT]]="YES",Sheet1!$C$44*(1+Sheet1!$D$44),0)</f>
        <v>307500</v>
      </c>
      <c r="N675" s="4">
        <f>_xlfn.XLOOKUP(Table1[[#This Row], [ROOM]],Sheet1!$A$47:$A$66,Sheet1!$F$47:$F$66)</f>
        <v>17950000</v>
      </c>
      <c r="O675" s="9">
        <f>_xlfn.XLOOKUP(_xlfn.CONCAT(Table1[[#This Row], [TEAM]],Table1[[#This Row], [ROOM]]),'ROOM TIME'!$H$2:$H$121,'ROOM TIME'!$J$2:$J$121)</f>
        <v>42.676666666666655</v>
      </c>
      <c r="P675" s="9">
        <f>(INDEX(Sheet1!$X$48:$Z$67,MATCH(Table1[[#This Row], [ROOM]],Sheet1!$P$48:$P$67,0),MATCH(Table1[[#This Row], [WEAPON]],Sheet1!$X$47:$Z$47,0)))/Table1[[#This Row], [NUM OF MEM]]</f>
        <v>4.2166666666666659</v>
      </c>
      <c r="Q675" s="9">
        <f>Table1[[#This Row], [ROOM TIME]]+Table1[[#This Row], [GUARD TIME]]</f>
        <v>46.893333333333324</v>
      </c>
      <c r="R675" s="4">
        <f>Sheet1!$K$3*_xlfn.XLOOKUP(Table1[[#This Row], [DISGUISE]],Sheet1!$A$21:$A$23,Sheet1!$D$21:$D$23)</f>
        <v>69</v>
      </c>
      <c r="S675" s="9">
        <f>Table1[[#This Row], [TOTAL TIME]]-Table1[[#This Row], [TOTAL TIME TAKEN]]</f>
        <v>22.106666666666676</v>
      </c>
      <c r="T675" t="str">
        <f>IF(Table1[[#This Row], [TIME DIFFERENCE]]&gt;=0,"PASS","FAIL")</f>
        <v>PASS</v>
      </c>
      <c r="U675" s="9">
        <f>Table1[[#This Row], [TRC]]+Table1[[#This Row], [DRC]]+Table1[[#This Row], [WRC]]+Table1[[#This Row], [ERC]]+Table1[[#This Row], [EQRC]]</f>
        <v>8235612.7999999998</v>
      </c>
      <c r="V675" s="9">
        <f>Table1[[#This Row], [TOTAL COST]]+_xlfn.XLOOKUP(Table1[[#This Row], [TEAM]],Sheet1!$A$12:$A$17,Sheet1!$I$12:$I$17)</f>
        <v>8532112.8000000007</v>
      </c>
      <c r="W675" s="9">
        <f>Table1[[#This Row], [LOOT]]-Table1[[#This Row], [TOTAL COST]]</f>
        <v>9714387.1999999993</v>
      </c>
      <c r="X675" s="9">
        <f>IF(Table1[[#This Row], [PASS/FAIL]]="FAIL",0,Table1[[#This Row], [PROFIT]])</f>
        <v>9714387.1999999993</v>
      </c>
    </row>
    <row r="676" spans="1:24" ht="19.5" customHeight="1" x14ac:dyDescent="0.45">
      <c r="A676" t="s">
        <v>9</v>
      </c>
      <c r="B676" s="14">
        <f>_xlfn.XLOOKUP(Table1[[#This Row], [TEAM]],Sheet1!$A$12:$A$17,Sheet1!$F$12:$F$17)</f>
        <v>3</v>
      </c>
      <c r="C676" s="14">
        <f>_xlfn.XLOOKUP(Table1[[#This Row], [TEAM]],Sheet1!$A$12:$A$17,Sheet1!$G$12:$G$17)</f>
        <v>6238750</v>
      </c>
      <c r="D676" t="s">
        <v>29</v>
      </c>
      <c r="E676" s="4">
        <f>_xlfn.XLOOKUP(Table1[[#This Row], [ROOM]],Sheet1!$A$47:$A$66,Sheet1!$B$47:$B$66)</f>
        <v>236</v>
      </c>
      <c r="F676" t="s">
        <v>62</v>
      </c>
      <c r="G676" s="4">
        <f>_xlfn.XLOOKUP(Table1[[#This Row], [DISGUISE]],Sheet1!$A$21:$A$23,Sheet1!$B$21:$B$23)*Table1[[#This Row], [NUM OF MEM]]*(1+_xlfn.XLOOKUP(Table1[[#This Row], [DISGUISE]],Sheet1!$A$21:$A$23,Sheet1!$C$21:$C$23))</f>
        <v>15600</v>
      </c>
      <c r="H676" s="13" t="s">
        <v>63</v>
      </c>
      <c r="I676" s="4">
        <f>_xlfn.XLOOKUP(Table1[[#This Row], [WEAPON]],Sheet1!$A$27:$A$29,Sheet1!$B$27:$B$29)*Table1[[#This Row], [NUM OF MEM]]*(1+_xlfn.XLOOKUP(Table1[[#This Row], [WEAPON]],Sheet1!$A$27:$A$29,Sheet1!$C$27:$C$29))</f>
        <v>69000</v>
      </c>
      <c r="J676" t="s">
        <v>60</v>
      </c>
      <c r="K676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1654921.9749999996</v>
      </c>
      <c r="L676" s="13" t="s">
        <v>65</v>
      </c>
      <c r="M676" s="4">
        <f>IF(Table1[[#This Row], [EQUIPMENT]]="YES",Sheet1!$C$44*(1+Sheet1!$D$44),0)</f>
        <v>307500</v>
      </c>
      <c r="N676" s="4">
        <f>_xlfn.XLOOKUP(Table1[[#This Row], [ROOM]],Sheet1!$A$47:$A$66,Sheet1!$F$47:$F$66)</f>
        <v>18000000</v>
      </c>
      <c r="O676" s="9">
        <f>_xlfn.XLOOKUP(_xlfn.CONCAT(Table1[[#This Row], [TEAM]],Table1[[#This Row], [ROOM]]),'ROOM TIME'!$H$2:$H$121,'ROOM TIME'!$J$2:$J$121)</f>
        <v>37.137777777777764</v>
      </c>
      <c r="P676" s="9">
        <f>(INDEX(Sheet1!$X$48:$Z$67,MATCH(Table1[[#This Row], [ROOM]],Sheet1!$P$48:$P$67,0),MATCH(Table1[[#This Row], [WEAPON]],Sheet1!$X$47:$Z$47,0)))/Table1[[#This Row], [NUM OF MEM]]</f>
        <v>5.8500000000000005</v>
      </c>
      <c r="Q676" s="9">
        <f>Table1[[#This Row], [ROOM TIME]]+Table1[[#This Row], [GUARD TIME]]</f>
        <v>42.987777777777765</v>
      </c>
      <c r="R676" s="4">
        <f>Sheet1!$K$3*_xlfn.XLOOKUP(Table1[[#This Row], [DISGUISE]],Sheet1!$A$21:$A$23,Sheet1!$D$21:$D$23)</f>
        <v>66</v>
      </c>
      <c r="S676" s="9">
        <f>Table1[[#This Row], [TOTAL TIME]]-Table1[[#This Row], [TOTAL TIME TAKEN]]</f>
        <v>23.012222222222235</v>
      </c>
      <c r="T676" t="str">
        <f>IF(Table1[[#This Row], [TIME DIFFERENCE]]&gt;=0,"PASS","FAIL")</f>
        <v>PASS</v>
      </c>
      <c r="U676" s="9">
        <f>Table1[[#This Row], [TRC]]+Table1[[#This Row], [DRC]]+Table1[[#This Row], [WRC]]+Table1[[#This Row], [ERC]]+Table1[[#This Row], [EQRC]]</f>
        <v>8285771.9749999996</v>
      </c>
      <c r="V676" s="9">
        <f>Table1[[#This Row], [TOTAL COST]]+_xlfn.XLOOKUP(Table1[[#This Row], [TEAM]],Sheet1!$A$12:$A$17,Sheet1!$I$12:$I$17)</f>
        <v>8597709.4749999996</v>
      </c>
      <c r="W676" s="9">
        <f>Table1[[#This Row], [LOOT]]-Table1[[#This Row], [TOTAL COST]]</f>
        <v>9714228.0250000004</v>
      </c>
      <c r="X676" s="9">
        <f>IF(Table1[[#This Row], [PASS/FAIL]]="FAIL",0,Table1[[#This Row], [PROFIT]])</f>
        <v>9714228.0250000004</v>
      </c>
    </row>
    <row r="677" spans="1:24" ht="19.5" customHeight="1" x14ac:dyDescent="0.45">
      <c r="A677" t="s">
        <v>9</v>
      </c>
      <c r="B677" s="14">
        <f>_xlfn.XLOOKUP(Table1[[#This Row], [TEAM]],Sheet1!$A$12:$A$17,Sheet1!$F$12:$F$17)</f>
        <v>3</v>
      </c>
      <c r="C677" s="14">
        <f>_xlfn.XLOOKUP(Table1[[#This Row], [TEAM]],Sheet1!$A$12:$A$17,Sheet1!$G$12:$G$17)</f>
        <v>6238750</v>
      </c>
      <c r="D677" t="s">
        <v>22</v>
      </c>
      <c r="E677" s="4">
        <f>_xlfn.XLOOKUP(Table1[[#This Row], [ROOM]],Sheet1!$A$47:$A$66,Sheet1!$B$47:$B$66)</f>
        <v>235</v>
      </c>
      <c r="F677" t="s">
        <v>58</v>
      </c>
      <c r="G677" s="4">
        <f>_xlfn.XLOOKUP(Table1[[#This Row], [DISGUISE]],Sheet1!$A$21:$A$23,Sheet1!$B$21:$B$23)*Table1[[#This Row], [NUM OF MEM]]*(1+_xlfn.XLOOKUP(Table1[[#This Row], [DISGUISE]],Sheet1!$A$21:$A$23,Sheet1!$C$21:$C$23))</f>
        <v>38400</v>
      </c>
      <c r="H677" s="13" t="s">
        <v>63</v>
      </c>
      <c r="I677" s="4">
        <f>_xlfn.XLOOKUP(Table1[[#This Row], [WEAPON]],Sheet1!$A$27:$A$29,Sheet1!$B$27:$B$29)*Table1[[#This Row], [NUM OF MEM]]*(1+_xlfn.XLOOKUP(Table1[[#This Row], [WEAPON]],Sheet1!$A$27:$A$29,Sheet1!$C$27:$C$29))</f>
        <v>69000</v>
      </c>
      <c r="J677" t="s">
        <v>64</v>
      </c>
      <c r="K677" s="9">
        <f>Table1[[#This Row], [NUM OF MEM]]*Table1[[#This Row], [TOTAL TIME TAKEN]]*_xlfn.XLOOKUP(Table1[[#This Row], [EXIT]],Sheet1!$A$70:$A$71,Sheet1!$B$70:$B$71)*(1+_xlfn.XLOOKUP(Table1[[#This Row], [EXIT]],Sheet1!$A$70:$A$71,Sheet1!$C$70:$C$71))</f>
        <v>1739663.9999999993</v>
      </c>
      <c r="L677" s="13" t="s">
        <v>61</v>
      </c>
      <c r="M677" s="4">
        <f>IF(Table1[[#This Row], [EQUIPMENT]]="YES",Sheet1!$C$44*(1+Sheet1!$D$44),0)</f>
        <v>0</v>
      </c>
      <c r="N677" s="4">
        <f>_xlfn.XLOOKUP(Table1[[#This Row], [ROOM]],Sheet1!$A$47:$A$66,Sheet1!$F$47:$F$66)</f>
        <v>17800000</v>
      </c>
      <c r="O677" s="9">
        <f>_xlfn.XLOOKUP(_xlfn.CONCAT(Table1[[#This Row], [TEAM]],Table1[[#This Row], [ROOM]]),'ROOM TIME'!$H$2:$H$121,'ROOM TIME'!$J$2:$J$121)</f>
        <v>39.344444444444434</v>
      </c>
      <c r="P677" s="9">
        <f>(INDEX(Sheet1!$X$48:$Z$67,MATCH(Table1[[#This Row], [ROOM]],Sheet1!$P$48:$P$67,0),MATCH(Table1[[#This Row], [WEAPON]],Sheet1!$X$47:$Z$47,0)))/Table1[[#This Row], [NUM OF MEM]]</f>
        <v>5.4000000000000012</v>
      </c>
      <c r="Q677" s="9">
        <f>Table1[[#This Row], [ROOM TIME]]+Table1[[#This Row], [GUARD TIME]]</f>
        <v>44.744444444444433</v>
      </c>
      <c r="R677" s="4">
        <f>Sheet1!$K$3*_xlfn.XLOOKUP(Table1[[#This Row], [DISGUISE]],Sheet1!$A$21:$A$23,Sheet1!$D$21:$D$23)</f>
        <v>69</v>
      </c>
      <c r="S677" s="9">
        <f>Table1[[#This Row], [TOTAL TIME]]-Table1[[#This Row], [TOTAL TIME TAKEN]]</f>
        <v>24.255555555555567</v>
      </c>
      <c r="T677" t="str">
        <f>IF(Table1[[#This Row], [TIME DIFFERENCE]]&gt;=0,"PASS","FAIL")</f>
        <v>PASS</v>
      </c>
      <c r="U677" s="9">
        <f>Table1[[#This Row], [TRC]]+Table1[[#This Row], [DRC]]+Table1[[#This Row], [WRC]]+Table1[[#This Row], [ERC]]+Table1[[#This Row], [EQRC]]</f>
        <v>8085813.9999999991</v>
      </c>
      <c r="V677" s="9">
        <f>Table1[[#This Row], [TOTAL COST]]+_xlfn.XLOOKUP(Table1[[#This Row], [TEAM]],Sheet1!$A$12:$A$17,Sheet1!$I$12:$I$17)</f>
        <v>8397751.5</v>
      </c>
      <c r="W677" s="4">
        <f>Table1[[#This Row], [LOOT]]-Table1[[#This Row], [TOTAL COST]]</f>
        <v>9714186</v>
      </c>
      <c r="X677" s="4">
        <f>IF(Table1[[#This Row], [PASS/FAIL]]="FAIL",0,Table1[[#This Row], [PROFIT]])</f>
        <v>9714186</v>
      </c>
    </row>
    <row r="678" spans="1:24" ht="19.5" customHeight="1" x14ac:dyDescent="0.45">
      <c r="A678" t="s">
        <v>13</v>
      </c>
      <c r="B678" s="14">
        <f>_xlfn.XLOOKUP(Table1[[#This Row], [TEAM]],Sheet1!$A$12:$A$17,Sheet1!$F$12:$F$17)</f>
        <v>3</v>
      </c>
      <c r="C678" s="14">
        <f>_xlfn.XLOOKUP(Table1[[#This Row], [TEAM]],Sheet1!$A$12:$A$17,Sheet1!$G$12:$G$17)</f>
        <v>5930000</v>
      </c>
      <c r="D678" t="s">
        <v>20</v>
      </c>
      <c r="E678" s="4">
        <f>_xlfn.XLOOKUP(Table1[[#This Row], [ROOM]],Sheet1!$A$47:$A$66,Sheet1!$B$47:$B$66)</f>
        <v>145</v>
      </c>
      <c r="F678" t="s">
        <v>58</v>
      </c>
      <c r="G678" s="4">
        <f>_xlfn.XLOOKUP(Table1[[#This Row], [DISGUISE]],Sheet1!$A$21:$A$23,Sheet1!$B$21:$B$23)*Table1[[#This Row], [NUM OF MEM]]*(1+_xlfn.XLOOKUP(Table1[[#This Row], [DISGUISE]],Sheet1!$A$21:$A$23,Sheet1!$C$21:$C$23))</f>
        <v>38400</v>
      </c>
      <c r="H678" s="13" t="s">
        <v>66</v>
      </c>
      <c r="I678" s="4">
        <f>_xlfn.XLOOKUP(Table1[[#This Row], [WEAPON]],Sheet1!$A$27:$A$29,Sheet1!$B$27:$B$29)*Table1[[#This Row], [NUM OF MEM]]*(1+_xlfn.XLOOKUP(Table1[[#This Row], [WEAPON]],Sheet1!$A$27:$A$29,Sheet1!$C$27:$C$29))</f>
        <v>108000</v>
      </c>
      <c r="J678" t="s">
        <v>60</v>
      </c>
      <c r="K678" s="9">
        <f>Table1[[#This Row], [NUM OF MEM]]*Table1[[#This Row], [TOTAL TIME TAKEN]]*_xlfn.XLOOKUP(Table1[[#This Row], [EXIT]],Sheet1!$A$70:$A$71,Sheet1!$B$70:$B$71)*(1+_xlfn.XLOOKUP(Table1[[#This Row], [EXIT]],Sheet1!$A$70:$A$71,Sheet1!$C$70:$C$71))</f>
        <v>1759720.7249999996</v>
      </c>
      <c r="L678" s="13" t="s">
        <v>61</v>
      </c>
      <c r="M678" s="4">
        <f>IF(Table1[[#This Row], [EQUIPMENT]]="YES",Sheet1!$C$44*(1+Sheet1!$D$44),0)</f>
        <v>0</v>
      </c>
      <c r="N678" s="4">
        <f>_xlfn.XLOOKUP(Table1[[#This Row], [ROOM]],Sheet1!$A$47:$A$66,Sheet1!$F$47:$F$66)</f>
        <v>17550000</v>
      </c>
      <c r="O678" s="9">
        <f>_xlfn.XLOOKUP(_xlfn.CONCAT(Table1[[#This Row], [TEAM]],Table1[[#This Row], [ROOM]]),'ROOM TIME'!$H$2:$H$121,'ROOM TIME'!$J$2:$J$121)</f>
        <v>41.543333333333322</v>
      </c>
      <c r="P678" s="9">
        <f>(INDEX(Sheet1!$X$48:$Z$67,MATCH(Table1[[#This Row], [ROOM]],Sheet1!$P$48:$P$67,0),MATCH(Table1[[#This Row], [WEAPON]],Sheet1!$X$47:$Z$47,0)))/Table1[[#This Row], [NUM OF MEM]]</f>
        <v>4.166666666666667</v>
      </c>
      <c r="Q678" s="9">
        <f>Table1[[#This Row], [ROOM TIME]]+Table1[[#This Row], [GUARD TIME]]</f>
        <v>45.709999999999987</v>
      </c>
      <c r="R678" s="4">
        <f>Sheet1!$K$3*_xlfn.XLOOKUP(Table1[[#This Row], [DISGUISE]],Sheet1!$A$21:$A$23,Sheet1!$D$21:$D$23)</f>
        <v>69</v>
      </c>
      <c r="S678" s="9">
        <f>Table1[[#This Row], [TOTAL TIME]]-Table1[[#This Row], [TOTAL TIME TAKEN]]</f>
        <v>23.290000000000013</v>
      </c>
      <c r="T678" t="str">
        <f>IF(Table1[[#This Row], [TIME DIFFERENCE]]&gt;=0,"PASS","FAIL")</f>
        <v>PASS</v>
      </c>
      <c r="U678" s="9">
        <f>Table1[[#This Row], [TRC]]+Table1[[#This Row], [DRC]]+Table1[[#This Row], [WRC]]+Table1[[#This Row], [ERC]]+Table1[[#This Row], [EQRC]]</f>
        <v>7836120.7249999996</v>
      </c>
      <c r="V678" s="9">
        <f>Table1[[#This Row], [TOTAL COST]]+_xlfn.XLOOKUP(Table1[[#This Row], [TEAM]],Sheet1!$A$12:$A$17,Sheet1!$I$12:$I$17)</f>
        <v>8132620.7249999996</v>
      </c>
      <c r="W678" s="9">
        <f>Table1[[#This Row], [LOOT]]-Table1[[#This Row], [TOTAL COST]]</f>
        <v>9713879.2750000004</v>
      </c>
      <c r="X678" s="9">
        <f>IF(Table1[[#This Row], [PASS/FAIL]]="FAIL",0,Table1[[#This Row], [PROFIT]])</f>
        <v>9713879.2750000004</v>
      </c>
    </row>
    <row r="679" spans="1:24" ht="19.5" customHeight="1" x14ac:dyDescent="0.45">
      <c r="A679" t="s">
        <v>12</v>
      </c>
      <c r="B679" s="14">
        <f>_xlfn.XLOOKUP(Table1[[#This Row], [TEAM]],Sheet1!$A$12:$A$17,Sheet1!$F$12:$F$17)</f>
        <v>3</v>
      </c>
      <c r="C679" s="14">
        <f>_xlfn.XLOOKUP(Table1[[#This Row], [TEAM]],Sheet1!$A$12:$A$17,Sheet1!$G$12:$G$17)</f>
        <v>5988750</v>
      </c>
      <c r="D679" t="s">
        <v>20</v>
      </c>
      <c r="E679" s="4">
        <f>_xlfn.XLOOKUP(Table1[[#This Row], [ROOM]],Sheet1!$A$47:$A$66,Sheet1!$B$47:$B$66)</f>
        <v>145</v>
      </c>
      <c r="F679" t="s">
        <v>58</v>
      </c>
      <c r="G679" s="4">
        <f>_xlfn.XLOOKUP(Table1[[#This Row], [DISGUISE]],Sheet1!$A$21:$A$23,Sheet1!$B$21:$B$23)*Table1[[#This Row], [NUM OF MEM]]*(1+_xlfn.XLOOKUP(Table1[[#This Row], [DISGUISE]],Sheet1!$A$21:$A$23,Sheet1!$C$21:$C$23))</f>
        <v>38400</v>
      </c>
      <c r="H679" s="13" t="s">
        <v>66</v>
      </c>
      <c r="I679" s="4">
        <f>_xlfn.XLOOKUP(Table1[[#This Row], [WEAPON]],Sheet1!$A$27:$A$29,Sheet1!$B$27:$B$29)*Table1[[#This Row], [NUM OF MEM]]*(1+_xlfn.XLOOKUP(Table1[[#This Row], [WEAPON]],Sheet1!$A$27:$A$29,Sheet1!$C$27:$C$29))</f>
        <v>108000</v>
      </c>
      <c r="J679" t="s">
        <v>64</v>
      </c>
      <c r="K679" s="9">
        <f>Table1[[#This Row], [NUM OF MEM]]*Table1[[#This Row], [TOTAL TIME TAKEN]]*_xlfn.XLOOKUP(Table1[[#This Row], [EXIT]],Sheet1!$A$70:$A$71,Sheet1!$B$70:$B$71)*(1+_xlfn.XLOOKUP(Table1[[#This Row], [EXIT]],Sheet1!$A$70:$A$71,Sheet1!$C$70:$C$71))</f>
        <v>1700999.9999999991</v>
      </c>
      <c r="L679" s="13" t="s">
        <v>61</v>
      </c>
      <c r="M679" s="4">
        <f>IF(Table1[[#This Row], [EQUIPMENT]]="YES",Sheet1!$C$44*(1+Sheet1!$D$44),0)</f>
        <v>0</v>
      </c>
      <c r="N679" s="4">
        <f>_xlfn.XLOOKUP(Table1[[#This Row], [ROOM]],Sheet1!$A$47:$A$66,Sheet1!$F$47:$F$66)</f>
        <v>17550000</v>
      </c>
      <c r="O679" s="9">
        <f>_xlfn.XLOOKUP(_xlfn.CONCAT(Table1[[#This Row], [TEAM]],Table1[[#This Row], [ROOM]]),'ROOM TIME'!$H$2:$H$121,'ROOM TIME'!$J$2:$J$121)</f>
        <v>39.583333333333321</v>
      </c>
      <c r="P679" s="9">
        <f>(INDEX(Sheet1!$X$48:$Z$67,MATCH(Table1[[#This Row], [ROOM]],Sheet1!$P$48:$P$67,0),MATCH(Table1[[#This Row], [WEAPON]],Sheet1!$X$47:$Z$47,0)))/Table1[[#This Row], [NUM OF MEM]]</f>
        <v>4.166666666666667</v>
      </c>
      <c r="Q679" s="9">
        <f>Table1[[#This Row], [ROOM TIME]]+Table1[[#This Row], [GUARD TIME]]</f>
        <v>43.749999999999986</v>
      </c>
      <c r="R679" s="4">
        <f>Sheet1!$K$3*_xlfn.XLOOKUP(Table1[[#This Row], [DISGUISE]],Sheet1!$A$21:$A$23,Sheet1!$D$21:$D$23)</f>
        <v>69</v>
      </c>
      <c r="S679" s="9">
        <f>Table1[[#This Row], [TOTAL TIME]]-Table1[[#This Row], [TOTAL TIME TAKEN]]</f>
        <v>25.250000000000014</v>
      </c>
      <c r="T679" t="str">
        <f>IF(Table1[[#This Row], [TIME DIFFERENCE]]&gt;=0,"PASS","FAIL")</f>
        <v>PASS</v>
      </c>
      <c r="U679" s="9">
        <f>Table1[[#This Row], [TRC]]+Table1[[#This Row], [DRC]]+Table1[[#This Row], [WRC]]+Table1[[#This Row], [ERC]]+Table1[[#This Row], [EQRC]]</f>
        <v>7836149.9999999991</v>
      </c>
      <c r="V679" s="9">
        <f>Table1[[#This Row], [TOTAL COST]]+_xlfn.XLOOKUP(Table1[[#This Row], [TEAM]],Sheet1!$A$12:$A$17,Sheet1!$I$12:$I$17)</f>
        <v>8135587.4999999991</v>
      </c>
      <c r="W679" s="4">
        <f>Table1[[#This Row], [LOOT]]-Table1[[#This Row], [TOTAL COST]]</f>
        <v>9713850</v>
      </c>
      <c r="X679" s="4">
        <f>IF(Table1[[#This Row], [PASS/FAIL]]="FAIL",0,Table1[[#This Row], [PROFIT]])</f>
        <v>9713850</v>
      </c>
    </row>
    <row r="680" spans="1:24" ht="19.5" customHeight="1" x14ac:dyDescent="0.45">
      <c r="A680" t="s">
        <v>9</v>
      </c>
      <c r="B680" s="14">
        <f>_xlfn.XLOOKUP(Table1[[#This Row], [TEAM]],Sheet1!$A$12:$A$17,Sheet1!$F$12:$F$17)</f>
        <v>3</v>
      </c>
      <c r="C680" s="14">
        <f>_xlfn.XLOOKUP(Table1[[#This Row], [TEAM]],Sheet1!$A$12:$A$17,Sheet1!$G$12:$G$17)</f>
        <v>6238750</v>
      </c>
      <c r="D680" t="s">
        <v>22</v>
      </c>
      <c r="E680" s="4">
        <f>_xlfn.XLOOKUP(Table1[[#This Row], [ROOM]],Sheet1!$A$47:$A$66,Sheet1!$B$47:$B$66)</f>
        <v>235</v>
      </c>
      <c r="F680" t="s">
        <v>62</v>
      </c>
      <c r="G680" s="4">
        <f>_xlfn.XLOOKUP(Table1[[#This Row], [DISGUISE]],Sheet1!$A$21:$A$23,Sheet1!$B$21:$B$23)*Table1[[#This Row], [NUM OF MEM]]*(1+_xlfn.XLOOKUP(Table1[[#This Row], [DISGUISE]],Sheet1!$A$21:$A$23,Sheet1!$C$21:$C$23))</f>
        <v>15600</v>
      </c>
      <c r="H680" s="13" t="s">
        <v>66</v>
      </c>
      <c r="I680" s="4">
        <f>_xlfn.XLOOKUP(Table1[[#This Row], [WEAPON]],Sheet1!$A$27:$A$29,Sheet1!$B$27:$B$29)*Table1[[#This Row], [NUM OF MEM]]*(1+_xlfn.XLOOKUP(Table1[[#This Row], [WEAPON]],Sheet1!$A$27:$A$29,Sheet1!$C$27:$C$29))</f>
        <v>108000</v>
      </c>
      <c r="J680" t="s">
        <v>64</v>
      </c>
      <c r="K680" s="9">
        <f>Table1[[#This Row], [NUM OF MEM]]*Table1[[#This Row], [TOTAL TIME TAKEN]]*_xlfn.XLOOKUP(Table1[[#This Row], [EXIT]],Sheet1!$A$70:$A$71,Sheet1!$B$70:$B$71)*(1+_xlfn.XLOOKUP(Table1[[#This Row], [EXIT]],Sheet1!$A$70:$A$71,Sheet1!$C$70:$C$71))</f>
        <v>1724111.9999999998</v>
      </c>
      <c r="L680" s="13" t="s">
        <v>61</v>
      </c>
      <c r="M680" s="4">
        <f>IF(Table1[[#This Row], [EQUIPMENT]]="YES",Sheet1!$C$44*(1+Sheet1!$D$44),0)</f>
        <v>0</v>
      </c>
      <c r="N680" s="4">
        <f>_xlfn.XLOOKUP(Table1[[#This Row], [ROOM]],Sheet1!$A$47:$A$66,Sheet1!$F$47:$F$66)</f>
        <v>17800000</v>
      </c>
      <c r="O680" s="9">
        <f>_xlfn.XLOOKUP(_xlfn.CONCAT(Table1[[#This Row], [TEAM]],Table1[[#This Row], [ROOM]]),'ROOM TIME'!$H$2:$H$121,'ROOM TIME'!$J$2:$J$121)</f>
        <v>39.344444444444434</v>
      </c>
      <c r="P680" s="4">
        <f>(INDEX(Sheet1!$X$48:$Z$67,MATCH(Table1[[#This Row], [ROOM]],Sheet1!$P$48:$P$67,0),MATCH(Table1[[#This Row], [WEAPON]],Sheet1!$X$47:$Z$47,0)))/Table1[[#This Row], [NUM OF MEM]]</f>
        <v>5</v>
      </c>
      <c r="Q680" s="9">
        <f>Table1[[#This Row], [ROOM TIME]]+Table1[[#This Row], [GUARD TIME]]</f>
        <v>44.344444444444434</v>
      </c>
      <c r="R680" s="4">
        <f>Sheet1!$K$3*_xlfn.XLOOKUP(Table1[[#This Row], [DISGUISE]],Sheet1!$A$21:$A$23,Sheet1!$D$21:$D$23)</f>
        <v>66</v>
      </c>
      <c r="S680" s="9">
        <f>Table1[[#This Row], [TOTAL TIME]]-Table1[[#This Row], [TOTAL TIME TAKEN]]</f>
        <v>21.655555555555566</v>
      </c>
      <c r="T680" t="str">
        <f>IF(Table1[[#This Row], [TIME DIFFERENCE]]&gt;=0,"PASS","FAIL")</f>
        <v>PASS</v>
      </c>
      <c r="U680" s="4">
        <f>Table1[[#This Row], [TRC]]+Table1[[#This Row], [DRC]]+Table1[[#This Row], [WRC]]+Table1[[#This Row], [ERC]]+Table1[[#This Row], [EQRC]]</f>
        <v>8086462</v>
      </c>
      <c r="V680" s="9">
        <f>Table1[[#This Row], [TOTAL COST]]+_xlfn.XLOOKUP(Table1[[#This Row], [TEAM]],Sheet1!$A$12:$A$17,Sheet1!$I$12:$I$17)</f>
        <v>8398399.5</v>
      </c>
      <c r="W680" s="4">
        <f>Table1[[#This Row], [LOOT]]-Table1[[#This Row], [TOTAL COST]]</f>
        <v>9713538</v>
      </c>
      <c r="X680" s="4">
        <f>IF(Table1[[#This Row], [PASS/FAIL]]="FAIL",0,Table1[[#This Row], [PROFIT]])</f>
        <v>9713538</v>
      </c>
    </row>
    <row r="681" spans="1:24" ht="19.5" customHeight="1" x14ac:dyDescent="0.45">
      <c r="A681" t="s">
        <v>12</v>
      </c>
      <c r="B681" s="14">
        <f>_xlfn.XLOOKUP(Table1[[#This Row], [TEAM]],Sheet1!$A$12:$A$17,Sheet1!$F$12:$F$17)</f>
        <v>3</v>
      </c>
      <c r="C681" s="14">
        <f>_xlfn.XLOOKUP(Table1[[#This Row], [TEAM]],Sheet1!$A$12:$A$17,Sheet1!$G$12:$G$17)</f>
        <v>5988750</v>
      </c>
      <c r="D681" t="s">
        <v>34</v>
      </c>
      <c r="E681" s="4">
        <f>_xlfn.XLOOKUP(Table1[[#This Row], [ROOM]],Sheet1!$A$47:$A$66,Sheet1!$B$47:$B$66)</f>
        <v>456</v>
      </c>
      <c r="F681" t="s">
        <v>62</v>
      </c>
      <c r="G681" s="4">
        <f>_xlfn.XLOOKUP(Table1[[#This Row], [DISGUISE]],Sheet1!$A$21:$A$23,Sheet1!$B$21:$B$23)*Table1[[#This Row], [NUM OF MEM]]*(1+_xlfn.XLOOKUP(Table1[[#This Row], [DISGUISE]],Sheet1!$A$21:$A$23,Sheet1!$C$21:$C$23))</f>
        <v>15600</v>
      </c>
      <c r="H681" s="13" t="s">
        <v>63</v>
      </c>
      <c r="I681" s="4">
        <f>_xlfn.XLOOKUP(Table1[[#This Row], [WEAPON]],Sheet1!$A$27:$A$29,Sheet1!$B$27:$B$29)*Table1[[#This Row], [NUM OF MEM]]*(1+_xlfn.XLOOKUP(Table1[[#This Row], [WEAPON]],Sheet1!$A$27:$A$29,Sheet1!$C$27:$C$29))</f>
        <v>69000</v>
      </c>
      <c r="J681" t="s">
        <v>60</v>
      </c>
      <c r="K681" s="9">
        <f>Table1[[#This Row], [NUM OF MEM]]*Table1[[#This Row], [TOTAL TIME TAKEN]]*_xlfn.XLOOKUP(Table1[[#This Row], [EXIT]],Sheet1!$A$70:$A$71,Sheet1!$B$70:$B$71)*(1+_xlfn.XLOOKUP(Table1[[#This Row], [EXIT]],Sheet1!$A$70:$A$71,Sheet1!$C$70:$C$71))</f>
        <v>1605901.8249999993</v>
      </c>
      <c r="L681" s="13" t="s">
        <v>65</v>
      </c>
      <c r="M681" s="4">
        <f>IF(Table1[[#This Row], [EQUIPMENT]]="YES",Sheet1!$C$44*(1+Sheet1!$D$44),0)</f>
        <v>307500</v>
      </c>
      <c r="N681" s="4">
        <f>_xlfn.XLOOKUP(Table1[[#This Row], [ROOM]],Sheet1!$A$47:$A$66,Sheet1!$F$47:$F$66)</f>
        <v>17700000</v>
      </c>
      <c r="O681" s="9">
        <f>_xlfn.XLOOKUP(_xlfn.CONCAT(Table1[[#This Row], [TEAM]],Table1[[#This Row], [ROOM]]),'ROOM TIME'!$H$2:$H$121,'ROOM TIME'!$J$2:$J$121)</f>
        <v>36.764444444444429</v>
      </c>
      <c r="P681" s="9">
        <f>(INDEX(Sheet1!$X$48:$Z$67,MATCH(Table1[[#This Row], [ROOM]],Sheet1!$P$48:$P$67,0),MATCH(Table1[[#This Row], [WEAPON]],Sheet1!$X$47:$Z$47,0)))/Table1[[#This Row], [NUM OF MEM]]</f>
        <v>4.95</v>
      </c>
      <c r="Q681" s="9">
        <f>Table1[[#This Row], [ROOM TIME]]+Table1[[#This Row], [GUARD TIME]]</f>
        <v>41.714444444444432</v>
      </c>
      <c r="R681" s="4">
        <f>Sheet1!$K$3*_xlfn.XLOOKUP(Table1[[#This Row], [DISGUISE]],Sheet1!$A$21:$A$23,Sheet1!$D$21:$D$23)</f>
        <v>66</v>
      </c>
      <c r="S681" s="9">
        <f>Table1[[#This Row], [TOTAL TIME]]-Table1[[#This Row], [TOTAL TIME TAKEN]]</f>
        <v>24.285555555555568</v>
      </c>
      <c r="T681" t="str">
        <f>IF(Table1[[#This Row], [TIME DIFFERENCE]]&gt;=0,"PASS","FAIL")</f>
        <v>PASS</v>
      </c>
      <c r="U681" s="9">
        <f>Table1[[#This Row], [TRC]]+Table1[[#This Row], [DRC]]+Table1[[#This Row], [WRC]]+Table1[[#This Row], [ERC]]+Table1[[#This Row], [EQRC]]</f>
        <v>7986751.8249999993</v>
      </c>
      <c r="V681" s="9">
        <f>Table1[[#This Row], [TOTAL COST]]+_xlfn.XLOOKUP(Table1[[#This Row], [TEAM]],Sheet1!$A$12:$A$17,Sheet1!$I$12:$I$17)</f>
        <v>8286189.3249999993</v>
      </c>
      <c r="W681" s="9">
        <f>Table1[[#This Row], [LOOT]]-Table1[[#This Row], [TOTAL COST]]</f>
        <v>9713248.1750000007</v>
      </c>
      <c r="X681" s="9">
        <f>IF(Table1[[#This Row], [PASS/FAIL]]="FAIL",0,Table1[[#This Row], [PROFIT]])</f>
        <v>9713248.1750000007</v>
      </c>
    </row>
    <row r="682" spans="1:24" ht="19.5" customHeight="1" x14ac:dyDescent="0.45">
      <c r="A682" t="s">
        <v>13</v>
      </c>
      <c r="B682" s="14">
        <f>_xlfn.XLOOKUP(Table1[[#This Row], [TEAM]],Sheet1!$A$12:$A$17,Sheet1!$F$12:$F$17)</f>
        <v>3</v>
      </c>
      <c r="C682" s="14">
        <f>_xlfn.XLOOKUP(Table1[[#This Row], [TEAM]],Sheet1!$A$12:$A$17,Sheet1!$G$12:$G$17)</f>
        <v>5930000</v>
      </c>
      <c r="D682" t="s">
        <v>27</v>
      </c>
      <c r="E682" s="4">
        <f>_xlfn.XLOOKUP(Table1[[#This Row], [ROOM]],Sheet1!$A$47:$A$66,Sheet1!$B$47:$B$66)</f>
        <v>146</v>
      </c>
      <c r="F682" t="s">
        <v>58</v>
      </c>
      <c r="G682" s="4">
        <f>_xlfn.XLOOKUP(Table1[[#This Row], [DISGUISE]],Sheet1!$A$21:$A$23,Sheet1!$B$21:$B$23)*Table1[[#This Row], [NUM OF MEM]]*(1+_xlfn.XLOOKUP(Table1[[#This Row], [DISGUISE]],Sheet1!$A$21:$A$23,Sheet1!$C$21:$C$23))</f>
        <v>38400</v>
      </c>
      <c r="H682" s="13" t="s">
        <v>63</v>
      </c>
      <c r="I682" s="4">
        <f>_xlfn.XLOOKUP(Table1[[#This Row], [WEAPON]],Sheet1!$A$27:$A$29,Sheet1!$B$27:$B$29)*Table1[[#This Row], [NUM OF MEM]]*(1+_xlfn.XLOOKUP(Table1[[#This Row], [WEAPON]],Sheet1!$A$27:$A$29,Sheet1!$C$27:$C$29))</f>
        <v>69000</v>
      </c>
      <c r="J682" t="s">
        <v>60</v>
      </c>
      <c r="K682" s="9">
        <f>Table1[[#This Row], [NUM OF MEM]]*Table1[[#This Row], [TOTAL TIME TAKEN]]*_xlfn.XLOOKUP(Table1[[#This Row], [EXIT]],Sheet1!$A$70:$A$71,Sheet1!$B$70:$B$71)*(1+_xlfn.XLOOKUP(Table1[[#This Row], [EXIT]],Sheet1!$A$70:$A$71,Sheet1!$C$70:$C$71))</f>
        <v>1692606.7499999995</v>
      </c>
      <c r="L682" s="13" t="s">
        <v>65</v>
      </c>
      <c r="M682" s="4">
        <f>IF(Table1[[#This Row], [EQUIPMENT]]="YES",Sheet1!$C$44*(1+Sheet1!$D$44),0)</f>
        <v>307500</v>
      </c>
      <c r="N682" s="4">
        <f>_xlfn.XLOOKUP(Table1[[#This Row], [ROOM]],Sheet1!$A$47:$A$66,Sheet1!$F$47:$F$66)</f>
        <v>17750000</v>
      </c>
      <c r="O682" s="9">
        <f>_xlfn.XLOOKUP(_xlfn.CONCAT(Table1[[#This Row], [TEAM]],Table1[[#This Row], [ROOM]]),'ROOM TIME'!$H$2:$H$121,'ROOM TIME'!$J$2:$J$121)</f>
        <v>39.016666666666659</v>
      </c>
      <c r="P682" s="9">
        <f>(INDEX(Sheet1!$X$48:$Z$67,MATCH(Table1[[#This Row], [ROOM]],Sheet1!$P$48:$P$67,0),MATCH(Table1[[#This Row], [WEAPON]],Sheet1!$X$47:$Z$47,0)))/Table1[[#This Row], [NUM OF MEM]]</f>
        <v>4.95</v>
      </c>
      <c r="Q682" s="9">
        <f>Table1[[#This Row], [ROOM TIME]]+Table1[[#This Row], [GUARD TIME]]</f>
        <v>43.966666666666661</v>
      </c>
      <c r="R682" s="4">
        <f>Sheet1!$K$3*_xlfn.XLOOKUP(Table1[[#This Row], [DISGUISE]],Sheet1!$A$21:$A$23,Sheet1!$D$21:$D$23)</f>
        <v>69</v>
      </c>
      <c r="S682" s="9">
        <f>Table1[[#This Row], [TOTAL TIME]]-Table1[[#This Row], [TOTAL TIME TAKEN]]</f>
        <v>25.033333333333339</v>
      </c>
      <c r="T682" t="str">
        <f>IF(Table1[[#This Row], [TIME DIFFERENCE]]&gt;=0,"PASS","FAIL")</f>
        <v>PASS</v>
      </c>
      <c r="U682" s="9">
        <f>Table1[[#This Row], [TRC]]+Table1[[#This Row], [DRC]]+Table1[[#This Row], [WRC]]+Table1[[#This Row], [ERC]]+Table1[[#This Row], [EQRC]]</f>
        <v>8037506.75</v>
      </c>
      <c r="V682" s="9">
        <f>Table1[[#This Row], [TOTAL COST]]+_xlfn.XLOOKUP(Table1[[#This Row], [TEAM]],Sheet1!$A$12:$A$17,Sheet1!$I$12:$I$17)</f>
        <v>8334006.75</v>
      </c>
      <c r="W682" s="9">
        <f>Table1[[#This Row], [LOOT]]-Table1[[#This Row], [TOTAL COST]]</f>
        <v>9712493.25</v>
      </c>
      <c r="X682" s="9">
        <f>IF(Table1[[#This Row], [PASS/FAIL]]="FAIL",0,Table1[[#This Row], [PROFIT]])</f>
        <v>9712493.25</v>
      </c>
    </row>
    <row r="683" spans="1:24" ht="19.5" customHeight="1" x14ac:dyDescent="0.45">
      <c r="A683" t="s">
        <v>14</v>
      </c>
      <c r="B683" s="14">
        <f>_xlfn.XLOOKUP(Table1[[#This Row], [TEAM]],Sheet1!$A$12:$A$17,Sheet1!$F$12:$F$17)</f>
        <v>2</v>
      </c>
      <c r="C683" s="14">
        <f>_xlfn.XLOOKUP(Table1[[#This Row], [TEAM]],Sheet1!$A$12:$A$17,Sheet1!$G$12:$G$17)</f>
        <v>5949600</v>
      </c>
      <c r="D683" t="s">
        <v>28</v>
      </c>
      <c r="E683" s="4">
        <f>_xlfn.XLOOKUP(Table1[[#This Row], [ROOM]],Sheet1!$A$47:$A$66,Sheet1!$B$47:$B$66)</f>
        <v>156</v>
      </c>
      <c r="F683" t="s">
        <v>62</v>
      </c>
      <c r="G683" s="4">
        <f>_xlfn.XLOOKUP(Table1[[#This Row], [DISGUISE]],Sheet1!$A$21:$A$23,Sheet1!$B$21:$B$23)*Table1[[#This Row], [NUM OF MEM]]*(1+_xlfn.XLOOKUP(Table1[[#This Row], [DISGUISE]],Sheet1!$A$21:$A$23,Sheet1!$C$21:$C$23))</f>
        <v>10400</v>
      </c>
      <c r="H683" s="13" t="s">
        <v>59</v>
      </c>
      <c r="I683" s="4">
        <f>_xlfn.XLOOKUP(Table1[[#This Row], [WEAPON]],Sheet1!$A$27:$A$29,Sheet1!$B$27:$B$29)*Table1[[#This Row], [NUM OF MEM]]*(1+_xlfn.XLOOKUP(Table1[[#This Row], [WEAPON]],Sheet1!$A$27:$A$29,Sheet1!$C$27:$C$29))</f>
        <v>91000</v>
      </c>
      <c r="J683" t="s">
        <v>60</v>
      </c>
      <c r="K683" s="9">
        <f>Table1[[#This Row], [NUM OF MEM]]*Table1[[#This Row], [TOTAL TIME TAKEN]]*_xlfn.XLOOKUP(Table1[[#This Row], [EXIT]],Sheet1!$A$70:$A$71,Sheet1!$B$70:$B$71)*(1+_xlfn.XLOOKUP(Table1[[#This Row], [EXIT]],Sheet1!$A$70:$A$71,Sheet1!$C$70:$C$71))</f>
        <v>1580386.5374999992</v>
      </c>
      <c r="L683" s="13" t="s">
        <v>65</v>
      </c>
      <c r="M683" s="4">
        <f>IF(Table1[[#This Row], [EQUIPMENT]]="YES",Sheet1!$C$44*(1+Sheet1!$D$44),0)</f>
        <v>307500</v>
      </c>
      <c r="N683" s="4">
        <f>_xlfn.XLOOKUP(Table1[[#This Row], [ROOM]],Sheet1!$A$47:$A$66,Sheet1!$F$47:$F$66)</f>
        <v>17650000</v>
      </c>
      <c r="O683" s="9">
        <f>_xlfn.XLOOKUP(_xlfn.CONCAT(Table1[[#This Row], [TEAM]],Table1[[#This Row], [ROOM]]),'ROOM TIME'!$H$2:$H$121,'ROOM TIME'!$J$2:$J$121)</f>
        <v>55.827499999999979</v>
      </c>
      <c r="P683" s="9">
        <f>(INDEX(Sheet1!$X$48:$Z$67,MATCH(Table1[[#This Row], [ROOM]],Sheet1!$P$48:$P$67,0),MATCH(Table1[[#This Row], [WEAPON]],Sheet1!$X$47:$Z$47,0)))/Table1[[#This Row], [NUM OF MEM]]</f>
        <v>5.75</v>
      </c>
      <c r="Q683" s="9">
        <f>Table1[[#This Row], [ROOM TIME]]+Table1[[#This Row], [GUARD TIME]]</f>
        <v>61.577499999999979</v>
      </c>
      <c r="R683" s="4">
        <f>Sheet1!$K$3*_xlfn.XLOOKUP(Table1[[#This Row], [DISGUISE]],Sheet1!$A$21:$A$23,Sheet1!$D$21:$D$23)</f>
        <v>66</v>
      </c>
      <c r="S683" s="9">
        <f>Table1[[#This Row], [TOTAL TIME]]-Table1[[#This Row], [TOTAL TIME TAKEN]]</f>
        <v>4.4225000000000207</v>
      </c>
      <c r="T683" t="str">
        <f>IF(Table1[[#This Row], [TIME DIFFERENCE]]&gt;=0,"PASS","FAIL")</f>
        <v>PASS</v>
      </c>
      <c r="U683" s="9">
        <f>Table1[[#This Row], [TRC]]+Table1[[#This Row], [DRC]]+Table1[[#This Row], [WRC]]+Table1[[#This Row], [ERC]]+Table1[[#This Row], [EQRC]]</f>
        <v>7938886.5374999996</v>
      </c>
      <c r="V683" s="9">
        <f>Table1[[#This Row], [TOTAL COST]]+_xlfn.XLOOKUP(Table1[[#This Row], [TEAM]],Sheet1!$A$12:$A$17,Sheet1!$I$12:$I$17)</f>
        <v>8236366.5374999996</v>
      </c>
      <c r="W683" s="9">
        <f>Table1[[#This Row], [LOOT]]-Table1[[#This Row], [TOTAL COST]]</f>
        <v>9711113.4625000004</v>
      </c>
      <c r="X683" s="9">
        <f>IF(Table1[[#This Row], [PASS/FAIL]]="FAIL",0,Table1[[#This Row], [PROFIT]])</f>
        <v>9711113.4625000004</v>
      </c>
    </row>
    <row r="684" spans="1:24" ht="19.5" customHeight="1" x14ac:dyDescent="0.45">
      <c r="A684" t="s">
        <v>13</v>
      </c>
      <c r="B684" s="14">
        <f>_xlfn.XLOOKUP(Table1[[#This Row], [TEAM]],Sheet1!$A$12:$A$17,Sheet1!$F$12:$F$17)</f>
        <v>3</v>
      </c>
      <c r="C684" s="14">
        <f>_xlfn.XLOOKUP(Table1[[#This Row], [TEAM]],Sheet1!$A$12:$A$17,Sheet1!$G$12:$G$17)</f>
        <v>5930000</v>
      </c>
      <c r="D684" t="s">
        <v>27</v>
      </c>
      <c r="E684" s="4">
        <f>_xlfn.XLOOKUP(Table1[[#This Row], [ROOM]],Sheet1!$A$47:$A$66,Sheet1!$B$47:$B$66)</f>
        <v>146</v>
      </c>
      <c r="F684" t="s">
        <v>62</v>
      </c>
      <c r="G684" s="4">
        <f>_xlfn.XLOOKUP(Table1[[#This Row], [DISGUISE]],Sheet1!$A$21:$A$23,Sheet1!$B$21:$B$23)*Table1[[#This Row], [NUM OF MEM]]*(1+_xlfn.XLOOKUP(Table1[[#This Row], [DISGUISE]],Sheet1!$A$21:$A$23,Sheet1!$C$21:$C$23))</f>
        <v>15600</v>
      </c>
      <c r="H684" s="13" t="s">
        <v>66</v>
      </c>
      <c r="I684" s="4">
        <f>_xlfn.XLOOKUP(Table1[[#This Row], [WEAPON]],Sheet1!$A$27:$A$29,Sheet1!$B$27:$B$29)*Table1[[#This Row], [NUM OF MEM]]*(1+_xlfn.XLOOKUP(Table1[[#This Row], [WEAPON]],Sheet1!$A$27:$A$29,Sheet1!$C$27:$C$29))</f>
        <v>108000</v>
      </c>
      <c r="J684" t="s">
        <v>60</v>
      </c>
      <c r="K684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1678490.9999999995</v>
      </c>
      <c r="L684" s="13" t="s">
        <v>65</v>
      </c>
      <c r="M684" s="4">
        <f>IF(Table1[[#This Row], [EQUIPMENT]]="YES",Sheet1!$C$44*(1+Sheet1!$D$44),0)</f>
        <v>307500</v>
      </c>
      <c r="N684" s="4">
        <f>_xlfn.XLOOKUP(Table1[[#This Row], [ROOM]],Sheet1!$A$47:$A$66,Sheet1!$F$47:$F$66)</f>
        <v>17750000</v>
      </c>
      <c r="O684" s="9">
        <f>_xlfn.XLOOKUP(_xlfn.CONCAT(Table1[[#This Row], [TEAM]],Table1[[#This Row], [ROOM]]),'ROOM TIME'!$H$2:$H$121,'ROOM TIME'!$J$2:$J$121)</f>
        <v>39.016666666666659</v>
      </c>
      <c r="P684" s="9">
        <f>(INDEX(Sheet1!$X$48:$Z$67,MATCH(Table1[[#This Row], [ROOM]],Sheet1!$P$48:$P$67,0),MATCH(Table1[[#This Row], [WEAPON]],Sheet1!$X$47:$Z$47,0)))/Table1[[#This Row], [NUM OF MEM]]</f>
        <v>4.583333333333333</v>
      </c>
      <c r="Q684" s="9">
        <f>Table1[[#This Row], [ROOM TIME]]+Table1[[#This Row], [GUARD TIME]]</f>
        <v>43.599999999999994</v>
      </c>
      <c r="R684" s="4">
        <f>Sheet1!$K$3*_xlfn.XLOOKUP(Table1[[#This Row], [DISGUISE]],Sheet1!$A$21:$A$23,Sheet1!$D$21:$D$23)</f>
        <v>66</v>
      </c>
      <c r="S684" s="9">
        <f>Table1[[#This Row], [TOTAL TIME]]-Table1[[#This Row], [TOTAL TIME TAKEN]]</f>
        <v>22.400000000000006</v>
      </c>
      <c r="T684" t="str">
        <f>IF(Table1[[#This Row], [TIME DIFFERENCE]]&gt;=0,"PASS","FAIL")</f>
        <v>PASS</v>
      </c>
      <c r="U684" s="4">
        <f>Table1[[#This Row], [TRC]]+Table1[[#This Row], [DRC]]+Table1[[#This Row], [WRC]]+Table1[[#This Row], [ERC]]+Table1[[#This Row], [EQRC]]</f>
        <v>8039591</v>
      </c>
      <c r="V684" s="4">
        <f>Table1[[#This Row], [TOTAL COST]]+_xlfn.XLOOKUP(Table1[[#This Row], [TEAM]],Sheet1!$A$12:$A$17,Sheet1!$I$12:$I$17)</f>
        <v>8336091</v>
      </c>
      <c r="W684" s="4">
        <f>Table1[[#This Row], [LOOT]]-Table1[[#This Row], [TOTAL COST]]</f>
        <v>9710409</v>
      </c>
      <c r="X684" s="4">
        <f>IF(Table1[[#This Row], [PASS/FAIL]]="FAIL",0,Table1[[#This Row], [PROFIT]])</f>
        <v>9710409</v>
      </c>
    </row>
    <row r="685" spans="1:24" ht="19.5" customHeight="1" x14ac:dyDescent="0.45">
      <c r="A685" t="s">
        <v>9</v>
      </c>
      <c r="B685" s="14">
        <f>_xlfn.XLOOKUP(Table1[[#This Row], [TEAM]],Sheet1!$A$12:$A$17,Sheet1!$F$12:$F$17)</f>
        <v>3</v>
      </c>
      <c r="C685" s="14">
        <f>_xlfn.XLOOKUP(Table1[[#This Row], [TEAM]],Sheet1!$A$12:$A$17,Sheet1!$G$12:$G$17)</f>
        <v>6238750</v>
      </c>
      <c r="D685" t="s">
        <v>18</v>
      </c>
      <c r="E685" s="4">
        <f>_xlfn.XLOOKUP(Table1[[#This Row], [ROOM]],Sheet1!$A$47:$A$66,Sheet1!$B$47:$B$66)</f>
        <v>134</v>
      </c>
      <c r="F685" t="s">
        <v>62</v>
      </c>
      <c r="G685" s="4">
        <f>_xlfn.XLOOKUP(Table1[[#This Row], [DISGUISE]],Sheet1!$A$21:$A$23,Sheet1!$B$21:$B$23)*Table1[[#This Row], [NUM OF MEM]]*(1+_xlfn.XLOOKUP(Table1[[#This Row], [DISGUISE]],Sheet1!$A$21:$A$23,Sheet1!$C$21:$C$23))</f>
        <v>15600</v>
      </c>
      <c r="H685" s="13" t="s">
        <v>63</v>
      </c>
      <c r="I685" s="4">
        <f>_xlfn.XLOOKUP(Table1[[#This Row], [WEAPON]],Sheet1!$A$27:$A$29,Sheet1!$B$27:$B$29)*Table1[[#This Row], [NUM OF MEM]]*(1+_xlfn.XLOOKUP(Table1[[#This Row], [WEAPON]],Sheet1!$A$27:$A$29,Sheet1!$C$27:$C$29))</f>
        <v>69000</v>
      </c>
      <c r="J685" t="s">
        <v>60</v>
      </c>
      <c r="K685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1709438.7124999997</v>
      </c>
      <c r="L685" s="13" t="s">
        <v>65</v>
      </c>
      <c r="M685" s="4">
        <f>IF(Table1[[#This Row], [EQUIPMENT]]="YES",Sheet1!$C$44*(1+Sheet1!$D$44),0)</f>
        <v>307500</v>
      </c>
      <c r="N685" s="4">
        <f>_xlfn.XLOOKUP(Table1[[#This Row], [ROOM]],Sheet1!$A$47:$A$66,Sheet1!$F$47:$F$66)</f>
        <v>18050000</v>
      </c>
      <c r="O685" s="9">
        <f>_xlfn.XLOOKUP(_xlfn.CONCAT(Table1[[#This Row], [TEAM]],Table1[[#This Row], [ROOM]]),'ROOM TIME'!$H$2:$H$121,'ROOM TIME'!$J$2:$J$121)</f>
        <v>39.003888888888881</v>
      </c>
      <c r="P685" s="9">
        <f>(INDEX(Sheet1!$X$48:$Z$67,MATCH(Table1[[#This Row], [ROOM]],Sheet1!$P$48:$P$67,0),MATCH(Table1[[#This Row], [WEAPON]],Sheet1!$X$47:$Z$47,0)))/Table1[[#This Row], [NUM OF MEM]]</f>
        <v>5.4000000000000012</v>
      </c>
      <c r="Q685" s="9">
        <f>Table1[[#This Row], [ROOM TIME]]+Table1[[#This Row], [GUARD TIME]]</f>
        <v>44.403888888888879</v>
      </c>
      <c r="R685" s="4">
        <f>Sheet1!$K$3*_xlfn.XLOOKUP(Table1[[#This Row], [DISGUISE]],Sheet1!$A$21:$A$23,Sheet1!$D$21:$D$23)</f>
        <v>66</v>
      </c>
      <c r="S685" s="9">
        <f>Table1[[#This Row], [TOTAL TIME]]-Table1[[#This Row], [TOTAL TIME TAKEN]]</f>
        <v>21.596111111111121</v>
      </c>
      <c r="T685" t="str">
        <f>IF(Table1[[#This Row], [TIME DIFFERENCE]]&gt;=0,"PASS","FAIL")</f>
        <v>PASS</v>
      </c>
      <c r="U685" s="9">
        <f>Table1[[#This Row], [TRC]]+Table1[[#This Row], [DRC]]+Table1[[#This Row], [WRC]]+Table1[[#This Row], [ERC]]+Table1[[#This Row], [EQRC]]</f>
        <v>8340288.7124999994</v>
      </c>
      <c r="V685" s="9">
        <f>Table1[[#This Row], [TOTAL COST]]+_xlfn.XLOOKUP(Table1[[#This Row], [TEAM]],Sheet1!$A$12:$A$17,Sheet1!$I$12:$I$17)</f>
        <v>8652226.2124999985</v>
      </c>
      <c r="W685" s="9">
        <f>Table1[[#This Row], [LOOT]]-Table1[[#This Row], [TOTAL COST]]</f>
        <v>9709711.2875000015</v>
      </c>
      <c r="X685" s="9">
        <f>IF(Table1[[#This Row], [PASS/FAIL]]="FAIL",0,Table1[[#This Row], [PROFIT]])</f>
        <v>9709711.2875000015</v>
      </c>
    </row>
    <row r="686" spans="1:24" ht="19.5" customHeight="1" x14ac:dyDescent="0.45">
      <c r="A686" t="s">
        <v>15</v>
      </c>
      <c r="B686" s="14">
        <f>_xlfn.XLOOKUP(Table1[[#This Row], [TEAM]],Sheet1!$A$12:$A$17,Sheet1!$F$12:$F$17)</f>
        <v>2</v>
      </c>
      <c r="C686" s="14">
        <f>_xlfn.XLOOKUP(Table1[[#This Row], [TEAM]],Sheet1!$A$12:$A$17,Sheet1!$G$12:$G$17)</f>
        <v>5932950</v>
      </c>
      <c r="D686" t="s">
        <v>28</v>
      </c>
      <c r="E686" s="4">
        <f>_xlfn.XLOOKUP(Table1[[#This Row], [ROOM]],Sheet1!$A$47:$A$66,Sheet1!$B$47:$B$66)</f>
        <v>156</v>
      </c>
      <c r="F686" t="s">
        <v>58</v>
      </c>
      <c r="G686" s="4">
        <f>_xlfn.XLOOKUP(Table1[[#This Row], [DISGUISE]],Sheet1!$A$21:$A$23,Sheet1!$B$21:$B$23)*Table1[[#This Row], [NUM OF MEM]]*(1+_xlfn.XLOOKUP(Table1[[#This Row], [DISGUISE]],Sheet1!$A$21:$A$23,Sheet1!$C$21:$C$23))</f>
        <v>25600</v>
      </c>
      <c r="H686" s="13" t="s">
        <v>66</v>
      </c>
      <c r="I686" s="4">
        <f>_xlfn.XLOOKUP(Table1[[#This Row], [WEAPON]],Sheet1!$A$27:$A$29,Sheet1!$B$27:$B$29)*Table1[[#This Row], [NUM OF MEM]]*(1+_xlfn.XLOOKUP(Table1[[#This Row], [WEAPON]],Sheet1!$A$27:$A$29,Sheet1!$C$27:$C$29))</f>
        <v>72000</v>
      </c>
      <c r="J686" t="s">
        <v>64</v>
      </c>
      <c r="K686" s="9">
        <f>Table1[[#This Row], [NUM OF MEM]]*Table1[[#This Row], [TOTAL TIME TAKEN]]*_xlfn.XLOOKUP(Table1[[#This Row], [EXIT]],Sheet1!$A$70:$A$71,Sheet1!$B$70:$B$71)*(1+_xlfn.XLOOKUP(Table1[[#This Row], [EXIT]],Sheet1!$A$70:$A$71,Sheet1!$C$70:$C$71))</f>
        <v>1603087.1999999995</v>
      </c>
      <c r="L686" s="13" t="s">
        <v>65</v>
      </c>
      <c r="M686" s="4">
        <f>IF(Table1[[#This Row], [EQUIPMENT]]="YES",Sheet1!$C$44*(1+Sheet1!$D$44),0)</f>
        <v>307500</v>
      </c>
      <c r="N686" s="4">
        <f>_xlfn.XLOOKUP(Table1[[#This Row], [ROOM]],Sheet1!$A$47:$A$66,Sheet1!$F$47:$F$66)</f>
        <v>17650000</v>
      </c>
      <c r="O686" s="9">
        <f>_xlfn.XLOOKUP(_xlfn.CONCAT(Table1[[#This Row], [TEAM]],Table1[[#This Row], [ROOM]]),'ROOM TIME'!$H$2:$H$121,'ROOM TIME'!$J$2:$J$121)</f>
        <v>55.597499999999982</v>
      </c>
      <c r="P686" s="9">
        <f>(INDEX(Sheet1!$X$48:$Z$67,MATCH(Table1[[#This Row], [ROOM]],Sheet1!$P$48:$P$67,0),MATCH(Table1[[#This Row], [WEAPON]],Sheet1!$X$47:$Z$47,0)))/Table1[[#This Row], [NUM OF MEM]]</f>
        <v>6.25</v>
      </c>
      <c r="Q686" s="9">
        <f>Table1[[#This Row], [ROOM TIME]]+Table1[[#This Row], [GUARD TIME]]</f>
        <v>61.847499999999982</v>
      </c>
      <c r="R686" s="4">
        <f>Sheet1!$K$3*_xlfn.XLOOKUP(Table1[[#This Row], [DISGUISE]],Sheet1!$A$21:$A$23,Sheet1!$D$21:$D$23)</f>
        <v>69</v>
      </c>
      <c r="S686" s="9">
        <f>Table1[[#This Row], [TOTAL TIME]]-Table1[[#This Row], [TOTAL TIME TAKEN]]</f>
        <v>7.1525000000000176</v>
      </c>
      <c r="T686" t="str">
        <f>IF(Table1[[#This Row], [TIME DIFFERENCE]]&gt;=0,"PASS","FAIL")</f>
        <v>PASS</v>
      </c>
      <c r="U686" s="9">
        <f>Table1[[#This Row], [TRC]]+Table1[[#This Row], [DRC]]+Table1[[#This Row], [WRC]]+Table1[[#This Row], [ERC]]+Table1[[#This Row], [EQRC]]</f>
        <v>7941137.1999999993</v>
      </c>
      <c r="V686" s="9">
        <f>Table1[[#This Row], [TOTAL COST]]+_xlfn.XLOOKUP(Table1[[#This Row], [TEAM]],Sheet1!$A$12:$A$17,Sheet1!$I$12:$I$17)</f>
        <v>8237784.6999999993</v>
      </c>
      <c r="W686" s="9">
        <f>Table1[[#This Row], [LOOT]]-Table1[[#This Row], [TOTAL COST]]</f>
        <v>9708862.8000000007</v>
      </c>
      <c r="X686" s="9">
        <f>IF(Table1[[#This Row], [PASS/FAIL]]="FAIL",0,Table1[[#This Row], [PROFIT]])</f>
        <v>9708862.8000000007</v>
      </c>
    </row>
    <row r="687" spans="1:24" ht="19.5" customHeight="1" x14ac:dyDescent="0.45">
      <c r="A687" t="s">
        <v>9</v>
      </c>
      <c r="B687" s="14">
        <f>_xlfn.XLOOKUP(Table1[[#This Row], [TEAM]],Sheet1!$A$12:$A$17,Sheet1!$F$12:$F$17)</f>
        <v>3</v>
      </c>
      <c r="C687" s="14">
        <f>_xlfn.XLOOKUP(Table1[[#This Row], [TEAM]],Sheet1!$A$12:$A$17,Sheet1!$G$12:$G$17)</f>
        <v>6238750</v>
      </c>
      <c r="D687" t="s">
        <v>22</v>
      </c>
      <c r="E687" s="4">
        <f>_xlfn.XLOOKUP(Table1[[#This Row], [ROOM]],Sheet1!$A$47:$A$66,Sheet1!$B$47:$B$66)</f>
        <v>235</v>
      </c>
      <c r="F687" t="s">
        <v>58</v>
      </c>
      <c r="G687" s="4">
        <f>_xlfn.XLOOKUP(Table1[[#This Row], [DISGUISE]],Sheet1!$A$21:$A$23,Sheet1!$B$21:$B$23)*Table1[[#This Row], [NUM OF MEM]]*(1+_xlfn.XLOOKUP(Table1[[#This Row], [DISGUISE]],Sheet1!$A$21:$A$23,Sheet1!$C$21:$C$23))</f>
        <v>38400</v>
      </c>
      <c r="H687" s="13" t="s">
        <v>66</v>
      </c>
      <c r="I687" s="4">
        <f>_xlfn.XLOOKUP(Table1[[#This Row], [WEAPON]],Sheet1!$A$27:$A$29,Sheet1!$B$27:$B$29)*Table1[[#This Row], [NUM OF MEM]]*(1+_xlfn.XLOOKUP(Table1[[#This Row], [WEAPON]],Sheet1!$A$27:$A$29,Sheet1!$C$27:$C$29))</f>
        <v>108000</v>
      </c>
      <c r="J687" t="s">
        <v>60</v>
      </c>
      <c r="K687" s="9">
        <f>Table1[[#This Row], [NUM OF MEM]]*Table1[[#This Row], [TOTAL TIME TAKEN]]*_xlfn.XLOOKUP(Table1[[#This Row], [EXIT]],Sheet1!$A$70:$A$71,Sheet1!$B$70:$B$71)*(1+_xlfn.XLOOKUP(Table1[[#This Row], [EXIT]],Sheet1!$A$70:$A$71,Sheet1!$C$70:$C$71))</f>
        <v>1707150.2499999995</v>
      </c>
      <c r="L687" s="13" t="s">
        <v>61</v>
      </c>
      <c r="M687" s="4">
        <f>IF(Table1[[#This Row], [EQUIPMENT]]="YES",Sheet1!$C$44*(1+Sheet1!$D$44),0)</f>
        <v>0</v>
      </c>
      <c r="N687" s="4">
        <f>_xlfn.XLOOKUP(Table1[[#This Row], [ROOM]],Sheet1!$A$47:$A$66,Sheet1!$F$47:$F$66)</f>
        <v>17800000</v>
      </c>
      <c r="O687" s="9">
        <f>_xlfn.XLOOKUP(_xlfn.CONCAT(Table1[[#This Row], [TEAM]],Table1[[#This Row], [ROOM]]),'ROOM TIME'!$H$2:$H$121,'ROOM TIME'!$J$2:$J$121)</f>
        <v>39.344444444444434</v>
      </c>
      <c r="P687" s="4">
        <f>(INDEX(Sheet1!$X$48:$Z$67,MATCH(Table1[[#This Row], [ROOM]],Sheet1!$P$48:$P$67,0),MATCH(Table1[[#This Row], [WEAPON]],Sheet1!$X$47:$Z$47,0)))/Table1[[#This Row], [NUM OF MEM]]</f>
        <v>5</v>
      </c>
      <c r="Q687" s="9">
        <f>Table1[[#This Row], [ROOM TIME]]+Table1[[#This Row], [GUARD TIME]]</f>
        <v>44.344444444444434</v>
      </c>
      <c r="R687" s="4">
        <f>Sheet1!$K$3*_xlfn.XLOOKUP(Table1[[#This Row], [DISGUISE]],Sheet1!$A$21:$A$23,Sheet1!$D$21:$D$23)</f>
        <v>69</v>
      </c>
      <c r="S687" s="9">
        <f>Table1[[#This Row], [TOTAL TIME]]-Table1[[#This Row], [TOTAL TIME TAKEN]]</f>
        <v>24.655555555555566</v>
      </c>
      <c r="T687" t="str">
        <f>IF(Table1[[#This Row], [TIME DIFFERENCE]]&gt;=0,"PASS","FAIL")</f>
        <v>PASS</v>
      </c>
      <c r="U687" s="9">
        <f>Table1[[#This Row], [TRC]]+Table1[[#This Row], [DRC]]+Table1[[#This Row], [WRC]]+Table1[[#This Row], [ERC]]+Table1[[#This Row], [EQRC]]</f>
        <v>8092300.25</v>
      </c>
      <c r="V687" s="9">
        <f>Table1[[#This Row], [TOTAL COST]]+_xlfn.XLOOKUP(Table1[[#This Row], [TEAM]],Sheet1!$A$12:$A$17,Sheet1!$I$12:$I$17)</f>
        <v>8404237.75</v>
      </c>
      <c r="W687" s="9">
        <f>Table1[[#This Row], [LOOT]]-Table1[[#This Row], [TOTAL COST]]</f>
        <v>9707699.75</v>
      </c>
      <c r="X687" s="9">
        <f>IF(Table1[[#This Row], [PASS/FAIL]]="FAIL",0,Table1[[#This Row], [PROFIT]])</f>
        <v>9707699.75</v>
      </c>
    </row>
    <row r="688" spans="1:24" ht="19.5" customHeight="1" x14ac:dyDescent="0.45">
      <c r="A688" t="s">
        <v>16</v>
      </c>
      <c r="B688" s="14">
        <f>_xlfn.XLOOKUP(Table1[[#This Row], [TEAM]],Sheet1!$A$12:$A$17,Sheet1!$F$12:$F$17)</f>
        <v>2</v>
      </c>
      <c r="C688" s="14">
        <f>_xlfn.XLOOKUP(Table1[[#This Row], [TEAM]],Sheet1!$A$12:$A$17,Sheet1!$G$12:$G$17)</f>
        <v>6082800</v>
      </c>
      <c r="D688" t="s">
        <v>19</v>
      </c>
      <c r="E688" s="4">
        <f>_xlfn.XLOOKUP(Table1[[#This Row], [ROOM]],Sheet1!$A$47:$A$66,Sheet1!$B$47:$B$66)</f>
        <v>135</v>
      </c>
      <c r="F688" t="s">
        <v>58</v>
      </c>
      <c r="G688" s="4">
        <f>_xlfn.XLOOKUP(Table1[[#This Row], [DISGUISE]],Sheet1!$A$21:$A$23,Sheet1!$B$21:$B$23)*Table1[[#This Row], [NUM OF MEM]]*(1+_xlfn.XLOOKUP(Table1[[#This Row], [DISGUISE]],Sheet1!$A$21:$A$23,Sheet1!$C$21:$C$23))</f>
        <v>25600</v>
      </c>
      <c r="H688" s="13" t="s">
        <v>66</v>
      </c>
      <c r="I688" s="4">
        <f>_xlfn.XLOOKUP(Table1[[#This Row], [WEAPON]],Sheet1!$A$27:$A$29,Sheet1!$B$27:$B$29)*Table1[[#This Row], [NUM OF MEM]]*(1+_xlfn.XLOOKUP(Table1[[#This Row], [WEAPON]],Sheet1!$A$27:$A$29,Sheet1!$C$27:$C$29))</f>
        <v>72000</v>
      </c>
      <c r="J688" t="s">
        <v>64</v>
      </c>
      <c r="K688" s="9">
        <f>Table1[[#This Row], [NUM OF MEM]]*Table1[[#This Row], [TOTAL TIME TAKEN]]*_xlfn.XLOOKUP(Table1[[#This Row], [EXIT]],Sheet1!$A$70:$A$71,Sheet1!$B$70:$B$71)*(1+_xlfn.XLOOKUP(Table1[[#This Row], [EXIT]],Sheet1!$A$70:$A$71,Sheet1!$C$70:$C$71))</f>
        <v>1754654.3999999994</v>
      </c>
      <c r="L688" s="13" t="s">
        <v>65</v>
      </c>
      <c r="M688" s="4">
        <f>IF(Table1[[#This Row], [EQUIPMENT]]="YES",Sheet1!$C$44*(1+Sheet1!$D$44),0)</f>
        <v>307500</v>
      </c>
      <c r="N688" s="4">
        <f>_xlfn.XLOOKUP(Table1[[#This Row], [ROOM]],Sheet1!$A$47:$A$66,Sheet1!$F$47:$F$66)</f>
        <v>17950000</v>
      </c>
      <c r="O688" s="9">
        <f>_xlfn.XLOOKUP(_xlfn.CONCAT(Table1[[#This Row], [TEAM]],Table1[[#This Row], [ROOM]]),'ROOM TIME'!$H$2:$H$121,'ROOM TIME'!$J$2:$J$121)</f>
        <v>60.819999999999979</v>
      </c>
      <c r="P688" s="9">
        <f>(INDEX(Sheet1!$X$48:$Z$67,MATCH(Table1[[#This Row], [ROOM]],Sheet1!$P$48:$P$67,0),MATCH(Table1[[#This Row], [WEAPON]],Sheet1!$X$47:$Z$47,0)))/Table1[[#This Row], [NUM OF MEM]]</f>
        <v>6.875</v>
      </c>
      <c r="Q688" s="9">
        <f>Table1[[#This Row], [ROOM TIME]]+Table1[[#This Row], [GUARD TIME]]</f>
        <v>67.694999999999979</v>
      </c>
      <c r="R688" s="4">
        <f>Sheet1!$K$3*_xlfn.XLOOKUP(Table1[[#This Row], [DISGUISE]],Sheet1!$A$21:$A$23,Sheet1!$D$21:$D$23)</f>
        <v>69</v>
      </c>
      <c r="S688" s="9">
        <f>Table1[[#This Row], [TOTAL TIME]]-Table1[[#This Row], [TOTAL TIME TAKEN]]</f>
        <v>1.305000000000021</v>
      </c>
      <c r="T688" t="str">
        <f>IF(Table1[[#This Row], [TIME DIFFERENCE]]&gt;=0,"PASS","FAIL")</f>
        <v>PASS</v>
      </c>
      <c r="U688" s="9">
        <f>Table1[[#This Row], [TRC]]+Table1[[#This Row], [DRC]]+Table1[[#This Row], [WRC]]+Table1[[#This Row], [ERC]]+Table1[[#This Row], [EQRC]]</f>
        <v>8242554.3999999994</v>
      </c>
      <c r="V688" s="9">
        <f>Table1[[#This Row], [TOTAL COST]]+_xlfn.XLOOKUP(Table1[[#This Row], [TEAM]],Sheet1!$A$12:$A$17,Sheet1!$I$12:$I$17)</f>
        <v>8546694.3999999985</v>
      </c>
      <c r="W688" s="9">
        <f>Table1[[#This Row], [LOOT]]-Table1[[#This Row], [TOTAL COST]]</f>
        <v>9707445.6000000015</v>
      </c>
      <c r="X688" s="9">
        <f>IF(Table1[[#This Row], [PASS/FAIL]]="FAIL",0,Table1[[#This Row], [PROFIT]])</f>
        <v>9707445.6000000015</v>
      </c>
    </row>
    <row r="689" spans="1:24" ht="19.5" customHeight="1" x14ac:dyDescent="0.45">
      <c r="A689" t="s">
        <v>12</v>
      </c>
      <c r="B689" s="14">
        <f>_xlfn.XLOOKUP(Table1[[#This Row], [TEAM]],Sheet1!$A$12:$A$17,Sheet1!$F$12:$F$17)</f>
        <v>3</v>
      </c>
      <c r="C689" s="14">
        <f>_xlfn.XLOOKUP(Table1[[#This Row], [TEAM]],Sheet1!$A$12:$A$17,Sheet1!$G$12:$G$17)</f>
        <v>5988750</v>
      </c>
      <c r="D689" t="s">
        <v>27</v>
      </c>
      <c r="E689" s="4">
        <f>_xlfn.XLOOKUP(Table1[[#This Row], [ROOM]],Sheet1!$A$47:$A$66,Sheet1!$B$47:$B$66)</f>
        <v>146</v>
      </c>
      <c r="F689" t="s">
        <v>58</v>
      </c>
      <c r="G689" s="4">
        <f>_xlfn.XLOOKUP(Table1[[#This Row], [DISGUISE]],Sheet1!$A$21:$A$23,Sheet1!$B$21:$B$23)*Table1[[#This Row], [NUM OF MEM]]*(1+_xlfn.XLOOKUP(Table1[[#This Row], [DISGUISE]],Sheet1!$A$21:$A$23,Sheet1!$C$21:$C$23))</f>
        <v>38400</v>
      </c>
      <c r="H689" s="13" t="s">
        <v>63</v>
      </c>
      <c r="I689" s="4">
        <f>_xlfn.XLOOKUP(Table1[[#This Row], [WEAPON]],Sheet1!$A$27:$A$29,Sheet1!$B$27:$B$29)*Table1[[#This Row], [NUM OF MEM]]*(1+_xlfn.XLOOKUP(Table1[[#This Row], [WEAPON]],Sheet1!$A$27:$A$29,Sheet1!$C$27:$C$29))</f>
        <v>69000</v>
      </c>
      <c r="J689" t="s">
        <v>64</v>
      </c>
      <c r="K689" s="9">
        <f>Table1[[#This Row], [NUM OF MEM]]*Table1[[#This Row], [TOTAL TIME TAKEN]]*_xlfn.XLOOKUP(Table1[[#This Row], [EXIT]],Sheet1!$A$70:$A$71,Sheet1!$B$70:$B$71)*(1+_xlfn.XLOOKUP(Table1[[#This Row], [EXIT]],Sheet1!$A$70:$A$71,Sheet1!$C$70:$C$71))</f>
        <v>1640822.3999999994</v>
      </c>
      <c r="L689" s="13" t="s">
        <v>65</v>
      </c>
      <c r="M689" s="4">
        <f>IF(Table1[[#This Row], [EQUIPMENT]]="YES",Sheet1!$C$44*(1+Sheet1!$D$44),0)</f>
        <v>307500</v>
      </c>
      <c r="N689" s="4">
        <f>_xlfn.XLOOKUP(Table1[[#This Row], [ROOM]],Sheet1!$A$47:$A$66,Sheet1!$F$47:$F$66)</f>
        <v>17750000</v>
      </c>
      <c r="O689" s="9">
        <f>_xlfn.XLOOKUP(_xlfn.CONCAT(Table1[[#This Row], [TEAM]],Table1[[#This Row], [ROOM]]),'ROOM TIME'!$H$2:$H$121,'ROOM TIME'!$J$2:$J$121)</f>
        <v>37.252222222222208</v>
      </c>
      <c r="P689" s="9">
        <f>(INDEX(Sheet1!$X$48:$Z$67,MATCH(Table1[[#This Row], [ROOM]],Sheet1!$P$48:$P$67,0),MATCH(Table1[[#This Row], [WEAPON]],Sheet1!$X$47:$Z$47,0)))/Table1[[#This Row], [NUM OF MEM]]</f>
        <v>4.95</v>
      </c>
      <c r="Q689" s="9">
        <f>Table1[[#This Row], [ROOM TIME]]+Table1[[#This Row], [GUARD TIME]]</f>
        <v>42.202222222222211</v>
      </c>
      <c r="R689" s="4">
        <f>Sheet1!$K$3*_xlfn.XLOOKUP(Table1[[#This Row], [DISGUISE]],Sheet1!$A$21:$A$23,Sheet1!$D$21:$D$23)</f>
        <v>69</v>
      </c>
      <c r="S689" s="9">
        <f>Table1[[#This Row], [TOTAL TIME]]-Table1[[#This Row], [TOTAL TIME TAKEN]]</f>
        <v>26.797777777777789</v>
      </c>
      <c r="T689" t="str">
        <f>IF(Table1[[#This Row], [TIME DIFFERENCE]]&gt;=0,"PASS","FAIL")</f>
        <v>PASS</v>
      </c>
      <c r="U689" s="9">
        <f>Table1[[#This Row], [TRC]]+Table1[[#This Row], [DRC]]+Table1[[#This Row], [WRC]]+Table1[[#This Row], [ERC]]+Table1[[#This Row], [EQRC]]</f>
        <v>8044472.3999999994</v>
      </c>
      <c r="V689" s="9">
        <f>Table1[[#This Row], [TOTAL COST]]+_xlfn.XLOOKUP(Table1[[#This Row], [TEAM]],Sheet1!$A$12:$A$17,Sheet1!$I$12:$I$17)</f>
        <v>8343909.8999999994</v>
      </c>
      <c r="W689" s="9">
        <f>Table1[[#This Row], [LOOT]]-Table1[[#This Row], [TOTAL COST]]</f>
        <v>9705527.6000000015</v>
      </c>
      <c r="X689" s="9">
        <f>IF(Table1[[#This Row], [PASS/FAIL]]="FAIL",0,Table1[[#This Row], [PROFIT]])</f>
        <v>9705527.6000000015</v>
      </c>
    </row>
    <row r="690" spans="1:24" ht="19.5" customHeight="1" x14ac:dyDescent="0.45">
      <c r="A690" t="s">
        <v>12</v>
      </c>
      <c r="B690" s="14">
        <f>_xlfn.XLOOKUP(Table1[[#This Row], [TEAM]],Sheet1!$A$12:$A$17,Sheet1!$F$12:$F$17)</f>
        <v>3</v>
      </c>
      <c r="C690" s="14">
        <f>_xlfn.XLOOKUP(Table1[[#This Row], [TEAM]],Sheet1!$A$12:$A$17,Sheet1!$G$12:$G$17)</f>
        <v>5988750</v>
      </c>
      <c r="D690" t="s">
        <v>27</v>
      </c>
      <c r="E690" s="4">
        <f>_xlfn.XLOOKUP(Table1[[#This Row], [ROOM]],Sheet1!$A$47:$A$66,Sheet1!$B$47:$B$66)</f>
        <v>146</v>
      </c>
      <c r="F690" t="s">
        <v>62</v>
      </c>
      <c r="G690" s="4">
        <f>_xlfn.XLOOKUP(Table1[[#This Row], [DISGUISE]],Sheet1!$A$21:$A$23,Sheet1!$B$21:$B$23)*Table1[[#This Row], [NUM OF MEM]]*(1+_xlfn.XLOOKUP(Table1[[#This Row], [DISGUISE]],Sheet1!$A$21:$A$23,Sheet1!$C$21:$C$23))</f>
        <v>15600</v>
      </c>
      <c r="H690" s="13" t="s">
        <v>59</v>
      </c>
      <c r="I690" s="4">
        <f>_xlfn.XLOOKUP(Table1[[#This Row], [WEAPON]],Sheet1!$A$27:$A$29,Sheet1!$B$27:$B$29)*Table1[[#This Row], [NUM OF MEM]]*(1+_xlfn.XLOOKUP(Table1[[#This Row], [WEAPON]],Sheet1!$A$27:$A$29,Sheet1!$C$27:$C$29))</f>
        <v>136500</v>
      </c>
      <c r="J690" t="s">
        <v>60</v>
      </c>
      <c r="K690" s="9">
        <f>Table1[[#This Row], [NUM OF MEM]]*Table1[[#This Row], [TOTAL TIME TAKEN]]*_xlfn.XLOOKUP(Table1[[#This Row], [EXIT]],Sheet1!$A$70:$A$71,Sheet1!$B$70:$B$71)*(1+_xlfn.XLOOKUP(Table1[[#This Row], [EXIT]],Sheet1!$A$70:$A$71,Sheet1!$C$70:$C$71))</f>
        <v>1596448.5499999996</v>
      </c>
      <c r="L690" s="13" t="s">
        <v>65</v>
      </c>
      <c r="M690" s="4">
        <f>IF(Table1[[#This Row], [EQUIPMENT]]="YES",Sheet1!$C$44*(1+Sheet1!$D$44),0)</f>
        <v>307500</v>
      </c>
      <c r="N690" s="4">
        <f>_xlfn.XLOOKUP(Table1[[#This Row], [ROOM]],Sheet1!$A$47:$A$66,Sheet1!$F$47:$F$66)</f>
        <v>17750000</v>
      </c>
      <c r="O690" s="9">
        <f>_xlfn.XLOOKUP(_xlfn.CONCAT(Table1[[#This Row], [TEAM]],Table1[[#This Row], [ROOM]]),'ROOM TIME'!$H$2:$H$121,'ROOM TIME'!$J$2:$J$121)</f>
        <v>37.252222222222208</v>
      </c>
      <c r="P690" s="9">
        <f>(INDEX(Sheet1!$X$48:$Z$67,MATCH(Table1[[#This Row], [ROOM]],Sheet1!$P$48:$P$67,0),MATCH(Table1[[#This Row], [WEAPON]],Sheet1!$X$47:$Z$47,0)))/Table1[[#This Row], [NUM OF MEM]]</f>
        <v>4.2166666666666659</v>
      </c>
      <c r="Q690" s="9">
        <f>Table1[[#This Row], [ROOM TIME]]+Table1[[#This Row], [GUARD TIME]]</f>
        <v>41.468888888888877</v>
      </c>
      <c r="R690" s="4">
        <f>Sheet1!$K$3*_xlfn.XLOOKUP(Table1[[#This Row], [DISGUISE]],Sheet1!$A$21:$A$23,Sheet1!$D$21:$D$23)</f>
        <v>66</v>
      </c>
      <c r="S690" s="9">
        <f>Table1[[#This Row], [TOTAL TIME]]-Table1[[#This Row], [TOTAL TIME TAKEN]]</f>
        <v>24.531111111111123</v>
      </c>
      <c r="T690" t="str">
        <f>IF(Table1[[#This Row], [TIME DIFFERENCE]]&gt;=0,"PASS","FAIL")</f>
        <v>PASS</v>
      </c>
      <c r="U690" s="9">
        <f>Table1[[#This Row], [TRC]]+Table1[[#This Row], [DRC]]+Table1[[#This Row], [WRC]]+Table1[[#This Row], [ERC]]+Table1[[#This Row], [EQRC]]</f>
        <v>8044798.5499999998</v>
      </c>
      <c r="V690" s="9">
        <f>Table1[[#This Row], [TOTAL COST]]+_xlfn.XLOOKUP(Table1[[#This Row], [TEAM]],Sheet1!$A$12:$A$17,Sheet1!$I$12:$I$17)</f>
        <v>8344236.0499999998</v>
      </c>
      <c r="W690" s="9">
        <f>Table1[[#This Row], [LOOT]]-Table1[[#This Row], [TOTAL COST]]</f>
        <v>9705201.4499999993</v>
      </c>
      <c r="X690" s="9">
        <f>IF(Table1[[#This Row], [PASS/FAIL]]="FAIL",0,Table1[[#This Row], [PROFIT]])</f>
        <v>9705201.4499999993</v>
      </c>
    </row>
    <row r="691" spans="1:24" ht="19.5" customHeight="1" x14ac:dyDescent="0.45">
      <c r="A691" t="s">
        <v>13</v>
      </c>
      <c r="B691" s="14">
        <f>_xlfn.XLOOKUP(Table1[[#This Row], [TEAM]],Sheet1!$A$12:$A$17,Sheet1!$F$12:$F$17)</f>
        <v>3</v>
      </c>
      <c r="C691" s="14">
        <f>_xlfn.XLOOKUP(Table1[[#This Row], [TEAM]],Sheet1!$A$12:$A$17,Sheet1!$G$12:$G$17)</f>
        <v>5930000</v>
      </c>
      <c r="D691" t="s">
        <v>20</v>
      </c>
      <c r="E691" s="4">
        <f>_xlfn.XLOOKUP(Table1[[#This Row], [ROOM]],Sheet1!$A$47:$A$66,Sheet1!$B$47:$B$66)</f>
        <v>145</v>
      </c>
      <c r="F691" t="s">
        <v>62</v>
      </c>
      <c r="G691" s="4">
        <f>_xlfn.XLOOKUP(Table1[[#This Row], [DISGUISE]],Sheet1!$A$21:$A$23,Sheet1!$B$21:$B$23)*Table1[[#This Row], [NUM OF MEM]]*(1+_xlfn.XLOOKUP(Table1[[#This Row], [DISGUISE]],Sheet1!$A$21:$A$23,Sheet1!$C$21:$C$23))</f>
        <v>15600</v>
      </c>
      <c r="H691" s="13" t="s">
        <v>59</v>
      </c>
      <c r="I691" s="4">
        <f>_xlfn.XLOOKUP(Table1[[#This Row], [WEAPON]],Sheet1!$A$27:$A$29,Sheet1!$B$27:$B$29)*Table1[[#This Row], [NUM OF MEM]]*(1+_xlfn.XLOOKUP(Table1[[#This Row], [WEAPON]],Sheet1!$A$27:$A$29,Sheet1!$C$27:$C$29))</f>
        <v>136500</v>
      </c>
      <c r="J691" t="s">
        <v>64</v>
      </c>
      <c r="K691" s="9">
        <f>Table1[[#This Row], [NUM OF MEM]]*Table1[[#This Row], [TOTAL TIME TAKEN]]*_xlfn.XLOOKUP(Table1[[#This Row], [EXIT]],Sheet1!$A$70:$A$71,Sheet1!$B$70:$B$71)*(1+_xlfn.XLOOKUP(Table1[[#This Row], [EXIT]],Sheet1!$A$70:$A$71,Sheet1!$C$70:$C$71))</f>
        <v>1764244.7999999993</v>
      </c>
      <c r="L691" s="13" t="s">
        <v>61</v>
      </c>
      <c r="M691" s="4">
        <f>IF(Table1[[#This Row], [EQUIPMENT]]="YES",Sheet1!$C$44*(1+Sheet1!$D$44),0)</f>
        <v>0</v>
      </c>
      <c r="N691" s="4">
        <f>_xlfn.XLOOKUP(Table1[[#This Row], [ROOM]],Sheet1!$A$47:$A$66,Sheet1!$F$47:$F$66)</f>
        <v>17550000</v>
      </c>
      <c r="O691" s="9">
        <f>_xlfn.XLOOKUP(_xlfn.CONCAT(Table1[[#This Row], [TEAM]],Table1[[#This Row], [ROOM]]),'ROOM TIME'!$H$2:$H$121,'ROOM TIME'!$J$2:$J$121)</f>
        <v>41.543333333333322</v>
      </c>
      <c r="P691" s="9">
        <f>(INDEX(Sheet1!$X$48:$Z$67,MATCH(Table1[[#This Row], [ROOM]],Sheet1!$P$48:$P$67,0),MATCH(Table1[[#This Row], [WEAPON]],Sheet1!$X$47:$Z$47,0)))/Table1[[#This Row], [NUM OF MEM]]</f>
        <v>3.8333333333333335</v>
      </c>
      <c r="Q691" s="9">
        <f>Table1[[#This Row], [ROOM TIME]]+Table1[[#This Row], [GUARD TIME]]</f>
        <v>45.376666666666658</v>
      </c>
      <c r="R691" s="4">
        <f>Sheet1!$K$3*_xlfn.XLOOKUP(Table1[[#This Row], [DISGUISE]],Sheet1!$A$21:$A$23,Sheet1!$D$21:$D$23)</f>
        <v>66</v>
      </c>
      <c r="S691" s="9">
        <f>Table1[[#This Row], [TOTAL TIME]]-Table1[[#This Row], [TOTAL TIME TAKEN]]</f>
        <v>20.623333333333342</v>
      </c>
      <c r="T691" t="str">
        <f>IF(Table1[[#This Row], [TIME DIFFERENCE]]&gt;=0,"PASS","FAIL")</f>
        <v>PASS</v>
      </c>
      <c r="U691" s="9">
        <f>Table1[[#This Row], [TRC]]+Table1[[#This Row], [DRC]]+Table1[[#This Row], [WRC]]+Table1[[#This Row], [ERC]]+Table1[[#This Row], [EQRC]]</f>
        <v>7846344.7999999989</v>
      </c>
      <c r="V691" s="9">
        <f>Table1[[#This Row], [TOTAL COST]]+_xlfn.XLOOKUP(Table1[[#This Row], [TEAM]],Sheet1!$A$12:$A$17,Sheet1!$I$12:$I$17)</f>
        <v>8142844.7999999989</v>
      </c>
      <c r="W691" s="9">
        <f>Table1[[#This Row], [LOOT]]-Table1[[#This Row], [TOTAL COST]]</f>
        <v>9703655.2000000011</v>
      </c>
      <c r="X691" s="9">
        <f>IF(Table1[[#This Row], [PASS/FAIL]]="FAIL",0,Table1[[#This Row], [PROFIT]])</f>
        <v>9703655.2000000011</v>
      </c>
    </row>
    <row r="692" spans="1:24" ht="19.5" customHeight="1" x14ac:dyDescent="0.45">
      <c r="A692" t="s">
        <v>12</v>
      </c>
      <c r="B692" s="14">
        <f>_xlfn.XLOOKUP(Table1[[#This Row], [TEAM]],Sheet1!$A$12:$A$17,Sheet1!$F$12:$F$17)</f>
        <v>3</v>
      </c>
      <c r="C692" s="14">
        <f>_xlfn.XLOOKUP(Table1[[#This Row], [TEAM]],Sheet1!$A$12:$A$17,Sheet1!$G$12:$G$17)</f>
        <v>5988750</v>
      </c>
      <c r="D692" t="s">
        <v>27</v>
      </c>
      <c r="E692" s="4">
        <f>_xlfn.XLOOKUP(Table1[[#This Row], [ROOM]],Sheet1!$A$47:$A$66,Sheet1!$B$47:$B$66)</f>
        <v>146</v>
      </c>
      <c r="F692" t="s">
        <v>62</v>
      </c>
      <c r="G692" s="4">
        <f>_xlfn.XLOOKUP(Table1[[#This Row], [DISGUISE]],Sheet1!$A$21:$A$23,Sheet1!$B$21:$B$23)*Table1[[#This Row], [NUM OF MEM]]*(1+_xlfn.XLOOKUP(Table1[[#This Row], [DISGUISE]],Sheet1!$A$21:$A$23,Sheet1!$C$21:$C$23))</f>
        <v>15600</v>
      </c>
      <c r="H692" s="13" t="s">
        <v>66</v>
      </c>
      <c r="I692" s="4">
        <f>_xlfn.XLOOKUP(Table1[[#This Row], [WEAPON]],Sheet1!$A$27:$A$29,Sheet1!$B$27:$B$29)*Table1[[#This Row], [NUM OF MEM]]*(1+_xlfn.XLOOKUP(Table1[[#This Row], [WEAPON]],Sheet1!$A$27:$A$29,Sheet1!$C$27:$C$29))</f>
        <v>108000</v>
      </c>
      <c r="J692" t="s">
        <v>64</v>
      </c>
      <c r="K692" s="9">
        <f>Table1[[#This Row], [NUM OF MEM]]*Table1[[#This Row], [TOTAL TIME TAKEN]]*_xlfn.XLOOKUP(Table1[[#This Row], [EXIT]],Sheet1!$A$70:$A$71,Sheet1!$B$70:$B$71)*(1+_xlfn.XLOOKUP(Table1[[#This Row], [EXIT]],Sheet1!$A$70:$A$71,Sheet1!$C$70:$C$71))</f>
        <v>1626566.3999999994</v>
      </c>
      <c r="L692" s="13" t="s">
        <v>65</v>
      </c>
      <c r="M692" s="4">
        <f>IF(Table1[[#This Row], [EQUIPMENT]]="YES",Sheet1!$C$44*(1+Sheet1!$D$44),0)</f>
        <v>307500</v>
      </c>
      <c r="N692" s="4">
        <f>_xlfn.XLOOKUP(Table1[[#This Row], [ROOM]],Sheet1!$A$47:$A$66,Sheet1!$F$47:$F$66)</f>
        <v>17750000</v>
      </c>
      <c r="O692" s="9">
        <f>_xlfn.XLOOKUP(_xlfn.CONCAT(Table1[[#This Row], [TEAM]],Table1[[#This Row], [ROOM]]),'ROOM TIME'!$H$2:$H$121,'ROOM TIME'!$J$2:$J$121)</f>
        <v>37.252222222222208</v>
      </c>
      <c r="P692" s="9">
        <f>(INDEX(Sheet1!$X$48:$Z$67,MATCH(Table1[[#This Row], [ROOM]],Sheet1!$P$48:$P$67,0),MATCH(Table1[[#This Row], [WEAPON]],Sheet1!$X$47:$Z$47,0)))/Table1[[#This Row], [NUM OF MEM]]</f>
        <v>4.583333333333333</v>
      </c>
      <c r="Q692" s="9">
        <f>Table1[[#This Row], [ROOM TIME]]+Table1[[#This Row], [GUARD TIME]]</f>
        <v>41.835555555555544</v>
      </c>
      <c r="R692" s="4">
        <f>Sheet1!$K$3*_xlfn.XLOOKUP(Table1[[#This Row], [DISGUISE]],Sheet1!$A$21:$A$23,Sheet1!$D$21:$D$23)</f>
        <v>66</v>
      </c>
      <c r="S692" s="9">
        <f>Table1[[#This Row], [TOTAL TIME]]-Table1[[#This Row], [TOTAL TIME TAKEN]]</f>
        <v>24.164444444444456</v>
      </c>
      <c r="T692" t="str">
        <f>IF(Table1[[#This Row], [TIME DIFFERENCE]]&gt;=0,"PASS","FAIL")</f>
        <v>PASS</v>
      </c>
      <c r="U692" s="9">
        <f>Table1[[#This Row], [TRC]]+Table1[[#This Row], [DRC]]+Table1[[#This Row], [WRC]]+Table1[[#This Row], [ERC]]+Table1[[#This Row], [EQRC]]</f>
        <v>8046416.3999999994</v>
      </c>
      <c r="V692" s="9">
        <f>Table1[[#This Row], [TOTAL COST]]+_xlfn.XLOOKUP(Table1[[#This Row], [TEAM]],Sheet1!$A$12:$A$17,Sheet1!$I$12:$I$17)</f>
        <v>8345853.8999999994</v>
      </c>
      <c r="W692" s="9">
        <f>Table1[[#This Row], [LOOT]]-Table1[[#This Row], [TOTAL COST]]</f>
        <v>9703583.6000000015</v>
      </c>
      <c r="X692" s="9">
        <f>IF(Table1[[#This Row], [PASS/FAIL]]="FAIL",0,Table1[[#This Row], [PROFIT]])</f>
        <v>9703583.6000000015</v>
      </c>
    </row>
    <row r="693" spans="1:24" ht="19.5" customHeight="1" x14ac:dyDescent="0.45">
      <c r="A693" t="s">
        <v>15</v>
      </c>
      <c r="B693" s="14">
        <f>_xlfn.XLOOKUP(Table1[[#This Row], [TEAM]],Sheet1!$A$12:$A$17,Sheet1!$F$12:$F$17)</f>
        <v>2</v>
      </c>
      <c r="C693" s="14">
        <f>_xlfn.XLOOKUP(Table1[[#This Row], [TEAM]],Sheet1!$A$12:$A$17,Sheet1!$G$12:$G$17)</f>
        <v>5932950</v>
      </c>
      <c r="D693" t="s">
        <v>28</v>
      </c>
      <c r="E693" s="4">
        <f>_xlfn.XLOOKUP(Table1[[#This Row], [ROOM]],Sheet1!$A$47:$A$66,Sheet1!$B$47:$B$66)</f>
        <v>156</v>
      </c>
      <c r="F693" t="s">
        <v>58</v>
      </c>
      <c r="G693" s="4">
        <f>_xlfn.XLOOKUP(Table1[[#This Row], [DISGUISE]],Sheet1!$A$21:$A$23,Sheet1!$B$21:$B$23)*Table1[[#This Row], [NUM OF MEM]]*(1+_xlfn.XLOOKUP(Table1[[#This Row], [DISGUISE]],Sheet1!$A$21:$A$23,Sheet1!$C$21:$C$23))</f>
        <v>25600</v>
      </c>
      <c r="H693" s="13" t="s">
        <v>59</v>
      </c>
      <c r="I693" s="4">
        <f>_xlfn.XLOOKUP(Table1[[#This Row], [WEAPON]],Sheet1!$A$27:$A$29,Sheet1!$B$27:$B$29)*Table1[[#This Row], [NUM OF MEM]]*(1+_xlfn.XLOOKUP(Table1[[#This Row], [WEAPON]],Sheet1!$A$27:$A$29,Sheet1!$C$27:$C$29))</f>
        <v>91000</v>
      </c>
      <c r="J693" t="s">
        <v>64</v>
      </c>
      <c r="K693" s="9">
        <f>Table1[[#This Row], [NUM OF MEM]]*Table1[[#This Row], [TOTAL TIME TAKEN]]*_xlfn.XLOOKUP(Table1[[#This Row], [EXIT]],Sheet1!$A$70:$A$71,Sheet1!$B$70:$B$71)*(1+_xlfn.XLOOKUP(Table1[[#This Row], [EXIT]],Sheet1!$A$70:$A$71,Sheet1!$C$70:$C$71))</f>
        <v>1590127.1999999995</v>
      </c>
      <c r="L693" s="13" t="s">
        <v>65</v>
      </c>
      <c r="M693" s="4">
        <f>IF(Table1[[#This Row], [EQUIPMENT]]="YES",Sheet1!$C$44*(1+Sheet1!$D$44),0)</f>
        <v>307500</v>
      </c>
      <c r="N693" s="4">
        <f>_xlfn.XLOOKUP(Table1[[#This Row], [ROOM]],Sheet1!$A$47:$A$66,Sheet1!$F$47:$F$66)</f>
        <v>17650000</v>
      </c>
      <c r="O693" s="9">
        <f>_xlfn.XLOOKUP(_xlfn.CONCAT(Table1[[#This Row], [TEAM]],Table1[[#This Row], [ROOM]]),'ROOM TIME'!$H$2:$H$121,'ROOM TIME'!$J$2:$J$121)</f>
        <v>55.597499999999982</v>
      </c>
      <c r="P693" s="9">
        <f>(INDEX(Sheet1!$X$48:$Z$67,MATCH(Table1[[#This Row], [ROOM]],Sheet1!$P$48:$P$67,0),MATCH(Table1[[#This Row], [WEAPON]],Sheet1!$X$47:$Z$47,0)))/Table1[[#This Row], [NUM OF MEM]]</f>
        <v>5.75</v>
      </c>
      <c r="Q693" s="9">
        <f>Table1[[#This Row], [ROOM TIME]]+Table1[[#This Row], [GUARD TIME]]</f>
        <v>61.347499999999982</v>
      </c>
      <c r="R693" s="4">
        <f>Sheet1!$K$3*_xlfn.XLOOKUP(Table1[[#This Row], [DISGUISE]],Sheet1!$A$21:$A$23,Sheet1!$D$21:$D$23)</f>
        <v>69</v>
      </c>
      <c r="S693" s="9">
        <f>Table1[[#This Row], [TOTAL TIME]]-Table1[[#This Row], [TOTAL TIME TAKEN]]</f>
        <v>7.6525000000000176</v>
      </c>
      <c r="T693" t="str">
        <f>IF(Table1[[#This Row], [TIME DIFFERENCE]]&gt;=0,"PASS","FAIL")</f>
        <v>PASS</v>
      </c>
      <c r="U693" s="9">
        <f>Table1[[#This Row], [TRC]]+Table1[[#This Row], [DRC]]+Table1[[#This Row], [WRC]]+Table1[[#This Row], [ERC]]+Table1[[#This Row], [EQRC]]</f>
        <v>7947177.1999999993</v>
      </c>
      <c r="V693" s="9">
        <f>Table1[[#This Row], [TOTAL COST]]+_xlfn.XLOOKUP(Table1[[#This Row], [TEAM]],Sheet1!$A$12:$A$17,Sheet1!$I$12:$I$17)</f>
        <v>8243824.6999999993</v>
      </c>
      <c r="W693" s="9">
        <f>Table1[[#This Row], [LOOT]]-Table1[[#This Row], [TOTAL COST]]</f>
        <v>9702822.8000000007</v>
      </c>
      <c r="X693" s="9">
        <f>IF(Table1[[#This Row], [PASS/FAIL]]="FAIL",0,Table1[[#This Row], [PROFIT]])</f>
        <v>9702822.8000000007</v>
      </c>
    </row>
    <row r="694" spans="1:24" ht="19.5" customHeight="1" x14ac:dyDescent="0.45">
      <c r="A694" t="s">
        <v>16</v>
      </c>
      <c r="B694" s="14">
        <f>_xlfn.XLOOKUP(Table1[[#This Row], [TEAM]],Sheet1!$A$12:$A$17,Sheet1!$F$12:$F$17)</f>
        <v>2</v>
      </c>
      <c r="C694" s="14">
        <f>_xlfn.XLOOKUP(Table1[[#This Row], [TEAM]],Sheet1!$A$12:$A$17,Sheet1!$G$12:$G$17)</f>
        <v>6082800</v>
      </c>
      <c r="D694" t="s">
        <v>19</v>
      </c>
      <c r="E694" s="4">
        <f>_xlfn.XLOOKUP(Table1[[#This Row], [ROOM]],Sheet1!$A$47:$A$66,Sheet1!$B$47:$B$66)</f>
        <v>135</v>
      </c>
      <c r="F694" t="s">
        <v>58</v>
      </c>
      <c r="G694" s="4">
        <f>_xlfn.XLOOKUP(Table1[[#This Row], [DISGUISE]],Sheet1!$A$21:$A$23,Sheet1!$B$21:$B$23)*Table1[[#This Row], [NUM OF MEM]]*(1+_xlfn.XLOOKUP(Table1[[#This Row], [DISGUISE]],Sheet1!$A$21:$A$23,Sheet1!$C$21:$C$23))</f>
        <v>25600</v>
      </c>
      <c r="H694" s="13" t="s">
        <v>59</v>
      </c>
      <c r="I694" s="4">
        <f>_xlfn.XLOOKUP(Table1[[#This Row], [WEAPON]],Sheet1!$A$27:$A$29,Sheet1!$B$27:$B$29)*Table1[[#This Row], [NUM OF MEM]]*(1+_xlfn.XLOOKUP(Table1[[#This Row], [WEAPON]],Sheet1!$A$27:$A$29,Sheet1!$C$27:$C$29))</f>
        <v>91000</v>
      </c>
      <c r="J694" t="s">
        <v>64</v>
      </c>
      <c r="K694" s="9">
        <f>Table1[[#This Row], [NUM OF MEM]]*Table1[[#This Row], [TOTAL TIME TAKEN]]*_xlfn.XLOOKUP(Table1[[#This Row], [EXIT]],Sheet1!$A$70:$A$71,Sheet1!$B$70:$B$71)*(1+_xlfn.XLOOKUP(Table1[[#This Row], [EXIT]],Sheet1!$A$70:$A$71,Sheet1!$C$70:$C$71))</f>
        <v>1740398.3999999994</v>
      </c>
      <c r="L694" s="13" t="s">
        <v>65</v>
      </c>
      <c r="M694" s="4">
        <f>IF(Table1[[#This Row], [EQUIPMENT]]="YES",Sheet1!$C$44*(1+Sheet1!$D$44),0)</f>
        <v>307500</v>
      </c>
      <c r="N694" s="4">
        <f>_xlfn.XLOOKUP(Table1[[#This Row], [ROOM]],Sheet1!$A$47:$A$66,Sheet1!$F$47:$F$66)</f>
        <v>17950000</v>
      </c>
      <c r="O694" s="9">
        <f>_xlfn.XLOOKUP(_xlfn.CONCAT(Table1[[#This Row], [TEAM]],Table1[[#This Row], [ROOM]]),'ROOM TIME'!$H$2:$H$121,'ROOM TIME'!$J$2:$J$121)</f>
        <v>60.819999999999979</v>
      </c>
      <c r="P694" s="9">
        <f>(INDEX(Sheet1!$X$48:$Z$67,MATCH(Table1[[#This Row], [ROOM]],Sheet1!$P$48:$P$67,0),MATCH(Table1[[#This Row], [WEAPON]],Sheet1!$X$47:$Z$47,0)))/Table1[[#This Row], [NUM OF MEM]]</f>
        <v>6.3249999999999993</v>
      </c>
      <c r="Q694" s="9">
        <f>Table1[[#This Row], [ROOM TIME]]+Table1[[#This Row], [GUARD TIME]]</f>
        <v>67.144999999999982</v>
      </c>
      <c r="R694" s="4">
        <f>Sheet1!$K$3*_xlfn.XLOOKUP(Table1[[#This Row], [DISGUISE]],Sheet1!$A$21:$A$23,Sheet1!$D$21:$D$23)</f>
        <v>69</v>
      </c>
      <c r="S694" s="9">
        <f>Table1[[#This Row], [TOTAL TIME]]-Table1[[#This Row], [TOTAL TIME TAKEN]]</f>
        <v>1.8550000000000182</v>
      </c>
      <c r="T694" t="str">
        <f>IF(Table1[[#This Row], [TIME DIFFERENCE]]&gt;=0,"PASS","FAIL")</f>
        <v>PASS</v>
      </c>
      <c r="U694" s="9">
        <f>Table1[[#This Row], [TRC]]+Table1[[#This Row], [DRC]]+Table1[[#This Row], [WRC]]+Table1[[#This Row], [ERC]]+Table1[[#This Row], [EQRC]]</f>
        <v>8247298.3999999994</v>
      </c>
      <c r="V694" s="9">
        <f>Table1[[#This Row], [TOTAL COST]]+_xlfn.XLOOKUP(Table1[[#This Row], [TEAM]],Sheet1!$A$12:$A$17,Sheet1!$I$12:$I$17)</f>
        <v>8551438.3999999985</v>
      </c>
      <c r="W694" s="9">
        <f>Table1[[#This Row], [LOOT]]-Table1[[#This Row], [TOTAL COST]]</f>
        <v>9702701.6000000015</v>
      </c>
      <c r="X694" s="9">
        <f>IF(Table1[[#This Row], [PASS/FAIL]]="FAIL",0,Table1[[#This Row], [PROFIT]])</f>
        <v>9702701.6000000015</v>
      </c>
    </row>
    <row r="695" spans="1:24" ht="19.5" customHeight="1" x14ac:dyDescent="0.45">
      <c r="A695" t="s">
        <v>13</v>
      </c>
      <c r="B695" s="14">
        <f>_xlfn.XLOOKUP(Table1[[#This Row], [TEAM]],Sheet1!$A$12:$A$17,Sheet1!$F$12:$F$17)</f>
        <v>3</v>
      </c>
      <c r="C695" s="14">
        <f>_xlfn.XLOOKUP(Table1[[#This Row], [TEAM]],Sheet1!$A$12:$A$17,Sheet1!$G$12:$G$17)</f>
        <v>5930000</v>
      </c>
      <c r="D695" t="s">
        <v>34</v>
      </c>
      <c r="E695" s="4">
        <f>_xlfn.XLOOKUP(Table1[[#This Row], [ROOM]],Sheet1!$A$47:$A$66,Sheet1!$B$47:$B$66)</f>
        <v>456</v>
      </c>
      <c r="F695" t="s">
        <v>62</v>
      </c>
      <c r="G695" s="4">
        <f>_xlfn.XLOOKUP(Table1[[#This Row], [DISGUISE]],Sheet1!$A$21:$A$23,Sheet1!$B$21:$B$23)*Table1[[#This Row], [NUM OF MEM]]*(1+_xlfn.XLOOKUP(Table1[[#This Row], [DISGUISE]],Sheet1!$A$21:$A$23,Sheet1!$C$21:$C$23))</f>
        <v>15600</v>
      </c>
      <c r="H695" s="13" t="s">
        <v>63</v>
      </c>
      <c r="I695" s="4">
        <f>_xlfn.XLOOKUP(Table1[[#This Row], [WEAPON]],Sheet1!$A$27:$A$29,Sheet1!$B$27:$B$29)*Table1[[#This Row], [NUM OF MEM]]*(1+_xlfn.XLOOKUP(Table1[[#This Row], [WEAPON]],Sheet1!$A$27:$A$29,Sheet1!$C$27:$C$29))</f>
        <v>69000</v>
      </c>
      <c r="J695" t="s">
        <v>60</v>
      </c>
      <c r="K695" s="9">
        <f>Table1[[#This Row], [NUM OF MEM]]*Table1[[#This Row], [TOTAL TIME TAKEN]]*_xlfn.XLOOKUP(Table1[[#This Row], [EXIT]],Sheet1!$A$70:$A$71,Sheet1!$B$70:$B$71)*(1+_xlfn.XLOOKUP(Table1[[#This Row], [EXIT]],Sheet1!$A$70:$A$71,Sheet1!$C$70:$C$71))</f>
        <v>1675560.9124999999</v>
      </c>
      <c r="L695" s="13" t="s">
        <v>65</v>
      </c>
      <c r="M695" s="4">
        <f>IF(Table1[[#This Row], [EQUIPMENT]]="YES",Sheet1!$C$44*(1+Sheet1!$D$44),0)</f>
        <v>307500</v>
      </c>
      <c r="N695" s="4">
        <f>_xlfn.XLOOKUP(Table1[[#This Row], [ROOM]],Sheet1!$A$47:$A$66,Sheet1!$F$47:$F$66)</f>
        <v>17700000</v>
      </c>
      <c r="O695" s="9">
        <f>_xlfn.XLOOKUP(_xlfn.CONCAT(Table1[[#This Row], [TEAM]],Table1[[#This Row], [ROOM]]),'ROOM TIME'!$H$2:$H$121,'ROOM TIME'!$J$2:$J$121)</f>
        <v>38.573888888888881</v>
      </c>
      <c r="P695" s="9">
        <f>(INDEX(Sheet1!$X$48:$Z$67,MATCH(Table1[[#This Row], [ROOM]],Sheet1!$P$48:$P$67,0),MATCH(Table1[[#This Row], [WEAPON]],Sheet1!$X$47:$Z$47,0)))/Table1[[#This Row], [NUM OF MEM]]</f>
        <v>4.95</v>
      </c>
      <c r="Q695" s="9">
        <f>Table1[[#This Row], [ROOM TIME]]+Table1[[#This Row], [GUARD TIME]]</f>
        <v>43.523888888888884</v>
      </c>
      <c r="R695" s="4">
        <f>Sheet1!$K$3*_xlfn.XLOOKUP(Table1[[#This Row], [DISGUISE]],Sheet1!$A$21:$A$23,Sheet1!$D$21:$D$23)</f>
        <v>66</v>
      </c>
      <c r="S695" s="9">
        <f>Table1[[#This Row], [TOTAL TIME]]-Table1[[#This Row], [TOTAL TIME TAKEN]]</f>
        <v>22.476111111111116</v>
      </c>
      <c r="T695" t="str">
        <f>IF(Table1[[#This Row], [TIME DIFFERENCE]]&gt;=0,"PASS","FAIL")</f>
        <v>PASS</v>
      </c>
      <c r="U695" s="9">
        <f>Table1[[#This Row], [TRC]]+Table1[[#This Row], [DRC]]+Table1[[#This Row], [WRC]]+Table1[[#This Row], [ERC]]+Table1[[#This Row], [EQRC]]</f>
        <v>7997660.9124999996</v>
      </c>
      <c r="V695" s="9">
        <f>Table1[[#This Row], [TOTAL COST]]+_xlfn.XLOOKUP(Table1[[#This Row], [TEAM]],Sheet1!$A$12:$A$17,Sheet1!$I$12:$I$17)</f>
        <v>8294160.9124999996</v>
      </c>
      <c r="W695" s="9">
        <f>Table1[[#This Row], [LOOT]]-Table1[[#This Row], [TOTAL COST]]</f>
        <v>9702339.0875000004</v>
      </c>
      <c r="X695" s="9">
        <f>IF(Table1[[#This Row], [PASS/FAIL]]="FAIL",0,Table1[[#This Row], [PROFIT]])</f>
        <v>9702339.0875000004</v>
      </c>
    </row>
    <row r="696" spans="1:24" ht="19.5" customHeight="1" x14ac:dyDescent="0.45">
      <c r="A696" t="s">
        <v>14</v>
      </c>
      <c r="B696" s="14">
        <f>_xlfn.XLOOKUP(Table1[[#This Row], [TEAM]],Sheet1!$A$12:$A$17,Sheet1!$F$12:$F$17)</f>
        <v>2</v>
      </c>
      <c r="C696" s="14">
        <f>_xlfn.XLOOKUP(Table1[[#This Row], [TEAM]],Sheet1!$A$12:$A$17,Sheet1!$G$12:$G$17)</f>
        <v>5949600</v>
      </c>
      <c r="D696" t="s">
        <v>28</v>
      </c>
      <c r="E696" s="4">
        <f>_xlfn.XLOOKUP(Table1[[#This Row], [ROOM]],Sheet1!$A$47:$A$66,Sheet1!$B$47:$B$66)</f>
        <v>156</v>
      </c>
      <c r="F696" t="s">
        <v>58</v>
      </c>
      <c r="G696" s="4">
        <f>_xlfn.XLOOKUP(Table1[[#This Row], [DISGUISE]],Sheet1!$A$21:$A$23,Sheet1!$B$21:$B$23)*Table1[[#This Row], [NUM OF MEM]]*(1+_xlfn.XLOOKUP(Table1[[#This Row], [DISGUISE]],Sheet1!$A$21:$A$23,Sheet1!$C$21:$C$23))</f>
        <v>25600</v>
      </c>
      <c r="H696" s="13" t="s">
        <v>66</v>
      </c>
      <c r="I696" s="4">
        <f>_xlfn.XLOOKUP(Table1[[#This Row], [WEAPON]],Sheet1!$A$27:$A$29,Sheet1!$B$27:$B$29)*Table1[[#This Row], [NUM OF MEM]]*(1+_xlfn.XLOOKUP(Table1[[#This Row], [WEAPON]],Sheet1!$A$27:$A$29,Sheet1!$C$27:$C$29))</f>
        <v>72000</v>
      </c>
      <c r="J696" t="s">
        <v>60</v>
      </c>
      <c r="K696" s="9">
        <f>Table1[[#This Row], [NUM OF MEM]]*Table1[[#This Row], [TOTAL TIME TAKEN]]*_xlfn.XLOOKUP(Table1[[#This Row], [EXIT]],Sheet1!$A$70:$A$71,Sheet1!$B$70:$B$71)*(1+_xlfn.XLOOKUP(Table1[[#This Row], [EXIT]],Sheet1!$A$70:$A$71,Sheet1!$C$70:$C$71))</f>
        <v>1593219.0374999992</v>
      </c>
      <c r="L696" s="13" t="s">
        <v>65</v>
      </c>
      <c r="M696" s="4">
        <f>IF(Table1[[#This Row], [EQUIPMENT]]="YES",Sheet1!$C$44*(1+Sheet1!$D$44),0)</f>
        <v>307500</v>
      </c>
      <c r="N696" s="4">
        <f>_xlfn.XLOOKUP(Table1[[#This Row], [ROOM]],Sheet1!$A$47:$A$66,Sheet1!$F$47:$F$66)</f>
        <v>17650000</v>
      </c>
      <c r="O696" s="9">
        <f>_xlfn.XLOOKUP(_xlfn.CONCAT(Table1[[#This Row], [TEAM]],Table1[[#This Row], [ROOM]]),'ROOM TIME'!$H$2:$H$121,'ROOM TIME'!$J$2:$J$121)</f>
        <v>55.827499999999979</v>
      </c>
      <c r="P696" s="9">
        <f>(INDEX(Sheet1!$X$48:$Z$67,MATCH(Table1[[#This Row], [ROOM]],Sheet1!$P$48:$P$67,0),MATCH(Table1[[#This Row], [WEAPON]],Sheet1!$X$47:$Z$47,0)))/Table1[[#This Row], [NUM OF MEM]]</f>
        <v>6.25</v>
      </c>
      <c r="Q696" s="9">
        <f>Table1[[#This Row], [ROOM TIME]]+Table1[[#This Row], [GUARD TIME]]</f>
        <v>62.077499999999979</v>
      </c>
      <c r="R696" s="4">
        <f>Sheet1!$K$3*_xlfn.XLOOKUP(Table1[[#This Row], [DISGUISE]],Sheet1!$A$21:$A$23,Sheet1!$D$21:$D$23)</f>
        <v>69</v>
      </c>
      <c r="S696" s="9">
        <f>Table1[[#This Row], [TOTAL TIME]]-Table1[[#This Row], [TOTAL TIME TAKEN]]</f>
        <v>6.9225000000000207</v>
      </c>
      <c r="T696" t="str">
        <f>IF(Table1[[#This Row], [TIME DIFFERENCE]]&gt;=0,"PASS","FAIL")</f>
        <v>PASS</v>
      </c>
      <c r="U696" s="9">
        <f>Table1[[#This Row], [TRC]]+Table1[[#This Row], [DRC]]+Table1[[#This Row], [WRC]]+Table1[[#This Row], [ERC]]+Table1[[#This Row], [EQRC]]</f>
        <v>7947919.0374999996</v>
      </c>
      <c r="V696" s="9">
        <f>Table1[[#This Row], [TOTAL COST]]+_xlfn.XLOOKUP(Table1[[#This Row], [TEAM]],Sheet1!$A$12:$A$17,Sheet1!$I$12:$I$17)</f>
        <v>8245399.0374999996</v>
      </c>
      <c r="W696" s="9">
        <f>Table1[[#This Row], [LOOT]]-Table1[[#This Row], [TOTAL COST]]</f>
        <v>9702080.9625000004</v>
      </c>
      <c r="X696" s="9">
        <f>IF(Table1[[#This Row], [PASS/FAIL]]="FAIL",0,Table1[[#This Row], [PROFIT]])</f>
        <v>9702080.9625000004</v>
      </c>
    </row>
    <row r="697" spans="1:24" ht="19.5" customHeight="1" x14ac:dyDescent="0.45">
      <c r="A697" t="s">
        <v>14</v>
      </c>
      <c r="B697" s="14">
        <f>_xlfn.XLOOKUP(Table1[[#This Row], [TEAM]],Sheet1!$A$12:$A$17,Sheet1!$F$12:$F$17)</f>
        <v>2</v>
      </c>
      <c r="C697" s="14">
        <f>_xlfn.XLOOKUP(Table1[[#This Row], [TEAM]],Sheet1!$A$12:$A$17,Sheet1!$G$12:$G$17)</f>
        <v>5949600</v>
      </c>
      <c r="D697" t="s">
        <v>28</v>
      </c>
      <c r="E697" s="4">
        <f>_xlfn.XLOOKUP(Table1[[#This Row], [ROOM]],Sheet1!$A$47:$A$66,Sheet1!$B$47:$B$66)</f>
        <v>156</v>
      </c>
      <c r="F697" t="s">
        <v>62</v>
      </c>
      <c r="G697" s="4">
        <f>_xlfn.XLOOKUP(Table1[[#This Row], [DISGUISE]],Sheet1!$A$21:$A$23,Sheet1!$B$21:$B$23)*Table1[[#This Row], [NUM OF MEM]]*(1+_xlfn.XLOOKUP(Table1[[#This Row], [DISGUISE]],Sheet1!$A$21:$A$23,Sheet1!$C$21:$C$23))</f>
        <v>10400</v>
      </c>
      <c r="H697" s="13" t="s">
        <v>66</v>
      </c>
      <c r="I697" s="4">
        <f>_xlfn.XLOOKUP(Table1[[#This Row], [WEAPON]],Sheet1!$A$27:$A$29,Sheet1!$B$27:$B$29)*Table1[[#This Row], [NUM OF MEM]]*(1+_xlfn.XLOOKUP(Table1[[#This Row], [WEAPON]],Sheet1!$A$27:$A$29,Sheet1!$C$27:$C$29))</f>
        <v>72000</v>
      </c>
      <c r="J697" t="s">
        <v>64</v>
      </c>
      <c r="K697" s="9">
        <f>Table1[[#This Row], [NUM OF MEM]]*Table1[[#This Row], [TOTAL TIME TAKEN]]*_xlfn.XLOOKUP(Table1[[#This Row], [EXIT]],Sheet1!$A$70:$A$71,Sheet1!$B$70:$B$71)*(1+_xlfn.XLOOKUP(Table1[[#This Row], [EXIT]],Sheet1!$A$70:$A$71,Sheet1!$C$70:$C$71))</f>
        <v>1609048.7999999993</v>
      </c>
      <c r="L697" s="13" t="s">
        <v>65</v>
      </c>
      <c r="M697" s="4">
        <f>IF(Table1[[#This Row], [EQUIPMENT]]="YES",Sheet1!$C$44*(1+Sheet1!$D$44),0)</f>
        <v>307500</v>
      </c>
      <c r="N697" s="4">
        <f>_xlfn.XLOOKUP(Table1[[#This Row], [ROOM]],Sheet1!$A$47:$A$66,Sheet1!$F$47:$F$66)</f>
        <v>17650000</v>
      </c>
      <c r="O697" s="9">
        <f>_xlfn.XLOOKUP(_xlfn.CONCAT(Table1[[#This Row], [TEAM]],Table1[[#This Row], [ROOM]]),'ROOM TIME'!$H$2:$H$121,'ROOM TIME'!$J$2:$J$121)</f>
        <v>55.827499999999979</v>
      </c>
      <c r="P697" s="9">
        <f>(INDEX(Sheet1!$X$48:$Z$67,MATCH(Table1[[#This Row], [ROOM]],Sheet1!$P$48:$P$67,0),MATCH(Table1[[#This Row], [WEAPON]],Sheet1!$X$47:$Z$47,0)))/Table1[[#This Row], [NUM OF MEM]]</f>
        <v>6.25</v>
      </c>
      <c r="Q697" s="9">
        <f>Table1[[#This Row], [ROOM TIME]]+Table1[[#This Row], [GUARD TIME]]</f>
        <v>62.077499999999979</v>
      </c>
      <c r="R697" s="4">
        <f>Sheet1!$K$3*_xlfn.XLOOKUP(Table1[[#This Row], [DISGUISE]],Sheet1!$A$21:$A$23,Sheet1!$D$21:$D$23)</f>
        <v>66</v>
      </c>
      <c r="S697" s="9">
        <f>Table1[[#This Row], [TOTAL TIME]]-Table1[[#This Row], [TOTAL TIME TAKEN]]</f>
        <v>3.9225000000000207</v>
      </c>
      <c r="T697" t="str">
        <f>IF(Table1[[#This Row], [TIME DIFFERENCE]]&gt;=0,"PASS","FAIL")</f>
        <v>PASS</v>
      </c>
      <c r="U697" s="9">
        <f>Table1[[#This Row], [TRC]]+Table1[[#This Row], [DRC]]+Table1[[#This Row], [WRC]]+Table1[[#This Row], [ERC]]+Table1[[#This Row], [EQRC]]</f>
        <v>7948548.7999999989</v>
      </c>
      <c r="V697" s="9">
        <f>Table1[[#This Row], [TOTAL COST]]+_xlfn.XLOOKUP(Table1[[#This Row], [TEAM]],Sheet1!$A$12:$A$17,Sheet1!$I$12:$I$17)</f>
        <v>8246028.7999999989</v>
      </c>
      <c r="W697" s="9">
        <f>Table1[[#This Row], [LOOT]]-Table1[[#This Row], [TOTAL COST]]</f>
        <v>9701451.2000000011</v>
      </c>
      <c r="X697" s="9">
        <f>IF(Table1[[#This Row], [PASS/FAIL]]="FAIL",0,Table1[[#This Row], [PROFIT]])</f>
        <v>9701451.2000000011</v>
      </c>
    </row>
    <row r="698" spans="1:24" ht="19.5" customHeight="1" x14ac:dyDescent="0.45">
      <c r="A698" t="s">
        <v>9</v>
      </c>
      <c r="B698" s="14">
        <f>_xlfn.XLOOKUP(Table1[[#This Row], [TEAM]],Sheet1!$A$12:$A$17,Sheet1!$F$12:$F$17)</f>
        <v>3</v>
      </c>
      <c r="C698" s="14">
        <f>_xlfn.XLOOKUP(Table1[[#This Row], [TEAM]],Sheet1!$A$12:$A$17,Sheet1!$G$12:$G$17)</f>
        <v>6238750</v>
      </c>
      <c r="D698" t="s">
        <v>22</v>
      </c>
      <c r="E698" s="4">
        <f>_xlfn.XLOOKUP(Table1[[#This Row], [ROOM]],Sheet1!$A$47:$A$66,Sheet1!$B$47:$B$66)</f>
        <v>235</v>
      </c>
      <c r="F698" t="s">
        <v>62</v>
      </c>
      <c r="G698" s="4">
        <f>_xlfn.XLOOKUP(Table1[[#This Row], [DISGUISE]],Sheet1!$A$21:$A$23,Sheet1!$B$21:$B$23)*Table1[[#This Row], [NUM OF MEM]]*(1+_xlfn.XLOOKUP(Table1[[#This Row], [DISGUISE]],Sheet1!$A$21:$A$23,Sheet1!$C$21:$C$23))</f>
        <v>15600</v>
      </c>
      <c r="H698" s="13" t="s">
        <v>59</v>
      </c>
      <c r="I698" s="4">
        <f>_xlfn.XLOOKUP(Table1[[#This Row], [WEAPON]],Sheet1!$A$27:$A$29,Sheet1!$B$27:$B$29)*Table1[[#This Row], [NUM OF MEM]]*(1+_xlfn.XLOOKUP(Table1[[#This Row], [WEAPON]],Sheet1!$A$27:$A$29,Sheet1!$C$27:$C$29))</f>
        <v>136500</v>
      </c>
      <c r="J698" t="s">
        <v>64</v>
      </c>
      <c r="K698" s="9">
        <f>Table1[[#This Row], [NUM OF MEM]]*Table1[[#This Row], [TOTAL TIME TAKEN]]*_xlfn.XLOOKUP(Table1[[#This Row], [EXIT]],Sheet1!$A$70:$A$71,Sheet1!$B$70:$B$71)*(1+_xlfn.XLOOKUP(Table1[[#This Row], [EXIT]],Sheet1!$A$70:$A$71,Sheet1!$C$70:$C$71))</f>
        <v>1708559.9999999998</v>
      </c>
      <c r="L698" s="13" t="s">
        <v>61</v>
      </c>
      <c r="M698" s="4">
        <f>IF(Table1[[#This Row], [EQUIPMENT]]="YES",Sheet1!$C$44*(1+Sheet1!$D$44),0)</f>
        <v>0</v>
      </c>
      <c r="N698" s="4">
        <f>_xlfn.XLOOKUP(Table1[[#This Row], [ROOM]],Sheet1!$A$47:$A$66,Sheet1!$F$47:$F$66)</f>
        <v>17800000</v>
      </c>
      <c r="O698" s="9">
        <f>_xlfn.XLOOKUP(_xlfn.CONCAT(Table1[[#This Row], [TEAM]],Table1[[#This Row], [ROOM]]),'ROOM TIME'!$H$2:$H$121,'ROOM TIME'!$J$2:$J$121)</f>
        <v>39.344444444444434</v>
      </c>
      <c r="P698" s="9">
        <f>(INDEX(Sheet1!$X$48:$Z$67,MATCH(Table1[[#This Row], [ROOM]],Sheet1!$P$48:$P$67,0),MATCH(Table1[[#This Row], [WEAPON]],Sheet1!$X$47:$Z$47,0)))/Table1[[#This Row], [NUM OF MEM]]</f>
        <v>4.5999999999999996</v>
      </c>
      <c r="Q698" s="9">
        <f>Table1[[#This Row], [ROOM TIME]]+Table1[[#This Row], [GUARD TIME]]</f>
        <v>43.944444444444436</v>
      </c>
      <c r="R698" s="4">
        <f>Sheet1!$K$3*_xlfn.XLOOKUP(Table1[[#This Row], [DISGUISE]],Sheet1!$A$21:$A$23,Sheet1!$D$21:$D$23)</f>
        <v>66</v>
      </c>
      <c r="S698" s="9">
        <f>Table1[[#This Row], [TOTAL TIME]]-Table1[[#This Row], [TOTAL TIME TAKEN]]</f>
        <v>22.055555555555564</v>
      </c>
      <c r="T698" t="str">
        <f>IF(Table1[[#This Row], [TIME DIFFERENCE]]&gt;=0,"PASS","FAIL")</f>
        <v>PASS</v>
      </c>
      <c r="U698" s="4">
        <f>Table1[[#This Row], [TRC]]+Table1[[#This Row], [DRC]]+Table1[[#This Row], [WRC]]+Table1[[#This Row], [ERC]]+Table1[[#This Row], [EQRC]]</f>
        <v>8099410</v>
      </c>
      <c r="V698" s="9">
        <f>Table1[[#This Row], [TOTAL COST]]+_xlfn.XLOOKUP(Table1[[#This Row], [TEAM]],Sheet1!$A$12:$A$17,Sheet1!$I$12:$I$17)</f>
        <v>8411347.5</v>
      </c>
      <c r="W698" s="4">
        <f>Table1[[#This Row], [LOOT]]-Table1[[#This Row], [TOTAL COST]]</f>
        <v>9700590</v>
      </c>
      <c r="X698" s="4">
        <f>IF(Table1[[#This Row], [PASS/FAIL]]="FAIL",0,Table1[[#This Row], [PROFIT]])</f>
        <v>9700590</v>
      </c>
    </row>
    <row r="699" spans="1:24" ht="19.5" customHeight="1" x14ac:dyDescent="0.45">
      <c r="A699" t="s">
        <v>14</v>
      </c>
      <c r="B699" s="14">
        <f>_xlfn.XLOOKUP(Table1[[#This Row], [TEAM]],Sheet1!$A$12:$A$17,Sheet1!$F$12:$F$17)</f>
        <v>2</v>
      </c>
      <c r="C699" s="14">
        <f>_xlfn.XLOOKUP(Table1[[#This Row], [TEAM]],Sheet1!$A$12:$A$17,Sheet1!$G$12:$G$17)</f>
        <v>5949600</v>
      </c>
      <c r="D699" t="s">
        <v>28</v>
      </c>
      <c r="E699" s="4">
        <f>_xlfn.XLOOKUP(Table1[[#This Row], [ROOM]],Sheet1!$A$47:$A$66,Sheet1!$B$47:$B$66)</f>
        <v>156</v>
      </c>
      <c r="F699" t="s">
        <v>58</v>
      </c>
      <c r="G699" s="4">
        <f>_xlfn.XLOOKUP(Table1[[#This Row], [DISGUISE]],Sheet1!$A$21:$A$23,Sheet1!$B$21:$B$23)*Table1[[#This Row], [NUM OF MEM]]*(1+_xlfn.XLOOKUP(Table1[[#This Row], [DISGUISE]],Sheet1!$A$21:$A$23,Sheet1!$C$21:$C$23))</f>
        <v>25600</v>
      </c>
      <c r="H699" s="13" t="s">
        <v>63</v>
      </c>
      <c r="I699" s="4">
        <f>_xlfn.XLOOKUP(Table1[[#This Row], [WEAPON]],Sheet1!$A$27:$A$29,Sheet1!$B$27:$B$29)*Table1[[#This Row], [NUM OF MEM]]*(1+_xlfn.XLOOKUP(Table1[[#This Row], [WEAPON]],Sheet1!$A$27:$A$29,Sheet1!$C$27:$C$29))</f>
        <v>46000</v>
      </c>
      <c r="J699" t="s">
        <v>64</v>
      </c>
      <c r="K699" s="9">
        <f>Table1[[#This Row], [NUM OF MEM]]*Table1[[#This Row], [TOTAL TIME TAKEN]]*_xlfn.XLOOKUP(Table1[[#This Row], [EXIT]],Sheet1!$A$70:$A$71,Sheet1!$B$70:$B$71)*(1+_xlfn.XLOOKUP(Table1[[#This Row], [EXIT]],Sheet1!$A$70:$A$71,Sheet1!$C$70:$C$71))</f>
        <v>1622008.7999999993</v>
      </c>
      <c r="L699" s="13" t="s">
        <v>65</v>
      </c>
      <c r="M699" s="4">
        <f>IF(Table1[[#This Row], [EQUIPMENT]]="YES",Sheet1!$C$44*(1+Sheet1!$D$44),0)</f>
        <v>307500</v>
      </c>
      <c r="N699" s="4">
        <f>_xlfn.XLOOKUP(Table1[[#This Row], [ROOM]],Sheet1!$A$47:$A$66,Sheet1!$F$47:$F$66)</f>
        <v>17650000</v>
      </c>
      <c r="O699" s="9">
        <f>_xlfn.XLOOKUP(_xlfn.CONCAT(Table1[[#This Row], [TEAM]],Table1[[#This Row], [ROOM]]),'ROOM TIME'!$H$2:$H$121,'ROOM TIME'!$J$2:$J$121)</f>
        <v>55.827499999999979</v>
      </c>
      <c r="P699" s="9">
        <f>(INDEX(Sheet1!$X$48:$Z$67,MATCH(Table1[[#This Row], [ROOM]],Sheet1!$P$48:$P$67,0),MATCH(Table1[[#This Row], [WEAPON]],Sheet1!$X$47:$Z$47,0)))/Table1[[#This Row], [NUM OF MEM]]</f>
        <v>6.75</v>
      </c>
      <c r="Q699" s="9">
        <f>Table1[[#This Row], [ROOM TIME]]+Table1[[#This Row], [GUARD TIME]]</f>
        <v>62.577499999999979</v>
      </c>
      <c r="R699" s="4">
        <f>Sheet1!$K$3*_xlfn.XLOOKUP(Table1[[#This Row], [DISGUISE]],Sheet1!$A$21:$A$23,Sheet1!$D$21:$D$23)</f>
        <v>69</v>
      </c>
      <c r="S699" s="9">
        <f>Table1[[#This Row], [TOTAL TIME]]-Table1[[#This Row], [TOTAL TIME TAKEN]]</f>
        <v>6.4225000000000207</v>
      </c>
      <c r="T699" t="str">
        <f>IF(Table1[[#This Row], [TIME DIFFERENCE]]&gt;=0,"PASS","FAIL")</f>
        <v>PASS</v>
      </c>
      <c r="U699" s="9">
        <f>Table1[[#This Row], [TRC]]+Table1[[#This Row], [DRC]]+Table1[[#This Row], [WRC]]+Table1[[#This Row], [ERC]]+Table1[[#This Row], [EQRC]]</f>
        <v>7950708.7999999989</v>
      </c>
      <c r="V699" s="9">
        <f>Table1[[#This Row], [TOTAL COST]]+_xlfn.XLOOKUP(Table1[[#This Row], [TEAM]],Sheet1!$A$12:$A$17,Sheet1!$I$12:$I$17)</f>
        <v>8248188.7999999989</v>
      </c>
      <c r="W699" s="9">
        <f>Table1[[#This Row], [LOOT]]-Table1[[#This Row], [TOTAL COST]]</f>
        <v>9699291.2000000011</v>
      </c>
      <c r="X699" s="9">
        <f>IF(Table1[[#This Row], [PASS/FAIL]]="FAIL",0,Table1[[#This Row], [PROFIT]])</f>
        <v>9699291.2000000011</v>
      </c>
    </row>
    <row r="700" spans="1:24" ht="19.5" customHeight="1" x14ac:dyDescent="0.45">
      <c r="A700" t="s">
        <v>12</v>
      </c>
      <c r="B700" s="14">
        <f>_xlfn.XLOOKUP(Table1[[#This Row], [TEAM]],Sheet1!$A$12:$A$17,Sheet1!$F$12:$F$17)</f>
        <v>3</v>
      </c>
      <c r="C700" s="14">
        <f>_xlfn.XLOOKUP(Table1[[#This Row], [TEAM]],Sheet1!$A$12:$A$17,Sheet1!$G$12:$G$17)</f>
        <v>5988750</v>
      </c>
      <c r="D700" t="s">
        <v>20</v>
      </c>
      <c r="E700" s="4">
        <f>_xlfn.XLOOKUP(Table1[[#This Row], [ROOM]],Sheet1!$A$47:$A$66,Sheet1!$B$47:$B$66)</f>
        <v>145</v>
      </c>
      <c r="F700" t="s">
        <v>58</v>
      </c>
      <c r="G700" s="4">
        <f>_xlfn.XLOOKUP(Table1[[#This Row], [DISGUISE]],Sheet1!$A$21:$A$23,Sheet1!$B$21:$B$23)*Table1[[#This Row], [NUM OF MEM]]*(1+_xlfn.XLOOKUP(Table1[[#This Row], [DISGUISE]],Sheet1!$A$21:$A$23,Sheet1!$C$21:$C$23))</f>
        <v>38400</v>
      </c>
      <c r="H700" s="13" t="s">
        <v>59</v>
      </c>
      <c r="I700" s="4">
        <f>_xlfn.XLOOKUP(Table1[[#This Row], [WEAPON]],Sheet1!$A$27:$A$29,Sheet1!$B$27:$B$29)*Table1[[#This Row], [NUM OF MEM]]*(1+_xlfn.XLOOKUP(Table1[[#This Row], [WEAPON]],Sheet1!$A$27:$A$29,Sheet1!$C$27:$C$29))</f>
        <v>136500</v>
      </c>
      <c r="J700" t="s">
        <v>64</v>
      </c>
      <c r="K700" s="9">
        <f>Table1[[#This Row], [NUM OF MEM]]*Table1[[#This Row], [TOTAL TIME TAKEN]]*_xlfn.XLOOKUP(Table1[[#This Row], [EXIT]],Sheet1!$A$70:$A$71,Sheet1!$B$70:$B$71)*(1+_xlfn.XLOOKUP(Table1[[#This Row], [EXIT]],Sheet1!$A$70:$A$71,Sheet1!$C$70:$C$71))</f>
        <v>1688039.9999999998</v>
      </c>
      <c r="L700" s="13" t="s">
        <v>61</v>
      </c>
      <c r="M700" s="4">
        <f>IF(Table1[[#This Row], [EQUIPMENT]]="YES",Sheet1!$C$44*(1+Sheet1!$D$44),0)</f>
        <v>0</v>
      </c>
      <c r="N700" s="4">
        <f>_xlfn.XLOOKUP(Table1[[#This Row], [ROOM]],Sheet1!$A$47:$A$66,Sheet1!$F$47:$F$66)</f>
        <v>17550000</v>
      </c>
      <c r="O700" s="9">
        <f>_xlfn.XLOOKUP(_xlfn.CONCAT(Table1[[#This Row], [TEAM]],Table1[[#This Row], [ROOM]]),'ROOM TIME'!$H$2:$H$121,'ROOM TIME'!$J$2:$J$121)</f>
        <v>39.583333333333321</v>
      </c>
      <c r="P700" s="9">
        <f>(INDEX(Sheet1!$X$48:$Z$67,MATCH(Table1[[#This Row], [ROOM]],Sheet1!$P$48:$P$67,0),MATCH(Table1[[#This Row], [WEAPON]],Sheet1!$X$47:$Z$47,0)))/Table1[[#This Row], [NUM OF MEM]]</f>
        <v>3.8333333333333335</v>
      </c>
      <c r="Q700" s="9">
        <f>Table1[[#This Row], [ROOM TIME]]+Table1[[#This Row], [GUARD TIME]]</f>
        <v>43.416666666666657</v>
      </c>
      <c r="R700" s="4">
        <f>Sheet1!$K$3*_xlfn.XLOOKUP(Table1[[#This Row], [DISGUISE]],Sheet1!$A$21:$A$23,Sheet1!$D$21:$D$23)</f>
        <v>69</v>
      </c>
      <c r="S700" s="9">
        <f>Table1[[#This Row], [TOTAL TIME]]-Table1[[#This Row], [TOTAL TIME TAKEN]]</f>
        <v>25.583333333333343</v>
      </c>
      <c r="T700" t="str">
        <f>IF(Table1[[#This Row], [TIME DIFFERENCE]]&gt;=0,"PASS","FAIL")</f>
        <v>PASS</v>
      </c>
      <c r="U700" s="4">
        <f>Table1[[#This Row], [TRC]]+Table1[[#This Row], [DRC]]+Table1[[#This Row], [WRC]]+Table1[[#This Row], [ERC]]+Table1[[#This Row], [EQRC]]</f>
        <v>7851690</v>
      </c>
      <c r="V700" s="9">
        <f>Table1[[#This Row], [TOTAL COST]]+_xlfn.XLOOKUP(Table1[[#This Row], [TEAM]],Sheet1!$A$12:$A$17,Sheet1!$I$12:$I$17)</f>
        <v>8151127.5</v>
      </c>
      <c r="W700" s="4">
        <f>Table1[[#This Row], [LOOT]]-Table1[[#This Row], [TOTAL COST]]</f>
        <v>9698310</v>
      </c>
      <c r="X700" s="4">
        <f>IF(Table1[[#This Row], [PASS/FAIL]]="FAIL",0,Table1[[#This Row], [PROFIT]])</f>
        <v>9698310</v>
      </c>
    </row>
    <row r="701" spans="1:24" ht="19.5" customHeight="1" x14ac:dyDescent="0.45">
      <c r="A701" t="s">
        <v>13</v>
      </c>
      <c r="B701" s="14">
        <f>_xlfn.XLOOKUP(Table1[[#This Row], [TEAM]],Sheet1!$A$12:$A$17,Sheet1!$F$12:$F$17)</f>
        <v>3</v>
      </c>
      <c r="C701" s="14">
        <f>_xlfn.XLOOKUP(Table1[[#This Row], [TEAM]],Sheet1!$A$12:$A$17,Sheet1!$G$12:$G$17)</f>
        <v>5930000</v>
      </c>
      <c r="D701" t="s">
        <v>20</v>
      </c>
      <c r="E701" s="4">
        <f>_xlfn.XLOOKUP(Table1[[#This Row], [ROOM]],Sheet1!$A$47:$A$66,Sheet1!$B$47:$B$66)</f>
        <v>145</v>
      </c>
      <c r="F701" t="s">
        <v>58</v>
      </c>
      <c r="G701" s="4">
        <f>_xlfn.XLOOKUP(Table1[[#This Row], [DISGUISE]],Sheet1!$A$21:$A$23,Sheet1!$B$21:$B$23)*Table1[[#This Row], [NUM OF MEM]]*(1+_xlfn.XLOOKUP(Table1[[#This Row], [DISGUISE]],Sheet1!$A$21:$A$23,Sheet1!$C$21:$C$23))</f>
        <v>38400</v>
      </c>
      <c r="H701" s="13" t="s">
        <v>59</v>
      </c>
      <c r="I701" s="4">
        <f>_xlfn.XLOOKUP(Table1[[#This Row], [WEAPON]],Sheet1!$A$27:$A$29,Sheet1!$B$27:$B$29)*Table1[[#This Row], [NUM OF MEM]]*(1+_xlfn.XLOOKUP(Table1[[#This Row], [WEAPON]],Sheet1!$A$27:$A$29,Sheet1!$C$27:$C$29))</f>
        <v>136500</v>
      </c>
      <c r="J701" t="s">
        <v>60</v>
      </c>
      <c r="K701" s="9">
        <f>Table1[[#This Row], [NUM OF MEM]]*Table1[[#This Row], [TOTAL TIME TAKEN]]*_xlfn.XLOOKUP(Table1[[#This Row], [EXIT]],Sheet1!$A$70:$A$71,Sheet1!$B$70:$B$71)*(1+_xlfn.XLOOKUP(Table1[[#This Row], [EXIT]],Sheet1!$A$70:$A$71,Sheet1!$C$70:$C$71))</f>
        <v>1746888.2249999996</v>
      </c>
      <c r="L701" s="13" t="s">
        <v>61</v>
      </c>
      <c r="M701" s="4">
        <f>IF(Table1[[#This Row], [EQUIPMENT]]="YES",Sheet1!$C$44*(1+Sheet1!$D$44),0)</f>
        <v>0</v>
      </c>
      <c r="N701" s="4">
        <f>_xlfn.XLOOKUP(Table1[[#This Row], [ROOM]],Sheet1!$A$47:$A$66,Sheet1!$F$47:$F$66)</f>
        <v>17550000</v>
      </c>
      <c r="O701" s="9">
        <f>_xlfn.XLOOKUP(_xlfn.CONCAT(Table1[[#This Row], [TEAM]],Table1[[#This Row], [ROOM]]),'ROOM TIME'!$H$2:$H$121,'ROOM TIME'!$J$2:$J$121)</f>
        <v>41.543333333333322</v>
      </c>
      <c r="P701" s="9">
        <f>(INDEX(Sheet1!$X$48:$Z$67,MATCH(Table1[[#This Row], [ROOM]],Sheet1!$P$48:$P$67,0),MATCH(Table1[[#This Row], [WEAPON]],Sheet1!$X$47:$Z$47,0)))/Table1[[#This Row], [NUM OF MEM]]</f>
        <v>3.8333333333333335</v>
      </c>
      <c r="Q701" s="9">
        <f>Table1[[#This Row], [ROOM TIME]]+Table1[[#This Row], [GUARD TIME]]</f>
        <v>45.376666666666658</v>
      </c>
      <c r="R701" s="4">
        <f>Sheet1!$K$3*_xlfn.XLOOKUP(Table1[[#This Row], [DISGUISE]],Sheet1!$A$21:$A$23,Sheet1!$D$21:$D$23)</f>
        <v>69</v>
      </c>
      <c r="S701" s="9">
        <f>Table1[[#This Row], [TOTAL TIME]]-Table1[[#This Row], [TOTAL TIME TAKEN]]</f>
        <v>23.623333333333342</v>
      </c>
      <c r="T701" t="str">
        <f>IF(Table1[[#This Row], [TIME DIFFERENCE]]&gt;=0,"PASS","FAIL")</f>
        <v>PASS</v>
      </c>
      <c r="U701" s="9">
        <f>Table1[[#This Row], [TRC]]+Table1[[#This Row], [DRC]]+Table1[[#This Row], [WRC]]+Table1[[#This Row], [ERC]]+Table1[[#This Row], [EQRC]]</f>
        <v>7851788.2249999996</v>
      </c>
      <c r="V701" s="9">
        <f>Table1[[#This Row], [TOTAL COST]]+_xlfn.XLOOKUP(Table1[[#This Row], [TEAM]],Sheet1!$A$12:$A$17,Sheet1!$I$12:$I$17)</f>
        <v>8148288.2249999996</v>
      </c>
      <c r="W701" s="9">
        <f>Table1[[#This Row], [LOOT]]-Table1[[#This Row], [TOTAL COST]]</f>
        <v>9698211.7750000004</v>
      </c>
      <c r="X701" s="9">
        <f>IF(Table1[[#This Row], [PASS/FAIL]]="FAIL",0,Table1[[#This Row], [PROFIT]])</f>
        <v>9698211.7750000004</v>
      </c>
    </row>
    <row r="702" spans="1:24" ht="19.5" customHeight="1" x14ac:dyDescent="0.45">
      <c r="A702" t="s">
        <v>9</v>
      </c>
      <c r="B702" s="14">
        <f>_xlfn.XLOOKUP(Table1[[#This Row], [TEAM]],Sheet1!$A$12:$A$17,Sheet1!$F$12:$F$17)</f>
        <v>3</v>
      </c>
      <c r="C702" s="14">
        <f>_xlfn.XLOOKUP(Table1[[#This Row], [TEAM]],Sheet1!$A$12:$A$17,Sheet1!$G$12:$G$17)</f>
        <v>6238750</v>
      </c>
      <c r="D702" t="s">
        <v>29</v>
      </c>
      <c r="E702" s="4">
        <f>_xlfn.XLOOKUP(Table1[[#This Row], [ROOM]],Sheet1!$A$47:$A$66,Sheet1!$B$47:$B$66)</f>
        <v>236</v>
      </c>
      <c r="F702" t="s">
        <v>62</v>
      </c>
      <c r="G702" s="4">
        <f>_xlfn.XLOOKUP(Table1[[#This Row], [DISGUISE]],Sheet1!$A$21:$A$23,Sheet1!$B$21:$B$23)*Table1[[#This Row], [NUM OF MEM]]*(1+_xlfn.XLOOKUP(Table1[[#This Row], [DISGUISE]],Sheet1!$A$21:$A$23,Sheet1!$C$21:$C$23))</f>
        <v>15600</v>
      </c>
      <c r="H702" s="13" t="s">
        <v>63</v>
      </c>
      <c r="I702" s="4">
        <f>_xlfn.XLOOKUP(Table1[[#This Row], [WEAPON]],Sheet1!$A$27:$A$29,Sheet1!$B$27:$B$29)*Table1[[#This Row], [NUM OF MEM]]*(1+_xlfn.XLOOKUP(Table1[[#This Row], [WEAPON]],Sheet1!$A$27:$A$29,Sheet1!$C$27:$C$29))</f>
        <v>69000</v>
      </c>
      <c r="J702" t="s">
        <v>64</v>
      </c>
      <c r="K702" s="9">
        <f>Table1[[#This Row], [NUM OF MEM]]*Table1[[#This Row], [TOTAL TIME TAKEN]]*_xlfn.XLOOKUP(Table1[[#This Row], [EXIT]],Sheet1!$A$70:$A$71,Sheet1!$B$70:$B$71)*(1+_xlfn.XLOOKUP(Table1[[#This Row], [EXIT]],Sheet1!$A$70:$A$71,Sheet1!$C$70:$C$71))</f>
        <v>1671364.7999999996</v>
      </c>
      <c r="L702" s="13" t="s">
        <v>65</v>
      </c>
      <c r="M702" s="4">
        <f>IF(Table1[[#This Row], [EQUIPMENT]]="YES",Sheet1!$C$44*(1+Sheet1!$D$44),0)</f>
        <v>307500</v>
      </c>
      <c r="N702" s="4">
        <f>_xlfn.XLOOKUP(Table1[[#This Row], [ROOM]],Sheet1!$A$47:$A$66,Sheet1!$F$47:$F$66)</f>
        <v>18000000</v>
      </c>
      <c r="O702" s="9">
        <f>_xlfn.XLOOKUP(_xlfn.CONCAT(Table1[[#This Row], [TEAM]],Table1[[#This Row], [ROOM]]),'ROOM TIME'!$H$2:$H$121,'ROOM TIME'!$J$2:$J$121)</f>
        <v>37.137777777777764</v>
      </c>
      <c r="P702" s="9">
        <f>(INDEX(Sheet1!$X$48:$Z$67,MATCH(Table1[[#This Row], [ROOM]],Sheet1!$P$48:$P$67,0),MATCH(Table1[[#This Row], [WEAPON]],Sheet1!$X$47:$Z$47,0)))/Table1[[#This Row], [NUM OF MEM]]</f>
        <v>5.8500000000000005</v>
      </c>
      <c r="Q702" s="9">
        <f>Table1[[#This Row], [ROOM TIME]]+Table1[[#This Row], [GUARD TIME]]</f>
        <v>42.987777777777765</v>
      </c>
      <c r="R702" s="4">
        <f>Sheet1!$K$3*_xlfn.XLOOKUP(Table1[[#This Row], [DISGUISE]],Sheet1!$A$21:$A$23,Sheet1!$D$21:$D$23)</f>
        <v>66</v>
      </c>
      <c r="S702" s="9">
        <f>Table1[[#This Row], [TOTAL TIME]]-Table1[[#This Row], [TOTAL TIME TAKEN]]</f>
        <v>23.012222222222235</v>
      </c>
      <c r="T702" t="str">
        <f>IF(Table1[[#This Row], [TIME DIFFERENCE]]&gt;=0,"PASS","FAIL")</f>
        <v>PASS</v>
      </c>
      <c r="U702" s="9">
        <f>Table1[[#This Row], [TRC]]+Table1[[#This Row], [DRC]]+Table1[[#This Row], [WRC]]+Table1[[#This Row], [ERC]]+Table1[[#This Row], [EQRC]]</f>
        <v>8302214.7999999998</v>
      </c>
      <c r="V702" s="9">
        <f>Table1[[#This Row], [TOTAL COST]]+_xlfn.XLOOKUP(Table1[[#This Row], [TEAM]],Sheet1!$A$12:$A$17,Sheet1!$I$12:$I$17)</f>
        <v>8614152.3000000007</v>
      </c>
      <c r="W702" s="9">
        <f>Table1[[#This Row], [LOOT]]-Table1[[#This Row], [TOTAL COST]]</f>
        <v>9697785.1999999993</v>
      </c>
      <c r="X702" s="9">
        <f>IF(Table1[[#This Row], [PASS/FAIL]]="FAIL",0,Table1[[#This Row], [PROFIT]])</f>
        <v>9697785.1999999993</v>
      </c>
    </row>
    <row r="703" spans="1:24" ht="19.5" customHeight="1" x14ac:dyDescent="0.45">
      <c r="A703" t="s">
        <v>12</v>
      </c>
      <c r="B703" s="14">
        <f>_xlfn.XLOOKUP(Table1[[#This Row], [TEAM]],Sheet1!$A$12:$A$17,Sheet1!$F$12:$F$17)</f>
        <v>3</v>
      </c>
      <c r="C703" s="14">
        <f>_xlfn.XLOOKUP(Table1[[#This Row], [TEAM]],Sheet1!$A$12:$A$17,Sheet1!$G$12:$G$17)</f>
        <v>5988750</v>
      </c>
      <c r="D703" t="s">
        <v>34</v>
      </c>
      <c r="E703" s="4">
        <f>_xlfn.XLOOKUP(Table1[[#This Row], [ROOM]],Sheet1!$A$47:$A$66,Sheet1!$B$47:$B$66)</f>
        <v>456</v>
      </c>
      <c r="F703" t="s">
        <v>62</v>
      </c>
      <c r="G703" s="4">
        <f>_xlfn.XLOOKUP(Table1[[#This Row], [DISGUISE]],Sheet1!$A$21:$A$23,Sheet1!$B$21:$B$23)*Table1[[#This Row], [NUM OF MEM]]*(1+_xlfn.XLOOKUP(Table1[[#This Row], [DISGUISE]],Sheet1!$A$21:$A$23,Sheet1!$C$21:$C$23))</f>
        <v>15600</v>
      </c>
      <c r="H703" s="13" t="s">
        <v>63</v>
      </c>
      <c r="I703" s="4">
        <f>_xlfn.XLOOKUP(Table1[[#This Row], [WEAPON]],Sheet1!$A$27:$A$29,Sheet1!$B$27:$B$29)*Table1[[#This Row], [NUM OF MEM]]*(1+_xlfn.XLOOKUP(Table1[[#This Row], [WEAPON]],Sheet1!$A$27:$A$29,Sheet1!$C$27:$C$29))</f>
        <v>69000</v>
      </c>
      <c r="J703" t="s">
        <v>64</v>
      </c>
      <c r="K703" s="9">
        <f>Table1[[#This Row], [NUM OF MEM]]*Table1[[#This Row], [TOTAL TIME TAKEN]]*_xlfn.XLOOKUP(Table1[[#This Row], [EXIT]],Sheet1!$A$70:$A$71,Sheet1!$B$70:$B$71)*(1+_xlfn.XLOOKUP(Table1[[#This Row], [EXIT]],Sheet1!$A$70:$A$71,Sheet1!$C$70:$C$71))</f>
        <v>1621857.5999999994</v>
      </c>
      <c r="L703" s="13" t="s">
        <v>65</v>
      </c>
      <c r="M703" s="4">
        <f>IF(Table1[[#This Row], [EQUIPMENT]]="YES",Sheet1!$C$44*(1+Sheet1!$D$44),0)</f>
        <v>307500</v>
      </c>
      <c r="N703" s="4">
        <f>_xlfn.XLOOKUP(Table1[[#This Row], [ROOM]],Sheet1!$A$47:$A$66,Sheet1!$F$47:$F$66)</f>
        <v>17700000</v>
      </c>
      <c r="O703" s="9">
        <f>_xlfn.XLOOKUP(_xlfn.CONCAT(Table1[[#This Row], [TEAM]],Table1[[#This Row], [ROOM]]),'ROOM TIME'!$H$2:$H$121,'ROOM TIME'!$J$2:$J$121)</f>
        <v>36.764444444444429</v>
      </c>
      <c r="P703" s="9">
        <f>(INDEX(Sheet1!$X$48:$Z$67,MATCH(Table1[[#This Row], [ROOM]],Sheet1!$P$48:$P$67,0),MATCH(Table1[[#This Row], [WEAPON]],Sheet1!$X$47:$Z$47,0)))/Table1[[#This Row], [NUM OF MEM]]</f>
        <v>4.95</v>
      </c>
      <c r="Q703" s="9">
        <f>Table1[[#This Row], [ROOM TIME]]+Table1[[#This Row], [GUARD TIME]]</f>
        <v>41.714444444444432</v>
      </c>
      <c r="R703" s="4">
        <f>Sheet1!$K$3*_xlfn.XLOOKUP(Table1[[#This Row], [DISGUISE]],Sheet1!$A$21:$A$23,Sheet1!$D$21:$D$23)</f>
        <v>66</v>
      </c>
      <c r="S703" s="9">
        <f>Table1[[#This Row], [TOTAL TIME]]-Table1[[#This Row], [TOTAL TIME TAKEN]]</f>
        <v>24.285555555555568</v>
      </c>
      <c r="T703" t="str">
        <f>IF(Table1[[#This Row], [TIME DIFFERENCE]]&gt;=0,"PASS","FAIL")</f>
        <v>PASS</v>
      </c>
      <c r="U703" s="9">
        <f>Table1[[#This Row], [TRC]]+Table1[[#This Row], [DRC]]+Table1[[#This Row], [WRC]]+Table1[[#This Row], [ERC]]+Table1[[#This Row], [EQRC]]</f>
        <v>8002707.5999999996</v>
      </c>
      <c r="V703" s="9">
        <f>Table1[[#This Row], [TOTAL COST]]+_xlfn.XLOOKUP(Table1[[#This Row], [TEAM]],Sheet1!$A$12:$A$17,Sheet1!$I$12:$I$17)</f>
        <v>8302145.0999999996</v>
      </c>
      <c r="W703" s="9">
        <f>Table1[[#This Row], [LOOT]]-Table1[[#This Row], [TOTAL COST]]</f>
        <v>9697292.4000000004</v>
      </c>
      <c r="X703" s="9">
        <f>IF(Table1[[#This Row], [PASS/FAIL]]="FAIL",0,Table1[[#This Row], [PROFIT]])</f>
        <v>9697292.4000000004</v>
      </c>
    </row>
    <row r="704" spans="1:24" ht="19.5" customHeight="1" x14ac:dyDescent="0.45">
      <c r="A704" t="s">
        <v>12</v>
      </c>
      <c r="B704" s="14">
        <f>_xlfn.XLOOKUP(Table1[[#This Row], [TEAM]],Sheet1!$A$12:$A$17,Sheet1!$F$12:$F$17)</f>
        <v>3</v>
      </c>
      <c r="C704" s="14">
        <f>_xlfn.XLOOKUP(Table1[[#This Row], [TEAM]],Sheet1!$A$12:$A$17,Sheet1!$G$12:$G$17)</f>
        <v>5988750</v>
      </c>
      <c r="D704" t="s">
        <v>27</v>
      </c>
      <c r="E704" s="4">
        <f>_xlfn.XLOOKUP(Table1[[#This Row], [ROOM]],Sheet1!$A$47:$A$66,Sheet1!$B$47:$B$66)</f>
        <v>146</v>
      </c>
      <c r="F704" t="s">
        <v>58</v>
      </c>
      <c r="G704" s="4">
        <f>_xlfn.XLOOKUP(Table1[[#This Row], [DISGUISE]],Sheet1!$A$21:$A$23,Sheet1!$B$21:$B$23)*Table1[[#This Row], [NUM OF MEM]]*(1+_xlfn.XLOOKUP(Table1[[#This Row], [DISGUISE]],Sheet1!$A$21:$A$23,Sheet1!$C$21:$C$23))</f>
        <v>38400</v>
      </c>
      <c r="H704" s="13" t="s">
        <v>66</v>
      </c>
      <c r="I704" s="4">
        <f>_xlfn.XLOOKUP(Table1[[#This Row], [WEAPON]],Sheet1!$A$27:$A$29,Sheet1!$B$27:$B$29)*Table1[[#This Row], [NUM OF MEM]]*(1+_xlfn.XLOOKUP(Table1[[#This Row], [WEAPON]],Sheet1!$A$27:$A$29,Sheet1!$C$27:$C$29))</f>
        <v>108000</v>
      </c>
      <c r="J704" t="s">
        <v>60</v>
      </c>
      <c r="K704" s="9">
        <f>Table1[[#This Row], [NUM OF MEM]]*Table1[[#This Row], [TOTAL TIME TAKEN]]*_xlfn.XLOOKUP(Table1[[#This Row], [EXIT]],Sheet1!$A$70:$A$71,Sheet1!$B$70:$B$71)*(1+_xlfn.XLOOKUP(Table1[[#This Row], [EXIT]],Sheet1!$A$70:$A$71,Sheet1!$C$70:$C$71))</f>
        <v>1610564.2999999996</v>
      </c>
      <c r="L704" s="13" t="s">
        <v>65</v>
      </c>
      <c r="M704" s="4">
        <f>IF(Table1[[#This Row], [EQUIPMENT]]="YES",Sheet1!$C$44*(1+Sheet1!$D$44),0)</f>
        <v>307500</v>
      </c>
      <c r="N704" s="4">
        <f>_xlfn.XLOOKUP(Table1[[#This Row], [ROOM]],Sheet1!$A$47:$A$66,Sheet1!$F$47:$F$66)</f>
        <v>17750000</v>
      </c>
      <c r="O704" s="9">
        <f>_xlfn.XLOOKUP(_xlfn.CONCAT(Table1[[#This Row], [TEAM]],Table1[[#This Row], [ROOM]]),'ROOM TIME'!$H$2:$H$121,'ROOM TIME'!$J$2:$J$121)</f>
        <v>37.252222222222208</v>
      </c>
      <c r="P704" s="9">
        <f>(INDEX(Sheet1!$X$48:$Z$67,MATCH(Table1[[#This Row], [ROOM]],Sheet1!$P$48:$P$67,0),MATCH(Table1[[#This Row], [WEAPON]],Sheet1!$X$47:$Z$47,0)))/Table1[[#This Row], [NUM OF MEM]]</f>
        <v>4.583333333333333</v>
      </c>
      <c r="Q704" s="9">
        <f>Table1[[#This Row], [ROOM TIME]]+Table1[[#This Row], [GUARD TIME]]</f>
        <v>41.835555555555544</v>
      </c>
      <c r="R704" s="4">
        <f>Sheet1!$K$3*_xlfn.XLOOKUP(Table1[[#This Row], [DISGUISE]],Sheet1!$A$21:$A$23,Sheet1!$D$21:$D$23)</f>
        <v>69</v>
      </c>
      <c r="S704" s="9">
        <f>Table1[[#This Row], [TOTAL TIME]]-Table1[[#This Row], [TOTAL TIME TAKEN]]</f>
        <v>27.164444444444456</v>
      </c>
      <c r="T704" t="str">
        <f>IF(Table1[[#This Row], [TIME DIFFERENCE]]&gt;=0,"PASS","FAIL")</f>
        <v>PASS</v>
      </c>
      <c r="U704" s="9">
        <f>Table1[[#This Row], [TRC]]+Table1[[#This Row], [DRC]]+Table1[[#This Row], [WRC]]+Table1[[#This Row], [ERC]]+Table1[[#This Row], [EQRC]]</f>
        <v>8053214.2999999998</v>
      </c>
      <c r="V704" s="9">
        <f>Table1[[#This Row], [TOTAL COST]]+_xlfn.XLOOKUP(Table1[[#This Row], [TEAM]],Sheet1!$A$12:$A$17,Sheet1!$I$12:$I$17)</f>
        <v>8352651.7999999998</v>
      </c>
      <c r="W704" s="9">
        <f>Table1[[#This Row], [LOOT]]-Table1[[#This Row], [TOTAL COST]]</f>
        <v>9696785.6999999993</v>
      </c>
      <c r="X704" s="9">
        <f>IF(Table1[[#This Row], [PASS/FAIL]]="FAIL",0,Table1[[#This Row], [PROFIT]])</f>
        <v>9696785.6999999993</v>
      </c>
    </row>
    <row r="705" spans="1:24" ht="19.5" customHeight="1" x14ac:dyDescent="0.45">
      <c r="A705" t="s">
        <v>13</v>
      </c>
      <c r="B705" s="14">
        <f>_xlfn.XLOOKUP(Table1[[#This Row], [TEAM]],Sheet1!$A$12:$A$17,Sheet1!$F$12:$F$17)</f>
        <v>3</v>
      </c>
      <c r="C705" s="14">
        <f>_xlfn.XLOOKUP(Table1[[#This Row], [TEAM]],Sheet1!$A$12:$A$17,Sheet1!$G$12:$G$17)</f>
        <v>5930000</v>
      </c>
      <c r="D705" t="s">
        <v>20</v>
      </c>
      <c r="E705" s="4">
        <f>_xlfn.XLOOKUP(Table1[[#This Row], [ROOM]],Sheet1!$A$47:$A$66,Sheet1!$B$47:$B$66)</f>
        <v>145</v>
      </c>
      <c r="F705" t="s">
        <v>58</v>
      </c>
      <c r="G705" s="4">
        <f>_xlfn.XLOOKUP(Table1[[#This Row], [DISGUISE]],Sheet1!$A$21:$A$23,Sheet1!$B$21:$B$23)*Table1[[#This Row], [NUM OF MEM]]*(1+_xlfn.XLOOKUP(Table1[[#This Row], [DISGUISE]],Sheet1!$A$21:$A$23,Sheet1!$C$21:$C$23))</f>
        <v>38400</v>
      </c>
      <c r="H705" s="13" t="s">
        <v>66</v>
      </c>
      <c r="I705" s="4">
        <f>_xlfn.XLOOKUP(Table1[[#This Row], [WEAPON]],Sheet1!$A$27:$A$29,Sheet1!$B$27:$B$29)*Table1[[#This Row], [NUM OF MEM]]*(1+_xlfn.XLOOKUP(Table1[[#This Row], [WEAPON]],Sheet1!$A$27:$A$29,Sheet1!$C$27:$C$29))</f>
        <v>108000</v>
      </c>
      <c r="J705" t="s">
        <v>64</v>
      </c>
      <c r="K705" s="9">
        <f>Table1[[#This Row], [NUM OF MEM]]*Table1[[#This Row], [TOTAL TIME TAKEN]]*_xlfn.XLOOKUP(Table1[[#This Row], [EXIT]],Sheet1!$A$70:$A$71,Sheet1!$B$70:$B$71)*(1+_xlfn.XLOOKUP(Table1[[#This Row], [EXIT]],Sheet1!$A$70:$A$71,Sheet1!$C$70:$C$71))</f>
        <v>1777204.7999999993</v>
      </c>
      <c r="L705" s="13" t="s">
        <v>61</v>
      </c>
      <c r="M705" s="4">
        <f>IF(Table1[[#This Row], [EQUIPMENT]]="YES",Sheet1!$C$44*(1+Sheet1!$D$44),0)</f>
        <v>0</v>
      </c>
      <c r="N705" s="4">
        <f>_xlfn.XLOOKUP(Table1[[#This Row], [ROOM]],Sheet1!$A$47:$A$66,Sheet1!$F$47:$F$66)</f>
        <v>17550000</v>
      </c>
      <c r="O705" s="9">
        <f>_xlfn.XLOOKUP(_xlfn.CONCAT(Table1[[#This Row], [TEAM]],Table1[[#This Row], [ROOM]]),'ROOM TIME'!$H$2:$H$121,'ROOM TIME'!$J$2:$J$121)</f>
        <v>41.543333333333322</v>
      </c>
      <c r="P705" s="9">
        <f>(INDEX(Sheet1!$X$48:$Z$67,MATCH(Table1[[#This Row], [ROOM]],Sheet1!$P$48:$P$67,0),MATCH(Table1[[#This Row], [WEAPON]],Sheet1!$X$47:$Z$47,0)))/Table1[[#This Row], [NUM OF MEM]]</f>
        <v>4.166666666666667</v>
      </c>
      <c r="Q705" s="9">
        <f>Table1[[#This Row], [ROOM TIME]]+Table1[[#This Row], [GUARD TIME]]</f>
        <v>45.709999999999987</v>
      </c>
      <c r="R705" s="4">
        <f>Sheet1!$K$3*_xlfn.XLOOKUP(Table1[[#This Row], [DISGUISE]],Sheet1!$A$21:$A$23,Sheet1!$D$21:$D$23)</f>
        <v>69</v>
      </c>
      <c r="S705" s="9">
        <f>Table1[[#This Row], [TOTAL TIME]]-Table1[[#This Row], [TOTAL TIME TAKEN]]</f>
        <v>23.290000000000013</v>
      </c>
      <c r="T705" t="str">
        <f>IF(Table1[[#This Row], [TIME DIFFERENCE]]&gt;=0,"PASS","FAIL")</f>
        <v>PASS</v>
      </c>
      <c r="U705" s="9">
        <f>Table1[[#This Row], [TRC]]+Table1[[#This Row], [DRC]]+Table1[[#This Row], [WRC]]+Table1[[#This Row], [ERC]]+Table1[[#This Row], [EQRC]]</f>
        <v>7853604.7999999989</v>
      </c>
      <c r="V705" s="9">
        <f>Table1[[#This Row], [TOTAL COST]]+_xlfn.XLOOKUP(Table1[[#This Row], [TEAM]],Sheet1!$A$12:$A$17,Sheet1!$I$12:$I$17)</f>
        <v>8150104.7999999989</v>
      </c>
      <c r="W705" s="9">
        <f>Table1[[#This Row], [LOOT]]-Table1[[#This Row], [TOTAL COST]]</f>
        <v>9696395.2000000011</v>
      </c>
      <c r="X705" s="9">
        <f>IF(Table1[[#This Row], [PASS/FAIL]]="FAIL",0,Table1[[#This Row], [PROFIT]])</f>
        <v>9696395.2000000011</v>
      </c>
    </row>
    <row r="706" spans="1:24" ht="19.5" customHeight="1" x14ac:dyDescent="0.45">
      <c r="A706" t="s">
        <v>13</v>
      </c>
      <c r="B706" s="14">
        <f>_xlfn.XLOOKUP(Table1[[#This Row], [TEAM]],Sheet1!$A$12:$A$17,Sheet1!$F$12:$F$17)</f>
        <v>3</v>
      </c>
      <c r="C706" s="14">
        <f>_xlfn.XLOOKUP(Table1[[#This Row], [TEAM]],Sheet1!$A$12:$A$17,Sheet1!$G$12:$G$17)</f>
        <v>5930000</v>
      </c>
      <c r="D706" t="s">
        <v>27</v>
      </c>
      <c r="E706" s="4">
        <f>_xlfn.XLOOKUP(Table1[[#This Row], [ROOM]],Sheet1!$A$47:$A$66,Sheet1!$B$47:$B$66)</f>
        <v>146</v>
      </c>
      <c r="F706" t="s">
        <v>62</v>
      </c>
      <c r="G706" s="4">
        <f>_xlfn.XLOOKUP(Table1[[#This Row], [DISGUISE]],Sheet1!$A$21:$A$23,Sheet1!$B$21:$B$23)*Table1[[#This Row], [NUM OF MEM]]*(1+_xlfn.XLOOKUP(Table1[[#This Row], [DISGUISE]],Sheet1!$A$21:$A$23,Sheet1!$C$21:$C$23))</f>
        <v>15600</v>
      </c>
      <c r="H706" s="13" t="s">
        <v>59</v>
      </c>
      <c r="I706" s="4">
        <f>_xlfn.XLOOKUP(Table1[[#This Row], [WEAPON]],Sheet1!$A$27:$A$29,Sheet1!$B$27:$B$29)*Table1[[#This Row], [NUM OF MEM]]*(1+_xlfn.XLOOKUP(Table1[[#This Row], [WEAPON]],Sheet1!$A$27:$A$29,Sheet1!$C$27:$C$29))</f>
        <v>136500</v>
      </c>
      <c r="J706" t="s">
        <v>60</v>
      </c>
      <c r="K706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1664375.25</v>
      </c>
      <c r="L706" s="13" t="s">
        <v>65</v>
      </c>
      <c r="M706" s="4">
        <f>IF(Table1[[#This Row], [EQUIPMENT]]="YES",Sheet1!$C$44*(1+Sheet1!$D$44),0)</f>
        <v>307500</v>
      </c>
      <c r="N706" s="4">
        <f>_xlfn.XLOOKUP(Table1[[#This Row], [ROOM]],Sheet1!$A$47:$A$66,Sheet1!$F$47:$F$66)</f>
        <v>17750000</v>
      </c>
      <c r="O706" s="9">
        <f>_xlfn.XLOOKUP(_xlfn.CONCAT(Table1[[#This Row], [TEAM]],Table1[[#This Row], [ROOM]]),'ROOM TIME'!$H$2:$H$121,'ROOM TIME'!$J$2:$J$121)</f>
        <v>39.016666666666659</v>
      </c>
      <c r="P706" s="9">
        <f>(INDEX(Sheet1!$X$48:$Z$67,MATCH(Table1[[#This Row], [ROOM]],Sheet1!$P$48:$P$67,0),MATCH(Table1[[#This Row], [WEAPON]],Sheet1!$X$47:$Z$47,0)))/Table1[[#This Row], [NUM OF MEM]]</f>
        <v>4.2166666666666659</v>
      </c>
      <c r="Q706" s="9">
        <f>Table1[[#This Row], [ROOM TIME]]+Table1[[#This Row], [GUARD TIME]]</f>
        <v>43.233333333333327</v>
      </c>
      <c r="R706" s="4">
        <f>Sheet1!$K$3*_xlfn.XLOOKUP(Table1[[#This Row], [DISGUISE]],Sheet1!$A$21:$A$23,Sheet1!$D$21:$D$23)</f>
        <v>66</v>
      </c>
      <c r="S706" s="9">
        <f>Table1[[#This Row], [TOTAL TIME]]-Table1[[#This Row], [TOTAL TIME TAKEN]]</f>
        <v>22.766666666666673</v>
      </c>
      <c r="T706" t="str">
        <f>IF(Table1[[#This Row], [TIME DIFFERENCE]]&gt;=0,"PASS","FAIL")</f>
        <v>PASS</v>
      </c>
      <c r="U706" s="9">
        <f>Table1[[#This Row], [TRC]]+Table1[[#This Row], [DRC]]+Table1[[#This Row], [WRC]]+Table1[[#This Row], [ERC]]+Table1[[#This Row], [EQRC]]</f>
        <v>8053975.25</v>
      </c>
      <c r="V706" s="9">
        <f>Table1[[#This Row], [TOTAL COST]]+_xlfn.XLOOKUP(Table1[[#This Row], [TEAM]],Sheet1!$A$12:$A$17,Sheet1!$I$12:$I$17)</f>
        <v>8350475.25</v>
      </c>
      <c r="W706" s="9">
        <f>Table1[[#This Row], [LOOT]]-Table1[[#This Row], [TOTAL COST]]</f>
        <v>9696024.75</v>
      </c>
      <c r="X706" s="9">
        <f>IF(Table1[[#This Row], [PASS/FAIL]]="FAIL",0,Table1[[#This Row], [PROFIT]])</f>
        <v>9696024.75</v>
      </c>
    </row>
    <row r="707" spans="1:24" ht="19.5" customHeight="1" x14ac:dyDescent="0.45">
      <c r="A707" t="s">
        <v>14</v>
      </c>
      <c r="B707" s="14">
        <f>_xlfn.XLOOKUP(Table1[[#This Row], [TEAM]],Sheet1!$A$12:$A$17,Sheet1!$F$12:$F$17)</f>
        <v>2</v>
      </c>
      <c r="C707" s="14">
        <f>_xlfn.XLOOKUP(Table1[[#This Row], [TEAM]],Sheet1!$A$12:$A$17,Sheet1!$G$12:$G$17)</f>
        <v>5949600</v>
      </c>
      <c r="D707" t="s">
        <v>28</v>
      </c>
      <c r="E707" s="4">
        <f>_xlfn.XLOOKUP(Table1[[#This Row], [ROOM]],Sheet1!$A$47:$A$66,Sheet1!$B$47:$B$66)</f>
        <v>156</v>
      </c>
      <c r="F707" t="s">
        <v>58</v>
      </c>
      <c r="G707" s="4">
        <f>_xlfn.XLOOKUP(Table1[[#This Row], [DISGUISE]],Sheet1!$A$21:$A$23,Sheet1!$B$21:$B$23)*Table1[[#This Row], [NUM OF MEM]]*(1+_xlfn.XLOOKUP(Table1[[#This Row], [DISGUISE]],Sheet1!$A$21:$A$23,Sheet1!$C$21:$C$23))</f>
        <v>25600</v>
      </c>
      <c r="H707" s="13" t="s">
        <v>59</v>
      </c>
      <c r="I707" s="4">
        <f>_xlfn.XLOOKUP(Table1[[#This Row], [WEAPON]],Sheet1!$A$27:$A$29,Sheet1!$B$27:$B$29)*Table1[[#This Row], [NUM OF MEM]]*(1+_xlfn.XLOOKUP(Table1[[#This Row], [WEAPON]],Sheet1!$A$27:$A$29,Sheet1!$C$27:$C$29))</f>
        <v>91000</v>
      </c>
      <c r="J707" t="s">
        <v>60</v>
      </c>
      <c r="K707" s="9">
        <f>Table1[[#This Row], [NUM OF MEM]]*Table1[[#This Row], [TOTAL TIME TAKEN]]*_xlfn.XLOOKUP(Table1[[#This Row], [EXIT]],Sheet1!$A$70:$A$71,Sheet1!$B$70:$B$71)*(1+_xlfn.XLOOKUP(Table1[[#This Row], [EXIT]],Sheet1!$A$70:$A$71,Sheet1!$C$70:$C$71))</f>
        <v>1580386.5374999992</v>
      </c>
      <c r="L707" s="13" t="s">
        <v>65</v>
      </c>
      <c r="M707" s="4">
        <f>IF(Table1[[#This Row], [EQUIPMENT]]="YES",Sheet1!$C$44*(1+Sheet1!$D$44),0)</f>
        <v>307500</v>
      </c>
      <c r="N707" s="4">
        <f>_xlfn.XLOOKUP(Table1[[#This Row], [ROOM]],Sheet1!$A$47:$A$66,Sheet1!$F$47:$F$66)</f>
        <v>17650000</v>
      </c>
      <c r="O707" s="9">
        <f>_xlfn.XLOOKUP(_xlfn.CONCAT(Table1[[#This Row], [TEAM]],Table1[[#This Row], [ROOM]]),'ROOM TIME'!$H$2:$H$121,'ROOM TIME'!$J$2:$J$121)</f>
        <v>55.827499999999979</v>
      </c>
      <c r="P707" s="9">
        <f>(INDEX(Sheet1!$X$48:$Z$67,MATCH(Table1[[#This Row], [ROOM]],Sheet1!$P$48:$P$67,0),MATCH(Table1[[#This Row], [WEAPON]],Sheet1!$X$47:$Z$47,0)))/Table1[[#This Row], [NUM OF MEM]]</f>
        <v>5.75</v>
      </c>
      <c r="Q707" s="9">
        <f>Table1[[#This Row], [ROOM TIME]]+Table1[[#This Row], [GUARD TIME]]</f>
        <v>61.577499999999979</v>
      </c>
      <c r="R707" s="4">
        <f>Sheet1!$K$3*_xlfn.XLOOKUP(Table1[[#This Row], [DISGUISE]],Sheet1!$A$21:$A$23,Sheet1!$D$21:$D$23)</f>
        <v>69</v>
      </c>
      <c r="S707" s="9">
        <f>Table1[[#This Row], [TOTAL TIME]]-Table1[[#This Row], [TOTAL TIME TAKEN]]</f>
        <v>7.4225000000000207</v>
      </c>
      <c r="T707" t="str">
        <f>IF(Table1[[#This Row], [TIME DIFFERENCE]]&gt;=0,"PASS","FAIL")</f>
        <v>PASS</v>
      </c>
      <c r="U707" s="9">
        <f>Table1[[#This Row], [TRC]]+Table1[[#This Row], [DRC]]+Table1[[#This Row], [WRC]]+Table1[[#This Row], [ERC]]+Table1[[#This Row], [EQRC]]</f>
        <v>7954086.5374999996</v>
      </c>
      <c r="V707" s="9">
        <f>Table1[[#This Row], [TOTAL COST]]+_xlfn.XLOOKUP(Table1[[#This Row], [TEAM]],Sheet1!$A$12:$A$17,Sheet1!$I$12:$I$17)</f>
        <v>8251566.5374999996</v>
      </c>
      <c r="W707" s="9">
        <f>Table1[[#This Row], [LOOT]]-Table1[[#This Row], [TOTAL COST]]</f>
        <v>9695913.4625000004</v>
      </c>
      <c r="X707" s="9">
        <f>IF(Table1[[#This Row], [PASS/FAIL]]="FAIL",0,Table1[[#This Row], [PROFIT]])</f>
        <v>9695913.4625000004</v>
      </c>
    </row>
    <row r="708" spans="1:24" ht="19.5" customHeight="1" x14ac:dyDescent="0.45">
      <c r="A708" t="s">
        <v>13</v>
      </c>
      <c r="B708" s="14">
        <f>_xlfn.XLOOKUP(Table1[[#This Row], [TEAM]],Sheet1!$A$12:$A$17,Sheet1!$F$12:$F$17)</f>
        <v>3</v>
      </c>
      <c r="C708" s="14">
        <f>_xlfn.XLOOKUP(Table1[[#This Row], [TEAM]],Sheet1!$A$12:$A$17,Sheet1!$G$12:$G$17)</f>
        <v>5930000</v>
      </c>
      <c r="D708" t="s">
        <v>27</v>
      </c>
      <c r="E708" s="4">
        <f>_xlfn.XLOOKUP(Table1[[#This Row], [ROOM]],Sheet1!$A$47:$A$66,Sheet1!$B$47:$B$66)</f>
        <v>146</v>
      </c>
      <c r="F708" t="s">
        <v>58</v>
      </c>
      <c r="G708" s="4">
        <f>_xlfn.XLOOKUP(Table1[[#This Row], [DISGUISE]],Sheet1!$A$21:$A$23,Sheet1!$B$21:$B$23)*Table1[[#This Row], [NUM OF MEM]]*(1+_xlfn.XLOOKUP(Table1[[#This Row], [DISGUISE]],Sheet1!$A$21:$A$23,Sheet1!$C$21:$C$23))</f>
        <v>38400</v>
      </c>
      <c r="H708" s="13" t="s">
        <v>63</v>
      </c>
      <c r="I708" s="4">
        <f>_xlfn.XLOOKUP(Table1[[#This Row], [WEAPON]],Sheet1!$A$27:$A$29,Sheet1!$B$27:$B$29)*Table1[[#This Row], [NUM OF MEM]]*(1+_xlfn.XLOOKUP(Table1[[#This Row], [WEAPON]],Sheet1!$A$27:$A$29,Sheet1!$C$27:$C$29))</f>
        <v>69000</v>
      </c>
      <c r="J708" t="s">
        <v>64</v>
      </c>
      <c r="K708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1709423.9999999998</v>
      </c>
      <c r="L708" s="13" t="s">
        <v>65</v>
      </c>
      <c r="M708" s="4">
        <f>IF(Table1[[#This Row], [EQUIPMENT]]="YES",Sheet1!$C$44*(1+Sheet1!$D$44),0)</f>
        <v>307500</v>
      </c>
      <c r="N708" s="4">
        <f>_xlfn.XLOOKUP(Table1[[#This Row], [ROOM]],Sheet1!$A$47:$A$66,Sheet1!$F$47:$F$66)</f>
        <v>17750000</v>
      </c>
      <c r="O708" s="9">
        <f>_xlfn.XLOOKUP(_xlfn.CONCAT(Table1[[#This Row], [TEAM]],Table1[[#This Row], [ROOM]]),'ROOM TIME'!$H$2:$H$121,'ROOM TIME'!$J$2:$J$121)</f>
        <v>39.016666666666659</v>
      </c>
      <c r="P708" s="9">
        <f>(INDEX(Sheet1!$X$48:$Z$67,MATCH(Table1[[#This Row], [ROOM]],Sheet1!$P$48:$P$67,0),MATCH(Table1[[#This Row], [WEAPON]],Sheet1!$X$47:$Z$47,0)))/Table1[[#This Row], [NUM OF MEM]]</f>
        <v>4.95</v>
      </c>
      <c r="Q708" s="9">
        <f>Table1[[#This Row], [ROOM TIME]]+Table1[[#This Row], [GUARD TIME]]</f>
        <v>43.966666666666661</v>
      </c>
      <c r="R708" s="4">
        <f>Sheet1!$K$3*_xlfn.XLOOKUP(Table1[[#This Row], [DISGUISE]],Sheet1!$A$21:$A$23,Sheet1!$D$21:$D$23)</f>
        <v>69</v>
      </c>
      <c r="S708" s="9">
        <f>Table1[[#This Row], [TOTAL TIME]]-Table1[[#This Row], [TOTAL TIME TAKEN]]</f>
        <v>25.033333333333339</v>
      </c>
      <c r="T708" t="str">
        <f>IF(Table1[[#This Row], [TIME DIFFERENCE]]&gt;=0,"PASS","FAIL")</f>
        <v>PASS</v>
      </c>
      <c r="U708" s="4">
        <f>Table1[[#This Row], [TRC]]+Table1[[#This Row], [DRC]]+Table1[[#This Row], [WRC]]+Table1[[#This Row], [ERC]]+Table1[[#This Row], [EQRC]]</f>
        <v>8054324</v>
      </c>
      <c r="V708" s="4">
        <f>Table1[[#This Row], [TOTAL COST]]+_xlfn.XLOOKUP(Table1[[#This Row], [TEAM]],Sheet1!$A$12:$A$17,Sheet1!$I$12:$I$17)</f>
        <v>8350824</v>
      </c>
      <c r="W708" s="4">
        <f>Table1[[#This Row], [LOOT]]-Table1[[#This Row], [TOTAL COST]]</f>
        <v>9695676</v>
      </c>
      <c r="X708" s="4">
        <f>IF(Table1[[#This Row], [PASS/FAIL]]="FAIL",0,Table1[[#This Row], [PROFIT]])</f>
        <v>9695676</v>
      </c>
    </row>
    <row r="709" spans="1:24" ht="19.5" customHeight="1" x14ac:dyDescent="0.45">
      <c r="A709" t="s">
        <v>14</v>
      </c>
      <c r="B709" s="14">
        <f>_xlfn.XLOOKUP(Table1[[#This Row], [TEAM]],Sheet1!$A$12:$A$17,Sheet1!$F$12:$F$17)</f>
        <v>2</v>
      </c>
      <c r="C709" s="14">
        <f>_xlfn.XLOOKUP(Table1[[#This Row], [TEAM]],Sheet1!$A$12:$A$17,Sheet1!$G$12:$G$17)</f>
        <v>5949600</v>
      </c>
      <c r="D709" t="s">
        <v>28</v>
      </c>
      <c r="E709" s="4">
        <f>_xlfn.XLOOKUP(Table1[[#This Row], [ROOM]],Sheet1!$A$47:$A$66,Sheet1!$B$47:$B$66)</f>
        <v>156</v>
      </c>
      <c r="F709" t="s">
        <v>62</v>
      </c>
      <c r="G709" s="4">
        <f>_xlfn.XLOOKUP(Table1[[#This Row], [DISGUISE]],Sheet1!$A$21:$A$23,Sheet1!$B$21:$B$23)*Table1[[#This Row], [NUM OF MEM]]*(1+_xlfn.XLOOKUP(Table1[[#This Row], [DISGUISE]],Sheet1!$A$21:$A$23,Sheet1!$C$21:$C$23))</f>
        <v>10400</v>
      </c>
      <c r="H709" s="13" t="s">
        <v>59</v>
      </c>
      <c r="I709" s="4">
        <f>_xlfn.XLOOKUP(Table1[[#This Row], [WEAPON]],Sheet1!$A$27:$A$29,Sheet1!$B$27:$B$29)*Table1[[#This Row], [NUM OF MEM]]*(1+_xlfn.XLOOKUP(Table1[[#This Row], [WEAPON]],Sheet1!$A$27:$A$29,Sheet1!$C$27:$C$29))</f>
        <v>91000</v>
      </c>
      <c r="J709" t="s">
        <v>64</v>
      </c>
      <c r="K709" s="9">
        <f>Table1[[#This Row], [NUM OF MEM]]*Table1[[#This Row], [TOTAL TIME TAKEN]]*_xlfn.XLOOKUP(Table1[[#This Row], [EXIT]],Sheet1!$A$70:$A$71,Sheet1!$B$70:$B$71)*(1+_xlfn.XLOOKUP(Table1[[#This Row], [EXIT]],Sheet1!$A$70:$A$71,Sheet1!$C$70:$C$71))</f>
        <v>1596088.7999999993</v>
      </c>
      <c r="L709" s="13" t="s">
        <v>65</v>
      </c>
      <c r="M709" s="4">
        <f>IF(Table1[[#This Row], [EQUIPMENT]]="YES",Sheet1!$C$44*(1+Sheet1!$D$44),0)</f>
        <v>307500</v>
      </c>
      <c r="N709" s="4">
        <f>_xlfn.XLOOKUP(Table1[[#This Row], [ROOM]],Sheet1!$A$47:$A$66,Sheet1!$F$47:$F$66)</f>
        <v>17650000</v>
      </c>
      <c r="O709" s="9">
        <f>_xlfn.XLOOKUP(_xlfn.CONCAT(Table1[[#This Row], [TEAM]],Table1[[#This Row], [ROOM]]),'ROOM TIME'!$H$2:$H$121,'ROOM TIME'!$J$2:$J$121)</f>
        <v>55.827499999999979</v>
      </c>
      <c r="P709" s="9">
        <f>(INDEX(Sheet1!$X$48:$Z$67,MATCH(Table1[[#This Row], [ROOM]],Sheet1!$P$48:$P$67,0),MATCH(Table1[[#This Row], [WEAPON]],Sheet1!$X$47:$Z$47,0)))/Table1[[#This Row], [NUM OF MEM]]</f>
        <v>5.75</v>
      </c>
      <c r="Q709" s="9">
        <f>Table1[[#This Row], [ROOM TIME]]+Table1[[#This Row], [GUARD TIME]]</f>
        <v>61.577499999999979</v>
      </c>
      <c r="R709" s="4">
        <f>Sheet1!$K$3*_xlfn.XLOOKUP(Table1[[#This Row], [DISGUISE]],Sheet1!$A$21:$A$23,Sheet1!$D$21:$D$23)</f>
        <v>66</v>
      </c>
      <c r="S709" s="9">
        <f>Table1[[#This Row], [TOTAL TIME]]-Table1[[#This Row], [TOTAL TIME TAKEN]]</f>
        <v>4.4225000000000207</v>
      </c>
      <c r="T709" t="str">
        <f>IF(Table1[[#This Row], [TIME DIFFERENCE]]&gt;=0,"PASS","FAIL")</f>
        <v>PASS</v>
      </c>
      <c r="U709" s="9">
        <f>Table1[[#This Row], [TRC]]+Table1[[#This Row], [DRC]]+Table1[[#This Row], [WRC]]+Table1[[#This Row], [ERC]]+Table1[[#This Row], [EQRC]]</f>
        <v>7954588.7999999989</v>
      </c>
      <c r="V709" s="9">
        <f>Table1[[#This Row], [TOTAL COST]]+_xlfn.XLOOKUP(Table1[[#This Row], [TEAM]],Sheet1!$A$12:$A$17,Sheet1!$I$12:$I$17)</f>
        <v>8252068.7999999989</v>
      </c>
      <c r="W709" s="9">
        <f>Table1[[#This Row], [LOOT]]-Table1[[#This Row], [TOTAL COST]]</f>
        <v>9695411.2000000011</v>
      </c>
      <c r="X709" s="9">
        <f>IF(Table1[[#This Row], [PASS/FAIL]]="FAIL",0,Table1[[#This Row], [PROFIT]])</f>
        <v>9695411.2000000011</v>
      </c>
    </row>
    <row r="710" spans="1:24" ht="19.5" customHeight="1" x14ac:dyDescent="0.45">
      <c r="A710" t="s">
        <v>9</v>
      </c>
      <c r="B710" s="14">
        <f>_xlfn.XLOOKUP(Table1[[#This Row], [TEAM]],Sheet1!$A$12:$A$17,Sheet1!$F$12:$F$17)</f>
        <v>3</v>
      </c>
      <c r="C710" s="14">
        <f>_xlfn.XLOOKUP(Table1[[#This Row], [TEAM]],Sheet1!$A$12:$A$17,Sheet1!$G$12:$G$17)</f>
        <v>6238750</v>
      </c>
      <c r="D710" t="s">
        <v>22</v>
      </c>
      <c r="E710" s="4">
        <f>_xlfn.XLOOKUP(Table1[[#This Row], [ROOM]],Sheet1!$A$47:$A$66,Sheet1!$B$47:$B$66)</f>
        <v>235</v>
      </c>
      <c r="F710" t="s">
        <v>58</v>
      </c>
      <c r="G710" s="4">
        <f>_xlfn.XLOOKUP(Table1[[#This Row], [DISGUISE]],Sheet1!$A$21:$A$23,Sheet1!$B$21:$B$23)*Table1[[#This Row], [NUM OF MEM]]*(1+_xlfn.XLOOKUP(Table1[[#This Row], [DISGUISE]],Sheet1!$A$21:$A$23,Sheet1!$C$21:$C$23))</f>
        <v>38400</v>
      </c>
      <c r="H710" s="13" t="s">
        <v>59</v>
      </c>
      <c r="I710" s="4">
        <f>_xlfn.XLOOKUP(Table1[[#This Row], [WEAPON]],Sheet1!$A$27:$A$29,Sheet1!$B$27:$B$29)*Table1[[#This Row], [NUM OF MEM]]*(1+_xlfn.XLOOKUP(Table1[[#This Row], [WEAPON]],Sheet1!$A$27:$A$29,Sheet1!$C$27:$C$29))</f>
        <v>136500</v>
      </c>
      <c r="J710" t="s">
        <v>60</v>
      </c>
      <c r="K710" s="9">
        <f>Table1[[#This Row], [NUM OF MEM]]*Table1[[#This Row], [TOTAL TIME TAKEN]]*_xlfn.XLOOKUP(Table1[[#This Row], [EXIT]],Sheet1!$A$70:$A$71,Sheet1!$B$70:$B$71)*(1+_xlfn.XLOOKUP(Table1[[#This Row], [EXIT]],Sheet1!$A$70:$A$71,Sheet1!$C$70:$C$71))</f>
        <v>1691751.2499999995</v>
      </c>
      <c r="L710" s="13" t="s">
        <v>61</v>
      </c>
      <c r="M710" s="4">
        <f>IF(Table1[[#This Row], [EQUIPMENT]]="YES",Sheet1!$C$44*(1+Sheet1!$D$44),0)</f>
        <v>0</v>
      </c>
      <c r="N710" s="4">
        <f>_xlfn.XLOOKUP(Table1[[#This Row], [ROOM]],Sheet1!$A$47:$A$66,Sheet1!$F$47:$F$66)</f>
        <v>17800000</v>
      </c>
      <c r="O710" s="9">
        <f>_xlfn.XLOOKUP(_xlfn.CONCAT(Table1[[#This Row], [TEAM]],Table1[[#This Row], [ROOM]]),'ROOM TIME'!$H$2:$H$121,'ROOM TIME'!$J$2:$J$121)</f>
        <v>39.344444444444434</v>
      </c>
      <c r="P710" s="9">
        <f>(INDEX(Sheet1!$X$48:$Z$67,MATCH(Table1[[#This Row], [ROOM]],Sheet1!$P$48:$P$67,0),MATCH(Table1[[#This Row], [WEAPON]],Sheet1!$X$47:$Z$47,0)))/Table1[[#This Row], [NUM OF MEM]]</f>
        <v>4.5999999999999996</v>
      </c>
      <c r="Q710" s="9">
        <f>Table1[[#This Row], [ROOM TIME]]+Table1[[#This Row], [GUARD TIME]]</f>
        <v>43.944444444444436</v>
      </c>
      <c r="R710" s="4">
        <f>Sheet1!$K$3*_xlfn.XLOOKUP(Table1[[#This Row], [DISGUISE]],Sheet1!$A$21:$A$23,Sheet1!$D$21:$D$23)</f>
        <v>69</v>
      </c>
      <c r="S710" s="9">
        <f>Table1[[#This Row], [TOTAL TIME]]-Table1[[#This Row], [TOTAL TIME TAKEN]]</f>
        <v>25.055555555555564</v>
      </c>
      <c r="T710" t="str">
        <f>IF(Table1[[#This Row], [TIME DIFFERENCE]]&gt;=0,"PASS","FAIL")</f>
        <v>PASS</v>
      </c>
      <c r="U710" s="9">
        <f>Table1[[#This Row], [TRC]]+Table1[[#This Row], [DRC]]+Table1[[#This Row], [WRC]]+Table1[[#This Row], [ERC]]+Table1[[#This Row], [EQRC]]</f>
        <v>8105401.25</v>
      </c>
      <c r="V710" s="9">
        <f>Table1[[#This Row], [TOTAL COST]]+_xlfn.XLOOKUP(Table1[[#This Row], [TEAM]],Sheet1!$A$12:$A$17,Sheet1!$I$12:$I$17)</f>
        <v>8417338.75</v>
      </c>
      <c r="W710" s="9">
        <f>Table1[[#This Row], [LOOT]]-Table1[[#This Row], [TOTAL COST]]</f>
        <v>9694598.75</v>
      </c>
      <c r="X710" s="9">
        <f>IF(Table1[[#This Row], [PASS/FAIL]]="FAIL",0,Table1[[#This Row], [PROFIT]])</f>
        <v>9694598.75</v>
      </c>
    </row>
    <row r="711" spans="1:24" ht="19.5" customHeight="1" x14ac:dyDescent="0.45">
      <c r="A711" t="s">
        <v>13</v>
      </c>
      <c r="B711" s="14">
        <f>_xlfn.XLOOKUP(Table1[[#This Row], [TEAM]],Sheet1!$A$12:$A$17,Sheet1!$F$12:$F$17)</f>
        <v>3</v>
      </c>
      <c r="C711" s="14">
        <f>_xlfn.XLOOKUP(Table1[[#This Row], [TEAM]],Sheet1!$A$12:$A$17,Sheet1!$G$12:$G$17)</f>
        <v>5930000</v>
      </c>
      <c r="D711" t="s">
        <v>27</v>
      </c>
      <c r="E711" s="4">
        <f>_xlfn.XLOOKUP(Table1[[#This Row], [ROOM]],Sheet1!$A$47:$A$66,Sheet1!$B$47:$B$66)</f>
        <v>146</v>
      </c>
      <c r="F711" t="s">
        <v>62</v>
      </c>
      <c r="G711" s="4">
        <f>_xlfn.XLOOKUP(Table1[[#This Row], [DISGUISE]],Sheet1!$A$21:$A$23,Sheet1!$B$21:$B$23)*Table1[[#This Row], [NUM OF MEM]]*(1+_xlfn.XLOOKUP(Table1[[#This Row], [DISGUISE]],Sheet1!$A$21:$A$23,Sheet1!$C$21:$C$23))</f>
        <v>15600</v>
      </c>
      <c r="H711" s="13" t="s">
        <v>66</v>
      </c>
      <c r="I711" s="4">
        <f>_xlfn.XLOOKUP(Table1[[#This Row], [WEAPON]],Sheet1!$A$27:$A$29,Sheet1!$B$27:$B$29)*Table1[[#This Row], [NUM OF MEM]]*(1+_xlfn.XLOOKUP(Table1[[#This Row], [WEAPON]],Sheet1!$A$27:$A$29,Sheet1!$C$27:$C$29))</f>
        <v>108000</v>
      </c>
      <c r="J711" t="s">
        <v>64</v>
      </c>
      <c r="K711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1695167.9999999998</v>
      </c>
      <c r="L711" s="13" t="s">
        <v>65</v>
      </c>
      <c r="M711" s="4">
        <f>IF(Table1[[#This Row], [EQUIPMENT]]="YES",Sheet1!$C$44*(1+Sheet1!$D$44),0)</f>
        <v>307500</v>
      </c>
      <c r="N711" s="4">
        <f>_xlfn.XLOOKUP(Table1[[#This Row], [ROOM]],Sheet1!$A$47:$A$66,Sheet1!$F$47:$F$66)</f>
        <v>17750000</v>
      </c>
      <c r="O711" s="9">
        <f>_xlfn.XLOOKUP(_xlfn.CONCAT(Table1[[#This Row], [TEAM]],Table1[[#This Row], [ROOM]]),'ROOM TIME'!$H$2:$H$121,'ROOM TIME'!$J$2:$J$121)</f>
        <v>39.016666666666659</v>
      </c>
      <c r="P711" s="9">
        <f>(INDEX(Sheet1!$X$48:$Z$67,MATCH(Table1[[#This Row], [ROOM]],Sheet1!$P$48:$P$67,0),MATCH(Table1[[#This Row], [WEAPON]],Sheet1!$X$47:$Z$47,0)))/Table1[[#This Row], [NUM OF MEM]]</f>
        <v>4.583333333333333</v>
      </c>
      <c r="Q711" s="9">
        <f>Table1[[#This Row], [ROOM TIME]]+Table1[[#This Row], [GUARD TIME]]</f>
        <v>43.599999999999994</v>
      </c>
      <c r="R711" s="4">
        <f>Sheet1!$K$3*_xlfn.XLOOKUP(Table1[[#This Row], [DISGUISE]],Sheet1!$A$21:$A$23,Sheet1!$D$21:$D$23)</f>
        <v>66</v>
      </c>
      <c r="S711" s="9">
        <f>Table1[[#This Row], [TOTAL TIME]]-Table1[[#This Row], [TOTAL TIME TAKEN]]</f>
        <v>22.400000000000006</v>
      </c>
      <c r="T711" t="str">
        <f>IF(Table1[[#This Row], [TIME DIFFERENCE]]&gt;=0,"PASS","FAIL")</f>
        <v>PASS</v>
      </c>
      <c r="U711" s="4">
        <f>Table1[[#This Row], [TRC]]+Table1[[#This Row], [DRC]]+Table1[[#This Row], [WRC]]+Table1[[#This Row], [ERC]]+Table1[[#This Row], [EQRC]]</f>
        <v>8056268</v>
      </c>
      <c r="V711" s="4">
        <f>Table1[[#This Row], [TOTAL COST]]+_xlfn.XLOOKUP(Table1[[#This Row], [TEAM]],Sheet1!$A$12:$A$17,Sheet1!$I$12:$I$17)</f>
        <v>8352768</v>
      </c>
      <c r="W711" s="4">
        <f>Table1[[#This Row], [LOOT]]-Table1[[#This Row], [TOTAL COST]]</f>
        <v>9693732</v>
      </c>
      <c r="X711" s="4">
        <f>IF(Table1[[#This Row], [PASS/FAIL]]="FAIL",0,Table1[[#This Row], [PROFIT]])</f>
        <v>9693732</v>
      </c>
    </row>
    <row r="712" spans="1:24" ht="19.5" customHeight="1" x14ac:dyDescent="0.45">
      <c r="A712" t="s">
        <v>9</v>
      </c>
      <c r="B712" s="14">
        <f>_xlfn.XLOOKUP(Table1[[#This Row], [TEAM]],Sheet1!$A$12:$A$17,Sheet1!$F$12:$F$17)</f>
        <v>3</v>
      </c>
      <c r="C712" s="14">
        <f>_xlfn.XLOOKUP(Table1[[#This Row], [TEAM]],Sheet1!$A$12:$A$17,Sheet1!$G$12:$G$17)</f>
        <v>6238750</v>
      </c>
      <c r="D712" t="s">
        <v>18</v>
      </c>
      <c r="E712" s="4">
        <f>_xlfn.XLOOKUP(Table1[[#This Row], [ROOM]],Sheet1!$A$47:$A$66,Sheet1!$B$47:$B$66)</f>
        <v>134</v>
      </c>
      <c r="F712" t="s">
        <v>62</v>
      </c>
      <c r="G712" s="4">
        <f>_xlfn.XLOOKUP(Table1[[#This Row], [DISGUISE]],Sheet1!$A$21:$A$23,Sheet1!$B$21:$B$23)*Table1[[#This Row], [NUM OF MEM]]*(1+_xlfn.XLOOKUP(Table1[[#This Row], [DISGUISE]],Sheet1!$A$21:$A$23,Sheet1!$C$21:$C$23))</f>
        <v>15600</v>
      </c>
      <c r="H712" s="13" t="s">
        <v>63</v>
      </c>
      <c r="I712" s="4">
        <f>_xlfn.XLOOKUP(Table1[[#This Row], [WEAPON]],Sheet1!$A$27:$A$29,Sheet1!$B$27:$B$29)*Table1[[#This Row], [NUM OF MEM]]*(1+_xlfn.XLOOKUP(Table1[[#This Row], [WEAPON]],Sheet1!$A$27:$A$29,Sheet1!$C$27:$C$29))</f>
        <v>69000</v>
      </c>
      <c r="J712" t="s">
        <v>64</v>
      </c>
      <c r="K712" s="9">
        <f>Table1[[#This Row], [NUM OF MEM]]*Table1[[#This Row], [TOTAL TIME TAKEN]]*_xlfn.XLOOKUP(Table1[[#This Row], [EXIT]],Sheet1!$A$70:$A$71,Sheet1!$B$70:$B$71)*(1+_xlfn.XLOOKUP(Table1[[#This Row], [EXIT]],Sheet1!$A$70:$A$71,Sheet1!$C$70:$C$71))</f>
        <v>1726423.1999999997</v>
      </c>
      <c r="L712" s="13" t="s">
        <v>65</v>
      </c>
      <c r="M712" s="4">
        <f>IF(Table1[[#This Row], [EQUIPMENT]]="YES",Sheet1!$C$44*(1+Sheet1!$D$44),0)</f>
        <v>307500</v>
      </c>
      <c r="N712" s="4">
        <f>_xlfn.XLOOKUP(Table1[[#This Row], [ROOM]],Sheet1!$A$47:$A$66,Sheet1!$F$47:$F$66)</f>
        <v>18050000</v>
      </c>
      <c r="O712" s="9">
        <f>_xlfn.XLOOKUP(_xlfn.CONCAT(Table1[[#This Row], [TEAM]],Table1[[#This Row], [ROOM]]),'ROOM TIME'!$H$2:$H$121,'ROOM TIME'!$J$2:$J$121)</f>
        <v>39.003888888888881</v>
      </c>
      <c r="P712" s="9">
        <f>(INDEX(Sheet1!$X$48:$Z$67,MATCH(Table1[[#This Row], [ROOM]],Sheet1!$P$48:$P$67,0),MATCH(Table1[[#This Row], [WEAPON]],Sheet1!$X$47:$Z$47,0)))/Table1[[#This Row], [NUM OF MEM]]</f>
        <v>5.4000000000000012</v>
      </c>
      <c r="Q712" s="9">
        <f>Table1[[#This Row], [ROOM TIME]]+Table1[[#This Row], [GUARD TIME]]</f>
        <v>44.403888888888879</v>
      </c>
      <c r="R712" s="4">
        <f>Sheet1!$K$3*_xlfn.XLOOKUP(Table1[[#This Row], [DISGUISE]],Sheet1!$A$21:$A$23,Sheet1!$D$21:$D$23)</f>
        <v>66</v>
      </c>
      <c r="S712" s="9">
        <f>Table1[[#This Row], [TOTAL TIME]]-Table1[[#This Row], [TOTAL TIME TAKEN]]</f>
        <v>21.596111111111121</v>
      </c>
      <c r="T712" t="str">
        <f>IF(Table1[[#This Row], [TIME DIFFERENCE]]&gt;=0,"PASS","FAIL")</f>
        <v>PASS</v>
      </c>
      <c r="U712" s="9">
        <f>Table1[[#This Row], [TRC]]+Table1[[#This Row], [DRC]]+Table1[[#This Row], [WRC]]+Table1[[#This Row], [ERC]]+Table1[[#This Row], [EQRC]]</f>
        <v>8357273.1999999993</v>
      </c>
      <c r="V712" s="9">
        <f>Table1[[#This Row], [TOTAL COST]]+_xlfn.XLOOKUP(Table1[[#This Row], [TEAM]],Sheet1!$A$12:$A$17,Sheet1!$I$12:$I$17)</f>
        <v>8669210.6999999993</v>
      </c>
      <c r="W712" s="9">
        <f>Table1[[#This Row], [LOOT]]-Table1[[#This Row], [TOTAL COST]]</f>
        <v>9692726.8000000007</v>
      </c>
      <c r="X712" s="9">
        <f>IF(Table1[[#This Row], [PASS/FAIL]]="FAIL",0,Table1[[#This Row], [PROFIT]])</f>
        <v>9692726.8000000007</v>
      </c>
    </row>
    <row r="713" spans="1:24" ht="19.5" customHeight="1" x14ac:dyDescent="0.45">
      <c r="A713" t="s">
        <v>9</v>
      </c>
      <c r="B713" s="14">
        <f>_xlfn.XLOOKUP(Table1[[#This Row], [TEAM]],Sheet1!$A$12:$A$17,Sheet1!$F$12:$F$17)</f>
        <v>3</v>
      </c>
      <c r="C713" s="14">
        <f>_xlfn.XLOOKUP(Table1[[#This Row], [TEAM]],Sheet1!$A$12:$A$17,Sheet1!$G$12:$G$17)</f>
        <v>6238750</v>
      </c>
      <c r="D713" t="s">
        <v>29</v>
      </c>
      <c r="E713" s="4">
        <f>_xlfn.XLOOKUP(Table1[[#This Row], [ROOM]],Sheet1!$A$47:$A$66,Sheet1!$B$47:$B$66)</f>
        <v>236</v>
      </c>
      <c r="F713" t="s">
        <v>62</v>
      </c>
      <c r="G713" s="4">
        <f>_xlfn.XLOOKUP(Table1[[#This Row], [DISGUISE]],Sheet1!$A$21:$A$23,Sheet1!$B$21:$B$23)*Table1[[#This Row], [NUM OF MEM]]*(1+_xlfn.XLOOKUP(Table1[[#This Row], [DISGUISE]],Sheet1!$A$21:$A$23,Sheet1!$C$21:$C$23))</f>
        <v>15600</v>
      </c>
      <c r="H713" s="13" t="s">
        <v>66</v>
      </c>
      <c r="I713" s="4">
        <f>_xlfn.XLOOKUP(Table1[[#This Row], [WEAPON]],Sheet1!$A$27:$A$29,Sheet1!$B$27:$B$29)*Table1[[#This Row], [NUM OF MEM]]*(1+_xlfn.XLOOKUP(Table1[[#This Row], [WEAPON]],Sheet1!$A$27:$A$29,Sheet1!$C$27:$C$29))</f>
        <v>108000</v>
      </c>
      <c r="J713" t="s">
        <v>60</v>
      </c>
      <c r="K713" s="9">
        <f>Table1[[#This Row], [NUM OF MEM]]*Table1[[#This Row], [TOTAL TIME TAKEN]]*_xlfn.XLOOKUP(Table1[[#This Row], [EXIT]],Sheet1!$A$70:$A$71,Sheet1!$B$70:$B$71)*(1+_xlfn.XLOOKUP(Table1[[#This Row], [EXIT]],Sheet1!$A$70:$A$71,Sheet1!$C$70:$C$71))</f>
        <v>1638239.7249999992</v>
      </c>
      <c r="L713" s="13" t="s">
        <v>65</v>
      </c>
      <c r="M713" s="4">
        <f>IF(Table1[[#This Row], [EQUIPMENT]]="YES",Sheet1!$C$44*(1+Sheet1!$D$44),0)</f>
        <v>307500</v>
      </c>
      <c r="N713" s="4">
        <f>_xlfn.XLOOKUP(Table1[[#This Row], [ROOM]],Sheet1!$A$47:$A$66,Sheet1!$F$47:$F$66)</f>
        <v>18000000</v>
      </c>
      <c r="O713" s="9">
        <f>_xlfn.XLOOKUP(_xlfn.CONCAT(Table1[[#This Row], [TEAM]],Table1[[#This Row], [ROOM]]),'ROOM TIME'!$H$2:$H$121,'ROOM TIME'!$J$2:$J$121)</f>
        <v>37.137777777777764</v>
      </c>
      <c r="P713" s="9">
        <f>(INDEX(Sheet1!$X$48:$Z$67,MATCH(Table1[[#This Row], [ROOM]],Sheet1!$P$48:$P$67,0),MATCH(Table1[[#This Row], [WEAPON]],Sheet1!$X$47:$Z$47,0)))/Table1[[#This Row], [NUM OF MEM]]</f>
        <v>5.416666666666667</v>
      </c>
      <c r="Q713" s="9">
        <f>Table1[[#This Row], [ROOM TIME]]+Table1[[#This Row], [GUARD TIME]]</f>
        <v>42.554444444444428</v>
      </c>
      <c r="R713" s="4">
        <f>Sheet1!$K$3*_xlfn.XLOOKUP(Table1[[#This Row], [DISGUISE]],Sheet1!$A$21:$A$23,Sheet1!$D$21:$D$23)</f>
        <v>66</v>
      </c>
      <c r="S713" s="9">
        <f>Table1[[#This Row], [TOTAL TIME]]-Table1[[#This Row], [TOTAL TIME TAKEN]]</f>
        <v>23.445555555555572</v>
      </c>
      <c r="T713" t="str">
        <f>IF(Table1[[#This Row], [TIME DIFFERENCE]]&gt;=0,"PASS","FAIL")</f>
        <v>PASS</v>
      </c>
      <c r="U713" s="9">
        <f>Table1[[#This Row], [TRC]]+Table1[[#This Row], [DRC]]+Table1[[#This Row], [WRC]]+Table1[[#This Row], [ERC]]+Table1[[#This Row], [EQRC]]</f>
        <v>8308089.7249999996</v>
      </c>
      <c r="V713" s="9">
        <f>Table1[[#This Row], [TOTAL COST]]+_xlfn.XLOOKUP(Table1[[#This Row], [TEAM]],Sheet1!$A$12:$A$17,Sheet1!$I$12:$I$17)</f>
        <v>8620027.2249999996</v>
      </c>
      <c r="W713" s="9">
        <f>Table1[[#This Row], [LOOT]]-Table1[[#This Row], [TOTAL COST]]</f>
        <v>9691910.2750000004</v>
      </c>
      <c r="X713" s="9">
        <f>IF(Table1[[#This Row], [PASS/FAIL]]="FAIL",0,Table1[[#This Row], [PROFIT]])</f>
        <v>9691910.2750000004</v>
      </c>
    </row>
    <row r="714" spans="1:24" ht="19.5" customHeight="1" x14ac:dyDescent="0.45">
      <c r="A714" t="s">
        <v>9</v>
      </c>
      <c r="B714" s="14">
        <f>_xlfn.XLOOKUP(Table1[[#This Row], [TEAM]],Sheet1!$A$12:$A$17,Sheet1!$F$12:$F$17)</f>
        <v>3</v>
      </c>
      <c r="C714" s="14">
        <f>_xlfn.XLOOKUP(Table1[[#This Row], [TEAM]],Sheet1!$A$12:$A$17,Sheet1!$G$12:$G$17)</f>
        <v>6238750</v>
      </c>
      <c r="D714" t="s">
        <v>29</v>
      </c>
      <c r="E714" s="4">
        <f>_xlfn.XLOOKUP(Table1[[#This Row], [ROOM]],Sheet1!$A$47:$A$66,Sheet1!$B$47:$B$66)</f>
        <v>236</v>
      </c>
      <c r="F714" t="s">
        <v>58</v>
      </c>
      <c r="G714" s="4">
        <f>_xlfn.XLOOKUP(Table1[[#This Row], [DISGUISE]],Sheet1!$A$21:$A$23,Sheet1!$B$21:$B$23)*Table1[[#This Row], [NUM OF MEM]]*(1+_xlfn.XLOOKUP(Table1[[#This Row], [DISGUISE]],Sheet1!$A$21:$A$23,Sheet1!$C$21:$C$23))</f>
        <v>38400</v>
      </c>
      <c r="H714" s="13" t="s">
        <v>63</v>
      </c>
      <c r="I714" s="4">
        <f>_xlfn.XLOOKUP(Table1[[#This Row], [WEAPON]],Sheet1!$A$27:$A$29,Sheet1!$B$27:$B$29)*Table1[[#This Row], [NUM OF MEM]]*(1+_xlfn.XLOOKUP(Table1[[#This Row], [WEAPON]],Sheet1!$A$27:$A$29,Sheet1!$C$27:$C$29))</f>
        <v>69000</v>
      </c>
      <c r="J714" t="s">
        <v>60</v>
      </c>
      <c r="K714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1654921.9749999996</v>
      </c>
      <c r="L714" s="13" t="s">
        <v>65</v>
      </c>
      <c r="M714" s="4">
        <f>IF(Table1[[#This Row], [EQUIPMENT]]="YES",Sheet1!$C$44*(1+Sheet1!$D$44),0)</f>
        <v>307500</v>
      </c>
      <c r="N714" s="4">
        <f>_xlfn.XLOOKUP(Table1[[#This Row], [ROOM]],Sheet1!$A$47:$A$66,Sheet1!$F$47:$F$66)</f>
        <v>18000000</v>
      </c>
      <c r="O714" s="9">
        <f>_xlfn.XLOOKUP(_xlfn.CONCAT(Table1[[#This Row], [TEAM]],Table1[[#This Row], [ROOM]]),'ROOM TIME'!$H$2:$H$121,'ROOM TIME'!$J$2:$J$121)</f>
        <v>37.137777777777764</v>
      </c>
      <c r="P714" s="9">
        <f>(INDEX(Sheet1!$X$48:$Z$67,MATCH(Table1[[#This Row], [ROOM]],Sheet1!$P$48:$P$67,0),MATCH(Table1[[#This Row], [WEAPON]],Sheet1!$X$47:$Z$47,0)))/Table1[[#This Row], [NUM OF MEM]]</f>
        <v>5.8500000000000005</v>
      </c>
      <c r="Q714" s="9">
        <f>Table1[[#This Row], [ROOM TIME]]+Table1[[#This Row], [GUARD TIME]]</f>
        <v>42.987777777777765</v>
      </c>
      <c r="R714" s="4">
        <f>Sheet1!$K$3*_xlfn.XLOOKUP(Table1[[#This Row], [DISGUISE]],Sheet1!$A$21:$A$23,Sheet1!$D$21:$D$23)</f>
        <v>69</v>
      </c>
      <c r="S714" s="9">
        <f>Table1[[#This Row], [TOTAL TIME]]-Table1[[#This Row], [TOTAL TIME TAKEN]]</f>
        <v>26.012222222222235</v>
      </c>
      <c r="T714" t="str">
        <f>IF(Table1[[#This Row], [TIME DIFFERENCE]]&gt;=0,"PASS","FAIL")</f>
        <v>PASS</v>
      </c>
      <c r="U714" s="9">
        <f>Table1[[#This Row], [TRC]]+Table1[[#This Row], [DRC]]+Table1[[#This Row], [WRC]]+Table1[[#This Row], [ERC]]+Table1[[#This Row], [EQRC]]</f>
        <v>8308571.9749999996</v>
      </c>
      <c r="V714" s="9">
        <f>Table1[[#This Row], [TOTAL COST]]+_xlfn.XLOOKUP(Table1[[#This Row], [TEAM]],Sheet1!$A$12:$A$17,Sheet1!$I$12:$I$17)</f>
        <v>8620509.4749999996</v>
      </c>
      <c r="W714" s="9">
        <f>Table1[[#This Row], [LOOT]]-Table1[[#This Row], [TOTAL COST]]</f>
        <v>9691428.0250000004</v>
      </c>
      <c r="X714" s="9">
        <f>IF(Table1[[#This Row], [PASS/FAIL]]="FAIL",0,Table1[[#This Row], [PROFIT]])</f>
        <v>9691428.0250000004</v>
      </c>
    </row>
    <row r="715" spans="1:24" ht="19.5" customHeight="1" x14ac:dyDescent="0.45">
      <c r="A715" t="s">
        <v>9</v>
      </c>
      <c r="B715" s="14">
        <f>_xlfn.XLOOKUP(Table1[[#This Row], [TEAM]],Sheet1!$A$12:$A$17,Sheet1!$F$12:$F$17)</f>
        <v>3</v>
      </c>
      <c r="C715" s="14">
        <f>_xlfn.XLOOKUP(Table1[[#This Row], [TEAM]],Sheet1!$A$12:$A$17,Sheet1!$G$12:$G$17)</f>
        <v>6238750</v>
      </c>
      <c r="D715" t="s">
        <v>22</v>
      </c>
      <c r="E715" s="4">
        <f>_xlfn.XLOOKUP(Table1[[#This Row], [ROOM]],Sheet1!$A$47:$A$66,Sheet1!$B$47:$B$66)</f>
        <v>235</v>
      </c>
      <c r="F715" t="s">
        <v>58</v>
      </c>
      <c r="G715" s="4">
        <f>_xlfn.XLOOKUP(Table1[[#This Row], [DISGUISE]],Sheet1!$A$21:$A$23,Sheet1!$B$21:$B$23)*Table1[[#This Row], [NUM OF MEM]]*(1+_xlfn.XLOOKUP(Table1[[#This Row], [DISGUISE]],Sheet1!$A$21:$A$23,Sheet1!$C$21:$C$23))</f>
        <v>38400</v>
      </c>
      <c r="H715" s="13" t="s">
        <v>66</v>
      </c>
      <c r="I715" s="4">
        <f>_xlfn.XLOOKUP(Table1[[#This Row], [WEAPON]],Sheet1!$A$27:$A$29,Sheet1!$B$27:$B$29)*Table1[[#This Row], [NUM OF MEM]]*(1+_xlfn.XLOOKUP(Table1[[#This Row], [WEAPON]],Sheet1!$A$27:$A$29,Sheet1!$C$27:$C$29))</f>
        <v>108000</v>
      </c>
      <c r="J715" t="s">
        <v>64</v>
      </c>
      <c r="K715" s="9">
        <f>Table1[[#This Row], [NUM OF MEM]]*Table1[[#This Row], [TOTAL TIME TAKEN]]*_xlfn.XLOOKUP(Table1[[#This Row], [EXIT]],Sheet1!$A$70:$A$71,Sheet1!$B$70:$B$71)*(1+_xlfn.XLOOKUP(Table1[[#This Row], [EXIT]],Sheet1!$A$70:$A$71,Sheet1!$C$70:$C$71))</f>
        <v>1724111.9999999998</v>
      </c>
      <c r="L715" s="13" t="s">
        <v>61</v>
      </c>
      <c r="M715" s="4">
        <f>IF(Table1[[#This Row], [EQUIPMENT]]="YES",Sheet1!$C$44*(1+Sheet1!$D$44),0)</f>
        <v>0</v>
      </c>
      <c r="N715" s="4">
        <f>_xlfn.XLOOKUP(Table1[[#This Row], [ROOM]],Sheet1!$A$47:$A$66,Sheet1!$F$47:$F$66)</f>
        <v>17800000</v>
      </c>
      <c r="O715" s="9">
        <f>_xlfn.XLOOKUP(_xlfn.CONCAT(Table1[[#This Row], [TEAM]],Table1[[#This Row], [ROOM]]),'ROOM TIME'!$H$2:$H$121,'ROOM TIME'!$J$2:$J$121)</f>
        <v>39.344444444444434</v>
      </c>
      <c r="P715" s="4">
        <f>(INDEX(Sheet1!$X$48:$Z$67,MATCH(Table1[[#This Row], [ROOM]],Sheet1!$P$48:$P$67,0),MATCH(Table1[[#This Row], [WEAPON]],Sheet1!$X$47:$Z$47,0)))/Table1[[#This Row], [NUM OF MEM]]</f>
        <v>5</v>
      </c>
      <c r="Q715" s="9">
        <f>Table1[[#This Row], [ROOM TIME]]+Table1[[#This Row], [GUARD TIME]]</f>
        <v>44.344444444444434</v>
      </c>
      <c r="R715" s="4">
        <f>Sheet1!$K$3*_xlfn.XLOOKUP(Table1[[#This Row], [DISGUISE]],Sheet1!$A$21:$A$23,Sheet1!$D$21:$D$23)</f>
        <v>69</v>
      </c>
      <c r="S715" s="9">
        <f>Table1[[#This Row], [TOTAL TIME]]-Table1[[#This Row], [TOTAL TIME TAKEN]]</f>
        <v>24.655555555555566</v>
      </c>
      <c r="T715" t="str">
        <f>IF(Table1[[#This Row], [TIME DIFFERENCE]]&gt;=0,"PASS","FAIL")</f>
        <v>PASS</v>
      </c>
      <c r="U715" s="4">
        <f>Table1[[#This Row], [TRC]]+Table1[[#This Row], [DRC]]+Table1[[#This Row], [WRC]]+Table1[[#This Row], [ERC]]+Table1[[#This Row], [EQRC]]</f>
        <v>8109262</v>
      </c>
      <c r="V715" s="9">
        <f>Table1[[#This Row], [TOTAL COST]]+_xlfn.XLOOKUP(Table1[[#This Row], [TEAM]],Sheet1!$A$12:$A$17,Sheet1!$I$12:$I$17)</f>
        <v>8421199.5</v>
      </c>
      <c r="W715" s="4">
        <f>Table1[[#This Row], [LOOT]]-Table1[[#This Row], [TOTAL COST]]</f>
        <v>9690738</v>
      </c>
      <c r="X715" s="4">
        <f>IF(Table1[[#This Row], [PASS/FAIL]]="FAIL",0,Table1[[#This Row], [PROFIT]])</f>
        <v>9690738</v>
      </c>
    </row>
    <row r="716" spans="1:24" ht="19.5" customHeight="1" x14ac:dyDescent="0.45">
      <c r="A716" t="s">
        <v>12</v>
      </c>
      <c r="B716" s="14">
        <f>_xlfn.XLOOKUP(Table1[[#This Row], [TEAM]],Sheet1!$A$12:$A$17,Sheet1!$F$12:$F$17)</f>
        <v>3</v>
      </c>
      <c r="C716" s="14">
        <f>_xlfn.XLOOKUP(Table1[[#This Row], [TEAM]],Sheet1!$A$12:$A$17,Sheet1!$G$12:$G$17)</f>
        <v>5988750</v>
      </c>
      <c r="D716" t="s">
        <v>34</v>
      </c>
      <c r="E716" s="4">
        <f>_xlfn.XLOOKUP(Table1[[#This Row], [ROOM]],Sheet1!$A$47:$A$66,Sheet1!$B$47:$B$66)</f>
        <v>456</v>
      </c>
      <c r="F716" t="s">
        <v>58</v>
      </c>
      <c r="G716" s="4">
        <f>_xlfn.XLOOKUP(Table1[[#This Row], [DISGUISE]],Sheet1!$A$21:$A$23,Sheet1!$B$21:$B$23)*Table1[[#This Row], [NUM OF MEM]]*(1+_xlfn.XLOOKUP(Table1[[#This Row], [DISGUISE]],Sheet1!$A$21:$A$23,Sheet1!$C$21:$C$23))</f>
        <v>38400</v>
      </c>
      <c r="H716" s="13" t="s">
        <v>63</v>
      </c>
      <c r="I716" s="4">
        <f>_xlfn.XLOOKUP(Table1[[#This Row], [WEAPON]],Sheet1!$A$27:$A$29,Sheet1!$B$27:$B$29)*Table1[[#This Row], [NUM OF MEM]]*(1+_xlfn.XLOOKUP(Table1[[#This Row], [WEAPON]],Sheet1!$A$27:$A$29,Sheet1!$C$27:$C$29))</f>
        <v>69000</v>
      </c>
      <c r="J716" t="s">
        <v>60</v>
      </c>
      <c r="K716" s="9">
        <f>Table1[[#This Row], [NUM OF MEM]]*Table1[[#This Row], [TOTAL TIME TAKEN]]*_xlfn.XLOOKUP(Table1[[#This Row], [EXIT]],Sheet1!$A$70:$A$71,Sheet1!$B$70:$B$71)*(1+_xlfn.XLOOKUP(Table1[[#This Row], [EXIT]],Sheet1!$A$70:$A$71,Sheet1!$C$70:$C$71))</f>
        <v>1605901.8249999993</v>
      </c>
      <c r="L716" s="13" t="s">
        <v>65</v>
      </c>
      <c r="M716" s="4">
        <f>IF(Table1[[#This Row], [EQUIPMENT]]="YES",Sheet1!$C$44*(1+Sheet1!$D$44),0)</f>
        <v>307500</v>
      </c>
      <c r="N716" s="4">
        <f>_xlfn.XLOOKUP(Table1[[#This Row], [ROOM]],Sheet1!$A$47:$A$66,Sheet1!$F$47:$F$66)</f>
        <v>17700000</v>
      </c>
      <c r="O716" s="9">
        <f>_xlfn.XLOOKUP(_xlfn.CONCAT(Table1[[#This Row], [TEAM]],Table1[[#This Row], [ROOM]]),'ROOM TIME'!$H$2:$H$121,'ROOM TIME'!$J$2:$J$121)</f>
        <v>36.764444444444429</v>
      </c>
      <c r="P716" s="9">
        <f>(INDEX(Sheet1!$X$48:$Z$67,MATCH(Table1[[#This Row], [ROOM]],Sheet1!$P$48:$P$67,0),MATCH(Table1[[#This Row], [WEAPON]],Sheet1!$X$47:$Z$47,0)))/Table1[[#This Row], [NUM OF MEM]]</f>
        <v>4.95</v>
      </c>
      <c r="Q716" s="9">
        <f>Table1[[#This Row], [ROOM TIME]]+Table1[[#This Row], [GUARD TIME]]</f>
        <v>41.714444444444432</v>
      </c>
      <c r="R716" s="4">
        <f>Sheet1!$K$3*_xlfn.XLOOKUP(Table1[[#This Row], [DISGUISE]],Sheet1!$A$21:$A$23,Sheet1!$D$21:$D$23)</f>
        <v>69</v>
      </c>
      <c r="S716" s="9">
        <f>Table1[[#This Row], [TOTAL TIME]]-Table1[[#This Row], [TOTAL TIME TAKEN]]</f>
        <v>27.285555555555568</v>
      </c>
      <c r="T716" t="str">
        <f>IF(Table1[[#This Row], [TIME DIFFERENCE]]&gt;=0,"PASS","FAIL")</f>
        <v>PASS</v>
      </c>
      <c r="U716" s="9">
        <f>Table1[[#This Row], [TRC]]+Table1[[#This Row], [DRC]]+Table1[[#This Row], [WRC]]+Table1[[#This Row], [ERC]]+Table1[[#This Row], [EQRC]]</f>
        <v>8009551.8249999993</v>
      </c>
      <c r="V716" s="9">
        <f>Table1[[#This Row], [TOTAL COST]]+_xlfn.XLOOKUP(Table1[[#This Row], [TEAM]],Sheet1!$A$12:$A$17,Sheet1!$I$12:$I$17)</f>
        <v>8308989.3249999993</v>
      </c>
      <c r="W716" s="9">
        <f>Table1[[#This Row], [LOOT]]-Table1[[#This Row], [TOTAL COST]]</f>
        <v>9690448.1750000007</v>
      </c>
      <c r="X716" s="9">
        <f>IF(Table1[[#This Row], [PASS/FAIL]]="FAIL",0,Table1[[#This Row], [PROFIT]])</f>
        <v>9690448.1750000007</v>
      </c>
    </row>
    <row r="717" spans="1:24" ht="19.5" customHeight="1" x14ac:dyDescent="0.45">
      <c r="A717" t="s">
        <v>12</v>
      </c>
      <c r="B717" s="14">
        <f>_xlfn.XLOOKUP(Table1[[#This Row], [TEAM]],Sheet1!$A$12:$A$17,Sheet1!$F$12:$F$17)</f>
        <v>3</v>
      </c>
      <c r="C717" s="14">
        <f>_xlfn.XLOOKUP(Table1[[#This Row], [TEAM]],Sheet1!$A$12:$A$17,Sheet1!$G$12:$G$17)</f>
        <v>5988750</v>
      </c>
      <c r="D717" t="s">
        <v>27</v>
      </c>
      <c r="E717" s="4">
        <f>_xlfn.XLOOKUP(Table1[[#This Row], [ROOM]],Sheet1!$A$47:$A$66,Sheet1!$B$47:$B$66)</f>
        <v>146</v>
      </c>
      <c r="F717" t="s">
        <v>62</v>
      </c>
      <c r="G717" s="4">
        <f>_xlfn.XLOOKUP(Table1[[#This Row], [DISGUISE]],Sheet1!$A$21:$A$23,Sheet1!$B$21:$B$23)*Table1[[#This Row], [NUM OF MEM]]*(1+_xlfn.XLOOKUP(Table1[[#This Row], [DISGUISE]],Sheet1!$A$21:$A$23,Sheet1!$C$21:$C$23))</f>
        <v>15600</v>
      </c>
      <c r="H717" s="13" t="s">
        <v>59</v>
      </c>
      <c r="I717" s="4">
        <f>_xlfn.XLOOKUP(Table1[[#This Row], [WEAPON]],Sheet1!$A$27:$A$29,Sheet1!$B$27:$B$29)*Table1[[#This Row], [NUM OF MEM]]*(1+_xlfn.XLOOKUP(Table1[[#This Row], [WEAPON]],Sheet1!$A$27:$A$29,Sheet1!$C$27:$C$29))</f>
        <v>136500</v>
      </c>
      <c r="J717" t="s">
        <v>64</v>
      </c>
      <c r="K717" s="9">
        <f>Table1[[#This Row], [NUM OF MEM]]*Table1[[#This Row], [TOTAL TIME TAKEN]]*_xlfn.XLOOKUP(Table1[[#This Row], [EXIT]],Sheet1!$A$70:$A$71,Sheet1!$B$70:$B$71)*(1+_xlfn.XLOOKUP(Table1[[#This Row], [EXIT]],Sheet1!$A$70:$A$71,Sheet1!$C$70:$C$71))</f>
        <v>1612310.3999999997</v>
      </c>
      <c r="L717" s="13" t="s">
        <v>65</v>
      </c>
      <c r="M717" s="4">
        <f>IF(Table1[[#This Row], [EQUIPMENT]]="YES",Sheet1!$C$44*(1+Sheet1!$D$44),0)</f>
        <v>307500</v>
      </c>
      <c r="N717" s="4">
        <f>_xlfn.XLOOKUP(Table1[[#This Row], [ROOM]],Sheet1!$A$47:$A$66,Sheet1!$F$47:$F$66)</f>
        <v>17750000</v>
      </c>
      <c r="O717" s="9">
        <f>_xlfn.XLOOKUP(_xlfn.CONCAT(Table1[[#This Row], [TEAM]],Table1[[#This Row], [ROOM]]),'ROOM TIME'!$H$2:$H$121,'ROOM TIME'!$J$2:$J$121)</f>
        <v>37.252222222222208</v>
      </c>
      <c r="P717" s="9">
        <f>(INDEX(Sheet1!$X$48:$Z$67,MATCH(Table1[[#This Row], [ROOM]],Sheet1!$P$48:$P$67,0),MATCH(Table1[[#This Row], [WEAPON]],Sheet1!$X$47:$Z$47,0)))/Table1[[#This Row], [NUM OF MEM]]</f>
        <v>4.2166666666666659</v>
      </c>
      <c r="Q717" s="9">
        <f>Table1[[#This Row], [ROOM TIME]]+Table1[[#This Row], [GUARD TIME]]</f>
        <v>41.468888888888877</v>
      </c>
      <c r="R717" s="4">
        <f>Sheet1!$K$3*_xlfn.XLOOKUP(Table1[[#This Row], [DISGUISE]],Sheet1!$A$21:$A$23,Sheet1!$D$21:$D$23)</f>
        <v>66</v>
      </c>
      <c r="S717" s="9">
        <f>Table1[[#This Row], [TOTAL TIME]]-Table1[[#This Row], [TOTAL TIME TAKEN]]</f>
        <v>24.531111111111123</v>
      </c>
      <c r="T717" t="str">
        <f>IF(Table1[[#This Row], [TIME DIFFERENCE]]&gt;=0,"PASS","FAIL")</f>
        <v>PASS</v>
      </c>
      <c r="U717" s="9">
        <f>Table1[[#This Row], [TRC]]+Table1[[#This Row], [DRC]]+Table1[[#This Row], [WRC]]+Table1[[#This Row], [ERC]]+Table1[[#This Row], [EQRC]]</f>
        <v>8060660.3999999994</v>
      </c>
      <c r="V717" s="9">
        <f>Table1[[#This Row], [TOTAL COST]]+_xlfn.XLOOKUP(Table1[[#This Row], [TEAM]],Sheet1!$A$12:$A$17,Sheet1!$I$12:$I$17)</f>
        <v>8360097.8999999994</v>
      </c>
      <c r="W717" s="9">
        <f>Table1[[#This Row], [LOOT]]-Table1[[#This Row], [TOTAL COST]]</f>
        <v>9689339.6000000015</v>
      </c>
      <c r="X717" s="9">
        <f>IF(Table1[[#This Row], [PASS/FAIL]]="FAIL",0,Table1[[#This Row], [PROFIT]])</f>
        <v>9689339.6000000015</v>
      </c>
    </row>
    <row r="718" spans="1:24" ht="19.5" customHeight="1" x14ac:dyDescent="0.45">
      <c r="A718" t="s">
        <v>12</v>
      </c>
      <c r="B718" s="14">
        <f>_xlfn.XLOOKUP(Table1[[#This Row], [TEAM]],Sheet1!$A$12:$A$17,Sheet1!$F$12:$F$17)</f>
        <v>3</v>
      </c>
      <c r="C718" s="14">
        <f>_xlfn.XLOOKUP(Table1[[#This Row], [TEAM]],Sheet1!$A$12:$A$17,Sheet1!$G$12:$G$17)</f>
        <v>5988750</v>
      </c>
      <c r="D718" t="s">
        <v>34</v>
      </c>
      <c r="E718" s="4">
        <f>_xlfn.XLOOKUP(Table1[[#This Row], [ROOM]],Sheet1!$A$47:$A$66,Sheet1!$B$47:$B$66)</f>
        <v>456</v>
      </c>
      <c r="F718" t="s">
        <v>62</v>
      </c>
      <c r="G718" s="4">
        <f>_xlfn.XLOOKUP(Table1[[#This Row], [DISGUISE]],Sheet1!$A$21:$A$23,Sheet1!$B$21:$B$23)*Table1[[#This Row], [NUM OF MEM]]*(1+_xlfn.XLOOKUP(Table1[[#This Row], [DISGUISE]],Sheet1!$A$21:$A$23,Sheet1!$C$21:$C$23))</f>
        <v>15600</v>
      </c>
      <c r="H718" s="13" t="s">
        <v>66</v>
      </c>
      <c r="I718" s="4">
        <f>_xlfn.XLOOKUP(Table1[[#This Row], [WEAPON]],Sheet1!$A$27:$A$29,Sheet1!$B$27:$B$29)*Table1[[#This Row], [NUM OF MEM]]*(1+_xlfn.XLOOKUP(Table1[[#This Row], [WEAPON]],Sheet1!$A$27:$A$29,Sheet1!$C$27:$C$29))</f>
        <v>108000</v>
      </c>
      <c r="J718" t="s">
        <v>60</v>
      </c>
      <c r="K718" s="9">
        <f>Table1[[#This Row], [NUM OF MEM]]*Table1[[#This Row], [TOTAL TIME TAKEN]]*_xlfn.XLOOKUP(Table1[[#This Row], [EXIT]],Sheet1!$A$70:$A$71,Sheet1!$B$70:$B$71)*(1+_xlfn.XLOOKUP(Table1[[#This Row], [EXIT]],Sheet1!$A$70:$A$71,Sheet1!$C$70:$C$71))</f>
        <v>1591786.0749999997</v>
      </c>
      <c r="L718" s="13" t="s">
        <v>65</v>
      </c>
      <c r="M718" s="4">
        <f>IF(Table1[[#This Row], [EQUIPMENT]]="YES",Sheet1!$C$44*(1+Sheet1!$D$44),0)</f>
        <v>307500</v>
      </c>
      <c r="N718" s="4">
        <f>_xlfn.XLOOKUP(Table1[[#This Row], [ROOM]],Sheet1!$A$47:$A$66,Sheet1!$F$47:$F$66)</f>
        <v>17700000</v>
      </c>
      <c r="O718" s="9">
        <f>_xlfn.XLOOKUP(_xlfn.CONCAT(Table1[[#This Row], [TEAM]],Table1[[#This Row], [ROOM]]),'ROOM TIME'!$H$2:$H$121,'ROOM TIME'!$J$2:$J$121)</f>
        <v>36.764444444444429</v>
      </c>
      <c r="P718" s="9">
        <f>(INDEX(Sheet1!$X$48:$Z$67,MATCH(Table1[[#This Row], [ROOM]],Sheet1!$P$48:$P$67,0),MATCH(Table1[[#This Row], [WEAPON]],Sheet1!$X$47:$Z$47,0)))/Table1[[#This Row], [NUM OF MEM]]</f>
        <v>4.583333333333333</v>
      </c>
      <c r="Q718" s="9">
        <f>Table1[[#This Row], [ROOM TIME]]+Table1[[#This Row], [GUARD TIME]]</f>
        <v>41.347777777777765</v>
      </c>
      <c r="R718" s="4">
        <f>Sheet1!$K$3*_xlfn.XLOOKUP(Table1[[#This Row], [DISGUISE]],Sheet1!$A$21:$A$23,Sheet1!$D$21:$D$23)</f>
        <v>66</v>
      </c>
      <c r="S718" s="9">
        <f>Table1[[#This Row], [TOTAL TIME]]-Table1[[#This Row], [TOTAL TIME TAKEN]]</f>
        <v>24.652222222222235</v>
      </c>
      <c r="T718" t="str">
        <f>IF(Table1[[#This Row], [TIME DIFFERENCE]]&gt;=0,"PASS","FAIL")</f>
        <v>PASS</v>
      </c>
      <c r="U718" s="9">
        <f>Table1[[#This Row], [TRC]]+Table1[[#This Row], [DRC]]+Table1[[#This Row], [WRC]]+Table1[[#This Row], [ERC]]+Table1[[#This Row], [EQRC]]</f>
        <v>8011636.0749999993</v>
      </c>
      <c r="V718" s="9">
        <f>Table1[[#This Row], [TOTAL COST]]+_xlfn.XLOOKUP(Table1[[#This Row], [TEAM]],Sheet1!$A$12:$A$17,Sheet1!$I$12:$I$17)</f>
        <v>8311073.5749999993</v>
      </c>
      <c r="W718" s="9">
        <f>Table1[[#This Row], [LOOT]]-Table1[[#This Row], [TOTAL COST]]</f>
        <v>9688363.9250000007</v>
      </c>
      <c r="X718" s="9">
        <f>IF(Table1[[#This Row], [PASS/FAIL]]="FAIL",0,Table1[[#This Row], [PROFIT]])</f>
        <v>9688363.9250000007</v>
      </c>
    </row>
    <row r="719" spans="1:24" ht="19.5" customHeight="1" x14ac:dyDescent="0.45">
      <c r="A719" t="s">
        <v>13</v>
      </c>
      <c r="B719" s="14">
        <f>_xlfn.XLOOKUP(Table1[[#This Row], [TEAM]],Sheet1!$A$12:$A$17,Sheet1!$F$12:$F$17)</f>
        <v>3</v>
      </c>
      <c r="C719" s="14">
        <f>_xlfn.XLOOKUP(Table1[[#This Row], [TEAM]],Sheet1!$A$12:$A$17,Sheet1!$G$12:$G$17)</f>
        <v>5930000</v>
      </c>
      <c r="D719" t="s">
        <v>27</v>
      </c>
      <c r="E719" s="4">
        <f>_xlfn.XLOOKUP(Table1[[#This Row], [ROOM]],Sheet1!$A$47:$A$66,Sheet1!$B$47:$B$66)</f>
        <v>146</v>
      </c>
      <c r="F719" t="s">
        <v>58</v>
      </c>
      <c r="G719" s="4">
        <f>_xlfn.XLOOKUP(Table1[[#This Row], [DISGUISE]],Sheet1!$A$21:$A$23,Sheet1!$B$21:$B$23)*Table1[[#This Row], [NUM OF MEM]]*(1+_xlfn.XLOOKUP(Table1[[#This Row], [DISGUISE]],Sheet1!$A$21:$A$23,Sheet1!$C$21:$C$23))</f>
        <v>38400</v>
      </c>
      <c r="H719" s="13" t="s">
        <v>66</v>
      </c>
      <c r="I719" s="4">
        <f>_xlfn.XLOOKUP(Table1[[#This Row], [WEAPON]],Sheet1!$A$27:$A$29,Sheet1!$B$27:$B$29)*Table1[[#This Row], [NUM OF MEM]]*(1+_xlfn.XLOOKUP(Table1[[#This Row], [WEAPON]],Sheet1!$A$27:$A$29,Sheet1!$C$27:$C$29))</f>
        <v>108000</v>
      </c>
      <c r="J719" t="s">
        <v>60</v>
      </c>
      <c r="K719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1678490.9999999995</v>
      </c>
      <c r="L719" s="13" t="s">
        <v>65</v>
      </c>
      <c r="M719" s="4">
        <f>IF(Table1[[#This Row], [EQUIPMENT]]="YES",Sheet1!$C$44*(1+Sheet1!$D$44),0)</f>
        <v>307500</v>
      </c>
      <c r="N719" s="4">
        <f>_xlfn.XLOOKUP(Table1[[#This Row], [ROOM]],Sheet1!$A$47:$A$66,Sheet1!$F$47:$F$66)</f>
        <v>17750000</v>
      </c>
      <c r="O719" s="9">
        <f>_xlfn.XLOOKUP(_xlfn.CONCAT(Table1[[#This Row], [TEAM]],Table1[[#This Row], [ROOM]]),'ROOM TIME'!$H$2:$H$121,'ROOM TIME'!$J$2:$J$121)</f>
        <v>39.016666666666659</v>
      </c>
      <c r="P719" s="9">
        <f>(INDEX(Sheet1!$X$48:$Z$67,MATCH(Table1[[#This Row], [ROOM]],Sheet1!$P$48:$P$67,0),MATCH(Table1[[#This Row], [WEAPON]],Sheet1!$X$47:$Z$47,0)))/Table1[[#This Row], [NUM OF MEM]]</f>
        <v>4.583333333333333</v>
      </c>
      <c r="Q719" s="9">
        <f>Table1[[#This Row], [ROOM TIME]]+Table1[[#This Row], [GUARD TIME]]</f>
        <v>43.599999999999994</v>
      </c>
      <c r="R719" s="4">
        <f>Sheet1!$K$3*_xlfn.XLOOKUP(Table1[[#This Row], [DISGUISE]],Sheet1!$A$21:$A$23,Sheet1!$D$21:$D$23)</f>
        <v>69</v>
      </c>
      <c r="S719" s="9">
        <f>Table1[[#This Row], [TOTAL TIME]]-Table1[[#This Row], [TOTAL TIME TAKEN]]</f>
        <v>25.400000000000006</v>
      </c>
      <c r="T719" t="str">
        <f>IF(Table1[[#This Row], [TIME DIFFERENCE]]&gt;=0,"PASS","FAIL")</f>
        <v>PASS</v>
      </c>
      <c r="U719" s="4">
        <f>Table1[[#This Row], [TRC]]+Table1[[#This Row], [DRC]]+Table1[[#This Row], [WRC]]+Table1[[#This Row], [ERC]]+Table1[[#This Row], [EQRC]]</f>
        <v>8062391</v>
      </c>
      <c r="V719" s="4">
        <f>Table1[[#This Row], [TOTAL COST]]+_xlfn.XLOOKUP(Table1[[#This Row], [TEAM]],Sheet1!$A$12:$A$17,Sheet1!$I$12:$I$17)</f>
        <v>8358891</v>
      </c>
      <c r="W719" s="4">
        <f>Table1[[#This Row], [LOOT]]-Table1[[#This Row], [TOTAL COST]]</f>
        <v>9687609</v>
      </c>
      <c r="X719" s="4">
        <f>IF(Table1[[#This Row], [PASS/FAIL]]="FAIL",0,Table1[[#This Row], [PROFIT]])</f>
        <v>9687609</v>
      </c>
    </row>
    <row r="720" spans="1:24" ht="19.5" customHeight="1" x14ac:dyDescent="0.45">
      <c r="A720" t="s">
        <v>9</v>
      </c>
      <c r="B720" s="14">
        <f>_xlfn.XLOOKUP(Table1[[#This Row], [TEAM]],Sheet1!$A$12:$A$17,Sheet1!$F$12:$F$17)</f>
        <v>3</v>
      </c>
      <c r="C720" s="14">
        <f>_xlfn.XLOOKUP(Table1[[#This Row], [TEAM]],Sheet1!$A$12:$A$17,Sheet1!$G$12:$G$17)</f>
        <v>6238750</v>
      </c>
      <c r="D720" t="s">
        <v>18</v>
      </c>
      <c r="E720" s="4">
        <f>_xlfn.XLOOKUP(Table1[[#This Row], [ROOM]],Sheet1!$A$47:$A$66,Sheet1!$B$47:$B$66)</f>
        <v>134</v>
      </c>
      <c r="F720" t="s">
        <v>58</v>
      </c>
      <c r="G720" s="4">
        <f>_xlfn.XLOOKUP(Table1[[#This Row], [DISGUISE]],Sheet1!$A$21:$A$23,Sheet1!$B$21:$B$23)*Table1[[#This Row], [NUM OF MEM]]*(1+_xlfn.XLOOKUP(Table1[[#This Row], [DISGUISE]],Sheet1!$A$21:$A$23,Sheet1!$C$21:$C$23))</f>
        <v>38400</v>
      </c>
      <c r="H720" s="13" t="s">
        <v>63</v>
      </c>
      <c r="I720" s="4">
        <f>_xlfn.XLOOKUP(Table1[[#This Row], [WEAPON]],Sheet1!$A$27:$A$29,Sheet1!$B$27:$B$29)*Table1[[#This Row], [NUM OF MEM]]*(1+_xlfn.XLOOKUP(Table1[[#This Row], [WEAPON]],Sheet1!$A$27:$A$29,Sheet1!$C$27:$C$29))</f>
        <v>69000</v>
      </c>
      <c r="J720" t="s">
        <v>60</v>
      </c>
      <c r="K720" s="9">
        <f>Table1[[#This Row], [NUM OF MEM]]*Table1[[#This Row], [TOTAL TIME TAKEN]]*_xlfn.XLOOKUP(Table1[[#This Row], [EXIT]],Sheet1!$A$70:$A$71,Sheet1!$B$70:$B$71)*(1+_xlfn.XLOOKUP(Table1[[#This Row], [EXIT]],Sheet1!$A$70:$A$71,Sheet1!$C$70:$C$71))</f>
        <v>1709438.7124999997</v>
      </c>
      <c r="L720" s="13" t="s">
        <v>65</v>
      </c>
      <c r="M720" s="4">
        <f>IF(Table1[[#This Row], [EQUIPMENT]]="YES",Sheet1!$C$44*(1+Sheet1!$D$44),0)</f>
        <v>307500</v>
      </c>
      <c r="N720" s="4">
        <f>_xlfn.XLOOKUP(Table1[[#This Row], [ROOM]],Sheet1!$A$47:$A$66,Sheet1!$F$47:$F$66)</f>
        <v>18050000</v>
      </c>
      <c r="O720" s="9">
        <f>_xlfn.XLOOKUP(_xlfn.CONCAT(Table1[[#This Row], [TEAM]],Table1[[#This Row], [ROOM]]),'ROOM TIME'!$H$2:$H$121,'ROOM TIME'!$J$2:$J$121)</f>
        <v>39.003888888888881</v>
      </c>
      <c r="P720" s="9">
        <f>(INDEX(Sheet1!$X$48:$Z$67,MATCH(Table1[[#This Row], [ROOM]],Sheet1!$P$48:$P$67,0),MATCH(Table1[[#This Row], [WEAPON]],Sheet1!$X$47:$Z$47,0)))/Table1[[#This Row], [NUM OF MEM]]</f>
        <v>5.4000000000000012</v>
      </c>
      <c r="Q720" s="9">
        <f>Table1[[#This Row], [ROOM TIME]]+Table1[[#This Row], [GUARD TIME]]</f>
        <v>44.403888888888879</v>
      </c>
      <c r="R720" s="4">
        <f>Sheet1!$K$3*_xlfn.XLOOKUP(Table1[[#This Row], [DISGUISE]],Sheet1!$A$21:$A$23,Sheet1!$D$21:$D$23)</f>
        <v>69</v>
      </c>
      <c r="S720" s="9">
        <f>Table1[[#This Row], [TOTAL TIME]]-Table1[[#This Row], [TOTAL TIME TAKEN]]</f>
        <v>24.596111111111121</v>
      </c>
      <c r="T720" t="str">
        <f>IF(Table1[[#This Row], [TIME DIFFERENCE]]&gt;=0,"PASS","FAIL")</f>
        <v>PASS</v>
      </c>
      <c r="U720" s="9">
        <f>Table1[[#This Row], [TRC]]+Table1[[#This Row], [DRC]]+Table1[[#This Row], [WRC]]+Table1[[#This Row], [ERC]]+Table1[[#This Row], [EQRC]]</f>
        <v>8363088.7124999994</v>
      </c>
      <c r="V720" s="9">
        <f>Table1[[#This Row], [TOTAL COST]]+_xlfn.XLOOKUP(Table1[[#This Row], [TEAM]],Sheet1!$A$12:$A$17,Sheet1!$I$12:$I$17)</f>
        <v>8675026.2124999985</v>
      </c>
      <c r="W720" s="9">
        <f>Table1[[#This Row], [LOOT]]-Table1[[#This Row], [TOTAL COST]]</f>
        <v>9686911.2875000015</v>
      </c>
      <c r="X720" s="9">
        <f>IF(Table1[[#This Row], [PASS/FAIL]]="FAIL",0,Table1[[#This Row], [PROFIT]])</f>
        <v>9686911.2875000015</v>
      </c>
    </row>
    <row r="721" spans="1:24" ht="19.5" customHeight="1" x14ac:dyDescent="0.45">
      <c r="A721" t="s">
        <v>12</v>
      </c>
      <c r="B721" s="14">
        <f>_xlfn.XLOOKUP(Table1[[#This Row], [TEAM]],Sheet1!$A$12:$A$17,Sheet1!$F$12:$F$17)</f>
        <v>3</v>
      </c>
      <c r="C721" s="14">
        <f>_xlfn.XLOOKUP(Table1[[#This Row], [TEAM]],Sheet1!$A$12:$A$17,Sheet1!$G$12:$G$17)</f>
        <v>5988750</v>
      </c>
      <c r="D721" t="s">
        <v>21</v>
      </c>
      <c r="E721" s="4">
        <f>_xlfn.XLOOKUP(Table1[[#This Row], [ROOM]],Sheet1!$A$47:$A$66,Sheet1!$B$47:$B$66)</f>
        <v>234</v>
      </c>
      <c r="F721" t="s">
        <v>62</v>
      </c>
      <c r="G721" s="4">
        <f>_xlfn.XLOOKUP(Table1[[#This Row], [DISGUISE]],Sheet1!$A$21:$A$23,Sheet1!$B$21:$B$23)*Table1[[#This Row], [NUM OF MEM]]*(1+_xlfn.XLOOKUP(Table1[[#This Row], [DISGUISE]],Sheet1!$A$21:$A$23,Sheet1!$C$21:$C$23))</f>
        <v>15600</v>
      </c>
      <c r="H721" s="13" t="s">
        <v>63</v>
      </c>
      <c r="I721" s="4">
        <f>_xlfn.XLOOKUP(Table1[[#This Row], [WEAPON]],Sheet1!$A$27:$A$29,Sheet1!$B$27:$B$29)*Table1[[#This Row], [NUM OF MEM]]*(1+_xlfn.XLOOKUP(Table1[[#This Row], [WEAPON]],Sheet1!$A$27:$A$29,Sheet1!$C$27:$C$29))</f>
        <v>69000</v>
      </c>
      <c r="J721" t="s">
        <v>60</v>
      </c>
      <c r="K721" s="9">
        <f>Table1[[#This Row], [NUM OF MEM]]*Table1[[#This Row], [TOTAL TIME TAKEN]]*_xlfn.XLOOKUP(Table1[[#This Row], [EXIT]],Sheet1!$A$70:$A$71,Sheet1!$B$70:$B$71)*(1+_xlfn.XLOOKUP(Table1[[#This Row], [EXIT]],Sheet1!$A$70:$A$71,Sheet1!$C$70:$C$71))</f>
        <v>1832438.2249999992</v>
      </c>
      <c r="L721" s="13" t="s">
        <v>65</v>
      </c>
      <c r="M721" s="4">
        <f>IF(Table1[[#This Row], [EQUIPMENT]]="YES",Sheet1!$C$44*(1+Sheet1!$D$44),0)</f>
        <v>307500</v>
      </c>
      <c r="N721" s="4">
        <f>_xlfn.XLOOKUP(Table1[[#This Row], [ROOM]],Sheet1!$A$47:$A$66,Sheet1!$F$47:$F$66)</f>
        <v>17900000</v>
      </c>
      <c r="O721" s="9">
        <f>_xlfn.XLOOKUP(_xlfn.CONCAT(Table1[[#This Row], [TEAM]],Table1[[#This Row], [ROOM]]),'ROOM TIME'!$H$2:$H$121,'ROOM TIME'!$J$2:$J$121)</f>
        <v>41.748888888888878</v>
      </c>
      <c r="P721" s="9">
        <f>(INDEX(Sheet1!$X$48:$Z$67,MATCH(Table1[[#This Row], [ROOM]],Sheet1!$P$48:$P$67,0),MATCH(Table1[[#This Row], [WEAPON]],Sheet1!$X$47:$Z$47,0)))/Table1[[#This Row], [NUM OF MEM]]</f>
        <v>5.8500000000000005</v>
      </c>
      <c r="Q721" s="9">
        <f>Table1[[#This Row], [ROOM TIME]]+Table1[[#This Row], [GUARD TIME]]</f>
        <v>47.598888888888879</v>
      </c>
      <c r="R721" s="4">
        <f>Sheet1!$K$3*_xlfn.XLOOKUP(Table1[[#This Row], [DISGUISE]],Sheet1!$A$21:$A$23,Sheet1!$D$21:$D$23)</f>
        <v>66</v>
      </c>
      <c r="S721" s="9">
        <f>Table1[[#This Row], [TOTAL TIME]]-Table1[[#This Row], [TOTAL TIME TAKEN]]</f>
        <v>18.401111111111121</v>
      </c>
      <c r="T721" t="str">
        <f>IF(Table1[[#This Row], [TIME DIFFERENCE]]&gt;=0,"PASS","FAIL")</f>
        <v>PASS</v>
      </c>
      <c r="U721" s="9">
        <f>Table1[[#This Row], [TRC]]+Table1[[#This Row], [DRC]]+Table1[[#This Row], [WRC]]+Table1[[#This Row], [ERC]]+Table1[[#This Row], [EQRC]]</f>
        <v>8213288.2249999996</v>
      </c>
      <c r="V721" s="9">
        <f>Table1[[#This Row], [TOTAL COST]]+_xlfn.XLOOKUP(Table1[[#This Row], [TEAM]],Sheet1!$A$12:$A$17,Sheet1!$I$12:$I$17)</f>
        <v>8512725.7249999996</v>
      </c>
      <c r="W721" s="9">
        <f>Table1[[#This Row], [LOOT]]-Table1[[#This Row], [TOTAL COST]]</f>
        <v>9686711.7750000004</v>
      </c>
      <c r="X721" s="9">
        <f>IF(Table1[[#This Row], [PASS/FAIL]]="FAIL",0,Table1[[#This Row], [PROFIT]])</f>
        <v>9686711.7750000004</v>
      </c>
    </row>
    <row r="722" spans="1:24" ht="19.5" customHeight="1" x14ac:dyDescent="0.45">
      <c r="A722" t="s">
        <v>14</v>
      </c>
      <c r="B722" s="14">
        <f>_xlfn.XLOOKUP(Table1[[#This Row], [TEAM]],Sheet1!$A$12:$A$17,Sheet1!$F$12:$F$17)</f>
        <v>2</v>
      </c>
      <c r="C722" s="14">
        <f>_xlfn.XLOOKUP(Table1[[#This Row], [TEAM]],Sheet1!$A$12:$A$17,Sheet1!$G$12:$G$17)</f>
        <v>5949600</v>
      </c>
      <c r="D722" t="s">
        <v>28</v>
      </c>
      <c r="E722" s="4">
        <f>_xlfn.XLOOKUP(Table1[[#This Row], [ROOM]],Sheet1!$A$47:$A$66,Sheet1!$B$47:$B$66)</f>
        <v>156</v>
      </c>
      <c r="F722" t="s">
        <v>58</v>
      </c>
      <c r="G722" s="4">
        <f>_xlfn.XLOOKUP(Table1[[#This Row], [DISGUISE]],Sheet1!$A$21:$A$23,Sheet1!$B$21:$B$23)*Table1[[#This Row], [NUM OF MEM]]*(1+_xlfn.XLOOKUP(Table1[[#This Row], [DISGUISE]],Sheet1!$A$21:$A$23,Sheet1!$C$21:$C$23))</f>
        <v>25600</v>
      </c>
      <c r="H722" s="13" t="s">
        <v>66</v>
      </c>
      <c r="I722" s="4">
        <f>_xlfn.XLOOKUP(Table1[[#This Row], [WEAPON]],Sheet1!$A$27:$A$29,Sheet1!$B$27:$B$29)*Table1[[#This Row], [NUM OF MEM]]*(1+_xlfn.XLOOKUP(Table1[[#This Row], [WEAPON]],Sheet1!$A$27:$A$29,Sheet1!$C$27:$C$29))</f>
        <v>72000</v>
      </c>
      <c r="J722" t="s">
        <v>64</v>
      </c>
      <c r="K722" s="9">
        <f>Table1[[#This Row], [NUM OF MEM]]*Table1[[#This Row], [TOTAL TIME TAKEN]]*_xlfn.XLOOKUP(Table1[[#This Row], [EXIT]],Sheet1!$A$70:$A$71,Sheet1!$B$70:$B$71)*(1+_xlfn.XLOOKUP(Table1[[#This Row], [EXIT]],Sheet1!$A$70:$A$71,Sheet1!$C$70:$C$71))</f>
        <v>1609048.7999999993</v>
      </c>
      <c r="L722" s="13" t="s">
        <v>65</v>
      </c>
      <c r="M722" s="4">
        <f>IF(Table1[[#This Row], [EQUIPMENT]]="YES",Sheet1!$C$44*(1+Sheet1!$D$44),0)</f>
        <v>307500</v>
      </c>
      <c r="N722" s="4">
        <f>_xlfn.XLOOKUP(Table1[[#This Row], [ROOM]],Sheet1!$A$47:$A$66,Sheet1!$F$47:$F$66)</f>
        <v>17650000</v>
      </c>
      <c r="O722" s="9">
        <f>_xlfn.XLOOKUP(_xlfn.CONCAT(Table1[[#This Row], [TEAM]],Table1[[#This Row], [ROOM]]),'ROOM TIME'!$H$2:$H$121,'ROOM TIME'!$J$2:$J$121)</f>
        <v>55.827499999999979</v>
      </c>
      <c r="P722" s="9">
        <f>(INDEX(Sheet1!$X$48:$Z$67,MATCH(Table1[[#This Row], [ROOM]],Sheet1!$P$48:$P$67,0),MATCH(Table1[[#This Row], [WEAPON]],Sheet1!$X$47:$Z$47,0)))/Table1[[#This Row], [NUM OF MEM]]</f>
        <v>6.25</v>
      </c>
      <c r="Q722" s="9">
        <f>Table1[[#This Row], [ROOM TIME]]+Table1[[#This Row], [GUARD TIME]]</f>
        <v>62.077499999999979</v>
      </c>
      <c r="R722" s="4">
        <f>Sheet1!$K$3*_xlfn.XLOOKUP(Table1[[#This Row], [DISGUISE]],Sheet1!$A$21:$A$23,Sheet1!$D$21:$D$23)</f>
        <v>69</v>
      </c>
      <c r="S722" s="9">
        <f>Table1[[#This Row], [TOTAL TIME]]-Table1[[#This Row], [TOTAL TIME TAKEN]]</f>
        <v>6.9225000000000207</v>
      </c>
      <c r="T722" t="str">
        <f>IF(Table1[[#This Row], [TIME DIFFERENCE]]&gt;=0,"PASS","FAIL")</f>
        <v>PASS</v>
      </c>
      <c r="U722" s="9">
        <f>Table1[[#This Row], [TRC]]+Table1[[#This Row], [DRC]]+Table1[[#This Row], [WRC]]+Table1[[#This Row], [ERC]]+Table1[[#This Row], [EQRC]]</f>
        <v>7963748.7999999989</v>
      </c>
      <c r="V722" s="9">
        <f>Table1[[#This Row], [TOTAL COST]]+_xlfn.XLOOKUP(Table1[[#This Row], [TEAM]],Sheet1!$A$12:$A$17,Sheet1!$I$12:$I$17)</f>
        <v>8261228.7999999989</v>
      </c>
      <c r="W722" s="9">
        <f>Table1[[#This Row], [LOOT]]-Table1[[#This Row], [TOTAL COST]]</f>
        <v>9686251.2000000011</v>
      </c>
      <c r="X722" s="9">
        <f>IF(Table1[[#This Row], [PASS/FAIL]]="FAIL",0,Table1[[#This Row], [PROFIT]])</f>
        <v>9686251.2000000011</v>
      </c>
    </row>
    <row r="723" spans="1:24" ht="19.5" customHeight="1" x14ac:dyDescent="0.45">
      <c r="A723" t="s">
        <v>9</v>
      </c>
      <c r="B723" s="14">
        <f>_xlfn.XLOOKUP(Table1[[#This Row], [TEAM]],Sheet1!$A$12:$A$17,Sheet1!$F$12:$F$17)</f>
        <v>3</v>
      </c>
      <c r="C723" s="14">
        <f>_xlfn.XLOOKUP(Table1[[#This Row], [TEAM]],Sheet1!$A$12:$A$17,Sheet1!$G$12:$G$17)</f>
        <v>6238750</v>
      </c>
      <c r="D723" t="s">
        <v>18</v>
      </c>
      <c r="E723" s="4">
        <f>_xlfn.XLOOKUP(Table1[[#This Row], [ROOM]],Sheet1!$A$47:$A$66,Sheet1!$B$47:$B$66)</f>
        <v>134</v>
      </c>
      <c r="F723" t="s">
        <v>62</v>
      </c>
      <c r="G723" s="4">
        <f>_xlfn.XLOOKUP(Table1[[#This Row], [DISGUISE]],Sheet1!$A$21:$A$23,Sheet1!$B$21:$B$23)*Table1[[#This Row], [NUM OF MEM]]*(1+_xlfn.XLOOKUP(Table1[[#This Row], [DISGUISE]],Sheet1!$A$21:$A$23,Sheet1!$C$21:$C$23))</f>
        <v>15600</v>
      </c>
      <c r="H723" s="13" t="s">
        <v>66</v>
      </c>
      <c r="I723" s="4">
        <f>_xlfn.XLOOKUP(Table1[[#This Row], [WEAPON]],Sheet1!$A$27:$A$29,Sheet1!$B$27:$B$29)*Table1[[#This Row], [NUM OF MEM]]*(1+_xlfn.XLOOKUP(Table1[[#This Row], [WEAPON]],Sheet1!$A$27:$A$29,Sheet1!$C$27:$C$29))</f>
        <v>108000</v>
      </c>
      <c r="J723" t="s">
        <v>60</v>
      </c>
      <c r="K723" s="9">
        <f>Table1[[#This Row], [NUM OF MEM]]*Table1[[#This Row], [TOTAL TIME TAKEN]]*_xlfn.XLOOKUP(Table1[[#This Row], [EXIT]],Sheet1!$A$70:$A$71,Sheet1!$B$70:$B$71)*(1+_xlfn.XLOOKUP(Table1[[#This Row], [EXIT]],Sheet1!$A$70:$A$71,Sheet1!$C$70:$C$71))</f>
        <v>1694039.7124999999</v>
      </c>
      <c r="L723" s="13" t="s">
        <v>65</v>
      </c>
      <c r="M723" s="4">
        <f>IF(Table1[[#This Row], [EQUIPMENT]]="YES",Sheet1!$C$44*(1+Sheet1!$D$44),0)</f>
        <v>307500</v>
      </c>
      <c r="N723" s="4">
        <f>_xlfn.XLOOKUP(Table1[[#This Row], [ROOM]],Sheet1!$A$47:$A$66,Sheet1!$F$47:$F$66)</f>
        <v>18050000</v>
      </c>
      <c r="O723" s="9">
        <f>_xlfn.XLOOKUP(_xlfn.CONCAT(Table1[[#This Row], [TEAM]],Table1[[#This Row], [ROOM]]),'ROOM TIME'!$H$2:$H$121,'ROOM TIME'!$J$2:$J$121)</f>
        <v>39.003888888888881</v>
      </c>
      <c r="P723" s="4">
        <f>(INDEX(Sheet1!$X$48:$Z$67,MATCH(Table1[[#This Row], [ROOM]],Sheet1!$P$48:$P$67,0),MATCH(Table1[[#This Row], [WEAPON]],Sheet1!$X$47:$Z$47,0)))/Table1[[#This Row], [NUM OF MEM]]</f>
        <v>5</v>
      </c>
      <c r="Q723" s="9">
        <f>Table1[[#This Row], [ROOM TIME]]+Table1[[#This Row], [GUARD TIME]]</f>
        <v>44.003888888888881</v>
      </c>
      <c r="R723" s="4">
        <f>Sheet1!$K$3*_xlfn.XLOOKUP(Table1[[#This Row], [DISGUISE]],Sheet1!$A$21:$A$23,Sheet1!$D$21:$D$23)</f>
        <v>66</v>
      </c>
      <c r="S723" s="9">
        <f>Table1[[#This Row], [TOTAL TIME]]-Table1[[#This Row], [TOTAL TIME TAKEN]]</f>
        <v>21.996111111111119</v>
      </c>
      <c r="T723" t="str">
        <f>IF(Table1[[#This Row], [TIME DIFFERENCE]]&gt;=0,"PASS","FAIL")</f>
        <v>PASS</v>
      </c>
      <c r="U723" s="9">
        <f>Table1[[#This Row], [TRC]]+Table1[[#This Row], [DRC]]+Table1[[#This Row], [WRC]]+Table1[[#This Row], [ERC]]+Table1[[#This Row], [EQRC]]</f>
        <v>8363889.7125000004</v>
      </c>
      <c r="V723" s="9">
        <f>Table1[[#This Row], [TOTAL COST]]+_xlfn.XLOOKUP(Table1[[#This Row], [TEAM]],Sheet1!$A$12:$A$17,Sheet1!$I$12:$I$17)</f>
        <v>8675827.2125000004</v>
      </c>
      <c r="W723" s="9">
        <f>Table1[[#This Row], [LOOT]]-Table1[[#This Row], [TOTAL COST]]</f>
        <v>9686110.2874999996</v>
      </c>
      <c r="X723" s="9">
        <f>IF(Table1[[#This Row], [PASS/FAIL]]="FAIL",0,Table1[[#This Row], [PROFIT]])</f>
        <v>9686110.2874999996</v>
      </c>
    </row>
    <row r="724" spans="1:24" ht="19.5" customHeight="1" x14ac:dyDescent="0.45">
      <c r="A724" t="s">
        <v>13</v>
      </c>
      <c r="B724" s="14">
        <f>_xlfn.XLOOKUP(Table1[[#This Row], [TEAM]],Sheet1!$A$12:$A$17,Sheet1!$F$12:$F$17)</f>
        <v>3</v>
      </c>
      <c r="C724" s="14">
        <f>_xlfn.XLOOKUP(Table1[[#This Row], [TEAM]],Sheet1!$A$12:$A$17,Sheet1!$G$12:$G$17)</f>
        <v>5930000</v>
      </c>
      <c r="D724" t="s">
        <v>34</v>
      </c>
      <c r="E724" s="4">
        <f>_xlfn.XLOOKUP(Table1[[#This Row], [ROOM]],Sheet1!$A$47:$A$66,Sheet1!$B$47:$B$66)</f>
        <v>456</v>
      </c>
      <c r="F724" t="s">
        <v>62</v>
      </c>
      <c r="G724" s="4">
        <f>_xlfn.XLOOKUP(Table1[[#This Row], [DISGUISE]],Sheet1!$A$21:$A$23,Sheet1!$B$21:$B$23)*Table1[[#This Row], [NUM OF MEM]]*(1+_xlfn.XLOOKUP(Table1[[#This Row], [DISGUISE]],Sheet1!$A$21:$A$23,Sheet1!$C$21:$C$23))</f>
        <v>15600</v>
      </c>
      <c r="H724" s="13" t="s">
        <v>63</v>
      </c>
      <c r="I724" s="4">
        <f>_xlfn.XLOOKUP(Table1[[#This Row], [WEAPON]],Sheet1!$A$27:$A$29,Sheet1!$B$27:$B$29)*Table1[[#This Row], [NUM OF MEM]]*(1+_xlfn.XLOOKUP(Table1[[#This Row], [WEAPON]],Sheet1!$A$27:$A$29,Sheet1!$C$27:$C$29))</f>
        <v>69000</v>
      </c>
      <c r="J724" t="s">
        <v>64</v>
      </c>
      <c r="K724" s="9">
        <f>Table1[[#This Row], [NUM OF MEM]]*Table1[[#This Row], [TOTAL TIME TAKEN]]*_xlfn.XLOOKUP(Table1[[#This Row], [EXIT]],Sheet1!$A$70:$A$71,Sheet1!$B$70:$B$71)*(1+_xlfn.XLOOKUP(Table1[[#This Row], [EXIT]],Sheet1!$A$70:$A$71,Sheet1!$C$70:$C$71))</f>
        <v>1692208.8</v>
      </c>
      <c r="L724" s="13" t="s">
        <v>65</v>
      </c>
      <c r="M724" s="4">
        <f>IF(Table1[[#This Row], [EQUIPMENT]]="YES",Sheet1!$C$44*(1+Sheet1!$D$44),0)</f>
        <v>307500</v>
      </c>
      <c r="N724" s="4">
        <f>_xlfn.XLOOKUP(Table1[[#This Row], [ROOM]],Sheet1!$A$47:$A$66,Sheet1!$F$47:$F$66)</f>
        <v>17700000</v>
      </c>
      <c r="O724" s="9">
        <f>_xlfn.XLOOKUP(_xlfn.CONCAT(Table1[[#This Row], [TEAM]],Table1[[#This Row], [ROOM]]),'ROOM TIME'!$H$2:$H$121,'ROOM TIME'!$J$2:$J$121)</f>
        <v>38.573888888888881</v>
      </c>
      <c r="P724" s="9">
        <f>(INDEX(Sheet1!$X$48:$Z$67,MATCH(Table1[[#This Row], [ROOM]],Sheet1!$P$48:$P$67,0),MATCH(Table1[[#This Row], [WEAPON]],Sheet1!$X$47:$Z$47,0)))/Table1[[#This Row], [NUM OF MEM]]</f>
        <v>4.95</v>
      </c>
      <c r="Q724" s="9">
        <f>Table1[[#This Row], [ROOM TIME]]+Table1[[#This Row], [GUARD TIME]]</f>
        <v>43.523888888888884</v>
      </c>
      <c r="R724" s="4">
        <f>Sheet1!$K$3*_xlfn.XLOOKUP(Table1[[#This Row], [DISGUISE]],Sheet1!$A$21:$A$23,Sheet1!$D$21:$D$23)</f>
        <v>66</v>
      </c>
      <c r="S724" s="9">
        <f>Table1[[#This Row], [TOTAL TIME]]-Table1[[#This Row], [TOTAL TIME TAKEN]]</f>
        <v>22.476111111111116</v>
      </c>
      <c r="T724" t="str">
        <f>IF(Table1[[#This Row], [TIME DIFFERENCE]]&gt;=0,"PASS","FAIL")</f>
        <v>PASS</v>
      </c>
      <c r="U724" s="9">
        <f>Table1[[#This Row], [TRC]]+Table1[[#This Row], [DRC]]+Table1[[#This Row], [WRC]]+Table1[[#This Row], [ERC]]+Table1[[#This Row], [EQRC]]</f>
        <v>8014308.7999999998</v>
      </c>
      <c r="V724" s="9">
        <f>Table1[[#This Row], [TOTAL COST]]+_xlfn.XLOOKUP(Table1[[#This Row], [TEAM]],Sheet1!$A$12:$A$17,Sheet1!$I$12:$I$17)</f>
        <v>8310808.7999999998</v>
      </c>
      <c r="W724" s="9">
        <f>Table1[[#This Row], [LOOT]]-Table1[[#This Row], [TOTAL COST]]</f>
        <v>9685691.1999999993</v>
      </c>
      <c r="X724" s="9">
        <f>IF(Table1[[#This Row], [PASS/FAIL]]="FAIL",0,Table1[[#This Row], [PROFIT]])</f>
        <v>9685691.1999999993</v>
      </c>
    </row>
    <row r="725" spans="1:24" ht="19.5" customHeight="1" x14ac:dyDescent="0.45">
      <c r="A725" t="s">
        <v>16</v>
      </c>
      <c r="B725" s="14">
        <f>_xlfn.XLOOKUP(Table1[[#This Row], [TEAM]],Sheet1!$A$12:$A$17,Sheet1!$F$12:$F$17)</f>
        <v>2</v>
      </c>
      <c r="C725" s="14">
        <f>_xlfn.XLOOKUP(Table1[[#This Row], [TEAM]],Sheet1!$A$12:$A$17,Sheet1!$G$12:$G$17)</f>
        <v>6082800</v>
      </c>
      <c r="D725" t="s">
        <v>20</v>
      </c>
      <c r="E725" s="4">
        <f>_xlfn.XLOOKUP(Table1[[#This Row], [ROOM]],Sheet1!$A$47:$A$66,Sheet1!$B$47:$B$66)</f>
        <v>145</v>
      </c>
      <c r="F725" t="s">
        <v>58</v>
      </c>
      <c r="G725" s="4">
        <f>_xlfn.XLOOKUP(Table1[[#This Row], [DISGUISE]],Sheet1!$A$21:$A$23,Sheet1!$B$21:$B$23)*Table1[[#This Row], [NUM OF MEM]]*(1+_xlfn.XLOOKUP(Table1[[#This Row], [DISGUISE]],Sheet1!$A$21:$A$23,Sheet1!$C$21:$C$23))</f>
        <v>25600</v>
      </c>
      <c r="H725" s="13" t="s">
        <v>63</v>
      </c>
      <c r="I725" s="4">
        <f>_xlfn.XLOOKUP(Table1[[#This Row], [WEAPON]],Sheet1!$A$27:$A$29,Sheet1!$B$27:$B$29)*Table1[[#This Row], [NUM OF MEM]]*(1+_xlfn.XLOOKUP(Table1[[#This Row], [WEAPON]],Sheet1!$A$27:$A$29,Sheet1!$C$27:$C$29))</f>
        <v>46000</v>
      </c>
      <c r="J725" t="s">
        <v>60</v>
      </c>
      <c r="K725" s="9">
        <f>Table1[[#This Row], [NUM OF MEM]]*Table1[[#This Row], [TOTAL TIME TAKEN]]*_xlfn.XLOOKUP(Table1[[#This Row], [EXIT]],Sheet1!$A$70:$A$71,Sheet1!$B$70:$B$71)*(1+_xlfn.XLOOKUP(Table1[[#This Row], [EXIT]],Sheet1!$A$70:$A$71,Sheet1!$C$70:$C$71))</f>
        <v>1710604.3312499993</v>
      </c>
      <c r="L725" s="13" t="s">
        <v>61</v>
      </c>
      <c r="M725" s="4">
        <f>IF(Table1[[#This Row], [EQUIPMENT]]="YES",Sheet1!$C$44*(1+Sheet1!$D$44),0)</f>
        <v>0</v>
      </c>
      <c r="N725" s="4">
        <f>_xlfn.XLOOKUP(Table1[[#This Row], [ROOM]],Sheet1!$A$47:$A$66,Sheet1!$F$47:$F$66)</f>
        <v>17550000</v>
      </c>
      <c r="O725" s="9">
        <f>_xlfn.XLOOKUP(_xlfn.CONCAT(Table1[[#This Row], [TEAM]],Table1[[#This Row], [ROOM]]),'ROOM TIME'!$H$2:$H$121,'ROOM TIME'!$J$2:$J$121)</f>
        <v>59.901249999999983</v>
      </c>
      <c r="P725" s="9">
        <f>(INDEX(Sheet1!$X$48:$Z$67,MATCH(Table1[[#This Row], [ROOM]],Sheet1!$P$48:$P$67,0),MATCH(Table1[[#This Row], [WEAPON]],Sheet1!$X$47:$Z$47,0)))/Table1[[#This Row], [NUM OF MEM]]</f>
        <v>6.75</v>
      </c>
      <c r="Q725" s="9">
        <f>Table1[[#This Row], [ROOM TIME]]+Table1[[#This Row], [GUARD TIME]]</f>
        <v>66.651249999999976</v>
      </c>
      <c r="R725" s="4">
        <f>Sheet1!$K$3*_xlfn.XLOOKUP(Table1[[#This Row], [DISGUISE]],Sheet1!$A$21:$A$23,Sheet1!$D$21:$D$23)</f>
        <v>69</v>
      </c>
      <c r="S725" s="9">
        <f>Table1[[#This Row], [TOTAL TIME]]-Table1[[#This Row], [TOTAL TIME TAKEN]]</f>
        <v>2.3487500000000239</v>
      </c>
      <c r="T725" t="str">
        <f>IF(Table1[[#This Row], [TIME DIFFERENCE]]&gt;=0,"PASS","FAIL")</f>
        <v>PASS</v>
      </c>
      <c r="U725" s="9">
        <f>Table1[[#This Row], [TRC]]+Table1[[#This Row], [DRC]]+Table1[[#This Row], [WRC]]+Table1[[#This Row], [ERC]]+Table1[[#This Row], [EQRC]]</f>
        <v>7865004.3312499989</v>
      </c>
      <c r="V725" s="9">
        <f>Table1[[#This Row], [TOTAL COST]]+_xlfn.XLOOKUP(Table1[[#This Row], [TEAM]],Sheet1!$A$12:$A$17,Sheet1!$I$12:$I$17)</f>
        <v>8169144.3312499989</v>
      </c>
      <c r="W725" s="9">
        <f>Table1[[#This Row], [LOOT]]-Table1[[#This Row], [TOTAL COST]]</f>
        <v>9684995.6687500011</v>
      </c>
      <c r="X725" s="9">
        <f>IF(Table1[[#This Row], [PASS/FAIL]]="FAIL",0,Table1[[#This Row], [PROFIT]])</f>
        <v>9684995.6687500011</v>
      </c>
    </row>
    <row r="726" spans="1:24" ht="19.5" customHeight="1" x14ac:dyDescent="0.45">
      <c r="A726" t="s">
        <v>12</v>
      </c>
      <c r="B726" s="14">
        <f>_xlfn.XLOOKUP(Table1[[#This Row], [TEAM]],Sheet1!$A$12:$A$17,Sheet1!$F$12:$F$17)</f>
        <v>3</v>
      </c>
      <c r="C726" s="14">
        <f>_xlfn.XLOOKUP(Table1[[#This Row], [TEAM]],Sheet1!$A$12:$A$17,Sheet1!$G$12:$G$17)</f>
        <v>5988750</v>
      </c>
      <c r="D726" t="s">
        <v>27</v>
      </c>
      <c r="E726" s="4">
        <f>_xlfn.XLOOKUP(Table1[[#This Row], [ROOM]],Sheet1!$A$47:$A$66,Sheet1!$B$47:$B$66)</f>
        <v>146</v>
      </c>
      <c r="F726" t="s">
        <v>58</v>
      </c>
      <c r="G726" s="4">
        <f>_xlfn.XLOOKUP(Table1[[#This Row], [DISGUISE]],Sheet1!$A$21:$A$23,Sheet1!$B$21:$B$23)*Table1[[#This Row], [NUM OF MEM]]*(1+_xlfn.XLOOKUP(Table1[[#This Row], [DISGUISE]],Sheet1!$A$21:$A$23,Sheet1!$C$21:$C$23))</f>
        <v>38400</v>
      </c>
      <c r="H726" s="13" t="s">
        <v>59</v>
      </c>
      <c r="I726" s="4">
        <f>_xlfn.XLOOKUP(Table1[[#This Row], [WEAPON]],Sheet1!$A$27:$A$29,Sheet1!$B$27:$B$29)*Table1[[#This Row], [NUM OF MEM]]*(1+_xlfn.XLOOKUP(Table1[[#This Row], [WEAPON]],Sheet1!$A$27:$A$29,Sheet1!$C$27:$C$29))</f>
        <v>136500</v>
      </c>
      <c r="J726" t="s">
        <v>60</v>
      </c>
      <c r="K726" s="9">
        <f>Table1[[#This Row], [NUM OF MEM]]*Table1[[#This Row], [TOTAL TIME TAKEN]]*_xlfn.XLOOKUP(Table1[[#This Row], [EXIT]],Sheet1!$A$70:$A$71,Sheet1!$B$70:$B$71)*(1+_xlfn.XLOOKUP(Table1[[#This Row], [EXIT]],Sheet1!$A$70:$A$71,Sheet1!$C$70:$C$71))</f>
        <v>1596448.5499999996</v>
      </c>
      <c r="L726" s="13" t="s">
        <v>65</v>
      </c>
      <c r="M726" s="4">
        <f>IF(Table1[[#This Row], [EQUIPMENT]]="YES",Sheet1!$C$44*(1+Sheet1!$D$44),0)</f>
        <v>307500</v>
      </c>
      <c r="N726" s="4">
        <f>_xlfn.XLOOKUP(Table1[[#This Row], [ROOM]],Sheet1!$A$47:$A$66,Sheet1!$F$47:$F$66)</f>
        <v>17750000</v>
      </c>
      <c r="O726" s="9">
        <f>_xlfn.XLOOKUP(_xlfn.CONCAT(Table1[[#This Row], [TEAM]],Table1[[#This Row], [ROOM]]),'ROOM TIME'!$H$2:$H$121,'ROOM TIME'!$J$2:$J$121)</f>
        <v>37.252222222222208</v>
      </c>
      <c r="P726" s="9">
        <f>(INDEX(Sheet1!$X$48:$Z$67,MATCH(Table1[[#This Row], [ROOM]],Sheet1!$P$48:$P$67,0),MATCH(Table1[[#This Row], [WEAPON]],Sheet1!$X$47:$Z$47,0)))/Table1[[#This Row], [NUM OF MEM]]</f>
        <v>4.2166666666666659</v>
      </c>
      <c r="Q726" s="9">
        <f>Table1[[#This Row], [ROOM TIME]]+Table1[[#This Row], [GUARD TIME]]</f>
        <v>41.468888888888877</v>
      </c>
      <c r="R726" s="4">
        <f>Sheet1!$K$3*_xlfn.XLOOKUP(Table1[[#This Row], [DISGUISE]],Sheet1!$A$21:$A$23,Sheet1!$D$21:$D$23)</f>
        <v>69</v>
      </c>
      <c r="S726" s="9">
        <f>Table1[[#This Row], [TOTAL TIME]]-Table1[[#This Row], [TOTAL TIME TAKEN]]</f>
        <v>27.531111111111123</v>
      </c>
      <c r="T726" t="str">
        <f>IF(Table1[[#This Row], [TIME DIFFERENCE]]&gt;=0,"PASS","FAIL")</f>
        <v>PASS</v>
      </c>
      <c r="U726" s="9">
        <f>Table1[[#This Row], [TRC]]+Table1[[#This Row], [DRC]]+Table1[[#This Row], [WRC]]+Table1[[#This Row], [ERC]]+Table1[[#This Row], [EQRC]]</f>
        <v>8067598.5499999998</v>
      </c>
      <c r="V726" s="9">
        <f>Table1[[#This Row], [TOTAL COST]]+_xlfn.XLOOKUP(Table1[[#This Row], [TEAM]],Sheet1!$A$12:$A$17,Sheet1!$I$12:$I$17)</f>
        <v>8367036.0499999998</v>
      </c>
      <c r="W726" s="9">
        <f>Table1[[#This Row], [LOOT]]-Table1[[#This Row], [TOTAL COST]]</f>
        <v>9682401.4499999993</v>
      </c>
      <c r="X726" s="9">
        <f>IF(Table1[[#This Row], [PASS/FAIL]]="FAIL",0,Table1[[#This Row], [PROFIT]])</f>
        <v>9682401.4499999993</v>
      </c>
    </row>
    <row r="727" spans="1:24" ht="19.5" customHeight="1" x14ac:dyDescent="0.45">
      <c r="A727" t="s">
        <v>15</v>
      </c>
      <c r="B727" s="14">
        <f>_xlfn.XLOOKUP(Table1[[#This Row], [TEAM]],Sheet1!$A$12:$A$17,Sheet1!$F$12:$F$17)</f>
        <v>2</v>
      </c>
      <c r="C727" s="14">
        <f>_xlfn.XLOOKUP(Table1[[#This Row], [TEAM]],Sheet1!$A$12:$A$17,Sheet1!$G$12:$G$17)</f>
        <v>5932950</v>
      </c>
      <c r="D727" t="s">
        <v>11</v>
      </c>
      <c r="E727" s="4">
        <f>_xlfn.XLOOKUP(Table1[[#This Row], [ROOM]],Sheet1!$A$47:$A$66,Sheet1!$B$47:$B$66)</f>
        <v>124</v>
      </c>
      <c r="F727" t="s">
        <v>58</v>
      </c>
      <c r="G727" s="4">
        <f>_xlfn.XLOOKUP(Table1[[#This Row], [DISGUISE]],Sheet1!$A$21:$A$23,Sheet1!$B$21:$B$23)*Table1[[#This Row], [NUM OF MEM]]*(1+_xlfn.XLOOKUP(Table1[[#This Row], [DISGUISE]],Sheet1!$A$21:$A$23,Sheet1!$C$21:$C$23))</f>
        <v>25600</v>
      </c>
      <c r="H727" s="13" t="s">
        <v>63</v>
      </c>
      <c r="I727" s="4">
        <f>_xlfn.XLOOKUP(Table1[[#This Row], [WEAPON]],Sheet1!$A$27:$A$29,Sheet1!$B$27:$B$29)*Table1[[#This Row], [NUM OF MEM]]*(1+_xlfn.XLOOKUP(Table1[[#This Row], [WEAPON]],Sheet1!$A$27:$A$29,Sheet1!$C$27:$C$29))</f>
        <v>46000</v>
      </c>
      <c r="J727" t="s">
        <v>60</v>
      </c>
      <c r="K727" s="9">
        <f>Table1[[#This Row], [NUM OF MEM]]*Table1[[#This Row], [TOTAL TIME TAKEN]]*_xlfn.XLOOKUP(Table1[[#This Row], [EXIT]],Sheet1!$A$70:$A$71,Sheet1!$B$70:$B$71)*(1+_xlfn.XLOOKUP(Table1[[#This Row], [EXIT]],Sheet1!$A$70:$A$71,Sheet1!$C$70:$C$71))</f>
        <v>1763089.2562499992</v>
      </c>
      <c r="L727" s="13" t="s">
        <v>61</v>
      </c>
      <c r="M727" s="4">
        <f>IF(Table1[[#This Row], [EQUIPMENT]]="YES",Sheet1!$C$44*(1+Sheet1!$D$44),0)</f>
        <v>0</v>
      </c>
      <c r="N727" s="4">
        <f>_xlfn.XLOOKUP(Table1[[#This Row], [ROOM]],Sheet1!$A$47:$A$66,Sheet1!$F$47:$F$66)</f>
        <v>17450000</v>
      </c>
      <c r="O727" s="9">
        <f>_xlfn.XLOOKUP(_xlfn.CONCAT(Table1[[#This Row], [TEAM]],Table1[[#This Row], [ROOM]]),'ROOM TIME'!$H$2:$H$121,'ROOM TIME'!$J$2:$J$121)</f>
        <v>61.271249999999981</v>
      </c>
      <c r="P727" s="9">
        <f>(INDEX(Sheet1!$X$48:$Z$67,MATCH(Table1[[#This Row], [ROOM]],Sheet1!$P$48:$P$67,0),MATCH(Table1[[#This Row], [WEAPON]],Sheet1!$X$47:$Z$47,0)))/Table1[[#This Row], [NUM OF MEM]]</f>
        <v>7.4250000000000007</v>
      </c>
      <c r="Q727" s="9">
        <f>Table1[[#This Row], [ROOM TIME]]+Table1[[#This Row], [GUARD TIME]]</f>
        <v>68.696249999999978</v>
      </c>
      <c r="R727" s="4">
        <f>Sheet1!$K$3*_xlfn.XLOOKUP(Table1[[#This Row], [DISGUISE]],Sheet1!$A$21:$A$23,Sheet1!$D$21:$D$23)</f>
        <v>69</v>
      </c>
      <c r="S727" s="9">
        <f>Table1[[#This Row], [TOTAL TIME]]-Table1[[#This Row], [TOTAL TIME TAKEN]]</f>
        <v>0.30375000000002217</v>
      </c>
      <c r="T727" t="str">
        <f>IF(Table1[[#This Row], [TIME DIFFERENCE]]&gt;=0,"PASS","FAIL")</f>
        <v>PASS</v>
      </c>
      <c r="U727" s="9">
        <f>Table1[[#This Row], [TRC]]+Table1[[#This Row], [DRC]]+Table1[[#This Row], [WRC]]+Table1[[#This Row], [ERC]]+Table1[[#This Row], [EQRC]]</f>
        <v>7767639.2562499996</v>
      </c>
      <c r="V727" s="9">
        <f>Table1[[#This Row], [TOTAL COST]]+_xlfn.XLOOKUP(Table1[[#This Row], [TEAM]],Sheet1!$A$12:$A$17,Sheet1!$I$12:$I$17)</f>
        <v>8064286.7562499996</v>
      </c>
      <c r="W727" s="9">
        <f>Table1[[#This Row], [LOOT]]-Table1[[#This Row], [TOTAL COST]]</f>
        <v>9682360.7437500004</v>
      </c>
      <c r="X727" s="9">
        <f>IF(Table1[[#This Row], [PASS/FAIL]]="FAIL",0,Table1[[#This Row], [PROFIT]])</f>
        <v>9682360.7437500004</v>
      </c>
    </row>
    <row r="728" spans="1:24" ht="19.5" customHeight="1" x14ac:dyDescent="0.45">
      <c r="A728" t="s">
        <v>16</v>
      </c>
      <c r="B728" s="14">
        <f>_xlfn.XLOOKUP(Table1[[#This Row], [TEAM]],Sheet1!$A$12:$A$17,Sheet1!$F$12:$F$17)</f>
        <v>2</v>
      </c>
      <c r="C728" s="14">
        <f>_xlfn.XLOOKUP(Table1[[#This Row], [TEAM]],Sheet1!$A$12:$A$17,Sheet1!$G$12:$G$17)</f>
        <v>6082800</v>
      </c>
      <c r="D728" t="s">
        <v>20</v>
      </c>
      <c r="E728" s="4">
        <f>_xlfn.XLOOKUP(Table1[[#This Row], [ROOM]],Sheet1!$A$47:$A$66,Sheet1!$B$47:$B$66)</f>
        <v>145</v>
      </c>
      <c r="F728" t="s">
        <v>62</v>
      </c>
      <c r="G728" s="4">
        <f>_xlfn.XLOOKUP(Table1[[#This Row], [DISGUISE]],Sheet1!$A$21:$A$23,Sheet1!$B$21:$B$23)*Table1[[#This Row], [NUM OF MEM]]*(1+_xlfn.XLOOKUP(Table1[[#This Row], [DISGUISE]],Sheet1!$A$21:$A$23,Sheet1!$C$21:$C$23))</f>
        <v>10400</v>
      </c>
      <c r="H728" s="13" t="s">
        <v>59</v>
      </c>
      <c r="I728" s="4">
        <f>_xlfn.XLOOKUP(Table1[[#This Row], [WEAPON]],Sheet1!$A$27:$A$29,Sheet1!$B$27:$B$29)*Table1[[#This Row], [NUM OF MEM]]*(1+_xlfn.XLOOKUP(Table1[[#This Row], [WEAPON]],Sheet1!$A$27:$A$29,Sheet1!$C$27:$C$29))</f>
        <v>91000</v>
      </c>
      <c r="J728" t="s">
        <v>60</v>
      </c>
      <c r="K728" s="9">
        <f>Table1[[#This Row], [NUM OF MEM]]*Table1[[#This Row], [TOTAL TIME TAKEN]]*_xlfn.XLOOKUP(Table1[[#This Row], [EXIT]],Sheet1!$A$70:$A$71,Sheet1!$B$70:$B$71)*(1+_xlfn.XLOOKUP(Table1[[#This Row], [EXIT]],Sheet1!$A$70:$A$71,Sheet1!$C$70:$C$71))</f>
        <v>1684939.3312499993</v>
      </c>
      <c r="L728" s="13" t="s">
        <v>61</v>
      </c>
      <c r="M728" s="4">
        <f>IF(Table1[[#This Row], [EQUIPMENT]]="YES",Sheet1!$C$44*(1+Sheet1!$D$44),0)</f>
        <v>0</v>
      </c>
      <c r="N728" s="4">
        <f>_xlfn.XLOOKUP(Table1[[#This Row], [ROOM]],Sheet1!$A$47:$A$66,Sheet1!$F$47:$F$66)</f>
        <v>17550000</v>
      </c>
      <c r="O728" s="9">
        <f>_xlfn.XLOOKUP(_xlfn.CONCAT(Table1[[#This Row], [TEAM]],Table1[[#This Row], [ROOM]]),'ROOM TIME'!$H$2:$H$121,'ROOM TIME'!$J$2:$J$121)</f>
        <v>59.901249999999983</v>
      </c>
      <c r="P728" s="9">
        <f>(INDEX(Sheet1!$X$48:$Z$67,MATCH(Table1[[#This Row], [ROOM]],Sheet1!$P$48:$P$67,0),MATCH(Table1[[#This Row], [WEAPON]],Sheet1!$X$47:$Z$47,0)))/Table1[[#This Row], [NUM OF MEM]]</f>
        <v>5.75</v>
      </c>
      <c r="Q728" s="9">
        <f>Table1[[#This Row], [ROOM TIME]]+Table1[[#This Row], [GUARD TIME]]</f>
        <v>65.651249999999976</v>
      </c>
      <c r="R728" s="4">
        <f>Sheet1!$K$3*_xlfn.XLOOKUP(Table1[[#This Row], [DISGUISE]],Sheet1!$A$21:$A$23,Sheet1!$D$21:$D$23)</f>
        <v>66</v>
      </c>
      <c r="S728" s="9">
        <f>Table1[[#This Row], [TOTAL TIME]]-Table1[[#This Row], [TOTAL TIME TAKEN]]</f>
        <v>0.34875000000002387</v>
      </c>
      <c r="T728" t="str">
        <f>IF(Table1[[#This Row], [TIME DIFFERENCE]]&gt;=0,"PASS","FAIL")</f>
        <v>PASS</v>
      </c>
      <c r="U728" s="9">
        <f>Table1[[#This Row], [TRC]]+Table1[[#This Row], [DRC]]+Table1[[#This Row], [WRC]]+Table1[[#This Row], [ERC]]+Table1[[#This Row], [EQRC]]</f>
        <v>7869139.3312499989</v>
      </c>
      <c r="V728" s="9">
        <f>Table1[[#This Row], [TOTAL COST]]+_xlfn.XLOOKUP(Table1[[#This Row], [TEAM]],Sheet1!$A$12:$A$17,Sheet1!$I$12:$I$17)</f>
        <v>8173279.3312499989</v>
      </c>
      <c r="W728" s="9">
        <f>Table1[[#This Row], [LOOT]]-Table1[[#This Row], [TOTAL COST]]</f>
        <v>9680860.6687500011</v>
      </c>
      <c r="X728" s="9">
        <f>IF(Table1[[#This Row], [PASS/FAIL]]="FAIL",0,Table1[[#This Row], [PROFIT]])</f>
        <v>9680860.6687500011</v>
      </c>
    </row>
    <row r="729" spans="1:24" ht="19.5" customHeight="1" x14ac:dyDescent="0.45">
      <c r="A729" t="s">
        <v>13</v>
      </c>
      <c r="B729" s="14">
        <f>_xlfn.XLOOKUP(Table1[[#This Row], [TEAM]],Sheet1!$A$12:$A$17,Sheet1!$F$12:$F$17)</f>
        <v>3</v>
      </c>
      <c r="C729" s="14">
        <f>_xlfn.XLOOKUP(Table1[[#This Row], [TEAM]],Sheet1!$A$12:$A$17,Sheet1!$G$12:$G$17)</f>
        <v>5930000</v>
      </c>
      <c r="D729" t="s">
        <v>20</v>
      </c>
      <c r="E729" s="4">
        <f>_xlfn.XLOOKUP(Table1[[#This Row], [ROOM]],Sheet1!$A$47:$A$66,Sheet1!$B$47:$B$66)</f>
        <v>145</v>
      </c>
      <c r="F729" t="s">
        <v>58</v>
      </c>
      <c r="G729" s="4">
        <f>_xlfn.XLOOKUP(Table1[[#This Row], [DISGUISE]],Sheet1!$A$21:$A$23,Sheet1!$B$21:$B$23)*Table1[[#This Row], [NUM OF MEM]]*(1+_xlfn.XLOOKUP(Table1[[#This Row], [DISGUISE]],Sheet1!$A$21:$A$23,Sheet1!$C$21:$C$23))</f>
        <v>38400</v>
      </c>
      <c r="H729" s="13" t="s">
        <v>59</v>
      </c>
      <c r="I729" s="4">
        <f>_xlfn.XLOOKUP(Table1[[#This Row], [WEAPON]],Sheet1!$A$27:$A$29,Sheet1!$B$27:$B$29)*Table1[[#This Row], [NUM OF MEM]]*(1+_xlfn.XLOOKUP(Table1[[#This Row], [WEAPON]],Sheet1!$A$27:$A$29,Sheet1!$C$27:$C$29))</f>
        <v>136500</v>
      </c>
      <c r="J729" t="s">
        <v>64</v>
      </c>
      <c r="K729" s="9">
        <f>Table1[[#This Row], [NUM OF MEM]]*Table1[[#This Row], [TOTAL TIME TAKEN]]*_xlfn.XLOOKUP(Table1[[#This Row], [EXIT]],Sheet1!$A$70:$A$71,Sheet1!$B$70:$B$71)*(1+_xlfn.XLOOKUP(Table1[[#This Row], [EXIT]],Sheet1!$A$70:$A$71,Sheet1!$C$70:$C$71))</f>
        <v>1764244.7999999993</v>
      </c>
      <c r="L729" s="13" t="s">
        <v>61</v>
      </c>
      <c r="M729" s="4">
        <f>IF(Table1[[#This Row], [EQUIPMENT]]="YES",Sheet1!$C$44*(1+Sheet1!$D$44),0)</f>
        <v>0</v>
      </c>
      <c r="N729" s="4">
        <f>_xlfn.XLOOKUP(Table1[[#This Row], [ROOM]],Sheet1!$A$47:$A$66,Sheet1!$F$47:$F$66)</f>
        <v>17550000</v>
      </c>
      <c r="O729" s="9">
        <f>_xlfn.XLOOKUP(_xlfn.CONCAT(Table1[[#This Row], [TEAM]],Table1[[#This Row], [ROOM]]),'ROOM TIME'!$H$2:$H$121,'ROOM TIME'!$J$2:$J$121)</f>
        <v>41.543333333333322</v>
      </c>
      <c r="P729" s="9">
        <f>(INDEX(Sheet1!$X$48:$Z$67,MATCH(Table1[[#This Row], [ROOM]],Sheet1!$P$48:$P$67,0),MATCH(Table1[[#This Row], [WEAPON]],Sheet1!$X$47:$Z$47,0)))/Table1[[#This Row], [NUM OF MEM]]</f>
        <v>3.8333333333333335</v>
      </c>
      <c r="Q729" s="9">
        <f>Table1[[#This Row], [ROOM TIME]]+Table1[[#This Row], [GUARD TIME]]</f>
        <v>45.376666666666658</v>
      </c>
      <c r="R729" s="4">
        <f>Sheet1!$K$3*_xlfn.XLOOKUP(Table1[[#This Row], [DISGUISE]],Sheet1!$A$21:$A$23,Sheet1!$D$21:$D$23)</f>
        <v>69</v>
      </c>
      <c r="S729" s="9">
        <f>Table1[[#This Row], [TOTAL TIME]]-Table1[[#This Row], [TOTAL TIME TAKEN]]</f>
        <v>23.623333333333342</v>
      </c>
      <c r="T729" t="str">
        <f>IF(Table1[[#This Row], [TIME DIFFERENCE]]&gt;=0,"PASS","FAIL")</f>
        <v>PASS</v>
      </c>
      <c r="U729" s="9">
        <f>Table1[[#This Row], [TRC]]+Table1[[#This Row], [DRC]]+Table1[[#This Row], [WRC]]+Table1[[#This Row], [ERC]]+Table1[[#This Row], [EQRC]]</f>
        <v>7869144.7999999989</v>
      </c>
      <c r="V729" s="9">
        <f>Table1[[#This Row], [TOTAL COST]]+_xlfn.XLOOKUP(Table1[[#This Row], [TEAM]],Sheet1!$A$12:$A$17,Sheet1!$I$12:$I$17)</f>
        <v>8165644.7999999989</v>
      </c>
      <c r="W729" s="9">
        <f>Table1[[#This Row], [LOOT]]-Table1[[#This Row], [TOTAL COST]]</f>
        <v>9680855.2000000011</v>
      </c>
      <c r="X729" s="9">
        <f>IF(Table1[[#This Row], [PASS/FAIL]]="FAIL",0,Table1[[#This Row], [PROFIT]])</f>
        <v>9680855.2000000011</v>
      </c>
    </row>
    <row r="730" spans="1:24" ht="19.5" customHeight="1" x14ac:dyDescent="0.45">
      <c r="A730" t="s">
        <v>12</v>
      </c>
      <c r="B730" s="14">
        <f>_xlfn.XLOOKUP(Table1[[#This Row], [TEAM]],Sheet1!$A$12:$A$17,Sheet1!$F$12:$F$17)</f>
        <v>3</v>
      </c>
      <c r="C730" s="14">
        <f>_xlfn.XLOOKUP(Table1[[#This Row], [TEAM]],Sheet1!$A$12:$A$17,Sheet1!$G$12:$G$17)</f>
        <v>5988750</v>
      </c>
      <c r="D730" t="s">
        <v>27</v>
      </c>
      <c r="E730" s="4">
        <f>_xlfn.XLOOKUP(Table1[[#This Row], [ROOM]],Sheet1!$A$47:$A$66,Sheet1!$B$47:$B$66)</f>
        <v>146</v>
      </c>
      <c r="F730" t="s">
        <v>58</v>
      </c>
      <c r="G730" s="4">
        <f>_xlfn.XLOOKUP(Table1[[#This Row], [DISGUISE]],Sheet1!$A$21:$A$23,Sheet1!$B$21:$B$23)*Table1[[#This Row], [NUM OF MEM]]*(1+_xlfn.XLOOKUP(Table1[[#This Row], [DISGUISE]],Sheet1!$A$21:$A$23,Sheet1!$C$21:$C$23))</f>
        <v>38400</v>
      </c>
      <c r="H730" s="13" t="s">
        <v>66</v>
      </c>
      <c r="I730" s="4">
        <f>_xlfn.XLOOKUP(Table1[[#This Row], [WEAPON]],Sheet1!$A$27:$A$29,Sheet1!$B$27:$B$29)*Table1[[#This Row], [NUM OF MEM]]*(1+_xlfn.XLOOKUP(Table1[[#This Row], [WEAPON]],Sheet1!$A$27:$A$29,Sheet1!$C$27:$C$29))</f>
        <v>108000</v>
      </c>
      <c r="J730" t="s">
        <v>64</v>
      </c>
      <c r="K730" s="9">
        <f>Table1[[#This Row], [NUM OF MEM]]*Table1[[#This Row], [TOTAL TIME TAKEN]]*_xlfn.XLOOKUP(Table1[[#This Row], [EXIT]],Sheet1!$A$70:$A$71,Sheet1!$B$70:$B$71)*(1+_xlfn.XLOOKUP(Table1[[#This Row], [EXIT]],Sheet1!$A$70:$A$71,Sheet1!$C$70:$C$71))</f>
        <v>1626566.3999999994</v>
      </c>
      <c r="L730" s="13" t="s">
        <v>65</v>
      </c>
      <c r="M730" s="4">
        <f>IF(Table1[[#This Row], [EQUIPMENT]]="YES",Sheet1!$C$44*(1+Sheet1!$D$44),0)</f>
        <v>307500</v>
      </c>
      <c r="N730" s="4">
        <f>_xlfn.XLOOKUP(Table1[[#This Row], [ROOM]],Sheet1!$A$47:$A$66,Sheet1!$F$47:$F$66)</f>
        <v>17750000</v>
      </c>
      <c r="O730" s="9">
        <f>_xlfn.XLOOKUP(_xlfn.CONCAT(Table1[[#This Row], [TEAM]],Table1[[#This Row], [ROOM]]),'ROOM TIME'!$H$2:$H$121,'ROOM TIME'!$J$2:$J$121)</f>
        <v>37.252222222222208</v>
      </c>
      <c r="P730" s="9">
        <f>(INDEX(Sheet1!$X$48:$Z$67,MATCH(Table1[[#This Row], [ROOM]],Sheet1!$P$48:$P$67,0),MATCH(Table1[[#This Row], [WEAPON]],Sheet1!$X$47:$Z$47,0)))/Table1[[#This Row], [NUM OF MEM]]</f>
        <v>4.583333333333333</v>
      </c>
      <c r="Q730" s="9">
        <f>Table1[[#This Row], [ROOM TIME]]+Table1[[#This Row], [GUARD TIME]]</f>
        <v>41.835555555555544</v>
      </c>
      <c r="R730" s="4">
        <f>Sheet1!$K$3*_xlfn.XLOOKUP(Table1[[#This Row], [DISGUISE]],Sheet1!$A$21:$A$23,Sheet1!$D$21:$D$23)</f>
        <v>69</v>
      </c>
      <c r="S730" s="9">
        <f>Table1[[#This Row], [TOTAL TIME]]-Table1[[#This Row], [TOTAL TIME TAKEN]]</f>
        <v>27.164444444444456</v>
      </c>
      <c r="T730" t="str">
        <f>IF(Table1[[#This Row], [TIME DIFFERENCE]]&gt;=0,"PASS","FAIL")</f>
        <v>PASS</v>
      </c>
      <c r="U730" s="9">
        <f>Table1[[#This Row], [TRC]]+Table1[[#This Row], [DRC]]+Table1[[#This Row], [WRC]]+Table1[[#This Row], [ERC]]+Table1[[#This Row], [EQRC]]</f>
        <v>8069216.3999999994</v>
      </c>
      <c r="V730" s="9">
        <f>Table1[[#This Row], [TOTAL COST]]+_xlfn.XLOOKUP(Table1[[#This Row], [TEAM]],Sheet1!$A$12:$A$17,Sheet1!$I$12:$I$17)</f>
        <v>8368653.8999999994</v>
      </c>
      <c r="W730" s="9">
        <f>Table1[[#This Row], [LOOT]]-Table1[[#This Row], [TOTAL COST]]</f>
        <v>9680783.6000000015</v>
      </c>
      <c r="X730" s="9">
        <f>IF(Table1[[#This Row], [PASS/FAIL]]="FAIL",0,Table1[[#This Row], [PROFIT]])</f>
        <v>9680783.6000000015</v>
      </c>
    </row>
    <row r="731" spans="1:24" ht="19.5" customHeight="1" x14ac:dyDescent="0.45">
      <c r="A731" t="s">
        <v>14</v>
      </c>
      <c r="B731" s="14">
        <f>_xlfn.XLOOKUP(Table1[[#This Row], [TEAM]],Sheet1!$A$12:$A$17,Sheet1!$F$12:$F$17)</f>
        <v>2</v>
      </c>
      <c r="C731" s="14">
        <f>_xlfn.XLOOKUP(Table1[[#This Row], [TEAM]],Sheet1!$A$12:$A$17,Sheet1!$G$12:$G$17)</f>
        <v>5949600</v>
      </c>
      <c r="D731" t="s">
        <v>28</v>
      </c>
      <c r="E731" s="4">
        <f>_xlfn.XLOOKUP(Table1[[#This Row], [ROOM]],Sheet1!$A$47:$A$66,Sheet1!$B$47:$B$66)</f>
        <v>156</v>
      </c>
      <c r="F731" t="s">
        <v>58</v>
      </c>
      <c r="G731" s="4">
        <f>_xlfn.XLOOKUP(Table1[[#This Row], [DISGUISE]],Sheet1!$A$21:$A$23,Sheet1!$B$21:$B$23)*Table1[[#This Row], [NUM OF MEM]]*(1+_xlfn.XLOOKUP(Table1[[#This Row], [DISGUISE]],Sheet1!$A$21:$A$23,Sheet1!$C$21:$C$23))</f>
        <v>25600</v>
      </c>
      <c r="H731" s="13" t="s">
        <v>59</v>
      </c>
      <c r="I731" s="4">
        <f>_xlfn.XLOOKUP(Table1[[#This Row], [WEAPON]],Sheet1!$A$27:$A$29,Sheet1!$B$27:$B$29)*Table1[[#This Row], [NUM OF MEM]]*(1+_xlfn.XLOOKUP(Table1[[#This Row], [WEAPON]],Sheet1!$A$27:$A$29,Sheet1!$C$27:$C$29))</f>
        <v>91000</v>
      </c>
      <c r="J731" t="s">
        <v>64</v>
      </c>
      <c r="K731" s="9">
        <f>Table1[[#This Row], [NUM OF MEM]]*Table1[[#This Row], [TOTAL TIME TAKEN]]*_xlfn.XLOOKUP(Table1[[#This Row], [EXIT]],Sheet1!$A$70:$A$71,Sheet1!$B$70:$B$71)*(1+_xlfn.XLOOKUP(Table1[[#This Row], [EXIT]],Sheet1!$A$70:$A$71,Sheet1!$C$70:$C$71))</f>
        <v>1596088.7999999993</v>
      </c>
      <c r="L731" s="13" t="s">
        <v>65</v>
      </c>
      <c r="M731" s="4">
        <f>IF(Table1[[#This Row], [EQUIPMENT]]="YES",Sheet1!$C$44*(1+Sheet1!$D$44),0)</f>
        <v>307500</v>
      </c>
      <c r="N731" s="4">
        <f>_xlfn.XLOOKUP(Table1[[#This Row], [ROOM]],Sheet1!$A$47:$A$66,Sheet1!$F$47:$F$66)</f>
        <v>17650000</v>
      </c>
      <c r="O731" s="9">
        <f>_xlfn.XLOOKUP(_xlfn.CONCAT(Table1[[#This Row], [TEAM]],Table1[[#This Row], [ROOM]]),'ROOM TIME'!$H$2:$H$121,'ROOM TIME'!$J$2:$J$121)</f>
        <v>55.827499999999979</v>
      </c>
      <c r="P731" s="9">
        <f>(INDEX(Sheet1!$X$48:$Z$67,MATCH(Table1[[#This Row], [ROOM]],Sheet1!$P$48:$P$67,0),MATCH(Table1[[#This Row], [WEAPON]],Sheet1!$X$47:$Z$47,0)))/Table1[[#This Row], [NUM OF MEM]]</f>
        <v>5.75</v>
      </c>
      <c r="Q731" s="9">
        <f>Table1[[#This Row], [ROOM TIME]]+Table1[[#This Row], [GUARD TIME]]</f>
        <v>61.577499999999979</v>
      </c>
      <c r="R731" s="4">
        <f>Sheet1!$K$3*_xlfn.XLOOKUP(Table1[[#This Row], [DISGUISE]],Sheet1!$A$21:$A$23,Sheet1!$D$21:$D$23)</f>
        <v>69</v>
      </c>
      <c r="S731" s="9">
        <f>Table1[[#This Row], [TOTAL TIME]]-Table1[[#This Row], [TOTAL TIME TAKEN]]</f>
        <v>7.4225000000000207</v>
      </c>
      <c r="T731" t="str">
        <f>IF(Table1[[#This Row], [TIME DIFFERENCE]]&gt;=0,"PASS","FAIL")</f>
        <v>PASS</v>
      </c>
      <c r="U731" s="9">
        <f>Table1[[#This Row], [TRC]]+Table1[[#This Row], [DRC]]+Table1[[#This Row], [WRC]]+Table1[[#This Row], [ERC]]+Table1[[#This Row], [EQRC]]</f>
        <v>7969788.7999999989</v>
      </c>
      <c r="V731" s="9">
        <f>Table1[[#This Row], [TOTAL COST]]+_xlfn.XLOOKUP(Table1[[#This Row], [TEAM]],Sheet1!$A$12:$A$17,Sheet1!$I$12:$I$17)</f>
        <v>8267268.7999999989</v>
      </c>
      <c r="W731" s="9">
        <f>Table1[[#This Row], [LOOT]]-Table1[[#This Row], [TOTAL COST]]</f>
        <v>9680211.2000000011</v>
      </c>
      <c r="X731" s="9">
        <f>IF(Table1[[#This Row], [PASS/FAIL]]="FAIL",0,Table1[[#This Row], [PROFIT]])</f>
        <v>9680211.2000000011</v>
      </c>
    </row>
    <row r="732" spans="1:24" ht="19.5" customHeight="1" x14ac:dyDescent="0.45">
      <c r="A732" t="s">
        <v>9</v>
      </c>
      <c r="B732" s="14">
        <f>_xlfn.XLOOKUP(Table1[[#This Row], [TEAM]],Sheet1!$A$12:$A$17,Sheet1!$F$12:$F$17)</f>
        <v>3</v>
      </c>
      <c r="C732" s="14">
        <f>_xlfn.XLOOKUP(Table1[[#This Row], [TEAM]],Sheet1!$A$12:$A$17,Sheet1!$G$12:$G$17)</f>
        <v>6238750</v>
      </c>
      <c r="D732" t="s">
        <v>29</v>
      </c>
      <c r="E732" s="4">
        <f>_xlfn.XLOOKUP(Table1[[#This Row], [ROOM]],Sheet1!$A$47:$A$66,Sheet1!$B$47:$B$66)</f>
        <v>236</v>
      </c>
      <c r="F732" t="s">
        <v>62</v>
      </c>
      <c r="G732" s="4">
        <f>_xlfn.XLOOKUP(Table1[[#This Row], [DISGUISE]],Sheet1!$A$21:$A$23,Sheet1!$B$21:$B$23)*Table1[[#This Row], [NUM OF MEM]]*(1+_xlfn.XLOOKUP(Table1[[#This Row], [DISGUISE]],Sheet1!$A$21:$A$23,Sheet1!$C$21:$C$23))</f>
        <v>15600</v>
      </c>
      <c r="H732" s="13" t="s">
        <v>59</v>
      </c>
      <c r="I732" s="4">
        <f>_xlfn.XLOOKUP(Table1[[#This Row], [WEAPON]],Sheet1!$A$27:$A$29,Sheet1!$B$27:$B$29)*Table1[[#This Row], [NUM OF MEM]]*(1+_xlfn.XLOOKUP(Table1[[#This Row], [WEAPON]],Sheet1!$A$27:$A$29,Sheet1!$C$27:$C$29))</f>
        <v>136500</v>
      </c>
      <c r="J732" t="s">
        <v>60</v>
      </c>
      <c r="K732" s="9">
        <f>Table1[[#This Row], [NUM OF MEM]]*Table1[[#This Row], [TOTAL TIME TAKEN]]*_xlfn.XLOOKUP(Table1[[#This Row], [EXIT]],Sheet1!$A$70:$A$71,Sheet1!$B$70:$B$71)*(1+_xlfn.XLOOKUP(Table1[[#This Row], [EXIT]],Sheet1!$A$70:$A$71,Sheet1!$C$70:$C$71))</f>
        <v>1621557.4749999992</v>
      </c>
      <c r="L732" s="13" t="s">
        <v>65</v>
      </c>
      <c r="M732" s="4">
        <f>IF(Table1[[#This Row], [EQUIPMENT]]="YES",Sheet1!$C$44*(1+Sheet1!$D$44),0)</f>
        <v>307500</v>
      </c>
      <c r="N732" s="4">
        <f>_xlfn.XLOOKUP(Table1[[#This Row], [ROOM]],Sheet1!$A$47:$A$66,Sheet1!$F$47:$F$66)</f>
        <v>18000000</v>
      </c>
      <c r="O732" s="9">
        <f>_xlfn.XLOOKUP(_xlfn.CONCAT(Table1[[#This Row], [TEAM]],Table1[[#This Row], [ROOM]]),'ROOM TIME'!$H$2:$H$121,'ROOM TIME'!$J$2:$J$121)</f>
        <v>37.137777777777764</v>
      </c>
      <c r="P732" s="9">
        <f>(INDEX(Sheet1!$X$48:$Z$67,MATCH(Table1[[#This Row], [ROOM]],Sheet1!$P$48:$P$67,0),MATCH(Table1[[#This Row], [WEAPON]],Sheet1!$X$47:$Z$47,0)))/Table1[[#This Row], [NUM OF MEM]]</f>
        <v>4.9833333333333334</v>
      </c>
      <c r="Q732" s="9">
        <f>Table1[[#This Row], [ROOM TIME]]+Table1[[#This Row], [GUARD TIME]]</f>
        <v>42.121111111111098</v>
      </c>
      <c r="R732" s="4">
        <f>Sheet1!$K$3*_xlfn.XLOOKUP(Table1[[#This Row], [DISGUISE]],Sheet1!$A$21:$A$23,Sheet1!$D$21:$D$23)</f>
        <v>66</v>
      </c>
      <c r="S732" s="9">
        <f>Table1[[#This Row], [TOTAL TIME]]-Table1[[#This Row], [TOTAL TIME TAKEN]]</f>
        <v>23.878888888888902</v>
      </c>
      <c r="T732" t="str">
        <f>IF(Table1[[#This Row], [TIME DIFFERENCE]]&gt;=0,"PASS","FAIL")</f>
        <v>PASS</v>
      </c>
      <c r="U732" s="9">
        <f>Table1[[#This Row], [TRC]]+Table1[[#This Row], [DRC]]+Table1[[#This Row], [WRC]]+Table1[[#This Row], [ERC]]+Table1[[#This Row], [EQRC]]</f>
        <v>8319907.4749999996</v>
      </c>
      <c r="V732" s="9">
        <f>Table1[[#This Row], [TOTAL COST]]+_xlfn.XLOOKUP(Table1[[#This Row], [TEAM]],Sheet1!$A$12:$A$17,Sheet1!$I$12:$I$17)</f>
        <v>8631844.9749999996</v>
      </c>
      <c r="W732" s="9">
        <f>Table1[[#This Row], [LOOT]]-Table1[[#This Row], [TOTAL COST]]</f>
        <v>9680092.5250000004</v>
      </c>
      <c r="X732" s="9">
        <f>IF(Table1[[#This Row], [PASS/FAIL]]="FAIL",0,Table1[[#This Row], [PROFIT]])</f>
        <v>9680092.5250000004</v>
      </c>
    </row>
    <row r="733" spans="1:24" ht="19.5" customHeight="1" x14ac:dyDescent="0.45">
      <c r="A733" t="s">
        <v>13</v>
      </c>
      <c r="B733" s="14">
        <f>_xlfn.XLOOKUP(Table1[[#This Row], [TEAM]],Sheet1!$A$12:$A$17,Sheet1!$F$12:$F$17)</f>
        <v>3</v>
      </c>
      <c r="C733" s="14">
        <f>_xlfn.XLOOKUP(Table1[[#This Row], [TEAM]],Sheet1!$A$12:$A$17,Sheet1!$G$12:$G$17)</f>
        <v>5930000</v>
      </c>
      <c r="D733" t="s">
        <v>34</v>
      </c>
      <c r="E733" s="4">
        <f>_xlfn.XLOOKUP(Table1[[#This Row], [ROOM]],Sheet1!$A$47:$A$66,Sheet1!$B$47:$B$66)</f>
        <v>456</v>
      </c>
      <c r="F733" t="s">
        <v>58</v>
      </c>
      <c r="G733" s="4">
        <f>_xlfn.XLOOKUP(Table1[[#This Row], [DISGUISE]],Sheet1!$A$21:$A$23,Sheet1!$B$21:$B$23)*Table1[[#This Row], [NUM OF MEM]]*(1+_xlfn.XLOOKUP(Table1[[#This Row], [DISGUISE]],Sheet1!$A$21:$A$23,Sheet1!$C$21:$C$23))</f>
        <v>38400</v>
      </c>
      <c r="H733" s="13" t="s">
        <v>63</v>
      </c>
      <c r="I733" s="4">
        <f>_xlfn.XLOOKUP(Table1[[#This Row], [WEAPON]],Sheet1!$A$27:$A$29,Sheet1!$B$27:$B$29)*Table1[[#This Row], [NUM OF MEM]]*(1+_xlfn.XLOOKUP(Table1[[#This Row], [WEAPON]],Sheet1!$A$27:$A$29,Sheet1!$C$27:$C$29))</f>
        <v>69000</v>
      </c>
      <c r="J733" t="s">
        <v>60</v>
      </c>
      <c r="K733" s="9">
        <f>Table1[[#This Row], [NUM OF MEM]]*Table1[[#This Row], [TOTAL TIME TAKEN]]*_xlfn.XLOOKUP(Table1[[#This Row], [EXIT]],Sheet1!$A$70:$A$71,Sheet1!$B$70:$B$71)*(1+_xlfn.XLOOKUP(Table1[[#This Row], [EXIT]],Sheet1!$A$70:$A$71,Sheet1!$C$70:$C$71))</f>
        <v>1675560.9124999999</v>
      </c>
      <c r="L733" s="13" t="s">
        <v>65</v>
      </c>
      <c r="M733" s="4">
        <f>IF(Table1[[#This Row], [EQUIPMENT]]="YES",Sheet1!$C$44*(1+Sheet1!$D$44),0)</f>
        <v>307500</v>
      </c>
      <c r="N733" s="4">
        <f>_xlfn.XLOOKUP(Table1[[#This Row], [ROOM]],Sheet1!$A$47:$A$66,Sheet1!$F$47:$F$66)</f>
        <v>17700000</v>
      </c>
      <c r="O733" s="9">
        <f>_xlfn.XLOOKUP(_xlfn.CONCAT(Table1[[#This Row], [TEAM]],Table1[[#This Row], [ROOM]]),'ROOM TIME'!$H$2:$H$121,'ROOM TIME'!$J$2:$J$121)</f>
        <v>38.573888888888881</v>
      </c>
      <c r="P733" s="9">
        <f>(INDEX(Sheet1!$X$48:$Z$67,MATCH(Table1[[#This Row], [ROOM]],Sheet1!$P$48:$P$67,0),MATCH(Table1[[#This Row], [WEAPON]],Sheet1!$X$47:$Z$47,0)))/Table1[[#This Row], [NUM OF MEM]]</f>
        <v>4.95</v>
      </c>
      <c r="Q733" s="9">
        <f>Table1[[#This Row], [ROOM TIME]]+Table1[[#This Row], [GUARD TIME]]</f>
        <v>43.523888888888884</v>
      </c>
      <c r="R733" s="4">
        <f>Sheet1!$K$3*_xlfn.XLOOKUP(Table1[[#This Row], [DISGUISE]],Sheet1!$A$21:$A$23,Sheet1!$D$21:$D$23)</f>
        <v>69</v>
      </c>
      <c r="S733" s="9">
        <f>Table1[[#This Row], [TOTAL TIME]]-Table1[[#This Row], [TOTAL TIME TAKEN]]</f>
        <v>25.476111111111116</v>
      </c>
      <c r="T733" t="str">
        <f>IF(Table1[[#This Row], [TIME DIFFERENCE]]&gt;=0,"PASS","FAIL")</f>
        <v>PASS</v>
      </c>
      <c r="U733" s="9">
        <f>Table1[[#This Row], [TRC]]+Table1[[#This Row], [DRC]]+Table1[[#This Row], [WRC]]+Table1[[#This Row], [ERC]]+Table1[[#This Row], [EQRC]]</f>
        <v>8020460.9124999996</v>
      </c>
      <c r="V733" s="9">
        <f>Table1[[#This Row], [TOTAL COST]]+_xlfn.XLOOKUP(Table1[[#This Row], [TEAM]],Sheet1!$A$12:$A$17,Sheet1!$I$12:$I$17)</f>
        <v>8316960.9124999996</v>
      </c>
      <c r="W733" s="9">
        <f>Table1[[#This Row], [LOOT]]-Table1[[#This Row], [TOTAL COST]]</f>
        <v>9679539.0875000004</v>
      </c>
      <c r="X733" s="9">
        <f>IF(Table1[[#This Row], [PASS/FAIL]]="FAIL",0,Table1[[#This Row], [PROFIT]])</f>
        <v>9679539.0875000004</v>
      </c>
    </row>
    <row r="734" spans="1:24" ht="19.5" customHeight="1" x14ac:dyDescent="0.45">
      <c r="A734" t="s">
        <v>13</v>
      </c>
      <c r="B734" s="14">
        <f>_xlfn.XLOOKUP(Table1[[#This Row], [TEAM]],Sheet1!$A$12:$A$17,Sheet1!$F$12:$F$17)</f>
        <v>3</v>
      </c>
      <c r="C734" s="14">
        <f>_xlfn.XLOOKUP(Table1[[#This Row], [TEAM]],Sheet1!$A$12:$A$17,Sheet1!$G$12:$G$17)</f>
        <v>5930000</v>
      </c>
      <c r="D734" t="s">
        <v>27</v>
      </c>
      <c r="E734" s="4">
        <f>_xlfn.XLOOKUP(Table1[[#This Row], [ROOM]],Sheet1!$A$47:$A$66,Sheet1!$B$47:$B$66)</f>
        <v>146</v>
      </c>
      <c r="F734" t="s">
        <v>62</v>
      </c>
      <c r="G734" s="4">
        <f>_xlfn.XLOOKUP(Table1[[#This Row], [DISGUISE]],Sheet1!$A$21:$A$23,Sheet1!$B$21:$B$23)*Table1[[#This Row], [NUM OF MEM]]*(1+_xlfn.XLOOKUP(Table1[[#This Row], [DISGUISE]],Sheet1!$A$21:$A$23,Sheet1!$C$21:$C$23))</f>
        <v>15600</v>
      </c>
      <c r="H734" s="13" t="s">
        <v>59</v>
      </c>
      <c r="I734" s="4">
        <f>_xlfn.XLOOKUP(Table1[[#This Row], [WEAPON]],Sheet1!$A$27:$A$29,Sheet1!$B$27:$B$29)*Table1[[#This Row], [NUM OF MEM]]*(1+_xlfn.XLOOKUP(Table1[[#This Row], [WEAPON]],Sheet1!$A$27:$A$29,Sheet1!$C$27:$C$29))</f>
        <v>136500</v>
      </c>
      <c r="J734" t="s">
        <v>64</v>
      </c>
      <c r="K734" s="9">
        <f>Table1[[#This Row], [NUM OF MEM]]*Table1[[#This Row], [TOTAL TIME TAKEN]]*_xlfn.XLOOKUP(Table1[[#This Row], [EXIT]],Sheet1!$A$70:$A$71,Sheet1!$B$70:$B$71)*(1+_xlfn.XLOOKUP(Table1[[#This Row], [EXIT]],Sheet1!$A$70:$A$71,Sheet1!$C$70:$C$71))</f>
        <v>1680911.9999999998</v>
      </c>
      <c r="L734" s="13" t="s">
        <v>65</v>
      </c>
      <c r="M734" s="4">
        <f>IF(Table1[[#This Row], [EQUIPMENT]]="YES",Sheet1!$C$44*(1+Sheet1!$D$44),0)</f>
        <v>307500</v>
      </c>
      <c r="N734" s="4">
        <f>_xlfn.XLOOKUP(Table1[[#This Row], [ROOM]],Sheet1!$A$47:$A$66,Sheet1!$F$47:$F$66)</f>
        <v>17750000</v>
      </c>
      <c r="O734" s="9">
        <f>_xlfn.XLOOKUP(_xlfn.CONCAT(Table1[[#This Row], [TEAM]],Table1[[#This Row], [ROOM]]),'ROOM TIME'!$H$2:$H$121,'ROOM TIME'!$J$2:$J$121)</f>
        <v>39.016666666666659</v>
      </c>
      <c r="P734" s="9">
        <f>(INDEX(Sheet1!$X$48:$Z$67,MATCH(Table1[[#This Row], [ROOM]],Sheet1!$P$48:$P$67,0),MATCH(Table1[[#This Row], [WEAPON]],Sheet1!$X$47:$Z$47,0)))/Table1[[#This Row], [NUM OF MEM]]</f>
        <v>4.2166666666666659</v>
      </c>
      <c r="Q734" s="9">
        <f>Table1[[#This Row], [ROOM TIME]]+Table1[[#This Row], [GUARD TIME]]</f>
        <v>43.233333333333327</v>
      </c>
      <c r="R734" s="4">
        <f>Sheet1!$K$3*_xlfn.XLOOKUP(Table1[[#This Row], [DISGUISE]],Sheet1!$A$21:$A$23,Sheet1!$D$21:$D$23)</f>
        <v>66</v>
      </c>
      <c r="S734" s="9">
        <f>Table1[[#This Row], [TOTAL TIME]]-Table1[[#This Row], [TOTAL TIME TAKEN]]</f>
        <v>22.766666666666673</v>
      </c>
      <c r="T734" t="str">
        <f>IF(Table1[[#This Row], [TIME DIFFERENCE]]&gt;=0,"PASS","FAIL")</f>
        <v>PASS</v>
      </c>
      <c r="U734" s="4">
        <f>Table1[[#This Row], [TRC]]+Table1[[#This Row], [DRC]]+Table1[[#This Row], [WRC]]+Table1[[#This Row], [ERC]]+Table1[[#This Row], [EQRC]]</f>
        <v>8070512</v>
      </c>
      <c r="V734" s="4">
        <f>Table1[[#This Row], [TOTAL COST]]+_xlfn.XLOOKUP(Table1[[#This Row], [TEAM]],Sheet1!$A$12:$A$17,Sheet1!$I$12:$I$17)</f>
        <v>8367012</v>
      </c>
      <c r="W734" s="4">
        <f>Table1[[#This Row], [LOOT]]-Table1[[#This Row], [TOTAL COST]]</f>
        <v>9679488</v>
      </c>
      <c r="X734" s="4">
        <f>IF(Table1[[#This Row], [PASS/FAIL]]="FAIL",0,Table1[[#This Row], [PROFIT]])</f>
        <v>9679488</v>
      </c>
    </row>
    <row r="735" spans="1:24" ht="19.5" customHeight="1" x14ac:dyDescent="0.45">
      <c r="A735" t="s">
        <v>9</v>
      </c>
      <c r="B735" s="14">
        <f>_xlfn.XLOOKUP(Table1[[#This Row], [TEAM]],Sheet1!$A$12:$A$17,Sheet1!$F$12:$F$17)</f>
        <v>3</v>
      </c>
      <c r="C735" s="14">
        <f>_xlfn.XLOOKUP(Table1[[#This Row], [TEAM]],Sheet1!$A$12:$A$17,Sheet1!$G$12:$G$17)</f>
        <v>6238750</v>
      </c>
      <c r="D735" t="s">
        <v>22</v>
      </c>
      <c r="E735" s="4">
        <f>_xlfn.XLOOKUP(Table1[[#This Row], [ROOM]],Sheet1!$A$47:$A$66,Sheet1!$B$47:$B$66)</f>
        <v>235</v>
      </c>
      <c r="F735" t="s">
        <v>58</v>
      </c>
      <c r="G735" s="4">
        <f>_xlfn.XLOOKUP(Table1[[#This Row], [DISGUISE]],Sheet1!$A$21:$A$23,Sheet1!$B$21:$B$23)*Table1[[#This Row], [NUM OF MEM]]*(1+_xlfn.XLOOKUP(Table1[[#This Row], [DISGUISE]],Sheet1!$A$21:$A$23,Sheet1!$C$21:$C$23))</f>
        <v>38400</v>
      </c>
      <c r="H735" s="13" t="s">
        <v>59</v>
      </c>
      <c r="I735" s="4">
        <f>_xlfn.XLOOKUP(Table1[[#This Row], [WEAPON]],Sheet1!$A$27:$A$29,Sheet1!$B$27:$B$29)*Table1[[#This Row], [NUM OF MEM]]*(1+_xlfn.XLOOKUP(Table1[[#This Row], [WEAPON]],Sheet1!$A$27:$A$29,Sheet1!$C$27:$C$29))</f>
        <v>136500</v>
      </c>
      <c r="J735" t="s">
        <v>64</v>
      </c>
      <c r="K735" s="9">
        <f>Table1[[#This Row], [NUM OF MEM]]*Table1[[#This Row], [TOTAL TIME TAKEN]]*_xlfn.XLOOKUP(Table1[[#This Row], [EXIT]],Sheet1!$A$70:$A$71,Sheet1!$B$70:$B$71)*(1+_xlfn.XLOOKUP(Table1[[#This Row], [EXIT]],Sheet1!$A$70:$A$71,Sheet1!$C$70:$C$71))</f>
        <v>1708559.9999999998</v>
      </c>
      <c r="L735" s="13" t="s">
        <v>61</v>
      </c>
      <c r="M735" s="4">
        <f>IF(Table1[[#This Row], [EQUIPMENT]]="YES",Sheet1!$C$44*(1+Sheet1!$D$44),0)</f>
        <v>0</v>
      </c>
      <c r="N735" s="4">
        <f>_xlfn.XLOOKUP(Table1[[#This Row], [ROOM]],Sheet1!$A$47:$A$66,Sheet1!$F$47:$F$66)</f>
        <v>17800000</v>
      </c>
      <c r="O735" s="9">
        <f>_xlfn.XLOOKUP(_xlfn.CONCAT(Table1[[#This Row], [TEAM]],Table1[[#This Row], [ROOM]]),'ROOM TIME'!$H$2:$H$121,'ROOM TIME'!$J$2:$J$121)</f>
        <v>39.344444444444434</v>
      </c>
      <c r="P735" s="9">
        <f>(INDEX(Sheet1!$X$48:$Z$67,MATCH(Table1[[#This Row], [ROOM]],Sheet1!$P$48:$P$67,0),MATCH(Table1[[#This Row], [WEAPON]],Sheet1!$X$47:$Z$47,0)))/Table1[[#This Row], [NUM OF MEM]]</f>
        <v>4.5999999999999996</v>
      </c>
      <c r="Q735" s="9">
        <f>Table1[[#This Row], [ROOM TIME]]+Table1[[#This Row], [GUARD TIME]]</f>
        <v>43.944444444444436</v>
      </c>
      <c r="R735" s="4">
        <f>Sheet1!$K$3*_xlfn.XLOOKUP(Table1[[#This Row], [DISGUISE]],Sheet1!$A$21:$A$23,Sheet1!$D$21:$D$23)</f>
        <v>69</v>
      </c>
      <c r="S735" s="9">
        <f>Table1[[#This Row], [TOTAL TIME]]-Table1[[#This Row], [TOTAL TIME TAKEN]]</f>
        <v>25.055555555555564</v>
      </c>
      <c r="T735" t="str">
        <f>IF(Table1[[#This Row], [TIME DIFFERENCE]]&gt;=0,"PASS","FAIL")</f>
        <v>PASS</v>
      </c>
      <c r="U735" s="4">
        <f>Table1[[#This Row], [TRC]]+Table1[[#This Row], [DRC]]+Table1[[#This Row], [WRC]]+Table1[[#This Row], [ERC]]+Table1[[#This Row], [EQRC]]</f>
        <v>8122210</v>
      </c>
      <c r="V735" s="9">
        <f>Table1[[#This Row], [TOTAL COST]]+_xlfn.XLOOKUP(Table1[[#This Row], [TEAM]],Sheet1!$A$12:$A$17,Sheet1!$I$12:$I$17)</f>
        <v>8434147.5</v>
      </c>
      <c r="W735" s="4">
        <f>Table1[[#This Row], [LOOT]]-Table1[[#This Row], [TOTAL COST]]</f>
        <v>9677790</v>
      </c>
      <c r="X735" s="4">
        <f>IF(Table1[[#This Row], [PASS/FAIL]]="FAIL",0,Table1[[#This Row], [PROFIT]])</f>
        <v>9677790</v>
      </c>
    </row>
    <row r="736" spans="1:24" ht="19.5" customHeight="1" x14ac:dyDescent="0.45">
      <c r="A736" t="s">
        <v>13</v>
      </c>
      <c r="B736" s="14">
        <f>_xlfn.XLOOKUP(Table1[[#This Row], [TEAM]],Sheet1!$A$12:$A$17,Sheet1!$F$12:$F$17)</f>
        <v>3</v>
      </c>
      <c r="C736" s="14">
        <f>_xlfn.XLOOKUP(Table1[[#This Row], [TEAM]],Sheet1!$A$12:$A$17,Sheet1!$G$12:$G$17)</f>
        <v>5930000</v>
      </c>
      <c r="D736" t="s">
        <v>34</v>
      </c>
      <c r="E736" s="4">
        <f>_xlfn.XLOOKUP(Table1[[#This Row], [ROOM]],Sheet1!$A$47:$A$66,Sheet1!$B$47:$B$66)</f>
        <v>456</v>
      </c>
      <c r="F736" t="s">
        <v>62</v>
      </c>
      <c r="G736" s="4">
        <f>_xlfn.XLOOKUP(Table1[[#This Row], [DISGUISE]],Sheet1!$A$21:$A$23,Sheet1!$B$21:$B$23)*Table1[[#This Row], [NUM OF MEM]]*(1+_xlfn.XLOOKUP(Table1[[#This Row], [DISGUISE]],Sheet1!$A$21:$A$23,Sheet1!$C$21:$C$23))</f>
        <v>15600</v>
      </c>
      <c r="H736" s="13" t="s">
        <v>66</v>
      </c>
      <c r="I736" s="4">
        <f>_xlfn.XLOOKUP(Table1[[#This Row], [WEAPON]],Sheet1!$A$27:$A$29,Sheet1!$B$27:$B$29)*Table1[[#This Row], [NUM OF MEM]]*(1+_xlfn.XLOOKUP(Table1[[#This Row], [WEAPON]],Sheet1!$A$27:$A$29,Sheet1!$C$27:$C$29))</f>
        <v>108000</v>
      </c>
      <c r="J736" t="s">
        <v>60</v>
      </c>
      <c r="K736" s="9">
        <f>Table1[[#This Row], [NUM OF MEM]]*Table1[[#This Row], [TOTAL TIME TAKEN]]*_xlfn.XLOOKUP(Table1[[#This Row], [EXIT]],Sheet1!$A$70:$A$71,Sheet1!$B$70:$B$71)*(1+_xlfn.XLOOKUP(Table1[[#This Row], [EXIT]],Sheet1!$A$70:$A$71,Sheet1!$C$70:$C$71))</f>
        <v>1661445.1624999996</v>
      </c>
      <c r="L736" s="13" t="s">
        <v>65</v>
      </c>
      <c r="M736" s="4">
        <f>IF(Table1[[#This Row], [EQUIPMENT]]="YES",Sheet1!$C$44*(1+Sheet1!$D$44),0)</f>
        <v>307500</v>
      </c>
      <c r="N736" s="4">
        <f>_xlfn.XLOOKUP(Table1[[#This Row], [ROOM]],Sheet1!$A$47:$A$66,Sheet1!$F$47:$F$66)</f>
        <v>17700000</v>
      </c>
      <c r="O736" s="9">
        <f>_xlfn.XLOOKUP(_xlfn.CONCAT(Table1[[#This Row], [TEAM]],Table1[[#This Row], [ROOM]]),'ROOM TIME'!$H$2:$H$121,'ROOM TIME'!$J$2:$J$121)</f>
        <v>38.573888888888881</v>
      </c>
      <c r="P736" s="9">
        <f>(INDEX(Sheet1!$X$48:$Z$67,MATCH(Table1[[#This Row], [ROOM]],Sheet1!$P$48:$P$67,0),MATCH(Table1[[#This Row], [WEAPON]],Sheet1!$X$47:$Z$47,0)))/Table1[[#This Row], [NUM OF MEM]]</f>
        <v>4.583333333333333</v>
      </c>
      <c r="Q736" s="9">
        <f>Table1[[#This Row], [ROOM TIME]]+Table1[[#This Row], [GUARD TIME]]</f>
        <v>43.157222222222217</v>
      </c>
      <c r="R736" s="4">
        <f>Sheet1!$K$3*_xlfn.XLOOKUP(Table1[[#This Row], [DISGUISE]],Sheet1!$A$21:$A$23,Sheet1!$D$21:$D$23)</f>
        <v>66</v>
      </c>
      <c r="S736" s="9">
        <f>Table1[[#This Row], [TOTAL TIME]]-Table1[[#This Row], [TOTAL TIME TAKEN]]</f>
        <v>22.842777777777783</v>
      </c>
      <c r="T736" t="str">
        <f>IF(Table1[[#This Row], [TIME DIFFERENCE]]&gt;=0,"PASS","FAIL")</f>
        <v>PASS</v>
      </c>
      <c r="U736" s="9">
        <f>Table1[[#This Row], [TRC]]+Table1[[#This Row], [DRC]]+Table1[[#This Row], [WRC]]+Table1[[#This Row], [ERC]]+Table1[[#This Row], [EQRC]]</f>
        <v>8022545.1624999996</v>
      </c>
      <c r="V736" s="9">
        <f>Table1[[#This Row], [TOTAL COST]]+_xlfn.XLOOKUP(Table1[[#This Row], [TEAM]],Sheet1!$A$12:$A$17,Sheet1!$I$12:$I$17)</f>
        <v>8319045.1624999996</v>
      </c>
      <c r="W736" s="9">
        <f>Table1[[#This Row], [LOOT]]-Table1[[#This Row], [TOTAL COST]]</f>
        <v>9677454.8375000004</v>
      </c>
      <c r="X736" s="9">
        <f>IF(Table1[[#This Row], [PASS/FAIL]]="FAIL",0,Table1[[#This Row], [PROFIT]])</f>
        <v>9677454.8375000004</v>
      </c>
    </row>
    <row r="737" spans="1:24" ht="19.5" customHeight="1" x14ac:dyDescent="0.45">
      <c r="A737" t="s">
        <v>9</v>
      </c>
      <c r="B737" s="14">
        <f>_xlfn.XLOOKUP(Table1[[#This Row], [TEAM]],Sheet1!$A$12:$A$17,Sheet1!$F$12:$F$17)</f>
        <v>3</v>
      </c>
      <c r="C737" s="14">
        <f>_xlfn.XLOOKUP(Table1[[#This Row], [TEAM]],Sheet1!$A$12:$A$17,Sheet1!$G$12:$G$17)</f>
        <v>6238750</v>
      </c>
      <c r="D737" t="s">
        <v>29</v>
      </c>
      <c r="E737" s="4">
        <f>_xlfn.XLOOKUP(Table1[[#This Row], [ROOM]],Sheet1!$A$47:$A$66,Sheet1!$B$47:$B$66)</f>
        <v>236</v>
      </c>
      <c r="F737" t="s">
        <v>62</v>
      </c>
      <c r="G737" s="4">
        <f>_xlfn.XLOOKUP(Table1[[#This Row], [DISGUISE]],Sheet1!$A$21:$A$23,Sheet1!$B$21:$B$23)*Table1[[#This Row], [NUM OF MEM]]*(1+_xlfn.XLOOKUP(Table1[[#This Row], [DISGUISE]],Sheet1!$A$21:$A$23,Sheet1!$C$21:$C$23))</f>
        <v>15600</v>
      </c>
      <c r="H737" s="13" t="s">
        <v>66</v>
      </c>
      <c r="I737" s="4">
        <f>_xlfn.XLOOKUP(Table1[[#This Row], [WEAPON]],Sheet1!$A$27:$A$29,Sheet1!$B$27:$B$29)*Table1[[#This Row], [NUM OF MEM]]*(1+_xlfn.XLOOKUP(Table1[[#This Row], [WEAPON]],Sheet1!$A$27:$A$29,Sheet1!$C$27:$C$29))</f>
        <v>108000</v>
      </c>
      <c r="J737" t="s">
        <v>64</v>
      </c>
      <c r="K737" s="9">
        <f>Table1[[#This Row], [NUM OF MEM]]*Table1[[#This Row], [TOTAL TIME TAKEN]]*_xlfn.XLOOKUP(Table1[[#This Row], [EXIT]],Sheet1!$A$70:$A$71,Sheet1!$B$70:$B$71)*(1+_xlfn.XLOOKUP(Table1[[#This Row], [EXIT]],Sheet1!$A$70:$A$71,Sheet1!$C$70:$C$71))</f>
        <v>1654516.7999999993</v>
      </c>
      <c r="L737" s="13" t="s">
        <v>65</v>
      </c>
      <c r="M737" s="4">
        <f>IF(Table1[[#This Row], [EQUIPMENT]]="YES",Sheet1!$C$44*(1+Sheet1!$D$44),0)</f>
        <v>307500</v>
      </c>
      <c r="N737" s="4">
        <f>_xlfn.XLOOKUP(Table1[[#This Row], [ROOM]],Sheet1!$A$47:$A$66,Sheet1!$F$47:$F$66)</f>
        <v>18000000</v>
      </c>
      <c r="O737" s="9">
        <f>_xlfn.XLOOKUP(_xlfn.CONCAT(Table1[[#This Row], [TEAM]],Table1[[#This Row], [ROOM]]),'ROOM TIME'!$H$2:$H$121,'ROOM TIME'!$J$2:$J$121)</f>
        <v>37.137777777777764</v>
      </c>
      <c r="P737" s="9">
        <f>(INDEX(Sheet1!$X$48:$Z$67,MATCH(Table1[[#This Row], [ROOM]],Sheet1!$P$48:$P$67,0),MATCH(Table1[[#This Row], [WEAPON]],Sheet1!$X$47:$Z$47,0)))/Table1[[#This Row], [NUM OF MEM]]</f>
        <v>5.416666666666667</v>
      </c>
      <c r="Q737" s="9">
        <f>Table1[[#This Row], [ROOM TIME]]+Table1[[#This Row], [GUARD TIME]]</f>
        <v>42.554444444444428</v>
      </c>
      <c r="R737" s="4">
        <f>Sheet1!$K$3*_xlfn.XLOOKUP(Table1[[#This Row], [DISGUISE]],Sheet1!$A$21:$A$23,Sheet1!$D$21:$D$23)</f>
        <v>66</v>
      </c>
      <c r="S737" s="9">
        <f>Table1[[#This Row], [TOTAL TIME]]-Table1[[#This Row], [TOTAL TIME TAKEN]]</f>
        <v>23.445555555555572</v>
      </c>
      <c r="T737" t="str">
        <f>IF(Table1[[#This Row], [TIME DIFFERENCE]]&gt;=0,"PASS","FAIL")</f>
        <v>PASS</v>
      </c>
      <c r="U737" s="9">
        <f>Table1[[#This Row], [TRC]]+Table1[[#This Row], [DRC]]+Table1[[#This Row], [WRC]]+Table1[[#This Row], [ERC]]+Table1[[#This Row], [EQRC]]</f>
        <v>8324366.7999999989</v>
      </c>
      <c r="V737" s="9">
        <f>Table1[[#This Row], [TOTAL COST]]+_xlfn.XLOOKUP(Table1[[#This Row], [TEAM]],Sheet1!$A$12:$A$17,Sheet1!$I$12:$I$17)</f>
        <v>8636304.2999999989</v>
      </c>
      <c r="W737" s="9">
        <f>Table1[[#This Row], [LOOT]]-Table1[[#This Row], [TOTAL COST]]</f>
        <v>9675633.2000000011</v>
      </c>
      <c r="X737" s="9">
        <f>IF(Table1[[#This Row], [PASS/FAIL]]="FAIL",0,Table1[[#This Row], [PROFIT]])</f>
        <v>9675633.2000000011</v>
      </c>
    </row>
    <row r="738" spans="1:24" ht="19.5" customHeight="1" x14ac:dyDescent="0.45">
      <c r="A738" t="s">
        <v>13</v>
      </c>
      <c r="B738" s="14">
        <f>_xlfn.XLOOKUP(Table1[[#This Row], [TEAM]],Sheet1!$A$12:$A$17,Sheet1!$F$12:$F$17)</f>
        <v>3</v>
      </c>
      <c r="C738" s="14">
        <f>_xlfn.XLOOKUP(Table1[[#This Row], [TEAM]],Sheet1!$A$12:$A$17,Sheet1!$G$12:$G$17)</f>
        <v>5930000</v>
      </c>
      <c r="D738" t="s">
        <v>21</v>
      </c>
      <c r="E738" s="4">
        <f>_xlfn.XLOOKUP(Table1[[#This Row], [ROOM]],Sheet1!$A$47:$A$66,Sheet1!$B$47:$B$66)</f>
        <v>234</v>
      </c>
      <c r="F738" t="s">
        <v>62</v>
      </c>
      <c r="G738" s="4">
        <f>_xlfn.XLOOKUP(Table1[[#This Row], [DISGUISE]],Sheet1!$A$21:$A$23,Sheet1!$B$21:$B$23)*Table1[[#This Row], [NUM OF MEM]]*(1+_xlfn.XLOOKUP(Table1[[#This Row], [DISGUISE]],Sheet1!$A$21:$A$23,Sheet1!$C$21:$C$23))</f>
        <v>15600</v>
      </c>
      <c r="H738" s="13" t="s">
        <v>63</v>
      </c>
      <c r="I738" s="4">
        <f>_xlfn.XLOOKUP(Table1[[#This Row], [WEAPON]],Sheet1!$A$27:$A$29,Sheet1!$B$27:$B$29)*Table1[[#This Row], [NUM OF MEM]]*(1+_xlfn.XLOOKUP(Table1[[#This Row], [WEAPON]],Sheet1!$A$27:$A$29,Sheet1!$C$27:$C$29))</f>
        <v>69000</v>
      </c>
      <c r="J738" t="s">
        <v>60</v>
      </c>
      <c r="K738" s="9">
        <f>Table1[[#This Row], [NUM OF MEM]]*Table1[[#This Row], [TOTAL TIME TAKEN]]*_xlfn.XLOOKUP(Table1[[#This Row], [EXIT]],Sheet1!$A$70:$A$71,Sheet1!$B$70:$B$71)*(1+_xlfn.XLOOKUP(Table1[[#This Row], [EXIT]],Sheet1!$A$70:$A$71,Sheet1!$C$70:$C$71))</f>
        <v>1902375.3499999999</v>
      </c>
      <c r="L738" s="13" t="s">
        <v>65</v>
      </c>
      <c r="M738" s="4">
        <f>IF(Table1[[#This Row], [EQUIPMENT]]="YES",Sheet1!$C$44*(1+Sheet1!$D$44),0)</f>
        <v>307500</v>
      </c>
      <c r="N738" s="4">
        <f>_xlfn.XLOOKUP(Table1[[#This Row], [ROOM]],Sheet1!$A$47:$A$66,Sheet1!$F$47:$F$66)</f>
        <v>17900000</v>
      </c>
      <c r="O738" s="9">
        <f>_xlfn.XLOOKUP(_xlfn.CONCAT(Table1[[#This Row], [TEAM]],Table1[[#This Row], [ROOM]]),'ROOM TIME'!$H$2:$H$121,'ROOM TIME'!$J$2:$J$121)</f>
        <v>43.565555555555555</v>
      </c>
      <c r="P738" s="9">
        <f>(INDEX(Sheet1!$X$48:$Z$67,MATCH(Table1[[#This Row], [ROOM]],Sheet1!$P$48:$P$67,0),MATCH(Table1[[#This Row], [WEAPON]],Sheet1!$X$47:$Z$47,0)))/Table1[[#This Row], [NUM OF MEM]]</f>
        <v>5.8500000000000005</v>
      </c>
      <c r="Q738" s="9">
        <f>Table1[[#This Row], [ROOM TIME]]+Table1[[#This Row], [GUARD TIME]]</f>
        <v>49.415555555555557</v>
      </c>
      <c r="R738" s="4">
        <f>Sheet1!$K$3*_xlfn.XLOOKUP(Table1[[#This Row], [DISGUISE]],Sheet1!$A$21:$A$23,Sheet1!$D$21:$D$23)</f>
        <v>66</v>
      </c>
      <c r="S738" s="9">
        <f>Table1[[#This Row], [TOTAL TIME]]-Table1[[#This Row], [TOTAL TIME TAKEN]]</f>
        <v>16.584444444444443</v>
      </c>
      <c r="T738" t="str">
        <f>IF(Table1[[#This Row], [TIME DIFFERENCE]]&gt;=0,"PASS","FAIL")</f>
        <v>PASS</v>
      </c>
      <c r="U738" s="9">
        <f>Table1[[#This Row], [TRC]]+Table1[[#This Row], [DRC]]+Table1[[#This Row], [WRC]]+Table1[[#This Row], [ERC]]+Table1[[#This Row], [EQRC]]</f>
        <v>8224475.3499999996</v>
      </c>
      <c r="V738" s="9">
        <f>Table1[[#This Row], [TOTAL COST]]+_xlfn.XLOOKUP(Table1[[#This Row], [TEAM]],Sheet1!$A$12:$A$17,Sheet1!$I$12:$I$17)</f>
        <v>8520975.3499999996</v>
      </c>
      <c r="W738" s="9">
        <f>Table1[[#This Row], [LOOT]]-Table1[[#This Row], [TOTAL COST]]</f>
        <v>9675524.6500000004</v>
      </c>
      <c r="X738" s="9">
        <f>IF(Table1[[#This Row], [PASS/FAIL]]="FAIL",0,Table1[[#This Row], [PROFIT]])</f>
        <v>9675524.6500000004</v>
      </c>
    </row>
    <row r="739" spans="1:24" ht="19.5" customHeight="1" x14ac:dyDescent="0.45">
      <c r="A739" t="s">
        <v>9</v>
      </c>
      <c r="B739" s="14">
        <f>_xlfn.XLOOKUP(Table1[[#This Row], [TEAM]],Sheet1!$A$12:$A$17,Sheet1!$F$12:$F$17)</f>
        <v>3</v>
      </c>
      <c r="C739" s="14">
        <f>_xlfn.XLOOKUP(Table1[[#This Row], [TEAM]],Sheet1!$A$12:$A$17,Sheet1!$G$12:$G$17)</f>
        <v>6238750</v>
      </c>
      <c r="D739" t="s">
        <v>29</v>
      </c>
      <c r="E739" s="4">
        <f>_xlfn.XLOOKUP(Table1[[#This Row], [ROOM]],Sheet1!$A$47:$A$66,Sheet1!$B$47:$B$66)</f>
        <v>236</v>
      </c>
      <c r="F739" t="s">
        <v>58</v>
      </c>
      <c r="G739" s="4">
        <f>_xlfn.XLOOKUP(Table1[[#This Row], [DISGUISE]],Sheet1!$A$21:$A$23,Sheet1!$B$21:$B$23)*Table1[[#This Row], [NUM OF MEM]]*(1+_xlfn.XLOOKUP(Table1[[#This Row], [DISGUISE]],Sheet1!$A$21:$A$23,Sheet1!$C$21:$C$23))</f>
        <v>38400</v>
      </c>
      <c r="H739" s="13" t="s">
        <v>63</v>
      </c>
      <c r="I739" s="4">
        <f>_xlfn.XLOOKUP(Table1[[#This Row], [WEAPON]],Sheet1!$A$27:$A$29,Sheet1!$B$27:$B$29)*Table1[[#This Row], [NUM OF MEM]]*(1+_xlfn.XLOOKUP(Table1[[#This Row], [WEAPON]],Sheet1!$A$27:$A$29,Sheet1!$C$27:$C$29))</f>
        <v>69000</v>
      </c>
      <c r="J739" t="s">
        <v>64</v>
      </c>
      <c r="K739" s="9">
        <f>Table1[[#This Row], [NUM OF MEM]]*Table1[[#This Row], [TOTAL TIME TAKEN]]*_xlfn.XLOOKUP(Table1[[#This Row], [EXIT]],Sheet1!$A$70:$A$71,Sheet1!$B$70:$B$71)*(1+_xlfn.XLOOKUP(Table1[[#This Row], [EXIT]],Sheet1!$A$70:$A$71,Sheet1!$C$70:$C$71))</f>
        <v>1671364.7999999996</v>
      </c>
      <c r="L739" s="13" t="s">
        <v>65</v>
      </c>
      <c r="M739" s="4">
        <f>IF(Table1[[#This Row], [EQUIPMENT]]="YES",Sheet1!$C$44*(1+Sheet1!$D$44),0)</f>
        <v>307500</v>
      </c>
      <c r="N739" s="4">
        <f>_xlfn.XLOOKUP(Table1[[#This Row], [ROOM]],Sheet1!$A$47:$A$66,Sheet1!$F$47:$F$66)</f>
        <v>18000000</v>
      </c>
      <c r="O739" s="9">
        <f>_xlfn.XLOOKUP(_xlfn.CONCAT(Table1[[#This Row], [TEAM]],Table1[[#This Row], [ROOM]]),'ROOM TIME'!$H$2:$H$121,'ROOM TIME'!$J$2:$J$121)</f>
        <v>37.137777777777764</v>
      </c>
      <c r="P739" s="9">
        <f>(INDEX(Sheet1!$X$48:$Z$67,MATCH(Table1[[#This Row], [ROOM]],Sheet1!$P$48:$P$67,0),MATCH(Table1[[#This Row], [WEAPON]],Sheet1!$X$47:$Z$47,0)))/Table1[[#This Row], [NUM OF MEM]]</f>
        <v>5.8500000000000005</v>
      </c>
      <c r="Q739" s="9">
        <f>Table1[[#This Row], [ROOM TIME]]+Table1[[#This Row], [GUARD TIME]]</f>
        <v>42.987777777777765</v>
      </c>
      <c r="R739" s="4">
        <f>Sheet1!$K$3*_xlfn.XLOOKUP(Table1[[#This Row], [DISGUISE]],Sheet1!$A$21:$A$23,Sheet1!$D$21:$D$23)</f>
        <v>69</v>
      </c>
      <c r="S739" s="9">
        <f>Table1[[#This Row], [TOTAL TIME]]-Table1[[#This Row], [TOTAL TIME TAKEN]]</f>
        <v>26.012222222222235</v>
      </c>
      <c r="T739" t="str">
        <f>IF(Table1[[#This Row], [TIME DIFFERENCE]]&gt;=0,"PASS","FAIL")</f>
        <v>PASS</v>
      </c>
      <c r="U739" s="9">
        <f>Table1[[#This Row], [TRC]]+Table1[[#This Row], [DRC]]+Table1[[#This Row], [WRC]]+Table1[[#This Row], [ERC]]+Table1[[#This Row], [EQRC]]</f>
        <v>8325014.7999999998</v>
      </c>
      <c r="V739" s="9">
        <f>Table1[[#This Row], [TOTAL COST]]+_xlfn.XLOOKUP(Table1[[#This Row], [TEAM]],Sheet1!$A$12:$A$17,Sheet1!$I$12:$I$17)</f>
        <v>8636952.3000000007</v>
      </c>
      <c r="W739" s="9">
        <f>Table1[[#This Row], [LOOT]]-Table1[[#This Row], [TOTAL COST]]</f>
        <v>9674985.1999999993</v>
      </c>
      <c r="X739" s="9">
        <f>IF(Table1[[#This Row], [PASS/FAIL]]="FAIL",0,Table1[[#This Row], [PROFIT]])</f>
        <v>9674985.1999999993</v>
      </c>
    </row>
    <row r="740" spans="1:24" ht="19.5" customHeight="1" x14ac:dyDescent="0.45">
      <c r="A740" t="s">
        <v>14</v>
      </c>
      <c r="B740" s="14">
        <f>_xlfn.XLOOKUP(Table1[[#This Row], [TEAM]],Sheet1!$A$12:$A$17,Sheet1!$F$12:$F$17)</f>
        <v>2</v>
      </c>
      <c r="C740" s="14">
        <f>_xlfn.XLOOKUP(Table1[[#This Row], [TEAM]],Sheet1!$A$12:$A$17,Sheet1!$G$12:$G$17)</f>
        <v>5949600</v>
      </c>
      <c r="D740" t="s">
        <v>11</v>
      </c>
      <c r="E740" s="4">
        <f>_xlfn.XLOOKUP(Table1[[#This Row], [ROOM]],Sheet1!$A$47:$A$66,Sheet1!$B$47:$B$66)</f>
        <v>124</v>
      </c>
      <c r="F740" t="s">
        <v>58</v>
      </c>
      <c r="G740" s="4">
        <f>_xlfn.XLOOKUP(Table1[[#This Row], [DISGUISE]],Sheet1!$A$21:$A$23,Sheet1!$B$21:$B$23)*Table1[[#This Row], [NUM OF MEM]]*(1+_xlfn.XLOOKUP(Table1[[#This Row], [DISGUISE]],Sheet1!$A$21:$A$23,Sheet1!$C$21:$C$23))</f>
        <v>25600</v>
      </c>
      <c r="H740" s="13" t="s">
        <v>63</v>
      </c>
      <c r="I740" s="4">
        <f>_xlfn.XLOOKUP(Table1[[#This Row], [WEAPON]],Sheet1!$A$27:$A$29,Sheet1!$B$27:$B$29)*Table1[[#This Row], [NUM OF MEM]]*(1+_xlfn.XLOOKUP(Table1[[#This Row], [WEAPON]],Sheet1!$A$27:$A$29,Sheet1!$C$27:$C$29))</f>
        <v>46000</v>
      </c>
      <c r="J740" t="s">
        <v>60</v>
      </c>
      <c r="K740" s="9">
        <f>Table1[[#This Row], [NUM OF MEM]]*Table1[[#This Row], [TOTAL TIME TAKEN]]*_xlfn.XLOOKUP(Table1[[#This Row], [EXIT]],Sheet1!$A$70:$A$71,Sheet1!$B$70:$B$71)*(1+_xlfn.XLOOKUP(Table1[[#This Row], [EXIT]],Sheet1!$A$70:$A$71,Sheet1!$C$70:$C$71))</f>
        <v>1753817.7749999999</v>
      </c>
      <c r="L740" s="13" t="s">
        <v>61</v>
      </c>
      <c r="M740" s="4">
        <f>IF(Table1[[#This Row], [EQUIPMENT]]="YES",Sheet1!$C$44*(1+Sheet1!$D$44),0)</f>
        <v>0</v>
      </c>
      <c r="N740" s="4">
        <f>_xlfn.XLOOKUP(Table1[[#This Row], [ROOM]],Sheet1!$A$47:$A$66,Sheet1!$F$47:$F$66)</f>
        <v>17450000</v>
      </c>
      <c r="O740" s="9">
        <f>_xlfn.XLOOKUP(_xlfn.CONCAT(Table1[[#This Row], [TEAM]],Table1[[#This Row], [ROOM]]),'ROOM TIME'!$H$2:$H$121,'ROOM TIME'!$J$2:$J$121)</f>
        <v>60.91</v>
      </c>
      <c r="P740" s="9">
        <f>(INDEX(Sheet1!$X$48:$Z$67,MATCH(Table1[[#This Row], [ROOM]],Sheet1!$P$48:$P$67,0),MATCH(Table1[[#This Row], [WEAPON]],Sheet1!$X$47:$Z$47,0)))/Table1[[#This Row], [NUM OF MEM]]</f>
        <v>7.4250000000000007</v>
      </c>
      <c r="Q740" s="9">
        <f>Table1[[#This Row], [ROOM TIME]]+Table1[[#This Row], [GUARD TIME]]</f>
        <v>68.334999999999994</v>
      </c>
      <c r="R740" s="4">
        <f>Sheet1!$K$3*_xlfn.XLOOKUP(Table1[[#This Row], [DISGUISE]],Sheet1!$A$21:$A$23,Sheet1!$D$21:$D$23)</f>
        <v>69</v>
      </c>
      <c r="S740" s="9">
        <f>Table1[[#This Row], [TOTAL TIME]]-Table1[[#This Row], [TOTAL TIME TAKEN]]</f>
        <v>0.66500000000000625</v>
      </c>
      <c r="T740" t="str">
        <f>IF(Table1[[#This Row], [TIME DIFFERENCE]]&gt;=0,"PASS","FAIL")</f>
        <v>PASS</v>
      </c>
      <c r="U740" s="9">
        <f>Table1[[#This Row], [TRC]]+Table1[[#This Row], [DRC]]+Table1[[#This Row], [WRC]]+Table1[[#This Row], [ERC]]+Table1[[#This Row], [EQRC]]</f>
        <v>7775017.7750000004</v>
      </c>
      <c r="V740" s="9">
        <f>Table1[[#This Row], [TOTAL COST]]+_xlfn.XLOOKUP(Table1[[#This Row], [TEAM]],Sheet1!$A$12:$A$17,Sheet1!$I$12:$I$17)</f>
        <v>8072497.7750000004</v>
      </c>
      <c r="W740" s="9">
        <f>Table1[[#This Row], [LOOT]]-Table1[[#This Row], [TOTAL COST]]</f>
        <v>9674982.2249999996</v>
      </c>
      <c r="X740" s="9">
        <f>IF(Table1[[#This Row], [PASS/FAIL]]="FAIL",0,Table1[[#This Row], [PROFIT]])</f>
        <v>9674982.2249999996</v>
      </c>
    </row>
    <row r="741" spans="1:24" ht="19.5" customHeight="1" x14ac:dyDescent="0.45">
      <c r="A741" t="s">
        <v>12</v>
      </c>
      <c r="B741" s="14">
        <f>_xlfn.XLOOKUP(Table1[[#This Row], [TEAM]],Sheet1!$A$12:$A$17,Sheet1!$F$12:$F$17)</f>
        <v>3</v>
      </c>
      <c r="C741" s="14">
        <f>_xlfn.XLOOKUP(Table1[[#This Row], [TEAM]],Sheet1!$A$12:$A$17,Sheet1!$G$12:$G$17)</f>
        <v>5988750</v>
      </c>
      <c r="D741" t="s">
        <v>34</v>
      </c>
      <c r="E741" s="4">
        <f>_xlfn.XLOOKUP(Table1[[#This Row], [ROOM]],Sheet1!$A$47:$A$66,Sheet1!$B$47:$B$66)</f>
        <v>456</v>
      </c>
      <c r="F741" t="s">
        <v>58</v>
      </c>
      <c r="G741" s="4">
        <f>_xlfn.XLOOKUP(Table1[[#This Row], [DISGUISE]],Sheet1!$A$21:$A$23,Sheet1!$B$21:$B$23)*Table1[[#This Row], [NUM OF MEM]]*(1+_xlfn.XLOOKUP(Table1[[#This Row], [DISGUISE]],Sheet1!$A$21:$A$23,Sheet1!$C$21:$C$23))</f>
        <v>38400</v>
      </c>
      <c r="H741" s="13" t="s">
        <v>63</v>
      </c>
      <c r="I741" s="4">
        <f>_xlfn.XLOOKUP(Table1[[#This Row], [WEAPON]],Sheet1!$A$27:$A$29,Sheet1!$B$27:$B$29)*Table1[[#This Row], [NUM OF MEM]]*(1+_xlfn.XLOOKUP(Table1[[#This Row], [WEAPON]],Sheet1!$A$27:$A$29,Sheet1!$C$27:$C$29))</f>
        <v>69000</v>
      </c>
      <c r="J741" t="s">
        <v>64</v>
      </c>
      <c r="K741" s="9">
        <f>Table1[[#This Row], [NUM OF MEM]]*Table1[[#This Row], [TOTAL TIME TAKEN]]*_xlfn.XLOOKUP(Table1[[#This Row], [EXIT]],Sheet1!$A$70:$A$71,Sheet1!$B$70:$B$71)*(1+_xlfn.XLOOKUP(Table1[[#This Row], [EXIT]],Sheet1!$A$70:$A$71,Sheet1!$C$70:$C$71))</f>
        <v>1621857.5999999994</v>
      </c>
      <c r="L741" s="13" t="s">
        <v>65</v>
      </c>
      <c r="M741" s="4">
        <f>IF(Table1[[#This Row], [EQUIPMENT]]="YES",Sheet1!$C$44*(1+Sheet1!$D$44),0)</f>
        <v>307500</v>
      </c>
      <c r="N741" s="4">
        <f>_xlfn.XLOOKUP(Table1[[#This Row], [ROOM]],Sheet1!$A$47:$A$66,Sheet1!$F$47:$F$66)</f>
        <v>17700000</v>
      </c>
      <c r="O741" s="9">
        <f>_xlfn.XLOOKUP(_xlfn.CONCAT(Table1[[#This Row], [TEAM]],Table1[[#This Row], [ROOM]]),'ROOM TIME'!$H$2:$H$121,'ROOM TIME'!$J$2:$J$121)</f>
        <v>36.764444444444429</v>
      </c>
      <c r="P741" s="9">
        <f>(INDEX(Sheet1!$X$48:$Z$67,MATCH(Table1[[#This Row], [ROOM]],Sheet1!$P$48:$P$67,0),MATCH(Table1[[#This Row], [WEAPON]],Sheet1!$X$47:$Z$47,0)))/Table1[[#This Row], [NUM OF MEM]]</f>
        <v>4.95</v>
      </c>
      <c r="Q741" s="9">
        <f>Table1[[#This Row], [ROOM TIME]]+Table1[[#This Row], [GUARD TIME]]</f>
        <v>41.714444444444432</v>
      </c>
      <c r="R741" s="4">
        <f>Sheet1!$K$3*_xlfn.XLOOKUP(Table1[[#This Row], [DISGUISE]],Sheet1!$A$21:$A$23,Sheet1!$D$21:$D$23)</f>
        <v>69</v>
      </c>
      <c r="S741" s="9">
        <f>Table1[[#This Row], [TOTAL TIME]]-Table1[[#This Row], [TOTAL TIME TAKEN]]</f>
        <v>27.285555555555568</v>
      </c>
      <c r="T741" t="str">
        <f>IF(Table1[[#This Row], [TIME DIFFERENCE]]&gt;=0,"PASS","FAIL")</f>
        <v>PASS</v>
      </c>
      <c r="U741" s="9">
        <f>Table1[[#This Row], [TRC]]+Table1[[#This Row], [DRC]]+Table1[[#This Row], [WRC]]+Table1[[#This Row], [ERC]]+Table1[[#This Row], [EQRC]]</f>
        <v>8025507.5999999996</v>
      </c>
      <c r="V741" s="9">
        <f>Table1[[#This Row], [TOTAL COST]]+_xlfn.XLOOKUP(Table1[[#This Row], [TEAM]],Sheet1!$A$12:$A$17,Sheet1!$I$12:$I$17)</f>
        <v>8324945.0999999996</v>
      </c>
      <c r="W741" s="9">
        <f>Table1[[#This Row], [LOOT]]-Table1[[#This Row], [TOTAL COST]]</f>
        <v>9674492.4000000004</v>
      </c>
      <c r="X741" s="9">
        <f>IF(Table1[[#This Row], [PASS/FAIL]]="FAIL",0,Table1[[#This Row], [PROFIT]])</f>
        <v>9674492.4000000004</v>
      </c>
    </row>
    <row r="742" spans="1:24" ht="19.5" customHeight="1" x14ac:dyDescent="0.45">
      <c r="A742" t="s">
        <v>12</v>
      </c>
      <c r="B742" s="14">
        <f>_xlfn.XLOOKUP(Table1[[#This Row], [TEAM]],Sheet1!$A$12:$A$17,Sheet1!$F$12:$F$17)</f>
        <v>3</v>
      </c>
      <c r="C742" s="14">
        <f>_xlfn.XLOOKUP(Table1[[#This Row], [TEAM]],Sheet1!$A$12:$A$17,Sheet1!$G$12:$G$17)</f>
        <v>5988750</v>
      </c>
      <c r="D742" t="s">
        <v>34</v>
      </c>
      <c r="E742" s="4">
        <f>_xlfn.XLOOKUP(Table1[[#This Row], [ROOM]],Sheet1!$A$47:$A$66,Sheet1!$B$47:$B$66)</f>
        <v>456</v>
      </c>
      <c r="F742" t="s">
        <v>62</v>
      </c>
      <c r="G742" s="4">
        <f>_xlfn.XLOOKUP(Table1[[#This Row], [DISGUISE]],Sheet1!$A$21:$A$23,Sheet1!$B$21:$B$23)*Table1[[#This Row], [NUM OF MEM]]*(1+_xlfn.XLOOKUP(Table1[[#This Row], [DISGUISE]],Sheet1!$A$21:$A$23,Sheet1!$C$21:$C$23))</f>
        <v>15600</v>
      </c>
      <c r="H742" s="13" t="s">
        <v>59</v>
      </c>
      <c r="I742" s="4">
        <f>_xlfn.XLOOKUP(Table1[[#This Row], [WEAPON]],Sheet1!$A$27:$A$29,Sheet1!$B$27:$B$29)*Table1[[#This Row], [NUM OF MEM]]*(1+_xlfn.XLOOKUP(Table1[[#This Row], [WEAPON]],Sheet1!$A$27:$A$29,Sheet1!$C$27:$C$29))</f>
        <v>136500</v>
      </c>
      <c r="J742" t="s">
        <v>60</v>
      </c>
      <c r="K742" s="9">
        <f>Table1[[#This Row], [NUM OF MEM]]*Table1[[#This Row], [TOTAL TIME TAKEN]]*_xlfn.XLOOKUP(Table1[[#This Row], [EXIT]],Sheet1!$A$70:$A$71,Sheet1!$B$70:$B$71)*(1+_xlfn.XLOOKUP(Table1[[#This Row], [EXIT]],Sheet1!$A$70:$A$71,Sheet1!$C$70:$C$71))</f>
        <v>1577670.3249999997</v>
      </c>
      <c r="L742" s="13" t="s">
        <v>65</v>
      </c>
      <c r="M742" s="4">
        <f>IF(Table1[[#This Row], [EQUIPMENT]]="YES",Sheet1!$C$44*(1+Sheet1!$D$44),0)</f>
        <v>307500</v>
      </c>
      <c r="N742" s="4">
        <f>_xlfn.XLOOKUP(Table1[[#This Row], [ROOM]],Sheet1!$A$47:$A$66,Sheet1!$F$47:$F$66)</f>
        <v>17700000</v>
      </c>
      <c r="O742" s="9">
        <f>_xlfn.XLOOKUP(_xlfn.CONCAT(Table1[[#This Row], [TEAM]],Table1[[#This Row], [ROOM]]),'ROOM TIME'!$H$2:$H$121,'ROOM TIME'!$J$2:$J$121)</f>
        <v>36.764444444444429</v>
      </c>
      <c r="P742" s="9">
        <f>(INDEX(Sheet1!$X$48:$Z$67,MATCH(Table1[[#This Row], [ROOM]],Sheet1!$P$48:$P$67,0),MATCH(Table1[[#This Row], [WEAPON]],Sheet1!$X$47:$Z$47,0)))/Table1[[#This Row], [NUM OF MEM]]</f>
        <v>4.2166666666666659</v>
      </c>
      <c r="Q742" s="9">
        <f>Table1[[#This Row], [ROOM TIME]]+Table1[[#This Row], [GUARD TIME]]</f>
        <v>40.981111111111098</v>
      </c>
      <c r="R742" s="4">
        <f>Sheet1!$K$3*_xlfn.XLOOKUP(Table1[[#This Row], [DISGUISE]],Sheet1!$A$21:$A$23,Sheet1!$D$21:$D$23)</f>
        <v>66</v>
      </c>
      <c r="S742" s="9">
        <f>Table1[[#This Row], [TOTAL TIME]]-Table1[[#This Row], [TOTAL TIME TAKEN]]</f>
        <v>25.018888888888902</v>
      </c>
      <c r="T742" t="str">
        <f>IF(Table1[[#This Row], [TIME DIFFERENCE]]&gt;=0,"PASS","FAIL")</f>
        <v>PASS</v>
      </c>
      <c r="U742" s="9">
        <f>Table1[[#This Row], [TRC]]+Table1[[#This Row], [DRC]]+Table1[[#This Row], [WRC]]+Table1[[#This Row], [ERC]]+Table1[[#This Row], [EQRC]]</f>
        <v>8026020.3249999993</v>
      </c>
      <c r="V742" s="9">
        <f>Table1[[#This Row], [TOTAL COST]]+_xlfn.XLOOKUP(Table1[[#This Row], [TEAM]],Sheet1!$A$12:$A$17,Sheet1!$I$12:$I$17)</f>
        <v>8325457.8249999993</v>
      </c>
      <c r="W742" s="9">
        <f>Table1[[#This Row], [LOOT]]-Table1[[#This Row], [TOTAL COST]]</f>
        <v>9673979.6750000007</v>
      </c>
      <c r="X742" s="9">
        <f>IF(Table1[[#This Row], [PASS/FAIL]]="FAIL",0,Table1[[#This Row], [PROFIT]])</f>
        <v>9673979.6750000007</v>
      </c>
    </row>
    <row r="743" spans="1:24" ht="19.5" customHeight="1" x14ac:dyDescent="0.45">
      <c r="A743" t="s">
        <v>13</v>
      </c>
      <c r="B743" s="14">
        <f>_xlfn.XLOOKUP(Table1[[#This Row], [TEAM]],Sheet1!$A$12:$A$17,Sheet1!$F$12:$F$17)</f>
        <v>3</v>
      </c>
      <c r="C743" s="14">
        <f>_xlfn.XLOOKUP(Table1[[#This Row], [TEAM]],Sheet1!$A$12:$A$17,Sheet1!$G$12:$G$17)</f>
        <v>5930000</v>
      </c>
      <c r="D743" t="s">
        <v>27</v>
      </c>
      <c r="E743" s="4">
        <f>_xlfn.XLOOKUP(Table1[[#This Row], [ROOM]],Sheet1!$A$47:$A$66,Sheet1!$B$47:$B$66)</f>
        <v>146</v>
      </c>
      <c r="F743" t="s">
        <v>58</v>
      </c>
      <c r="G743" s="4">
        <f>_xlfn.XLOOKUP(Table1[[#This Row], [DISGUISE]],Sheet1!$A$21:$A$23,Sheet1!$B$21:$B$23)*Table1[[#This Row], [NUM OF MEM]]*(1+_xlfn.XLOOKUP(Table1[[#This Row], [DISGUISE]],Sheet1!$A$21:$A$23,Sheet1!$C$21:$C$23))</f>
        <v>38400</v>
      </c>
      <c r="H743" s="13" t="s">
        <v>59</v>
      </c>
      <c r="I743" s="4">
        <f>_xlfn.XLOOKUP(Table1[[#This Row], [WEAPON]],Sheet1!$A$27:$A$29,Sheet1!$B$27:$B$29)*Table1[[#This Row], [NUM OF MEM]]*(1+_xlfn.XLOOKUP(Table1[[#This Row], [WEAPON]],Sheet1!$A$27:$A$29,Sheet1!$C$27:$C$29))</f>
        <v>136500</v>
      </c>
      <c r="J743" t="s">
        <v>60</v>
      </c>
      <c r="K743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1664375.25</v>
      </c>
      <c r="L743" s="13" t="s">
        <v>65</v>
      </c>
      <c r="M743" s="4">
        <f>IF(Table1[[#This Row], [EQUIPMENT]]="YES",Sheet1!$C$44*(1+Sheet1!$D$44),0)</f>
        <v>307500</v>
      </c>
      <c r="N743" s="4">
        <f>_xlfn.XLOOKUP(Table1[[#This Row], [ROOM]],Sheet1!$A$47:$A$66,Sheet1!$F$47:$F$66)</f>
        <v>17750000</v>
      </c>
      <c r="O743" s="9">
        <f>_xlfn.XLOOKUP(_xlfn.CONCAT(Table1[[#This Row], [TEAM]],Table1[[#This Row], [ROOM]]),'ROOM TIME'!$H$2:$H$121,'ROOM TIME'!$J$2:$J$121)</f>
        <v>39.016666666666659</v>
      </c>
      <c r="P743" s="9">
        <f>(INDEX(Sheet1!$X$48:$Z$67,MATCH(Table1[[#This Row], [ROOM]],Sheet1!$P$48:$P$67,0),MATCH(Table1[[#This Row], [WEAPON]],Sheet1!$X$47:$Z$47,0)))/Table1[[#This Row], [NUM OF MEM]]</f>
        <v>4.2166666666666659</v>
      </c>
      <c r="Q743" s="9">
        <f>Table1[[#This Row], [ROOM TIME]]+Table1[[#This Row], [GUARD TIME]]</f>
        <v>43.233333333333327</v>
      </c>
      <c r="R743" s="4">
        <f>Sheet1!$K$3*_xlfn.XLOOKUP(Table1[[#This Row], [DISGUISE]],Sheet1!$A$21:$A$23,Sheet1!$D$21:$D$23)</f>
        <v>69</v>
      </c>
      <c r="S743" s="9">
        <f>Table1[[#This Row], [TOTAL TIME]]-Table1[[#This Row], [TOTAL TIME TAKEN]]</f>
        <v>25.766666666666673</v>
      </c>
      <c r="T743" t="str">
        <f>IF(Table1[[#This Row], [TIME DIFFERENCE]]&gt;=0,"PASS","FAIL")</f>
        <v>PASS</v>
      </c>
      <c r="U743" s="9">
        <f>Table1[[#This Row], [TRC]]+Table1[[#This Row], [DRC]]+Table1[[#This Row], [WRC]]+Table1[[#This Row], [ERC]]+Table1[[#This Row], [EQRC]]</f>
        <v>8076775.25</v>
      </c>
      <c r="V743" s="9">
        <f>Table1[[#This Row], [TOTAL COST]]+_xlfn.XLOOKUP(Table1[[#This Row], [TEAM]],Sheet1!$A$12:$A$17,Sheet1!$I$12:$I$17)</f>
        <v>8373275.25</v>
      </c>
      <c r="W743" s="9">
        <f>Table1[[#This Row], [LOOT]]-Table1[[#This Row], [TOTAL COST]]</f>
        <v>9673224.75</v>
      </c>
      <c r="X743" s="9">
        <f>IF(Table1[[#This Row], [PASS/FAIL]]="FAIL",0,Table1[[#This Row], [PROFIT]])</f>
        <v>9673224.75</v>
      </c>
    </row>
    <row r="744" spans="1:24" ht="19.5" customHeight="1" x14ac:dyDescent="0.45">
      <c r="A744" t="s">
        <v>9</v>
      </c>
      <c r="B744" s="14">
        <f>_xlfn.XLOOKUP(Table1[[#This Row], [TEAM]],Sheet1!$A$12:$A$17,Sheet1!$F$12:$F$17)</f>
        <v>3</v>
      </c>
      <c r="C744" s="14">
        <f>_xlfn.XLOOKUP(Table1[[#This Row], [TEAM]],Sheet1!$A$12:$A$17,Sheet1!$G$12:$G$17)</f>
        <v>6238750</v>
      </c>
      <c r="D744" t="s">
        <v>18</v>
      </c>
      <c r="E744" s="4">
        <f>_xlfn.XLOOKUP(Table1[[#This Row], [ROOM]],Sheet1!$A$47:$A$66,Sheet1!$B$47:$B$66)</f>
        <v>134</v>
      </c>
      <c r="F744" t="s">
        <v>62</v>
      </c>
      <c r="G744" s="4">
        <f>_xlfn.XLOOKUP(Table1[[#This Row], [DISGUISE]],Sheet1!$A$21:$A$23,Sheet1!$B$21:$B$23)*Table1[[#This Row], [NUM OF MEM]]*(1+_xlfn.XLOOKUP(Table1[[#This Row], [DISGUISE]],Sheet1!$A$21:$A$23,Sheet1!$C$21:$C$23))</f>
        <v>15600</v>
      </c>
      <c r="H744" s="13" t="s">
        <v>59</v>
      </c>
      <c r="I744" s="4">
        <f>_xlfn.XLOOKUP(Table1[[#This Row], [WEAPON]],Sheet1!$A$27:$A$29,Sheet1!$B$27:$B$29)*Table1[[#This Row], [NUM OF MEM]]*(1+_xlfn.XLOOKUP(Table1[[#This Row], [WEAPON]],Sheet1!$A$27:$A$29,Sheet1!$C$27:$C$29))</f>
        <v>136500</v>
      </c>
      <c r="J744" t="s">
        <v>60</v>
      </c>
      <c r="K744" s="9">
        <f>Table1[[#This Row], [NUM OF MEM]]*Table1[[#This Row], [TOTAL TIME TAKEN]]*_xlfn.XLOOKUP(Table1[[#This Row], [EXIT]],Sheet1!$A$70:$A$71,Sheet1!$B$70:$B$71)*(1+_xlfn.XLOOKUP(Table1[[#This Row], [EXIT]],Sheet1!$A$70:$A$71,Sheet1!$C$70:$C$71))</f>
        <v>1678640.7124999997</v>
      </c>
      <c r="L744" s="13" t="s">
        <v>65</v>
      </c>
      <c r="M744" s="4">
        <f>IF(Table1[[#This Row], [EQUIPMENT]]="YES",Sheet1!$C$44*(1+Sheet1!$D$44),0)</f>
        <v>307500</v>
      </c>
      <c r="N744" s="4">
        <f>_xlfn.XLOOKUP(Table1[[#This Row], [ROOM]],Sheet1!$A$47:$A$66,Sheet1!$F$47:$F$66)</f>
        <v>18050000</v>
      </c>
      <c r="O744" s="9">
        <f>_xlfn.XLOOKUP(_xlfn.CONCAT(Table1[[#This Row], [TEAM]],Table1[[#This Row], [ROOM]]),'ROOM TIME'!$H$2:$H$121,'ROOM TIME'!$J$2:$J$121)</f>
        <v>39.003888888888881</v>
      </c>
      <c r="P744" s="9">
        <f>(INDEX(Sheet1!$X$48:$Z$67,MATCH(Table1[[#This Row], [ROOM]],Sheet1!$P$48:$P$67,0),MATCH(Table1[[#This Row], [WEAPON]],Sheet1!$X$47:$Z$47,0)))/Table1[[#This Row], [NUM OF MEM]]</f>
        <v>4.5999999999999996</v>
      </c>
      <c r="Q744" s="9">
        <f>Table1[[#This Row], [ROOM TIME]]+Table1[[#This Row], [GUARD TIME]]</f>
        <v>43.603888888888882</v>
      </c>
      <c r="R744" s="4">
        <f>Sheet1!$K$3*_xlfn.XLOOKUP(Table1[[#This Row], [DISGUISE]],Sheet1!$A$21:$A$23,Sheet1!$D$21:$D$23)</f>
        <v>66</v>
      </c>
      <c r="S744" s="9">
        <f>Table1[[#This Row], [TOTAL TIME]]-Table1[[#This Row], [TOTAL TIME TAKEN]]</f>
        <v>22.396111111111118</v>
      </c>
      <c r="T744" t="str">
        <f>IF(Table1[[#This Row], [TIME DIFFERENCE]]&gt;=0,"PASS","FAIL")</f>
        <v>PASS</v>
      </c>
      <c r="U744" s="9">
        <f>Table1[[#This Row], [TRC]]+Table1[[#This Row], [DRC]]+Table1[[#This Row], [WRC]]+Table1[[#This Row], [ERC]]+Table1[[#This Row], [EQRC]]</f>
        <v>8376990.7124999994</v>
      </c>
      <c r="V744" s="9">
        <f>Table1[[#This Row], [TOTAL COST]]+_xlfn.XLOOKUP(Table1[[#This Row], [TEAM]],Sheet1!$A$12:$A$17,Sheet1!$I$12:$I$17)</f>
        <v>8688928.2124999985</v>
      </c>
      <c r="W744" s="9">
        <f>Table1[[#This Row], [LOOT]]-Table1[[#This Row], [TOTAL COST]]</f>
        <v>9673009.2875000015</v>
      </c>
      <c r="X744" s="9">
        <f>IF(Table1[[#This Row], [PASS/FAIL]]="FAIL",0,Table1[[#This Row], [PROFIT]])</f>
        <v>9673009.2875000015</v>
      </c>
    </row>
    <row r="745" spans="1:24" ht="19.5" customHeight="1" x14ac:dyDescent="0.45">
      <c r="A745" t="s">
        <v>12</v>
      </c>
      <c r="B745" s="14">
        <f>_xlfn.XLOOKUP(Table1[[#This Row], [TEAM]],Sheet1!$A$12:$A$17,Sheet1!$F$12:$F$17)</f>
        <v>3</v>
      </c>
      <c r="C745" s="14">
        <f>_xlfn.XLOOKUP(Table1[[#This Row], [TEAM]],Sheet1!$A$12:$A$17,Sheet1!$G$12:$G$17)</f>
        <v>5988750</v>
      </c>
      <c r="D745" t="s">
        <v>34</v>
      </c>
      <c r="E745" s="4">
        <f>_xlfn.XLOOKUP(Table1[[#This Row], [ROOM]],Sheet1!$A$47:$A$66,Sheet1!$B$47:$B$66)</f>
        <v>456</v>
      </c>
      <c r="F745" t="s">
        <v>62</v>
      </c>
      <c r="G745" s="4">
        <f>_xlfn.XLOOKUP(Table1[[#This Row], [DISGUISE]],Sheet1!$A$21:$A$23,Sheet1!$B$21:$B$23)*Table1[[#This Row], [NUM OF MEM]]*(1+_xlfn.XLOOKUP(Table1[[#This Row], [DISGUISE]],Sheet1!$A$21:$A$23,Sheet1!$C$21:$C$23))</f>
        <v>15600</v>
      </c>
      <c r="H745" s="13" t="s">
        <v>66</v>
      </c>
      <c r="I745" s="4">
        <f>_xlfn.XLOOKUP(Table1[[#This Row], [WEAPON]],Sheet1!$A$27:$A$29,Sheet1!$B$27:$B$29)*Table1[[#This Row], [NUM OF MEM]]*(1+_xlfn.XLOOKUP(Table1[[#This Row], [WEAPON]],Sheet1!$A$27:$A$29,Sheet1!$C$27:$C$29))</f>
        <v>108000</v>
      </c>
      <c r="J745" t="s">
        <v>64</v>
      </c>
      <c r="K745" s="9">
        <f>Table1[[#This Row], [NUM OF MEM]]*Table1[[#This Row], [TOTAL TIME TAKEN]]*_xlfn.XLOOKUP(Table1[[#This Row], [EXIT]],Sheet1!$A$70:$A$71,Sheet1!$B$70:$B$71)*(1+_xlfn.XLOOKUP(Table1[[#This Row], [EXIT]],Sheet1!$A$70:$A$71,Sheet1!$C$70:$C$71))</f>
        <v>1607601.5999999994</v>
      </c>
      <c r="L745" s="13" t="s">
        <v>65</v>
      </c>
      <c r="M745" s="4">
        <f>IF(Table1[[#This Row], [EQUIPMENT]]="YES",Sheet1!$C$44*(1+Sheet1!$D$44),0)</f>
        <v>307500</v>
      </c>
      <c r="N745" s="4">
        <f>_xlfn.XLOOKUP(Table1[[#This Row], [ROOM]],Sheet1!$A$47:$A$66,Sheet1!$F$47:$F$66)</f>
        <v>17700000</v>
      </c>
      <c r="O745" s="9">
        <f>_xlfn.XLOOKUP(_xlfn.CONCAT(Table1[[#This Row], [TEAM]],Table1[[#This Row], [ROOM]]),'ROOM TIME'!$H$2:$H$121,'ROOM TIME'!$J$2:$J$121)</f>
        <v>36.764444444444429</v>
      </c>
      <c r="P745" s="9">
        <f>(INDEX(Sheet1!$X$48:$Z$67,MATCH(Table1[[#This Row], [ROOM]],Sheet1!$P$48:$P$67,0),MATCH(Table1[[#This Row], [WEAPON]],Sheet1!$X$47:$Z$47,0)))/Table1[[#This Row], [NUM OF MEM]]</f>
        <v>4.583333333333333</v>
      </c>
      <c r="Q745" s="9">
        <f>Table1[[#This Row], [ROOM TIME]]+Table1[[#This Row], [GUARD TIME]]</f>
        <v>41.347777777777765</v>
      </c>
      <c r="R745" s="4">
        <f>Sheet1!$K$3*_xlfn.XLOOKUP(Table1[[#This Row], [DISGUISE]],Sheet1!$A$21:$A$23,Sheet1!$D$21:$D$23)</f>
        <v>66</v>
      </c>
      <c r="S745" s="9">
        <f>Table1[[#This Row], [TOTAL TIME]]-Table1[[#This Row], [TOTAL TIME TAKEN]]</f>
        <v>24.652222222222235</v>
      </c>
      <c r="T745" t="str">
        <f>IF(Table1[[#This Row], [TIME DIFFERENCE]]&gt;=0,"PASS","FAIL")</f>
        <v>PASS</v>
      </c>
      <c r="U745" s="9">
        <f>Table1[[#This Row], [TRC]]+Table1[[#This Row], [DRC]]+Table1[[#This Row], [WRC]]+Table1[[#This Row], [ERC]]+Table1[[#This Row], [EQRC]]</f>
        <v>8027451.5999999996</v>
      </c>
      <c r="V745" s="9">
        <f>Table1[[#This Row], [TOTAL COST]]+_xlfn.XLOOKUP(Table1[[#This Row], [TEAM]],Sheet1!$A$12:$A$17,Sheet1!$I$12:$I$17)</f>
        <v>8326889.0999999996</v>
      </c>
      <c r="W745" s="9">
        <f>Table1[[#This Row], [LOOT]]-Table1[[#This Row], [TOTAL COST]]</f>
        <v>9672548.4000000004</v>
      </c>
      <c r="X745" s="9">
        <f>IF(Table1[[#This Row], [PASS/FAIL]]="FAIL",0,Table1[[#This Row], [PROFIT]])</f>
        <v>9672548.4000000004</v>
      </c>
    </row>
    <row r="746" spans="1:24" ht="19.5" customHeight="1" x14ac:dyDescent="0.45">
      <c r="A746" t="s">
        <v>12</v>
      </c>
      <c r="B746" s="14">
        <f>_xlfn.XLOOKUP(Table1[[#This Row], [TEAM]],Sheet1!$A$12:$A$17,Sheet1!$F$12:$F$17)</f>
        <v>3</v>
      </c>
      <c r="C746" s="14">
        <f>_xlfn.XLOOKUP(Table1[[#This Row], [TEAM]],Sheet1!$A$12:$A$17,Sheet1!$G$12:$G$17)</f>
        <v>5988750</v>
      </c>
      <c r="D746" t="s">
        <v>28</v>
      </c>
      <c r="E746" s="4">
        <f>_xlfn.XLOOKUP(Table1[[#This Row], [ROOM]],Sheet1!$A$47:$A$66,Sheet1!$B$47:$B$66)</f>
        <v>156</v>
      </c>
      <c r="F746" t="s">
        <v>62</v>
      </c>
      <c r="G746" s="4">
        <f>_xlfn.XLOOKUP(Table1[[#This Row], [DISGUISE]],Sheet1!$A$21:$A$23,Sheet1!$B$21:$B$23)*Table1[[#This Row], [NUM OF MEM]]*(1+_xlfn.XLOOKUP(Table1[[#This Row], [DISGUISE]],Sheet1!$A$21:$A$23,Sheet1!$C$21:$C$23))</f>
        <v>15600</v>
      </c>
      <c r="H746" s="13" t="s">
        <v>63</v>
      </c>
      <c r="I746" s="4">
        <f>_xlfn.XLOOKUP(Table1[[#This Row], [WEAPON]],Sheet1!$A$27:$A$29,Sheet1!$B$27:$B$29)*Table1[[#This Row], [NUM OF MEM]]*(1+_xlfn.XLOOKUP(Table1[[#This Row], [WEAPON]],Sheet1!$A$27:$A$29,Sheet1!$C$27:$C$29))</f>
        <v>69000</v>
      </c>
      <c r="J746" t="s">
        <v>60</v>
      </c>
      <c r="K746" s="9">
        <f>Table1[[#This Row], [NUM OF MEM]]*Table1[[#This Row], [TOTAL TIME TAKEN]]*_xlfn.XLOOKUP(Table1[[#This Row], [EXIT]],Sheet1!$A$70:$A$71,Sheet1!$B$70:$B$71)*(1+_xlfn.XLOOKUP(Table1[[#This Row], [EXIT]],Sheet1!$A$70:$A$71,Sheet1!$C$70:$C$71))</f>
        <v>1597004.6249999993</v>
      </c>
      <c r="L746" s="13" t="s">
        <v>65</v>
      </c>
      <c r="M746" s="4">
        <f>IF(Table1[[#This Row], [EQUIPMENT]]="YES",Sheet1!$C$44*(1+Sheet1!$D$44),0)</f>
        <v>307500</v>
      </c>
      <c r="N746" s="4">
        <f>_xlfn.XLOOKUP(Table1[[#This Row], [ROOM]],Sheet1!$A$47:$A$66,Sheet1!$F$47:$F$66)</f>
        <v>17650000</v>
      </c>
      <c r="O746" s="9">
        <f>_xlfn.XLOOKUP(_xlfn.CONCAT(Table1[[#This Row], [TEAM]],Table1[[#This Row], [ROOM]]),'ROOM TIME'!$H$2:$H$121,'ROOM TIME'!$J$2:$J$121)</f>
        <v>36.98333333333332</v>
      </c>
      <c r="P746" s="9">
        <f>(INDEX(Sheet1!$X$48:$Z$67,MATCH(Table1[[#This Row], [ROOM]],Sheet1!$P$48:$P$67,0),MATCH(Table1[[#This Row], [WEAPON]],Sheet1!$X$47:$Z$47,0)))/Table1[[#This Row], [NUM OF MEM]]</f>
        <v>4.5</v>
      </c>
      <c r="Q746" s="9">
        <f>Table1[[#This Row], [ROOM TIME]]+Table1[[#This Row], [GUARD TIME]]</f>
        <v>41.48333333333332</v>
      </c>
      <c r="R746" s="4">
        <f>Sheet1!$K$3*_xlfn.XLOOKUP(Table1[[#This Row], [DISGUISE]],Sheet1!$A$21:$A$23,Sheet1!$D$21:$D$23)</f>
        <v>66</v>
      </c>
      <c r="S746" s="9">
        <f>Table1[[#This Row], [TOTAL TIME]]-Table1[[#This Row], [TOTAL TIME TAKEN]]</f>
        <v>24.51666666666668</v>
      </c>
      <c r="T746" t="str">
        <f>IF(Table1[[#This Row], [TIME DIFFERENCE]]&gt;=0,"PASS","FAIL")</f>
        <v>PASS</v>
      </c>
      <c r="U746" s="9">
        <f>Table1[[#This Row], [TRC]]+Table1[[#This Row], [DRC]]+Table1[[#This Row], [WRC]]+Table1[[#This Row], [ERC]]+Table1[[#This Row], [EQRC]]</f>
        <v>7977854.6249999991</v>
      </c>
      <c r="V746" s="9">
        <f>Table1[[#This Row], [TOTAL COST]]+_xlfn.XLOOKUP(Table1[[#This Row], [TEAM]],Sheet1!$A$12:$A$17,Sheet1!$I$12:$I$17)</f>
        <v>8277292.1249999991</v>
      </c>
      <c r="W746" s="9">
        <f>Table1[[#This Row], [LOOT]]-Table1[[#This Row], [TOTAL COST]]</f>
        <v>9672145.375</v>
      </c>
      <c r="X746" s="9">
        <f>IF(Table1[[#This Row], [PASS/FAIL]]="FAIL",0,Table1[[#This Row], [PROFIT]])</f>
        <v>9672145.375</v>
      </c>
    </row>
    <row r="747" spans="1:24" ht="19.5" customHeight="1" x14ac:dyDescent="0.45">
      <c r="A747" t="s">
        <v>16</v>
      </c>
      <c r="B747" s="14">
        <f>_xlfn.XLOOKUP(Table1[[#This Row], [TEAM]],Sheet1!$A$12:$A$17,Sheet1!$F$12:$F$17)</f>
        <v>2</v>
      </c>
      <c r="C747" s="14">
        <f>_xlfn.XLOOKUP(Table1[[#This Row], [TEAM]],Sheet1!$A$12:$A$17,Sheet1!$G$12:$G$17)</f>
        <v>6082800</v>
      </c>
      <c r="D747" t="s">
        <v>20</v>
      </c>
      <c r="E747" s="4">
        <f>_xlfn.XLOOKUP(Table1[[#This Row], [ROOM]],Sheet1!$A$47:$A$66,Sheet1!$B$47:$B$66)</f>
        <v>145</v>
      </c>
      <c r="F747" t="s">
        <v>58</v>
      </c>
      <c r="G747" s="4">
        <f>_xlfn.XLOOKUP(Table1[[#This Row], [DISGUISE]],Sheet1!$A$21:$A$23,Sheet1!$B$21:$B$23)*Table1[[#This Row], [NUM OF MEM]]*(1+_xlfn.XLOOKUP(Table1[[#This Row], [DISGUISE]],Sheet1!$A$21:$A$23,Sheet1!$C$21:$C$23))</f>
        <v>25600</v>
      </c>
      <c r="H747" s="13" t="s">
        <v>66</v>
      </c>
      <c r="I747" s="4">
        <f>_xlfn.XLOOKUP(Table1[[#This Row], [WEAPON]],Sheet1!$A$27:$A$29,Sheet1!$B$27:$B$29)*Table1[[#This Row], [NUM OF MEM]]*(1+_xlfn.XLOOKUP(Table1[[#This Row], [WEAPON]],Sheet1!$A$27:$A$29,Sheet1!$C$27:$C$29))</f>
        <v>72000</v>
      </c>
      <c r="J747" t="s">
        <v>60</v>
      </c>
      <c r="K747" s="9">
        <f>Table1[[#This Row], [NUM OF MEM]]*Table1[[#This Row], [TOTAL TIME TAKEN]]*_xlfn.XLOOKUP(Table1[[#This Row], [EXIT]],Sheet1!$A$70:$A$71,Sheet1!$B$70:$B$71)*(1+_xlfn.XLOOKUP(Table1[[#This Row], [EXIT]],Sheet1!$A$70:$A$71,Sheet1!$C$70:$C$71))</f>
        <v>1697771.8312499993</v>
      </c>
      <c r="L747" s="13" t="s">
        <v>61</v>
      </c>
      <c r="M747" s="4">
        <f>IF(Table1[[#This Row], [EQUIPMENT]]="YES",Sheet1!$C$44*(1+Sheet1!$D$44),0)</f>
        <v>0</v>
      </c>
      <c r="N747" s="4">
        <f>_xlfn.XLOOKUP(Table1[[#This Row], [ROOM]],Sheet1!$A$47:$A$66,Sheet1!$F$47:$F$66)</f>
        <v>17550000</v>
      </c>
      <c r="O747" s="9">
        <f>_xlfn.XLOOKUP(_xlfn.CONCAT(Table1[[#This Row], [TEAM]],Table1[[#This Row], [ROOM]]),'ROOM TIME'!$H$2:$H$121,'ROOM TIME'!$J$2:$J$121)</f>
        <v>59.901249999999983</v>
      </c>
      <c r="P747" s="9">
        <f>(INDEX(Sheet1!$X$48:$Z$67,MATCH(Table1[[#This Row], [ROOM]],Sheet1!$P$48:$P$67,0),MATCH(Table1[[#This Row], [WEAPON]],Sheet1!$X$47:$Z$47,0)))/Table1[[#This Row], [NUM OF MEM]]</f>
        <v>6.25</v>
      </c>
      <c r="Q747" s="9">
        <f>Table1[[#This Row], [ROOM TIME]]+Table1[[#This Row], [GUARD TIME]]</f>
        <v>66.151249999999976</v>
      </c>
      <c r="R747" s="4">
        <f>Sheet1!$K$3*_xlfn.XLOOKUP(Table1[[#This Row], [DISGUISE]],Sheet1!$A$21:$A$23,Sheet1!$D$21:$D$23)</f>
        <v>69</v>
      </c>
      <c r="S747" s="9">
        <f>Table1[[#This Row], [TOTAL TIME]]-Table1[[#This Row], [TOTAL TIME TAKEN]]</f>
        <v>2.8487500000000239</v>
      </c>
      <c r="T747" t="str">
        <f>IF(Table1[[#This Row], [TIME DIFFERENCE]]&gt;=0,"PASS","FAIL")</f>
        <v>PASS</v>
      </c>
      <c r="U747" s="9">
        <f>Table1[[#This Row], [TRC]]+Table1[[#This Row], [DRC]]+Table1[[#This Row], [WRC]]+Table1[[#This Row], [ERC]]+Table1[[#This Row], [EQRC]]</f>
        <v>7878171.8312499989</v>
      </c>
      <c r="V747" s="9">
        <f>Table1[[#This Row], [TOTAL COST]]+_xlfn.XLOOKUP(Table1[[#This Row], [TEAM]],Sheet1!$A$12:$A$17,Sheet1!$I$12:$I$17)</f>
        <v>8182311.8312499989</v>
      </c>
      <c r="W747" s="9">
        <f>Table1[[#This Row], [LOOT]]-Table1[[#This Row], [TOTAL COST]]</f>
        <v>9671828.1687500011</v>
      </c>
      <c r="X747" s="9">
        <f>IF(Table1[[#This Row], [PASS/FAIL]]="FAIL",0,Table1[[#This Row], [PROFIT]])</f>
        <v>9671828.1687500011</v>
      </c>
    </row>
    <row r="748" spans="1:24" ht="19.5" customHeight="1" x14ac:dyDescent="0.45">
      <c r="A748" t="s">
        <v>9</v>
      </c>
      <c r="B748" s="14">
        <f>_xlfn.XLOOKUP(Table1[[#This Row], [TEAM]],Sheet1!$A$12:$A$17,Sheet1!$F$12:$F$17)</f>
        <v>3</v>
      </c>
      <c r="C748" s="14">
        <f>_xlfn.XLOOKUP(Table1[[#This Row], [TEAM]],Sheet1!$A$12:$A$17,Sheet1!$G$12:$G$17)</f>
        <v>6238750</v>
      </c>
      <c r="D748" t="s">
        <v>24</v>
      </c>
      <c r="E748" s="4">
        <f>_xlfn.XLOOKUP(Table1[[#This Row], [ROOM]],Sheet1!$A$47:$A$66,Sheet1!$B$47:$B$66)</f>
        <v>345</v>
      </c>
      <c r="F748" t="s">
        <v>62</v>
      </c>
      <c r="G748" s="4">
        <f>_xlfn.XLOOKUP(Table1[[#This Row], [DISGUISE]],Sheet1!$A$21:$A$23,Sheet1!$B$21:$B$23)*Table1[[#This Row], [NUM OF MEM]]*(1+_xlfn.XLOOKUP(Table1[[#This Row], [DISGUISE]],Sheet1!$A$21:$A$23,Sheet1!$C$21:$C$23))</f>
        <v>15600</v>
      </c>
      <c r="H748" s="13" t="s">
        <v>63</v>
      </c>
      <c r="I748" s="4">
        <f>_xlfn.XLOOKUP(Table1[[#This Row], [WEAPON]],Sheet1!$A$27:$A$29,Sheet1!$B$27:$B$29)*Table1[[#This Row], [NUM OF MEM]]*(1+_xlfn.XLOOKUP(Table1[[#This Row], [WEAPON]],Sheet1!$A$27:$A$29,Sheet1!$C$27:$C$29))</f>
        <v>69000</v>
      </c>
      <c r="J748" t="s">
        <v>60</v>
      </c>
      <c r="K748" s="9">
        <f>Table1[[#This Row], [NUM OF MEM]]*Table1[[#This Row], [TOTAL TIME TAKEN]]*_xlfn.XLOOKUP(Table1[[#This Row], [EXIT]],Sheet1!$A$70:$A$71,Sheet1!$B$70:$B$71)*(1+_xlfn.XLOOKUP(Table1[[#This Row], [EXIT]],Sheet1!$A$70:$A$71,Sheet1!$C$70:$C$71))</f>
        <v>1698210.2749999997</v>
      </c>
      <c r="L748" s="13" t="s">
        <v>65</v>
      </c>
      <c r="M748" s="4">
        <f>IF(Table1[[#This Row], [EQUIPMENT]]="YES",Sheet1!$C$44*(1+Sheet1!$D$44),0)</f>
        <v>307500</v>
      </c>
      <c r="N748" s="4">
        <f>_xlfn.XLOOKUP(Table1[[#This Row], [ROOM]],Sheet1!$A$47:$A$66,Sheet1!$F$47:$F$66)</f>
        <v>18000000</v>
      </c>
      <c r="O748" s="9">
        <f>_xlfn.XLOOKUP(_xlfn.CONCAT(Table1[[#This Row], [TEAM]],Table1[[#This Row], [ROOM]]),'ROOM TIME'!$H$2:$H$121,'ROOM TIME'!$J$2:$J$121)</f>
        <v>38.712222222222216</v>
      </c>
      <c r="P748" s="9">
        <f>(INDEX(Sheet1!$X$48:$Z$67,MATCH(Table1[[#This Row], [ROOM]],Sheet1!$P$48:$P$67,0),MATCH(Table1[[#This Row], [WEAPON]],Sheet1!$X$47:$Z$47,0)))/Table1[[#This Row], [NUM OF MEM]]</f>
        <v>5.4000000000000012</v>
      </c>
      <c r="Q748" s="9">
        <f>Table1[[#This Row], [ROOM TIME]]+Table1[[#This Row], [GUARD TIME]]</f>
        <v>44.112222222222215</v>
      </c>
      <c r="R748" s="4">
        <f>Sheet1!$K$3*_xlfn.XLOOKUP(Table1[[#This Row], [DISGUISE]],Sheet1!$A$21:$A$23,Sheet1!$D$21:$D$23)</f>
        <v>66</v>
      </c>
      <c r="S748" s="9">
        <f>Table1[[#This Row], [TOTAL TIME]]-Table1[[#This Row], [TOTAL TIME TAKEN]]</f>
        <v>21.887777777777785</v>
      </c>
      <c r="T748" t="str">
        <f>IF(Table1[[#This Row], [TIME DIFFERENCE]]&gt;=0,"PASS","FAIL")</f>
        <v>PASS</v>
      </c>
      <c r="U748" s="9">
        <f>Table1[[#This Row], [TRC]]+Table1[[#This Row], [DRC]]+Table1[[#This Row], [WRC]]+Table1[[#This Row], [ERC]]+Table1[[#This Row], [EQRC]]</f>
        <v>8329060.2749999994</v>
      </c>
      <c r="V748" s="9">
        <f>Table1[[#This Row], [TOTAL COST]]+_xlfn.XLOOKUP(Table1[[#This Row], [TEAM]],Sheet1!$A$12:$A$17,Sheet1!$I$12:$I$17)</f>
        <v>8640997.7749999985</v>
      </c>
      <c r="W748" s="9">
        <f>Table1[[#This Row], [LOOT]]-Table1[[#This Row], [TOTAL COST]]</f>
        <v>9670939.7250000015</v>
      </c>
      <c r="X748" s="9">
        <f>IF(Table1[[#This Row], [PASS/FAIL]]="FAIL",0,Table1[[#This Row], [PROFIT]])</f>
        <v>9670939.7250000015</v>
      </c>
    </row>
    <row r="749" spans="1:24" ht="19.5" customHeight="1" x14ac:dyDescent="0.45">
      <c r="A749" t="s">
        <v>13</v>
      </c>
      <c r="B749" s="14">
        <f>_xlfn.XLOOKUP(Table1[[#This Row], [TEAM]],Sheet1!$A$12:$A$17,Sheet1!$F$12:$F$17)</f>
        <v>3</v>
      </c>
      <c r="C749" s="14">
        <f>_xlfn.XLOOKUP(Table1[[#This Row], [TEAM]],Sheet1!$A$12:$A$17,Sheet1!$G$12:$G$17)</f>
        <v>5930000</v>
      </c>
      <c r="D749" t="s">
        <v>27</v>
      </c>
      <c r="E749" s="4">
        <f>_xlfn.XLOOKUP(Table1[[#This Row], [ROOM]],Sheet1!$A$47:$A$66,Sheet1!$B$47:$B$66)</f>
        <v>146</v>
      </c>
      <c r="F749" t="s">
        <v>58</v>
      </c>
      <c r="G749" s="4">
        <f>_xlfn.XLOOKUP(Table1[[#This Row], [DISGUISE]],Sheet1!$A$21:$A$23,Sheet1!$B$21:$B$23)*Table1[[#This Row], [NUM OF MEM]]*(1+_xlfn.XLOOKUP(Table1[[#This Row], [DISGUISE]],Sheet1!$A$21:$A$23,Sheet1!$C$21:$C$23))</f>
        <v>38400</v>
      </c>
      <c r="H749" s="13" t="s">
        <v>66</v>
      </c>
      <c r="I749" s="4">
        <f>_xlfn.XLOOKUP(Table1[[#This Row], [WEAPON]],Sheet1!$A$27:$A$29,Sheet1!$B$27:$B$29)*Table1[[#This Row], [NUM OF MEM]]*(1+_xlfn.XLOOKUP(Table1[[#This Row], [WEAPON]],Sheet1!$A$27:$A$29,Sheet1!$C$27:$C$29))</f>
        <v>108000</v>
      </c>
      <c r="J749" t="s">
        <v>64</v>
      </c>
      <c r="K749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1695167.9999999998</v>
      </c>
      <c r="L749" s="13" t="s">
        <v>65</v>
      </c>
      <c r="M749" s="4">
        <f>IF(Table1[[#This Row], [EQUIPMENT]]="YES",Sheet1!$C$44*(1+Sheet1!$D$44),0)</f>
        <v>307500</v>
      </c>
      <c r="N749" s="4">
        <f>_xlfn.XLOOKUP(Table1[[#This Row], [ROOM]],Sheet1!$A$47:$A$66,Sheet1!$F$47:$F$66)</f>
        <v>17750000</v>
      </c>
      <c r="O749" s="9">
        <f>_xlfn.XLOOKUP(_xlfn.CONCAT(Table1[[#This Row], [TEAM]],Table1[[#This Row], [ROOM]]),'ROOM TIME'!$H$2:$H$121,'ROOM TIME'!$J$2:$J$121)</f>
        <v>39.016666666666659</v>
      </c>
      <c r="P749" s="9">
        <f>(INDEX(Sheet1!$X$48:$Z$67,MATCH(Table1[[#This Row], [ROOM]],Sheet1!$P$48:$P$67,0),MATCH(Table1[[#This Row], [WEAPON]],Sheet1!$X$47:$Z$47,0)))/Table1[[#This Row], [NUM OF MEM]]</f>
        <v>4.583333333333333</v>
      </c>
      <c r="Q749" s="9">
        <f>Table1[[#This Row], [ROOM TIME]]+Table1[[#This Row], [GUARD TIME]]</f>
        <v>43.599999999999994</v>
      </c>
      <c r="R749" s="4">
        <f>Sheet1!$K$3*_xlfn.XLOOKUP(Table1[[#This Row], [DISGUISE]],Sheet1!$A$21:$A$23,Sheet1!$D$21:$D$23)</f>
        <v>69</v>
      </c>
      <c r="S749" s="9">
        <f>Table1[[#This Row], [TOTAL TIME]]-Table1[[#This Row], [TOTAL TIME TAKEN]]</f>
        <v>25.400000000000006</v>
      </c>
      <c r="T749" t="str">
        <f>IF(Table1[[#This Row], [TIME DIFFERENCE]]&gt;=0,"PASS","FAIL")</f>
        <v>PASS</v>
      </c>
      <c r="U749" s="4">
        <f>Table1[[#This Row], [TRC]]+Table1[[#This Row], [DRC]]+Table1[[#This Row], [WRC]]+Table1[[#This Row], [ERC]]+Table1[[#This Row], [EQRC]]</f>
        <v>8079068</v>
      </c>
      <c r="V749" s="4">
        <f>Table1[[#This Row], [TOTAL COST]]+_xlfn.XLOOKUP(Table1[[#This Row], [TEAM]],Sheet1!$A$12:$A$17,Sheet1!$I$12:$I$17)</f>
        <v>8375568</v>
      </c>
      <c r="W749" s="4">
        <f>Table1[[#This Row], [LOOT]]-Table1[[#This Row], [TOTAL COST]]</f>
        <v>9670932</v>
      </c>
      <c r="X749" s="4">
        <f>IF(Table1[[#This Row], [PASS/FAIL]]="FAIL",0,Table1[[#This Row], [PROFIT]])</f>
        <v>9670932</v>
      </c>
    </row>
    <row r="750" spans="1:24" ht="19.5" customHeight="1" x14ac:dyDescent="0.45">
      <c r="A750" t="s">
        <v>15</v>
      </c>
      <c r="B750" s="14">
        <f>_xlfn.XLOOKUP(Table1[[#This Row], [TEAM]],Sheet1!$A$12:$A$17,Sheet1!$F$12:$F$17)</f>
        <v>2</v>
      </c>
      <c r="C750" s="14">
        <f>_xlfn.XLOOKUP(Table1[[#This Row], [TEAM]],Sheet1!$A$12:$A$17,Sheet1!$G$12:$G$17)</f>
        <v>5932950</v>
      </c>
      <c r="D750" t="s">
        <v>11</v>
      </c>
      <c r="E750" s="4">
        <f>_xlfn.XLOOKUP(Table1[[#This Row], [ROOM]],Sheet1!$A$47:$A$66,Sheet1!$B$47:$B$66)</f>
        <v>124</v>
      </c>
      <c r="F750" t="s">
        <v>58</v>
      </c>
      <c r="G750" s="4">
        <f>_xlfn.XLOOKUP(Table1[[#This Row], [DISGUISE]],Sheet1!$A$21:$A$23,Sheet1!$B$21:$B$23)*Table1[[#This Row], [NUM OF MEM]]*(1+_xlfn.XLOOKUP(Table1[[#This Row], [DISGUISE]],Sheet1!$A$21:$A$23,Sheet1!$C$21:$C$23))</f>
        <v>25600</v>
      </c>
      <c r="H750" s="13" t="s">
        <v>66</v>
      </c>
      <c r="I750" s="4">
        <f>_xlfn.XLOOKUP(Table1[[#This Row], [WEAPON]],Sheet1!$A$27:$A$29,Sheet1!$B$27:$B$29)*Table1[[#This Row], [NUM OF MEM]]*(1+_xlfn.XLOOKUP(Table1[[#This Row], [WEAPON]],Sheet1!$A$27:$A$29,Sheet1!$C$27:$C$29))</f>
        <v>72000</v>
      </c>
      <c r="J750" t="s">
        <v>60</v>
      </c>
      <c r="K750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1748973.5062499996</v>
      </c>
      <c r="L750" s="13" t="s">
        <v>61</v>
      </c>
      <c r="M750" s="4">
        <f>IF(Table1[[#This Row], [EQUIPMENT]]="YES",Sheet1!$C$44*(1+Sheet1!$D$44),0)</f>
        <v>0</v>
      </c>
      <c r="N750" s="4">
        <f>_xlfn.XLOOKUP(Table1[[#This Row], [ROOM]],Sheet1!$A$47:$A$66,Sheet1!$F$47:$F$66)</f>
        <v>17450000</v>
      </c>
      <c r="O750" s="9">
        <f>_xlfn.XLOOKUP(_xlfn.CONCAT(Table1[[#This Row], [TEAM]],Table1[[#This Row], [ROOM]]),'ROOM TIME'!$H$2:$H$121,'ROOM TIME'!$J$2:$J$121)</f>
        <v>61.271249999999981</v>
      </c>
      <c r="P750" s="9">
        <f>(INDEX(Sheet1!$X$48:$Z$67,MATCH(Table1[[#This Row], [ROOM]],Sheet1!$P$48:$P$67,0),MATCH(Table1[[#This Row], [WEAPON]],Sheet1!$X$47:$Z$47,0)))/Table1[[#This Row], [NUM OF MEM]]</f>
        <v>6.875</v>
      </c>
      <c r="Q750" s="9">
        <f>Table1[[#This Row], [ROOM TIME]]+Table1[[#This Row], [GUARD TIME]]</f>
        <v>68.146249999999981</v>
      </c>
      <c r="R750" s="4">
        <f>Sheet1!$K$3*_xlfn.XLOOKUP(Table1[[#This Row], [DISGUISE]],Sheet1!$A$21:$A$23,Sheet1!$D$21:$D$23)</f>
        <v>69</v>
      </c>
      <c r="S750" s="9">
        <f>Table1[[#This Row], [TOTAL TIME]]-Table1[[#This Row], [TOTAL TIME TAKEN]]</f>
        <v>0.85375000000001933</v>
      </c>
      <c r="T750" t="str">
        <f>IF(Table1[[#This Row], [TIME DIFFERENCE]]&gt;=0,"PASS","FAIL")</f>
        <v>PASS</v>
      </c>
      <c r="U750" s="9">
        <f>Table1[[#This Row], [TRC]]+Table1[[#This Row], [DRC]]+Table1[[#This Row], [WRC]]+Table1[[#This Row], [ERC]]+Table1[[#This Row], [EQRC]]</f>
        <v>7779523.5062499996</v>
      </c>
      <c r="V750" s="9">
        <f>Table1[[#This Row], [TOTAL COST]]+_xlfn.XLOOKUP(Table1[[#This Row], [TEAM]],Sheet1!$A$12:$A$17,Sheet1!$I$12:$I$17)</f>
        <v>8076171.0062499996</v>
      </c>
      <c r="W750" s="9">
        <f>Table1[[#This Row], [LOOT]]-Table1[[#This Row], [TOTAL COST]]</f>
        <v>9670476.4937500004</v>
      </c>
      <c r="X750" s="9">
        <f>IF(Table1[[#This Row], [PASS/FAIL]]="FAIL",0,Table1[[#This Row], [PROFIT]])</f>
        <v>9670476.4937500004</v>
      </c>
    </row>
    <row r="751" spans="1:24" ht="19.5" customHeight="1" x14ac:dyDescent="0.45">
      <c r="A751" t="s">
        <v>9</v>
      </c>
      <c r="B751" s="14">
        <f>_xlfn.XLOOKUP(Table1[[#This Row], [TEAM]],Sheet1!$A$12:$A$17,Sheet1!$F$12:$F$17)</f>
        <v>3</v>
      </c>
      <c r="C751" s="14">
        <f>_xlfn.XLOOKUP(Table1[[#This Row], [TEAM]],Sheet1!$A$12:$A$17,Sheet1!$G$12:$G$17)</f>
        <v>6238750</v>
      </c>
      <c r="D751" t="s">
        <v>18</v>
      </c>
      <c r="E751" s="4">
        <f>_xlfn.XLOOKUP(Table1[[#This Row], [ROOM]],Sheet1!$A$47:$A$66,Sheet1!$B$47:$B$66)</f>
        <v>134</v>
      </c>
      <c r="F751" t="s">
        <v>58</v>
      </c>
      <c r="G751" s="4">
        <f>_xlfn.XLOOKUP(Table1[[#This Row], [DISGUISE]],Sheet1!$A$21:$A$23,Sheet1!$B$21:$B$23)*Table1[[#This Row], [NUM OF MEM]]*(1+_xlfn.XLOOKUP(Table1[[#This Row], [DISGUISE]],Sheet1!$A$21:$A$23,Sheet1!$C$21:$C$23))</f>
        <v>38400</v>
      </c>
      <c r="H751" s="13" t="s">
        <v>63</v>
      </c>
      <c r="I751" s="4">
        <f>_xlfn.XLOOKUP(Table1[[#This Row], [WEAPON]],Sheet1!$A$27:$A$29,Sheet1!$B$27:$B$29)*Table1[[#This Row], [NUM OF MEM]]*(1+_xlfn.XLOOKUP(Table1[[#This Row], [WEAPON]],Sheet1!$A$27:$A$29,Sheet1!$C$27:$C$29))</f>
        <v>69000</v>
      </c>
      <c r="J751" t="s">
        <v>64</v>
      </c>
      <c r="K751" s="9">
        <f>Table1[[#This Row], [NUM OF MEM]]*Table1[[#This Row], [TOTAL TIME TAKEN]]*_xlfn.XLOOKUP(Table1[[#This Row], [EXIT]],Sheet1!$A$70:$A$71,Sheet1!$B$70:$B$71)*(1+_xlfn.XLOOKUP(Table1[[#This Row], [EXIT]],Sheet1!$A$70:$A$71,Sheet1!$C$70:$C$71))</f>
        <v>1726423.1999999997</v>
      </c>
      <c r="L751" s="13" t="s">
        <v>65</v>
      </c>
      <c r="M751" s="4">
        <f>IF(Table1[[#This Row], [EQUIPMENT]]="YES",Sheet1!$C$44*(1+Sheet1!$D$44),0)</f>
        <v>307500</v>
      </c>
      <c r="N751" s="4">
        <f>_xlfn.XLOOKUP(Table1[[#This Row], [ROOM]],Sheet1!$A$47:$A$66,Sheet1!$F$47:$F$66)</f>
        <v>18050000</v>
      </c>
      <c r="O751" s="9">
        <f>_xlfn.XLOOKUP(_xlfn.CONCAT(Table1[[#This Row], [TEAM]],Table1[[#This Row], [ROOM]]),'ROOM TIME'!$H$2:$H$121,'ROOM TIME'!$J$2:$J$121)</f>
        <v>39.003888888888881</v>
      </c>
      <c r="P751" s="9">
        <f>(INDEX(Sheet1!$X$48:$Z$67,MATCH(Table1[[#This Row], [ROOM]],Sheet1!$P$48:$P$67,0),MATCH(Table1[[#This Row], [WEAPON]],Sheet1!$X$47:$Z$47,0)))/Table1[[#This Row], [NUM OF MEM]]</f>
        <v>5.4000000000000012</v>
      </c>
      <c r="Q751" s="9">
        <f>Table1[[#This Row], [ROOM TIME]]+Table1[[#This Row], [GUARD TIME]]</f>
        <v>44.403888888888879</v>
      </c>
      <c r="R751" s="4">
        <f>Sheet1!$K$3*_xlfn.XLOOKUP(Table1[[#This Row], [DISGUISE]],Sheet1!$A$21:$A$23,Sheet1!$D$21:$D$23)</f>
        <v>69</v>
      </c>
      <c r="S751" s="9">
        <f>Table1[[#This Row], [TOTAL TIME]]-Table1[[#This Row], [TOTAL TIME TAKEN]]</f>
        <v>24.596111111111121</v>
      </c>
      <c r="T751" t="str">
        <f>IF(Table1[[#This Row], [TIME DIFFERENCE]]&gt;=0,"PASS","FAIL")</f>
        <v>PASS</v>
      </c>
      <c r="U751" s="9">
        <f>Table1[[#This Row], [TRC]]+Table1[[#This Row], [DRC]]+Table1[[#This Row], [WRC]]+Table1[[#This Row], [ERC]]+Table1[[#This Row], [EQRC]]</f>
        <v>8380073.1999999993</v>
      </c>
      <c r="V751" s="9">
        <f>Table1[[#This Row], [TOTAL COST]]+_xlfn.XLOOKUP(Table1[[#This Row], [TEAM]],Sheet1!$A$12:$A$17,Sheet1!$I$12:$I$17)</f>
        <v>8692010.6999999993</v>
      </c>
      <c r="W751" s="9">
        <f>Table1[[#This Row], [LOOT]]-Table1[[#This Row], [TOTAL COST]]</f>
        <v>9669926.8000000007</v>
      </c>
      <c r="X751" s="9">
        <f>IF(Table1[[#This Row], [PASS/FAIL]]="FAIL",0,Table1[[#This Row], [PROFIT]])</f>
        <v>9669926.8000000007</v>
      </c>
    </row>
    <row r="752" spans="1:24" ht="19.5" customHeight="1" x14ac:dyDescent="0.45">
      <c r="A752" t="s">
        <v>9</v>
      </c>
      <c r="B752" s="14">
        <f>_xlfn.XLOOKUP(Table1[[#This Row], [TEAM]],Sheet1!$A$12:$A$17,Sheet1!$F$12:$F$17)</f>
        <v>3</v>
      </c>
      <c r="C752" s="14">
        <f>_xlfn.XLOOKUP(Table1[[#This Row], [TEAM]],Sheet1!$A$12:$A$17,Sheet1!$G$12:$G$17)</f>
        <v>6238750</v>
      </c>
      <c r="D752" t="s">
        <v>18</v>
      </c>
      <c r="E752" s="4">
        <f>_xlfn.XLOOKUP(Table1[[#This Row], [ROOM]],Sheet1!$A$47:$A$66,Sheet1!$B$47:$B$66)</f>
        <v>134</v>
      </c>
      <c r="F752" t="s">
        <v>62</v>
      </c>
      <c r="G752" s="4">
        <f>_xlfn.XLOOKUP(Table1[[#This Row], [DISGUISE]],Sheet1!$A$21:$A$23,Sheet1!$B$21:$B$23)*Table1[[#This Row], [NUM OF MEM]]*(1+_xlfn.XLOOKUP(Table1[[#This Row], [DISGUISE]],Sheet1!$A$21:$A$23,Sheet1!$C$21:$C$23))</f>
        <v>15600</v>
      </c>
      <c r="H752" s="13" t="s">
        <v>66</v>
      </c>
      <c r="I752" s="4">
        <f>_xlfn.XLOOKUP(Table1[[#This Row], [WEAPON]],Sheet1!$A$27:$A$29,Sheet1!$B$27:$B$29)*Table1[[#This Row], [NUM OF MEM]]*(1+_xlfn.XLOOKUP(Table1[[#This Row], [WEAPON]],Sheet1!$A$27:$A$29,Sheet1!$C$27:$C$29))</f>
        <v>108000</v>
      </c>
      <c r="J752" t="s">
        <v>64</v>
      </c>
      <c r="K752" s="9">
        <f>Table1[[#This Row], [NUM OF MEM]]*Table1[[#This Row], [TOTAL TIME TAKEN]]*_xlfn.XLOOKUP(Table1[[#This Row], [EXIT]],Sheet1!$A$70:$A$71,Sheet1!$B$70:$B$71)*(1+_xlfn.XLOOKUP(Table1[[#This Row], [EXIT]],Sheet1!$A$70:$A$71,Sheet1!$C$70:$C$71))</f>
        <v>1710871.2</v>
      </c>
      <c r="L752" s="13" t="s">
        <v>65</v>
      </c>
      <c r="M752" s="4">
        <f>IF(Table1[[#This Row], [EQUIPMENT]]="YES",Sheet1!$C$44*(1+Sheet1!$D$44),0)</f>
        <v>307500</v>
      </c>
      <c r="N752" s="4">
        <f>_xlfn.XLOOKUP(Table1[[#This Row], [ROOM]],Sheet1!$A$47:$A$66,Sheet1!$F$47:$F$66)</f>
        <v>18050000</v>
      </c>
      <c r="O752" s="9">
        <f>_xlfn.XLOOKUP(_xlfn.CONCAT(Table1[[#This Row], [TEAM]],Table1[[#This Row], [ROOM]]),'ROOM TIME'!$H$2:$H$121,'ROOM TIME'!$J$2:$J$121)</f>
        <v>39.003888888888881</v>
      </c>
      <c r="P752" s="4">
        <f>(INDEX(Sheet1!$X$48:$Z$67,MATCH(Table1[[#This Row], [ROOM]],Sheet1!$P$48:$P$67,0),MATCH(Table1[[#This Row], [WEAPON]],Sheet1!$X$47:$Z$47,0)))/Table1[[#This Row], [NUM OF MEM]]</f>
        <v>5</v>
      </c>
      <c r="Q752" s="9">
        <f>Table1[[#This Row], [ROOM TIME]]+Table1[[#This Row], [GUARD TIME]]</f>
        <v>44.003888888888881</v>
      </c>
      <c r="R752" s="4">
        <f>Sheet1!$K$3*_xlfn.XLOOKUP(Table1[[#This Row], [DISGUISE]],Sheet1!$A$21:$A$23,Sheet1!$D$21:$D$23)</f>
        <v>66</v>
      </c>
      <c r="S752" s="9">
        <f>Table1[[#This Row], [TOTAL TIME]]-Table1[[#This Row], [TOTAL TIME TAKEN]]</f>
        <v>21.996111111111119</v>
      </c>
      <c r="T752" t="str">
        <f>IF(Table1[[#This Row], [TIME DIFFERENCE]]&gt;=0,"PASS","FAIL")</f>
        <v>PASS</v>
      </c>
      <c r="U752" s="9">
        <f>Table1[[#This Row], [TRC]]+Table1[[#This Row], [DRC]]+Table1[[#This Row], [WRC]]+Table1[[#This Row], [ERC]]+Table1[[#This Row], [EQRC]]</f>
        <v>8380721.2000000002</v>
      </c>
      <c r="V752" s="9">
        <f>Table1[[#This Row], [TOTAL COST]]+_xlfn.XLOOKUP(Table1[[#This Row], [TEAM]],Sheet1!$A$12:$A$17,Sheet1!$I$12:$I$17)</f>
        <v>8692658.6999999993</v>
      </c>
      <c r="W752" s="9">
        <f>Table1[[#This Row], [LOOT]]-Table1[[#This Row], [TOTAL COST]]</f>
        <v>9669278.8000000007</v>
      </c>
      <c r="X752" s="9">
        <f>IF(Table1[[#This Row], [PASS/FAIL]]="FAIL",0,Table1[[#This Row], [PROFIT]])</f>
        <v>9669278.8000000007</v>
      </c>
    </row>
    <row r="753" spans="1:24" ht="19.5" customHeight="1" x14ac:dyDescent="0.45">
      <c r="A753" t="s">
        <v>9</v>
      </c>
      <c r="B753" s="14">
        <f>_xlfn.XLOOKUP(Table1[[#This Row], [TEAM]],Sheet1!$A$12:$A$17,Sheet1!$F$12:$F$17)</f>
        <v>3</v>
      </c>
      <c r="C753" s="14">
        <f>_xlfn.XLOOKUP(Table1[[#This Row], [TEAM]],Sheet1!$A$12:$A$17,Sheet1!$G$12:$G$17)</f>
        <v>6238750</v>
      </c>
      <c r="D753" t="s">
        <v>29</v>
      </c>
      <c r="E753" s="4">
        <f>_xlfn.XLOOKUP(Table1[[#This Row], [ROOM]],Sheet1!$A$47:$A$66,Sheet1!$B$47:$B$66)</f>
        <v>236</v>
      </c>
      <c r="F753" t="s">
        <v>58</v>
      </c>
      <c r="G753" s="4">
        <f>_xlfn.XLOOKUP(Table1[[#This Row], [DISGUISE]],Sheet1!$A$21:$A$23,Sheet1!$B$21:$B$23)*Table1[[#This Row], [NUM OF MEM]]*(1+_xlfn.XLOOKUP(Table1[[#This Row], [DISGUISE]],Sheet1!$A$21:$A$23,Sheet1!$C$21:$C$23))</f>
        <v>38400</v>
      </c>
      <c r="H753" s="13" t="s">
        <v>66</v>
      </c>
      <c r="I753" s="4">
        <f>_xlfn.XLOOKUP(Table1[[#This Row], [WEAPON]],Sheet1!$A$27:$A$29,Sheet1!$B$27:$B$29)*Table1[[#This Row], [NUM OF MEM]]*(1+_xlfn.XLOOKUP(Table1[[#This Row], [WEAPON]],Sheet1!$A$27:$A$29,Sheet1!$C$27:$C$29))</f>
        <v>108000</v>
      </c>
      <c r="J753" t="s">
        <v>60</v>
      </c>
      <c r="K753" s="9">
        <f>Table1[[#This Row], [NUM OF MEM]]*Table1[[#This Row], [TOTAL TIME TAKEN]]*_xlfn.XLOOKUP(Table1[[#This Row], [EXIT]],Sheet1!$A$70:$A$71,Sheet1!$B$70:$B$71)*(1+_xlfn.XLOOKUP(Table1[[#This Row], [EXIT]],Sheet1!$A$70:$A$71,Sheet1!$C$70:$C$71))</f>
        <v>1638239.7249999992</v>
      </c>
      <c r="L753" s="13" t="s">
        <v>65</v>
      </c>
      <c r="M753" s="4">
        <f>IF(Table1[[#This Row], [EQUIPMENT]]="YES",Sheet1!$C$44*(1+Sheet1!$D$44),0)</f>
        <v>307500</v>
      </c>
      <c r="N753" s="4">
        <f>_xlfn.XLOOKUP(Table1[[#This Row], [ROOM]],Sheet1!$A$47:$A$66,Sheet1!$F$47:$F$66)</f>
        <v>18000000</v>
      </c>
      <c r="O753" s="9">
        <f>_xlfn.XLOOKUP(_xlfn.CONCAT(Table1[[#This Row], [TEAM]],Table1[[#This Row], [ROOM]]),'ROOM TIME'!$H$2:$H$121,'ROOM TIME'!$J$2:$J$121)</f>
        <v>37.137777777777764</v>
      </c>
      <c r="P753" s="9">
        <f>(INDEX(Sheet1!$X$48:$Z$67,MATCH(Table1[[#This Row], [ROOM]],Sheet1!$P$48:$P$67,0),MATCH(Table1[[#This Row], [WEAPON]],Sheet1!$X$47:$Z$47,0)))/Table1[[#This Row], [NUM OF MEM]]</f>
        <v>5.416666666666667</v>
      </c>
      <c r="Q753" s="9">
        <f>Table1[[#This Row], [ROOM TIME]]+Table1[[#This Row], [GUARD TIME]]</f>
        <v>42.554444444444428</v>
      </c>
      <c r="R753" s="4">
        <f>Sheet1!$K$3*_xlfn.XLOOKUP(Table1[[#This Row], [DISGUISE]],Sheet1!$A$21:$A$23,Sheet1!$D$21:$D$23)</f>
        <v>69</v>
      </c>
      <c r="S753" s="9">
        <f>Table1[[#This Row], [TOTAL TIME]]-Table1[[#This Row], [TOTAL TIME TAKEN]]</f>
        <v>26.445555555555572</v>
      </c>
      <c r="T753" t="str">
        <f>IF(Table1[[#This Row], [TIME DIFFERENCE]]&gt;=0,"PASS","FAIL")</f>
        <v>PASS</v>
      </c>
      <c r="U753" s="9">
        <f>Table1[[#This Row], [TRC]]+Table1[[#This Row], [DRC]]+Table1[[#This Row], [WRC]]+Table1[[#This Row], [ERC]]+Table1[[#This Row], [EQRC]]</f>
        <v>8330889.7249999996</v>
      </c>
      <c r="V753" s="9">
        <f>Table1[[#This Row], [TOTAL COST]]+_xlfn.XLOOKUP(Table1[[#This Row], [TEAM]],Sheet1!$A$12:$A$17,Sheet1!$I$12:$I$17)</f>
        <v>8642827.2249999996</v>
      </c>
      <c r="W753" s="9">
        <f>Table1[[#This Row], [LOOT]]-Table1[[#This Row], [TOTAL COST]]</f>
        <v>9669110.2750000004</v>
      </c>
      <c r="X753" s="9">
        <f>IF(Table1[[#This Row], [PASS/FAIL]]="FAIL",0,Table1[[#This Row], [PROFIT]])</f>
        <v>9669110.2750000004</v>
      </c>
    </row>
    <row r="754" spans="1:24" ht="19.5" customHeight="1" x14ac:dyDescent="0.45">
      <c r="A754" t="s">
        <v>12</v>
      </c>
      <c r="B754" s="14">
        <f>_xlfn.XLOOKUP(Table1[[#This Row], [TEAM]],Sheet1!$A$12:$A$17,Sheet1!$F$12:$F$17)</f>
        <v>3</v>
      </c>
      <c r="C754" s="14">
        <f>_xlfn.XLOOKUP(Table1[[#This Row], [TEAM]],Sheet1!$A$12:$A$17,Sheet1!$G$12:$G$17)</f>
        <v>5988750</v>
      </c>
      <c r="D754" t="s">
        <v>21</v>
      </c>
      <c r="E754" s="4">
        <f>_xlfn.XLOOKUP(Table1[[#This Row], [ROOM]],Sheet1!$A$47:$A$66,Sheet1!$B$47:$B$66)</f>
        <v>234</v>
      </c>
      <c r="F754" t="s">
        <v>62</v>
      </c>
      <c r="G754" s="4">
        <f>_xlfn.XLOOKUP(Table1[[#This Row], [DISGUISE]],Sheet1!$A$21:$A$23,Sheet1!$B$21:$B$23)*Table1[[#This Row], [NUM OF MEM]]*(1+_xlfn.XLOOKUP(Table1[[#This Row], [DISGUISE]],Sheet1!$A$21:$A$23,Sheet1!$C$21:$C$23))</f>
        <v>15600</v>
      </c>
      <c r="H754" s="13" t="s">
        <v>63</v>
      </c>
      <c r="I754" s="4">
        <f>_xlfn.XLOOKUP(Table1[[#This Row], [WEAPON]],Sheet1!$A$27:$A$29,Sheet1!$B$27:$B$29)*Table1[[#This Row], [NUM OF MEM]]*(1+_xlfn.XLOOKUP(Table1[[#This Row], [WEAPON]],Sheet1!$A$27:$A$29,Sheet1!$C$27:$C$29))</f>
        <v>69000</v>
      </c>
      <c r="J754" t="s">
        <v>64</v>
      </c>
      <c r="K754" s="9">
        <f>Table1[[#This Row], [NUM OF MEM]]*Table1[[#This Row], [TOTAL TIME TAKEN]]*_xlfn.XLOOKUP(Table1[[#This Row], [EXIT]],Sheet1!$A$70:$A$71,Sheet1!$B$70:$B$71)*(1+_xlfn.XLOOKUP(Table1[[#This Row], [EXIT]],Sheet1!$A$70:$A$71,Sheet1!$C$70:$C$71))</f>
        <v>1850644.7999999993</v>
      </c>
      <c r="L754" s="13" t="s">
        <v>65</v>
      </c>
      <c r="M754" s="4">
        <f>IF(Table1[[#This Row], [EQUIPMENT]]="YES",Sheet1!$C$44*(1+Sheet1!$D$44),0)</f>
        <v>307500</v>
      </c>
      <c r="N754" s="4">
        <f>_xlfn.XLOOKUP(Table1[[#This Row], [ROOM]],Sheet1!$A$47:$A$66,Sheet1!$F$47:$F$66)</f>
        <v>17900000</v>
      </c>
      <c r="O754" s="9">
        <f>_xlfn.XLOOKUP(_xlfn.CONCAT(Table1[[#This Row], [TEAM]],Table1[[#This Row], [ROOM]]),'ROOM TIME'!$H$2:$H$121,'ROOM TIME'!$J$2:$J$121)</f>
        <v>41.748888888888878</v>
      </c>
      <c r="P754" s="9">
        <f>(INDEX(Sheet1!$X$48:$Z$67,MATCH(Table1[[#This Row], [ROOM]],Sheet1!$P$48:$P$67,0),MATCH(Table1[[#This Row], [WEAPON]],Sheet1!$X$47:$Z$47,0)))/Table1[[#This Row], [NUM OF MEM]]</f>
        <v>5.8500000000000005</v>
      </c>
      <c r="Q754" s="9">
        <f>Table1[[#This Row], [ROOM TIME]]+Table1[[#This Row], [GUARD TIME]]</f>
        <v>47.598888888888879</v>
      </c>
      <c r="R754" s="4">
        <f>Sheet1!$K$3*_xlfn.XLOOKUP(Table1[[#This Row], [DISGUISE]],Sheet1!$A$21:$A$23,Sheet1!$D$21:$D$23)</f>
        <v>66</v>
      </c>
      <c r="S754" s="9">
        <f>Table1[[#This Row], [TOTAL TIME]]-Table1[[#This Row], [TOTAL TIME TAKEN]]</f>
        <v>18.401111111111121</v>
      </c>
      <c r="T754" t="str">
        <f>IF(Table1[[#This Row], [TIME DIFFERENCE]]&gt;=0,"PASS","FAIL")</f>
        <v>PASS</v>
      </c>
      <c r="U754" s="9">
        <f>Table1[[#This Row], [TRC]]+Table1[[#This Row], [DRC]]+Table1[[#This Row], [WRC]]+Table1[[#This Row], [ERC]]+Table1[[#This Row], [EQRC]]</f>
        <v>8231494.7999999989</v>
      </c>
      <c r="V754" s="9">
        <f>Table1[[#This Row], [TOTAL COST]]+_xlfn.XLOOKUP(Table1[[#This Row], [TEAM]],Sheet1!$A$12:$A$17,Sheet1!$I$12:$I$17)</f>
        <v>8530932.2999999989</v>
      </c>
      <c r="W754" s="9">
        <f>Table1[[#This Row], [LOOT]]-Table1[[#This Row], [TOTAL COST]]</f>
        <v>9668505.2000000011</v>
      </c>
      <c r="X754" s="9">
        <f>IF(Table1[[#This Row], [PASS/FAIL]]="FAIL",0,Table1[[#This Row], [PROFIT]])</f>
        <v>9668505.2000000011</v>
      </c>
    </row>
    <row r="755" spans="1:24" ht="19.5" customHeight="1" x14ac:dyDescent="0.45">
      <c r="A755" t="s">
        <v>16</v>
      </c>
      <c r="B755" s="14">
        <f>_xlfn.XLOOKUP(Table1[[#This Row], [TEAM]],Sheet1!$A$12:$A$17,Sheet1!$F$12:$F$17)</f>
        <v>2</v>
      </c>
      <c r="C755" s="14">
        <f>_xlfn.XLOOKUP(Table1[[#This Row], [TEAM]],Sheet1!$A$12:$A$17,Sheet1!$G$12:$G$17)</f>
        <v>6082800</v>
      </c>
      <c r="D755" t="s">
        <v>20</v>
      </c>
      <c r="E755" s="4">
        <f>_xlfn.XLOOKUP(Table1[[#This Row], [ROOM]],Sheet1!$A$47:$A$66,Sheet1!$B$47:$B$66)</f>
        <v>145</v>
      </c>
      <c r="F755" t="s">
        <v>58</v>
      </c>
      <c r="G755" s="4">
        <f>_xlfn.XLOOKUP(Table1[[#This Row], [DISGUISE]],Sheet1!$A$21:$A$23,Sheet1!$B$21:$B$23)*Table1[[#This Row], [NUM OF MEM]]*(1+_xlfn.XLOOKUP(Table1[[#This Row], [DISGUISE]],Sheet1!$A$21:$A$23,Sheet1!$C$21:$C$23))</f>
        <v>25600</v>
      </c>
      <c r="H755" s="13" t="s">
        <v>63</v>
      </c>
      <c r="I755" s="4">
        <f>_xlfn.XLOOKUP(Table1[[#This Row], [WEAPON]],Sheet1!$A$27:$A$29,Sheet1!$B$27:$B$29)*Table1[[#This Row], [NUM OF MEM]]*(1+_xlfn.XLOOKUP(Table1[[#This Row], [WEAPON]],Sheet1!$A$27:$A$29,Sheet1!$C$27:$C$29))</f>
        <v>46000</v>
      </c>
      <c r="J755" t="s">
        <v>64</v>
      </c>
      <c r="K755" s="9">
        <f>Table1[[#This Row], [NUM OF MEM]]*Table1[[#This Row], [TOTAL TIME TAKEN]]*_xlfn.XLOOKUP(Table1[[#This Row], [EXIT]],Sheet1!$A$70:$A$71,Sheet1!$B$70:$B$71)*(1+_xlfn.XLOOKUP(Table1[[#This Row], [EXIT]],Sheet1!$A$70:$A$71,Sheet1!$C$70:$C$71))</f>
        <v>1727600.3999999994</v>
      </c>
      <c r="L755" s="13" t="s">
        <v>61</v>
      </c>
      <c r="M755" s="4">
        <f>IF(Table1[[#This Row], [EQUIPMENT]]="YES",Sheet1!$C$44*(1+Sheet1!$D$44),0)</f>
        <v>0</v>
      </c>
      <c r="N755" s="4">
        <f>_xlfn.XLOOKUP(Table1[[#This Row], [ROOM]],Sheet1!$A$47:$A$66,Sheet1!$F$47:$F$66)</f>
        <v>17550000</v>
      </c>
      <c r="O755" s="9">
        <f>_xlfn.XLOOKUP(_xlfn.CONCAT(Table1[[#This Row], [TEAM]],Table1[[#This Row], [ROOM]]),'ROOM TIME'!$H$2:$H$121,'ROOM TIME'!$J$2:$J$121)</f>
        <v>59.901249999999983</v>
      </c>
      <c r="P755" s="9">
        <f>(INDEX(Sheet1!$X$48:$Z$67,MATCH(Table1[[#This Row], [ROOM]],Sheet1!$P$48:$P$67,0),MATCH(Table1[[#This Row], [WEAPON]],Sheet1!$X$47:$Z$47,0)))/Table1[[#This Row], [NUM OF MEM]]</f>
        <v>6.75</v>
      </c>
      <c r="Q755" s="9">
        <f>Table1[[#This Row], [ROOM TIME]]+Table1[[#This Row], [GUARD TIME]]</f>
        <v>66.651249999999976</v>
      </c>
      <c r="R755" s="4">
        <f>Sheet1!$K$3*_xlfn.XLOOKUP(Table1[[#This Row], [DISGUISE]],Sheet1!$A$21:$A$23,Sheet1!$D$21:$D$23)</f>
        <v>69</v>
      </c>
      <c r="S755" s="9">
        <f>Table1[[#This Row], [TOTAL TIME]]-Table1[[#This Row], [TOTAL TIME TAKEN]]</f>
        <v>2.3487500000000239</v>
      </c>
      <c r="T755" t="str">
        <f>IF(Table1[[#This Row], [TIME DIFFERENCE]]&gt;=0,"PASS","FAIL")</f>
        <v>PASS</v>
      </c>
      <c r="U755" s="9">
        <f>Table1[[#This Row], [TRC]]+Table1[[#This Row], [DRC]]+Table1[[#This Row], [WRC]]+Table1[[#This Row], [ERC]]+Table1[[#This Row], [EQRC]]</f>
        <v>7882000.3999999994</v>
      </c>
      <c r="V755" s="9">
        <f>Table1[[#This Row], [TOTAL COST]]+_xlfn.XLOOKUP(Table1[[#This Row], [TEAM]],Sheet1!$A$12:$A$17,Sheet1!$I$12:$I$17)</f>
        <v>8186140.3999999994</v>
      </c>
      <c r="W755" s="9">
        <f>Table1[[#This Row], [LOOT]]-Table1[[#This Row], [TOTAL COST]]</f>
        <v>9667999.6000000015</v>
      </c>
      <c r="X755" s="9">
        <f>IF(Table1[[#This Row], [PASS/FAIL]]="FAIL",0,Table1[[#This Row], [PROFIT]])</f>
        <v>9667999.6000000015</v>
      </c>
    </row>
    <row r="756" spans="1:24" ht="19.5" customHeight="1" x14ac:dyDescent="0.45">
      <c r="A756" t="s">
        <v>12</v>
      </c>
      <c r="B756" s="14">
        <f>_xlfn.XLOOKUP(Table1[[#This Row], [TEAM]],Sheet1!$A$12:$A$17,Sheet1!$F$12:$F$17)</f>
        <v>3</v>
      </c>
      <c r="C756" s="14">
        <f>_xlfn.XLOOKUP(Table1[[#This Row], [TEAM]],Sheet1!$A$12:$A$17,Sheet1!$G$12:$G$17)</f>
        <v>5988750</v>
      </c>
      <c r="D756" t="s">
        <v>27</v>
      </c>
      <c r="E756" s="4">
        <f>_xlfn.XLOOKUP(Table1[[#This Row], [ROOM]],Sheet1!$A$47:$A$66,Sheet1!$B$47:$B$66)</f>
        <v>146</v>
      </c>
      <c r="F756" t="s">
        <v>58</v>
      </c>
      <c r="G756" s="4">
        <f>_xlfn.XLOOKUP(Table1[[#This Row], [DISGUISE]],Sheet1!$A$21:$A$23,Sheet1!$B$21:$B$23)*Table1[[#This Row], [NUM OF MEM]]*(1+_xlfn.XLOOKUP(Table1[[#This Row], [DISGUISE]],Sheet1!$A$21:$A$23,Sheet1!$C$21:$C$23))</f>
        <v>38400</v>
      </c>
      <c r="H756" s="13" t="s">
        <v>59</v>
      </c>
      <c r="I756" s="4">
        <f>_xlfn.XLOOKUP(Table1[[#This Row], [WEAPON]],Sheet1!$A$27:$A$29,Sheet1!$B$27:$B$29)*Table1[[#This Row], [NUM OF MEM]]*(1+_xlfn.XLOOKUP(Table1[[#This Row], [WEAPON]],Sheet1!$A$27:$A$29,Sheet1!$C$27:$C$29))</f>
        <v>136500</v>
      </c>
      <c r="J756" t="s">
        <v>64</v>
      </c>
      <c r="K756" s="9">
        <f>Table1[[#This Row], [NUM OF MEM]]*Table1[[#This Row], [TOTAL TIME TAKEN]]*_xlfn.XLOOKUP(Table1[[#This Row], [EXIT]],Sheet1!$A$70:$A$71,Sheet1!$B$70:$B$71)*(1+_xlfn.XLOOKUP(Table1[[#This Row], [EXIT]],Sheet1!$A$70:$A$71,Sheet1!$C$70:$C$71))</f>
        <v>1612310.3999999997</v>
      </c>
      <c r="L756" s="13" t="s">
        <v>65</v>
      </c>
      <c r="M756" s="4">
        <f>IF(Table1[[#This Row], [EQUIPMENT]]="YES",Sheet1!$C$44*(1+Sheet1!$D$44),0)</f>
        <v>307500</v>
      </c>
      <c r="N756" s="4">
        <f>_xlfn.XLOOKUP(Table1[[#This Row], [ROOM]],Sheet1!$A$47:$A$66,Sheet1!$F$47:$F$66)</f>
        <v>17750000</v>
      </c>
      <c r="O756" s="9">
        <f>_xlfn.XLOOKUP(_xlfn.CONCAT(Table1[[#This Row], [TEAM]],Table1[[#This Row], [ROOM]]),'ROOM TIME'!$H$2:$H$121,'ROOM TIME'!$J$2:$J$121)</f>
        <v>37.252222222222208</v>
      </c>
      <c r="P756" s="9">
        <f>(INDEX(Sheet1!$X$48:$Z$67,MATCH(Table1[[#This Row], [ROOM]],Sheet1!$P$48:$P$67,0),MATCH(Table1[[#This Row], [WEAPON]],Sheet1!$X$47:$Z$47,0)))/Table1[[#This Row], [NUM OF MEM]]</f>
        <v>4.2166666666666659</v>
      </c>
      <c r="Q756" s="9">
        <f>Table1[[#This Row], [ROOM TIME]]+Table1[[#This Row], [GUARD TIME]]</f>
        <v>41.468888888888877</v>
      </c>
      <c r="R756" s="4">
        <f>Sheet1!$K$3*_xlfn.XLOOKUP(Table1[[#This Row], [DISGUISE]],Sheet1!$A$21:$A$23,Sheet1!$D$21:$D$23)</f>
        <v>69</v>
      </c>
      <c r="S756" s="9">
        <f>Table1[[#This Row], [TOTAL TIME]]-Table1[[#This Row], [TOTAL TIME TAKEN]]</f>
        <v>27.531111111111123</v>
      </c>
      <c r="T756" t="str">
        <f>IF(Table1[[#This Row], [TIME DIFFERENCE]]&gt;=0,"PASS","FAIL")</f>
        <v>PASS</v>
      </c>
      <c r="U756" s="9">
        <f>Table1[[#This Row], [TRC]]+Table1[[#This Row], [DRC]]+Table1[[#This Row], [WRC]]+Table1[[#This Row], [ERC]]+Table1[[#This Row], [EQRC]]</f>
        <v>8083460.3999999994</v>
      </c>
      <c r="V756" s="9">
        <f>Table1[[#This Row], [TOTAL COST]]+_xlfn.XLOOKUP(Table1[[#This Row], [TEAM]],Sheet1!$A$12:$A$17,Sheet1!$I$12:$I$17)</f>
        <v>8382897.8999999994</v>
      </c>
      <c r="W756" s="9">
        <f>Table1[[#This Row], [LOOT]]-Table1[[#This Row], [TOTAL COST]]</f>
        <v>9666539.6000000015</v>
      </c>
      <c r="X756" s="9">
        <f>IF(Table1[[#This Row], [PASS/FAIL]]="FAIL",0,Table1[[#This Row], [PROFIT]])</f>
        <v>9666539.6000000015</v>
      </c>
    </row>
    <row r="757" spans="1:24" ht="19.5" customHeight="1" x14ac:dyDescent="0.45">
      <c r="A757" t="s">
        <v>13</v>
      </c>
      <c r="B757" s="14">
        <f>_xlfn.XLOOKUP(Table1[[#This Row], [TEAM]],Sheet1!$A$12:$A$17,Sheet1!$F$12:$F$17)</f>
        <v>3</v>
      </c>
      <c r="C757" s="14">
        <f>_xlfn.XLOOKUP(Table1[[#This Row], [TEAM]],Sheet1!$A$12:$A$17,Sheet1!$G$12:$G$17)</f>
        <v>5930000</v>
      </c>
      <c r="D757" t="s">
        <v>28</v>
      </c>
      <c r="E757" s="4">
        <f>_xlfn.XLOOKUP(Table1[[#This Row], [ROOM]],Sheet1!$A$47:$A$66,Sheet1!$B$47:$B$66)</f>
        <v>156</v>
      </c>
      <c r="F757" t="s">
        <v>62</v>
      </c>
      <c r="G757" s="4">
        <f>_xlfn.XLOOKUP(Table1[[#This Row], [DISGUISE]],Sheet1!$A$21:$A$23,Sheet1!$B$21:$B$23)*Table1[[#This Row], [NUM OF MEM]]*(1+_xlfn.XLOOKUP(Table1[[#This Row], [DISGUISE]],Sheet1!$A$21:$A$23,Sheet1!$C$21:$C$23))</f>
        <v>15600</v>
      </c>
      <c r="H757" s="13" t="s">
        <v>63</v>
      </c>
      <c r="I757" s="4">
        <f>_xlfn.XLOOKUP(Table1[[#This Row], [WEAPON]],Sheet1!$A$27:$A$29,Sheet1!$B$27:$B$29)*Table1[[#This Row], [NUM OF MEM]]*(1+_xlfn.XLOOKUP(Table1[[#This Row], [WEAPON]],Sheet1!$A$27:$A$29,Sheet1!$C$27:$C$29))</f>
        <v>69000</v>
      </c>
      <c r="J757" t="s">
        <v>60</v>
      </c>
      <c r="K757" s="9">
        <f>Table1[[#This Row], [NUM OF MEM]]*Table1[[#This Row], [TOTAL TIME TAKEN]]*_xlfn.XLOOKUP(Table1[[#This Row], [EXIT]],Sheet1!$A$70:$A$71,Sheet1!$B$70:$B$71)*(1+_xlfn.XLOOKUP(Table1[[#This Row], [EXIT]],Sheet1!$A$70:$A$71,Sheet1!$C$70:$C$71))</f>
        <v>1661659.0374999996</v>
      </c>
      <c r="L757" s="13" t="s">
        <v>65</v>
      </c>
      <c r="M757" s="4">
        <f>IF(Table1[[#This Row], [EQUIPMENT]]="YES",Sheet1!$C$44*(1+Sheet1!$D$44),0)</f>
        <v>307500</v>
      </c>
      <c r="N757" s="4">
        <f>_xlfn.XLOOKUP(Table1[[#This Row], [ROOM]],Sheet1!$A$47:$A$66,Sheet1!$F$47:$F$66)</f>
        <v>17650000</v>
      </c>
      <c r="O757" s="9">
        <f>_xlfn.XLOOKUP(_xlfn.CONCAT(Table1[[#This Row], [TEAM]],Table1[[#This Row], [ROOM]]),'ROOM TIME'!$H$2:$H$121,'ROOM TIME'!$J$2:$J$121)</f>
        <v>38.662777777777769</v>
      </c>
      <c r="P757" s="9">
        <f>(INDEX(Sheet1!$X$48:$Z$67,MATCH(Table1[[#This Row], [ROOM]],Sheet1!$P$48:$P$67,0),MATCH(Table1[[#This Row], [WEAPON]],Sheet1!$X$47:$Z$47,0)))/Table1[[#This Row], [NUM OF MEM]]</f>
        <v>4.5</v>
      </c>
      <c r="Q757" s="9">
        <f>Table1[[#This Row], [ROOM TIME]]+Table1[[#This Row], [GUARD TIME]]</f>
        <v>43.162777777777769</v>
      </c>
      <c r="R757" s="4">
        <f>Sheet1!$K$3*_xlfn.XLOOKUP(Table1[[#This Row], [DISGUISE]],Sheet1!$A$21:$A$23,Sheet1!$D$21:$D$23)</f>
        <v>66</v>
      </c>
      <c r="S757" s="9">
        <f>Table1[[#This Row], [TOTAL TIME]]-Table1[[#This Row], [TOTAL TIME TAKEN]]</f>
        <v>22.837222222222231</v>
      </c>
      <c r="T757" t="str">
        <f>IF(Table1[[#This Row], [TIME DIFFERENCE]]&gt;=0,"PASS","FAIL")</f>
        <v>PASS</v>
      </c>
      <c r="U757" s="9">
        <f>Table1[[#This Row], [TRC]]+Table1[[#This Row], [DRC]]+Table1[[#This Row], [WRC]]+Table1[[#This Row], [ERC]]+Table1[[#This Row], [EQRC]]</f>
        <v>7983759.0374999996</v>
      </c>
      <c r="V757" s="9">
        <f>Table1[[#This Row], [TOTAL COST]]+_xlfn.XLOOKUP(Table1[[#This Row], [TEAM]],Sheet1!$A$12:$A$17,Sheet1!$I$12:$I$17)</f>
        <v>8280259.0374999996</v>
      </c>
      <c r="W757" s="9">
        <f>Table1[[#This Row], [LOOT]]-Table1[[#This Row], [TOTAL COST]]</f>
        <v>9666240.9625000004</v>
      </c>
      <c r="X757" s="9">
        <f>IF(Table1[[#This Row], [PASS/FAIL]]="FAIL",0,Table1[[#This Row], [PROFIT]])</f>
        <v>9666240.9625000004</v>
      </c>
    </row>
    <row r="758" spans="1:24" ht="19.5" customHeight="1" x14ac:dyDescent="0.45">
      <c r="A758" t="s">
        <v>16</v>
      </c>
      <c r="B758" s="14">
        <f>_xlfn.XLOOKUP(Table1[[#This Row], [TEAM]],Sheet1!$A$12:$A$17,Sheet1!$F$12:$F$17)</f>
        <v>2</v>
      </c>
      <c r="C758" s="14">
        <f>_xlfn.XLOOKUP(Table1[[#This Row], [TEAM]],Sheet1!$A$12:$A$17,Sheet1!$G$12:$G$17)</f>
        <v>6082800</v>
      </c>
      <c r="D758" t="s">
        <v>27</v>
      </c>
      <c r="E758" s="4">
        <f>_xlfn.XLOOKUP(Table1[[#This Row], [ROOM]],Sheet1!$A$47:$A$66,Sheet1!$B$47:$B$66)</f>
        <v>146</v>
      </c>
      <c r="F758" t="s">
        <v>62</v>
      </c>
      <c r="G758" s="4">
        <f>_xlfn.XLOOKUP(Table1[[#This Row], [DISGUISE]],Sheet1!$A$21:$A$23,Sheet1!$B$21:$B$23)*Table1[[#This Row], [NUM OF MEM]]*(1+_xlfn.XLOOKUP(Table1[[#This Row], [DISGUISE]],Sheet1!$A$21:$A$23,Sheet1!$C$21:$C$23))</f>
        <v>10400</v>
      </c>
      <c r="H758" s="13" t="s">
        <v>63</v>
      </c>
      <c r="I758" s="4">
        <f>_xlfn.XLOOKUP(Table1[[#This Row], [WEAPON]],Sheet1!$A$27:$A$29,Sheet1!$B$27:$B$29)*Table1[[#This Row], [NUM OF MEM]]*(1+_xlfn.XLOOKUP(Table1[[#This Row], [WEAPON]],Sheet1!$A$27:$A$29,Sheet1!$C$27:$C$29))</f>
        <v>46000</v>
      </c>
      <c r="J758" t="s">
        <v>60</v>
      </c>
      <c r="K758" s="9">
        <f>Table1[[#This Row], [NUM OF MEM]]*Table1[[#This Row], [TOTAL TIME TAKEN]]*_xlfn.XLOOKUP(Table1[[#This Row], [EXIT]],Sheet1!$A$70:$A$71,Sheet1!$B$70:$B$71)*(1+_xlfn.XLOOKUP(Table1[[#This Row], [EXIT]],Sheet1!$A$70:$A$71,Sheet1!$C$70:$C$71))</f>
        <v>1637587.4062499993</v>
      </c>
      <c r="L758" s="13" t="s">
        <v>65</v>
      </c>
      <c r="M758" s="4">
        <f>IF(Table1[[#This Row], [EQUIPMENT]]="YES",Sheet1!$C$44*(1+Sheet1!$D$44),0)</f>
        <v>307500</v>
      </c>
      <c r="N758" s="4">
        <f>_xlfn.XLOOKUP(Table1[[#This Row], [ROOM]],Sheet1!$A$47:$A$66,Sheet1!$F$47:$F$66)</f>
        <v>17750000</v>
      </c>
      <c r="O758" s="9">
        <f>_xlfn.XLOOKUP(_xlfn.CONCAT(Table1[[#This Row], [TEAM]],Table1[[#This Row], [ROOM]]),'ROOM TIME'!$H$2:$H$121,'ROOM TIME'!$J$2:$J$121)</f>
        <v>56.38124999999998</v>
      </c>
      <c r="P758" s="9">
        <f>(INDEX(Sheet1!$X$48:$Z$67,MATCH(Table1[[#This Row], [ROOM]],Sheet1!$P$48:$P$67,0),MATCH(Table1[[#This Row], [WEAPON]],Sheet1!$X$47:$Z$47,0)))/Table1[[#This Row], [NUM OF MEM]]</f>
        <v>7.4250000000000007</v>
      </c>
      <c r="Q758" s="9">
        <f>Table1[[#This Row], [ROOM TIME]]+Table1[[#This Row], [GUARD TIME]]</f>
        <v>63.806249999999977</v>
      </c>
      <c r="R758" s="4">
        <f>Sheet1!$K$3*_xlfn.XLOOKUP(Table1[[#This Row], [DISGUISE]],Sheet1!$A$21:$A$23,Sheet1!$D$21:$D$23)</f>
        <v>66</v>
      </c>
      <c r="S758" s="9">
        <f>Table1[[#This Row], [TOTAL TIME]]-Table1[[#This Row], [TOTAL TIME TAKEN]]</f>
        <v>2.1937500000000227</v>
      </c>
      <c r="T758" t="str">
        <f>IF(Table1[[#This Row], [TIME DIFFERENCE]]&gt;=0,"PASS","FAIL")</f>
        <v>PASS</v>
      </c>
      <c r="U758" s="9">
        <f>Table1[[#This Row], [TRC]]+Table1[[#This Row], [DRC]]+Table1[[#This Row], [WRC]]+Table1[[#This Row], [ERC]]+Table1[[#This Row], [EQRC]]</f>
        <v>8084287.4062499991</v>
      </c>
      <c r="V758" s="9">
        <f>Table1[[#This Row], [TOTAL COST]]+_xlfn.XLOOKUP(Table1[[#This Row], [TEAM]],Sheet1!$A$12:$A$17,Sheet1!$I$12:$I$17)</f>
        <v>8388427.4062499991</v>
      </c>
      <c r="W758" s="9">
        <f>Table1[[#This Row], [LOOT]]-Table1[[#This Row], [TOTAL COST]]</f>
        <v>9665712.59375</v>
      </c>
      <c r="X758" s="9">
        <f>IF(Table1[[#This Row], [PASS/FAIL]]="FAIL",0,Table1[[#This Row], [PROFIT]])</f>
        <v>9665712.59375</v>
      </c>
    </row>
    <row r="759" spans="1:24" ht="19.5" customHeight="1" x14ac:dyDescent="0.45">
      <c r="A759" t="s">
        <v>16</v>
      </c>
      <c r="B759" s="14">
        <f>_xlfn.XLOOKUP(Table1[[#This Row], [TEAM]],Sheet1!$A$12:$A$17,Sheet1!$F$12:$F$17)</f>
        <v>2</v>
      </c>
      <c r="C759" s="14">
        <f>_xlfn.XLOOKUP(Table1[[#This Row], [TEAM]],Sheet1!$A$12:$A$17,Sheet1!$G$12:$G$17)</f>
        <v>6082800</v>
      </c>
      <c r="D759" t="s">
        <v>20</v>
      </c>
      <c r="E759" s="4">
        <f>_xlfn.XLOOKUP(Table1[[#This Row], [ROOM]],Sheet1!$A$47:$A$66,Sheet1!$B$47:$B$66)</f>
        <v>145</v>
      </c>
      <c r="F759" t="s">
        <v>58</v>
      </c>
      <c r="G759" s="4">
        <f>_xlfn.XLOOKUP(Table1[[#This Row], [DISGUISE]],Sheet1!$A$21:$A$23,Sheet1!$B$21:$B$23)*Table1[[#This Row], [NUM OF MEM]]*(1+_xlfn.XLOOKUP(Table1[[#This Row], [DISGUISE]],Sheet1!$A$21:$A$23,Sheet1!$C$21:$C$23))</f>
        <v>25600</v>
      </c>
      <c r="H759" s="13" t="s">
        <v>59</v>
      </c>
      <c r="I759" s="4">
        <f>_xlfn.XLOOKUP(Table1[[#This Row], [WEAPON]],Sheet1!$A$27:$A$29,Sheet1!$B$27:$B$29)*Table1[[#This Row], [NUM OF MEM]]*(1+_xlfn.XLOOKUP(Table1[[#This Row], [WEAPON]],Sheet1!$A$27:$A$29,Sheet1!$C$27:$C$29))</f>
        <v>91000</v>
      </c>
      <c r="J759" t="s">
        <v>60</v>
      </c>
      <c r="K759" s="9">
        <f>Table1[[#This Row], [NUM OF MEM]]*Table1[[#This Row], [TOTAL TIME TAKEN]]*_xlfn.XLOOKUP(Table1[[#This Row], [EXIT]],Sheet1!$A$70:$A$71,Sheet1!$B$70:$B$71)*(1+_xlfn.XLOOKUP(Table1[[#This Row], [EXIT]],Sheet1!$A$70:$A$71,Sheet1!$C$70:$C$71))</f>
        <v>1684939.3312499993</v>
      </c>
      <c r="L759" s="13" t="s">
        <v>61</v>
      </c>
      <c r="M759" s="4">
        <f>IF(Table1[[#This Row], [EQUIPMENT]]="YES",Sheet1!$C$44*(1+Sheet1!$D$44),0)</f>
        <v>0</v>
      </c>
      <c r="N759" s="4">
        <f>_xlfn.XLOOKUP(Table1[[#This Row], [ROOM]],Sheet1!$A$47:$A$66,Sheet1!$F$47:$F$66)</f>
        <v>17550000</v>
      </c>
      <c r="O759" s="9">
        <f>_xlfn.XLOOKUP(_xlfn.CONCAT(Table1[[#This Row], [TEAM]],Table1[[#This Row], [ROOM]]),'ROOM TIME'!$H$2:$H$121,'ROOM TIME'!$J$2:$J$121)</f>
        <v>59.901249999999983</v>
      </c>
      <c r="P759" s="9">
        <f>(INDEX(Sheet1!$X$48:$Z$67,MATCH(Table1[[#This Row], [ROOM]],Sheet1!$P$48:$P$67,0),MATCH(Table1[[#This Row], [WEAPON]],Sheet1!$X$47:$Z$47,0)))/Table1[[#This Row], [NUM OF MEM]]</f>
        <v>5.75</v>
      </c>
      <c r="Q759" s="9">
        <f>Table1[[#This Row], [ROOM TIME]]+Table1[[#This Row], [GUARD TIME]]</f>
        <v>65.651249999999976</v>
      </c>
      <c r="R759" s="4">
        <f>Sheet1!$K$3*_xlfn.XLOOKUP(Table1[[#This Row], [DISGUISE]],Sheet1!$A$21:$A$23,Sheet1!$D$21:$D$23)</f>
        <v>69</v>
      </c>
      <c r="S759" s="9">
        <f>Table1[[#This Row], [TOTAL TIME]]-Table1[[#This Row], [TOTAL TIME TAKEN]]</f>
        <v>3.3487500000000239</v>
      </c>
      <c r="T759" t="str">
        <f>IF(Table1[[#This Row], [TIME DIFFERENCE]]&gt;=0,"PASS","FAIL")</f>
        <v>PASS</v>
      </c>
      <c r="U759" s="9">
        <f>Table1[[#This Row], [TRC]]+Table1[[#This Row], [DRC]]+Table1[[#This Row], [WRC]]+Table1[[#This Row], [ERC]]+Table1[[#This Row], [EQRC]]</f>
        <v>7884339.3312499989</v>
      </c>
      <c r="V759" s="9">
        <f>Table1[[#This Row], [TOTAL COST]]+_xlfn.XLOOKUP(Table1[[#This Row], [TEAM]],Sheet1!$A$12:$A$17,Sheet1!$I$12:$I$17)</f>
        <v>8188479.3312499989</v>
      </c>
      <c r="W759" s="9">
        <f>Table1[[#This Row], [LOOT]]-Table1[[#This Row], [TOTAL COST]]</f>
        <v>9665660.6687500011</v>
      </c>
      <c r="X759" s="9">
        <f>IF(Table1[[#This Row], [PASS/FAIL]]="FAIL",0,Table1[[#This Row], [PROFIT]])</f>
        <v>9665660.6687500011</v>
      </c>
    </row>
    <row r="760" spans="1:24" ht="19.5" customHeight="1" x14ac:dyDescent="0.45">
      <c r="A760" t="s">
        <v>15</v>
      </c>
      <c r="B760" s="14">
        <f>_xlfn.XLOOKUP(Table1[[#This Row], [TEAM]],Sheet1!$A$12:$A$17,Sheet1!$F$12:$F$17)</f>
        <v>2</v>
      </c>
      <c r="C760" s="14">
        <f>_xlfn.XLOOKUP(Table1[[#This Row], [TEAM]],Sheet1!$A$12:$A$17,Sheet1!$G$12:$G$17)</f>
        <v>5932950</v>
      </c>
      <c r="D760" t="s">
        <v>11</v>
      </c>
      <c r="E760" s="4">
        <f>_xlfn.XLOOKUP(Table1[[#This Row], [ROOM]],Sheet1!$A$47:$A$66,Sheet1!$B$47:$B$66)</f>
        <v>124</v>
      </c>
      <c r="F760" t="s">
        <v>58</v>
      </c>
      <c r="G760" s="4">
        <f>_xlfn.XLOOKUP(Table1[[#This Row], [DISGUISE]],Sheet1!$A$21:$A$23,Sheet1!$B$21:$B$23)*Table1[[#This Row], [NUM OF MEM]]*(1+_xlfn.XLOOKUP(Table1[[#This Row], [DISGUISE]],Sheet1!$A$21:$A$23,Sheet1!$C$21:$C$23))</f>
        <v>25600</v>
      </c>
      <c r="H760" s="13" t="s">
        <v>59</v>
      </c>
      <c r="I760" s="4">
        <f>_xlfn.XLOOKUP(Table1[[#This Row], [WEAPON]],Sheet1!$A$27:$A$29,Sheet1!$B$27:$B$29)*Table1[[#This Row], [NUM OF MEM]]*(1+_xlfn.XLOOKUP(Table1[[#This Row], [WEAPON]],Sheet1!$A$27:$A$29,Sheet1!$C$27:$C$29))</f>
        <v>91000</v>
      </c>
      <c r="J760" t="s">
        <v>60</v>
      </c>
      <c r="K760" s="9">
        <f>Table1[[#This Row], [NUM OF MEM]]*Table1[[#This Row], [TOTAL TIME TAKEN]]*_xlfn.XLOOKUP(Table1[[#This Row], [EXIT]],Sheet1!$A$70:$A$71,Sheet1!$B$70:$B$71)*(1+_xlfn.XLOOKUP(Table1[[#This Row], [EXIT]],Sheet1!$A$70:$A$71,Sheet1!$C$70:$C$71))</f>
        <v>1734857.7562499996</v>
      </c>
      <c r="L760" s="13" t="s">
        <v>61</v>
      </c>
      <c r="M760" s="4">
        <f>IF(Table1[[#This Row], [EQUIPMENT]]="YES",Sheet1!$C$44*(1+Sheet1!$D$44),0)</f>
        <v>0</v>
      </c>
      <c r="N760" s="4">
        <f>_xlfn.XLOOKUP(Table1[[#This Row], [ROOM]],Sheet1!$A$47:$A$66,Sheet1!$F$47:$F$66)</f>
        <v>17450000</v>
      </c>
      <c r="O760" s="9">
        <f>_xlfn.XLOOKUP(_xlfn.CONCAT(Table1[[#This Row], [TEAM]],Table1[[#This Row], [ROOM]]),'ROOM TIME'!$H$2:$H$121,'ROOM TIME'!$J$2:$J$121)</f>
        <v>61.271249999999981</v>
      </c>
      <c r="P760" s="9">
        <f>(INDEX(Sheet1!$X$48:$Z$67,MATCH(Table1[[#This Row], [ROOM]],Sheet1!$P$48:$P$67,0),MATCH(Table1[[#This Row], [WEAPON]],Sheet1!$X$47:$Z$47,0)))/Table1[[#This Row], [NUM OF MEM]]</f>
        <v>6.3249999999999993</v>
      </c>
      <c r="Q760" s="9">
        <f>Table1[[#This Row], [ROOM TIME]]+Table1[[#This Row], [GUARD TIME]]</f>
        <v>67.596249999999984</v>
      </c>
      <c r="R760" s="4">
        <f>Sheet1!$K$3*_xlfn.XLOOKUP(Table1[[#This Row], [DISGUISE]],Sheet1!$A$21:$A$23,Sheet1!$D$21:$D$23)</f>
        <v>69</v>
      </c>
      <c r="S760" s="9">
        <f>Table1[[#This Row], [TOTAL TIME]]-Table1[[#This Row], [TOTAL TIME TAKEN]]</f>
        <v>1.4037500000000165</v>
      </c>
      <c r="T760" t="str">
        <f>IF(Table1[[#This Row], [TIME DIFFERENCE]]&gt;=0,"PASS","FAIL")</f>
        <v>PASS</v>
      </c>
      <c r="U760" s="9">
        <f>Table1[[#This Row], [TRC]]+Table1[[#This Row], [DRC]]+Table1[[#This Row], [WRC]]+Table1[[#This Row], [ERC]]+Table1[[#This Row], [EQRC]]</f>
        <v>7784407.7562499996</v>
      </c>
      <c r="V760" s="9">
        <f>Table1[[#This Row], [TOTAL COST]]+_xlfn.XLOOKUP(Table1[[#This Row], [TEAM]],Sheet1!$A$12:$A$17,Sheet1!$I$12:$I$17)</f>
        <v>8081055.2562499996</v>
      </c>
      <c r="W760" s="9">
        <f>Table1[[#This Row], [LOOT]]-Table1[[#This Row], [TOTAL COST]]</f>
        <v>9665592.2437500004</v>
      </c>
      <c r="X760" s="9">
        <f>IF(Table1[[#This Row], [PASS/FAIL]]="FAIL",0,Table1[[#This Row], [PROFIT]])</f>
        <v>9665592.2437500004</v>
      </c>
    </row>
    <row r="761" spans="1:24" ht="19.5" customHeight="1" x14ac:dyDescent="0.45">
      <c r="A761" t="s">
        <v>12</v>
      </c>
      <c r="B761" s="14">
        <f>_xlfn.XLOOKUP(Table1[[#This Row], [TEAM]],Sheet1!$A$12:$A$17,Sheet1!$F$12:$F$17)</f>
        <v>3</v>
      </c>
      <c r="C761" s="14">
        <f>_xlfn.XLOOKUP(Table1[[#This Row], [TEAM]],Sheet1!$A$12:$A$17,Sheet1!$G$12:$G$17)</f>
        <v>5988750</v>
      </c>
      <c r="D761" t="s">
        <v>34</v>
      </c>
      <c r="E761" s="4">
        <f>_xlfn.XLOOKUP(Table1[[#This Row], [ROOM]],Sheet1!$A$47:$A$66,Sheet1!$B$47:$B$66)</f>
        <v>456</v>
      </c>
      <c r="F761" t="s">
        <v>58</v>
      </c>
      <c r="G761" s="4">
        <f>_xlfn.XLOOKUP(Table1[[#This Row], [DISGUISE]],Sheet1!$A$21:$A$23,Sheet1!$B$21:$B$23)*Table1[[#This Row], [NUM OF MEM]]*(1+_xlfn.XLOOKUP(Table1[[#This Row], [DISGUISE]],Sheet1!$A$21:$A$23,Sheet1!$C$21:$C$23))</f>
        <v>38400</v>
      </c>
      <c r="H761" s="13" t="s">
        <v>66</v>
      </c>
      <c r="I761" s="4">
        <f>_xlfn.XLOOKUP(Table1[[#This Row], [WEAPON]],Sheet1!$A$27:$A$29,Sheet1!$B$27:$B$29)*Table1[[#This Row], [NUM OF MEM]]*(1+_xlfn.XLOOKUP(Table1[[#This Row], [WEAPON]],Sheet1!$A$27:$A$29,Sheet1!$C$27:$C$29))</f>
        <v>108000</v>
      </c>
      <c r="J761" t="s">
        <v>60</v>
      </c>
      <c r="K761" s="9">
        <f>Table1[[#This Row], [NUM OF MEM]]*Table1[[#This Row], [TOTAL TIME TAKEN]]*_xlfn.XLOOKUP(Table1[[#This Row], [EXIT]],Sheet1!$A$70:$A$71,Sheet1!$B$70:$B$71)*(1+_xlfn.XLOOKUP(Table1[[#This Row], [EXIT]],Sheet1!$A$70:$A$71,Sheet1!$C$70:$C$71))</f>
        <v>1591786.0749999997</v>
      </c>
      <c r="L761" s="13" t="s">
        <v>65</v>
      </c>
      <c r="M761" s="4">
        <f>IF(Table1[[#This Row], [EQUIPMENT]]="YES",Sheet1!$C$44*(1+Sheet1!$D$44),0)</f>
        <v>307500</v>
      </c>
      <c r="N761" s="4">
        <f>_xlfn.XLOOKUP(Table1[[#This Row], [ROOM]],Sheet1!$A$47:$A$66,Sheet1!$F$47:$F$66)</f>
        <v>17700000</v>
      </c>
      <c r="O761" s="9">
        <f>_xlfn.XLOOKUP(_xlfn.CONCAT(Table1[[#This Row], [TEAM]],Table1[[#This Row], [ROOM]]),'ROOM TIME'!$H$2:$H$121,'ROOM TIME'!$J$2:$J$121)</f>
        <v>36.764444444444429</v>
      </c>
      <c r="P761" s="9">
        <f>(INDEX(Sheet1!$X$48:$Z$67,MATCH(Table1[[#This Row], [ROOM]],Sheet1!$P$48:$P$67,0),MATCH(Table1[[#This Row], [WEAPON]],Sheet1!$X$47:$Z$47,0)))/Table1[[#This Row], [NUM OF MEM]]</f>
        <v>4.583333333333333</v>
      </c>
      <c r="Q761" s="9">
        <f>Table1[[#This Row], [ROOM TIME]]+Table1[[#This Row], [GUARD TIME]]</f>
        <v>41.347777777777765</v>
      </c>
      <c r="R761" s="4">
        <f>Sheet1!$K$3*_xlfn.XLOOKUP(Table1[[#This Row], [DISGUISE]],Sheet1!$A$21:$A$23,Sheet1!$D$21:$D$23)</f>
        <v>69</v>
      </c>
      <c r="S761" s="9">
        <f>Table1[[#This Row], [TOTAL TIME]]-Table1[[#This Row], [TOTAL TIME TAKEN]]</f>
        <v>27.652222222222235</v>
      </c>
      <c r="T761" t="str">
        <f>IF(Table1[[#This Row], [TIME DIFFERENCE]]&gt;=0,"PASS","FAIL")</f>
        <v>PASS</v>
      </c>
      <c r="U761" s="9">
        <f>Table1[[#This Row], [TRC]]+Table1[[#This Row], [DRC]]+Table1[[#This Row], [WRC]]+Table1[[#This Row], [ERC]]+Table1[[#This Row], [EQRC]]</f>
        <v>8034436.0749999993</v>
      </c>
      <c r="V761" s="9">
        <f>Table1[[#This Row], [TOTAL COST]]+_xlfn.XLOOKUP(Table1[[#This Row], [TEAM]],Sheet1!$A$12:$A$17,Sheet1!$I$12:$I$17)</f>
        <v>8333873.5749999993</v>
      </c>
      <c r="W761" s="9">
        <f>Table1[[#This Row], [LOOT]]-Table1[[#This Row], [TOTAL COST]]</f>
        <v>9665563.9250000007</v>
      </c>
      <c r="X761" s="9">
        <f>IF(Table1[[#This Row], [PASS/FAIL]]="FAIL",0,Table1[[#This Row], [PROFIT]])</f>
        <v>9665563.9250000007</v>
      </c>
    </row>
    <row r="762" spans="1:24" ht="19.5" customHeight="1" x14ac:dyDescent="0.45">
      <c r="A762" t="s">
        <v>15</v>
      </c>
      <c r="B762" s="14">
        <f>_xlfn.XLOOKUP(Table1[[#This Row], [TEAM]],Sheet1!$A$12:$A$17,Sheet1!$F$12:$F$17)</f>
        <v>2</v>
      </c>
      <c r="C762" s="14">
        <f>_xlfn.XLOOKUP(Table1[[#This Row], [TEAM]],Sheet1!$A$12:$A$17,Sheet1!$G$12:$G$17)</f>
        <v>5932950</v>
      </c>
      <c r="D762" t="s">
        <v>11</v>
      </c>
      <c r="E762" s="4">
        <f>_xlfn.XLOOKUP(Table1[[#This Row], [ROOM]],Sheet1!$A$47:$A$66,Sheet1!$B$47:$B$66)</f>
        <v>124</v>
      </c>
      <c r="F762" t="s">
        <v>58</v>
      </c>
      <c r="G762" s="4">
        <f>_xlfn.XLOOKUP(Table1[[#This Row], [DISGUISE]],Sheet1!$A$21:$A$23,Sheet1!$B$21:$B$23)*Table1[[#This Row], [NUM OF MEM]]*(1+_xlfn.XLOOKUP(Table1[[#This Row], [DISGUISE]],Sheet1!$A$21:$A$23,Sheet1!$C$21:$C$23))</f>
        <v>25600</v>
      </c>
      <c r="H762" s="13" t="s">
        <v>63</v>
      </c>
      <c r="I762" s="4">
        <f>_xlfn.XLOOKUP(Table1[[#This Row], [WEAPON]],Sheet1!$A$27:$A$29,Sheet1!$B$27:$B$29)*Table1[[#This Row], [NUM OF MEM]]*(1+_xlfn.XLOOKUP(Table1[[#This Row], [WEAPON]],Sheet1!$A$27:$A$29,Sheet1!$C$27:$C$29))</f>
        <v>46000</v>
      </c>
      <c r="J762" t="s">
        <v>64</v>
      </c>
      <c r="K762" s="9">
        <f>Table1[[#This Row], [NUM OF MEM]]*Table1[[#This Row], [TOTAL TIME TAKEN]]*_xlfn.XLOOKUP(Table1[[#This Row], [EXIT]],Sheet1!$A$70:$A$71,Sheet1!$B$70:$B$71)*(1+_xlfn.XLOOKUP(Table1[[#This Row], [EXIT]],Sheet1!$A$70:$A$71,Sheet1!$C$70:$C$71))</f>
        <v>1780606.7999999993</v>
      </c>
      <c r="L762" s="13" t="s">
        <v>61</v>
      </c>
      <c r="M762" s="4">
        <f>IF(Table1[[#This Row], [EQUIPMENT]]="YES",Sheet1!$C$44*(1+Sheet1!$D$44),0)</f>
        <v>0</v>
      </c>
      <c r="N762" s="4">
        <f>_xlfn.XLOOKUP(Table1[[#This Row], [ROOM]],Sheet1!$A$47:$A$66,Sheet1!$F$47:$F$66)</f>
        <v>17450000</v>
      </c>
      <c r="O762" s="9">
        <f>_xlfn.XLOOKUP(_xlfn.CONCAT(Table1[[#This Row], [TEAM]],Table1[[#This Row], [ROOM]]),'ROOM TIME'!$H$2:$H$121,'ROOM TIME'!$J$2:$J$121)</f>
        <v>61.271249999999981</v>
      </c>
      <c r="P762" s="9">
        <f>(INDEX(Sheet1!$X$48:$Z$67,MATCH(Table1[[#This Row], [ROOM]],Sheet1!$P$48:$P$67,0),MATCH(Table1[[#This Row], [WEAPON]],Sheet1!$X$47:$Z$47,0)))/Table1[[#This Row], [NUM OF MEM]]</f>
        <v>7.4250000000000007</v>
      </c>
      <c r="Q762" s="9">
        <f>Table1[[#This Row], [ROOM TIME]]+Table1[[#This Row], [GUARD TIME]]</f>
        <v>68.696249999999978</v>
      </c>
      <c r="R762" s="4">
        <f>Sheet1!$K$3*_xlfn.XLOOKUP(Table1[[#This Row], [DISGUISE]],Sheet1!$A$21:$A$23,Sheet1!$D$21:$D$23)</f>
        <v>69</v>
      </c>
      <c r="S762" s="9">
        <f>Table1[[#This Row], [TOTAL TIME]]-Table1[[#This Row], [TOTAL TIME TAKEN]]</f>
        <v>0.30375000000002217</v>
      </c>
      <c r="T762" t="str">
        <f>IF(Table1[[#This Row], [TIME DIFFERENCE]]&gt;=0,"PASS","FAIL")</f>
        <v>PASS</v>
      </c>
      <c r="U762" s="9">
        <f>Table1[[#This Row], [TRC]]+Table1[[#This Row], [DRC]]+Table1[[#This Row], [WRC]]+Table1[[#This Row], [ERC]]+Table1[[#This Row], [EQRC]]</f>
        <v>7785156.7999999989</v>
      </c>
      <c r="V762" s="9">
        <f>Table1[[#This Row], [TOTAL COST]]+_xlfn.XLOOKUP(Table1[[#This Row], [TEAM]],Sheet1!$A$12:$A$17,Sheet1!$I$12:$I$17)</f>
        <v>8081804.2999999989</v>
      </c>
      <c r="W762" s="9">
        <f>Table1[[#This Row], [LOOT]]-Table1[[#This Row], [TOTAL COST]]</f>
        <v>9664843.2000000011</v>
      </c>
      <c r="X762" s="9">
        <f>IF(Table1[[#This Row], [PASS/FAIL]]="FAIL",0,Table1[[#This Row], [PROFIT]])</f>
        <v>9664843.2000000011</v>
      </c>
    </row>
    <row r="763" spans="1:24" ht="19.5" customHeight="1" x14ac:dyDescent="0.45">
      <c r="A763" t="s">
        <v>12</v>
      </c>
      <c r="B763" s="14">
        <f>_xlfn.XLOOKUP(Table1[[#This Row], [TEAM]],Sheet1!$A$12:$A$17,Sheet1!$F$12:$F$17)</f>
        <v>3</v>
      </c>
      <c r="C763" s="14">
        <f>_xlfn.XLOOKUP(Table1[[#This Row], [TEAM]],Sheet1!$A$12:$A$17,Sheet1!$G$12:$G$17)</f>
        <v>5988750</v>
      </c>
      <c r="D763" t="s">
        <v>21</v>
      </c>
      <c r="E763" s="4">
        <f>_xlfn.XLOOKUP(Table1[[#This Row], [ROOM]],Sheet1!$A$47:$A$66,Sheet1!$B$47:$B$66)</f>
        <v>234</v>
      </c>
      <c r="F763" t="s">
        <v>62</v>
      </c>
      <c r="G763" s="4">
        <f>_xlfn.XLOOKUP(Table1[[#This Row], [DISGUISE]],Sheet1!$A$21:$A$23,Sheet1!$B$21:$B$23)*Table1[[#This Row], [NUM OF MEM]]*(1+_xlfn.XLOOKUP(Table1[[#This Row], [DISGUISE]],Sheet1!$A$21:$A$23,Sheet1!$C$21:$C$23))</f>
        <v>15600</v>
      </c>
      <c r="H763" s="13" t="s">
        <v>66</v>
      </c>
      <c r="I763" s="4">
        <f>_xlfn.XLOOKUP(Table1[[#This Row], [WEAPON]],Sheet1!$A$27:$A$29,Sheet1!$B$27:$B$29)*Table1[[#This Row], [NUM OF MEM]]*(1+_xlfn.XLOOKUP(Table1[[#This Row], [WEAPON]],Sheet1!$A$27:$A$29,Sheet1!$C$27:$C$29))</f>
        <v>108000</v>
      </c>
      <c r="J763" t="s">
        <v>60</v>
      </c>
      <c r="K763" s="9">
        <f>Table1[[#This Row], [NUM OF MEM]]*Table1[[#This Row], [TOTAL TIME TAKEN]]*_xlfn.XLOOKUP(Table1[[#This Row], [EXIT]],Sheet1!$A$70:$A$71,Sheet1!$B$70:$B$71)*(1+_xlfn.XLOOKUP(Table1[[#This Row], [EXIT]],Sheet1!$A$70:$A$71,Sheet1!$C$70:$C$71))</f>
        <v>1815755.9749999992</v>
      </c>
      <c r="L763" s="13" t="s">
        <v>65</v>
      </c>
      <c r="M763" s="4">
        <f>IF(Table1[[#This Row], [EQUIPMENT]]="YES",Sheet1!$C$44*(1+Sheet1!$D$44),0)</f>
        <v>307500</v>
      </c>
      <c r="N763" s="4">
        <f>_xlfn.XLOOKUP(Table1[[#This Row], [ROOM]],Sheet1!$A$47:$A$66,Sheet1!$F$47:$F$66)</f>
        <v>17900000</v>
      </c>
      <c r="O763" s="9">
        <f>_xlfn.XLOOKUP(_xlfn.CONCAT(Table1[[#This Row], [TEAM]],Table1[[#This Row], [ROOM]]),'ROOM TIME'!$H$2:$H$121,'ROOM TIME'!$J$2:$J$121)</f>
        <v>41.748888888888878</v>
      </c>
      <c r="P763" s="9">
        <f>(INDEX(Sheet1!$X$48:$Z$67,MATCH(Table1[[#This Row], [ROOM]],Sheet1!$P$48:$P$67,0),MATCH(Table1[[#This Row], [WEAPON]],Sheet1!$X$47:$Z$47,0)))/Table1[[#This Row], [NUM OF MEM]]</f>
        <v>5.416666666666667</v>
      </c>
      <c r="Q763" s="9">
        <f>Table1[[#This Row], [ROOM TIME]]+Table1[[#This Row], [GUARD TIME]]</f>
        <v>47.165555555555542</v>
      </c>
      <c r="R763" s="4">
        <f>Sheet1!$K$3*_xlfn.XLOOKUP(Table1[[#This Row], [DISGUISE]],Sheet1!$A$21:$A$23,Sheet1!$D$21:$D$23)</f>
        <v>66</v>
      </c>
      <c r="S763" s="9">
        <f>Table1[[#This Row], [TOTAL TIME]]-Table1[[#This Row], [TOTAL TIME TAKEN]]</f>
        <v>18.834444444444458</v>
      </c>
      <c r="T763" t="str">
        <f>IF(Table1[[#This Row], [TIME DIFFERENCE]]&gt;=0,"PASS","FAIL")</f>
        <v>PASS</v>
      </c>
      <c r="U763" s="9">
        <f>Table1[[#This Row], [TRC]]+Table1[[#This Row], [DRC]]+Table1[[#This Row], [WRC]]+Table1[[#This Row], [ERC]]+Table1[[#This Row], [EQRC]]</f>
        <v>8235605.9749999996</v>
      </c>
      <c r="V763" s="9">
        <f>Table1[[#This Row], [TOTAL COST]]+_xlfn.XLOOKUP(Table1[[#This Row], [TEAM]],Sheet1!$A$12:$A$17,Sheet1!$I$12:$I$17)</f>
        <v>8535043.4749999996</v>
      </c>
      <c r="W763" s="9">
        <f>Table1[[#This Row], [LOOT]]-Table1[[#This Row], [TOTAL COST]]</f>
        <v>9664394.0250000004</v>
      </c>
      <c r="X763" s="9">
        <f>IF(Table1[[#This Row], [PASS/FAIL]]="FAIL",0,Table1[[#This Row], [PROFIT]])</f>
        <v>9664394.0250000004</v>
      </c>
    </row>
    <row r="764" spans="1:24" ht="19.5" customHeight="1" x14ac:dyDescent="0.45">
      <c r="A764" t="s">
        <v>16</v>
      </c>
      <c r="B764" s="14">
        <f>_xlfn.XLOOKUP(Table1[[#This Row], [TEAM]],Sheet1!$A$12:$A$17,Sheet1!$F$12:$F$17)</f>
        <v>2</v>
      </c>
      <c r="C764" s="14">
        <f>_xlfn.XLOOKUP(Table1[[#This Row], [TEAM]],Sheet1!$A$12:$A$17,Sheet1!$G$12:$G$17)</f>
        <v>6082800</v>
      </c>
      <c r="D764" t="s">
        <v>20</v>
      </c>
      <c r="E764" s="4">
        <f>_xlfn.XLOOKUP(Table1[[#This Row], [ROOM]],Sheet1!$A$47:$A$66,Sheet1!$B$47:$B$66)</f>
        <v>145</v>
      </c>
      <c r="F764" t="s">
        <v>62</v>
      </c>
      <c r="G764" s="4">
        <f>_xlfn.XLOOKUP(Table1[[#This Row], [DISGUISE]],Sheet1!$A$21:$A$23,Sheet1!$B$21:$B$23)*Table1[[#This Row], [NUM OF MEM]]*(1+_xlfn.XLOOKUP(Table1[[#This Row], [DISGUISE]],Sheet1!$A$21:$A$23,Sheet1!$C$21:$C$23))</f>
        <v>10400</v>
      </c>
      <c r="H764" s="13" t="s">
        <v>59</v>
      </c>
      <c r="I764" s="4">
        <f>_xlfn.XLOOKUP(Table1[[#This Row], [WEAPON]],Sheet1!$A$27:$A$29,Sheet1!$B$27:$B$29)*Table1[[#This Row], [NUM OF MEM]]*(1+_xlfn.XLOOKUP(Table1[[#This Row], [WEAPON]],Sheet1!$A$27:$A$29,Sheet1!$C$27:$C$29))</f>
        <v>91000</v>
      </c>
      <c r="J764" t="s">
        <v>64</v>
      </c>
      <c r="K764" s="9">
        <f>Table1[[#This Row], [NUM OF MEM]]*Table1[[#This Row], [TOTAL TIME TAKEN]]*_xlfn.XLOOKUP(Table1[[#This Row], [EXIT]],Sheet1!$A$70:$A$71,Sheet1!$B$70:$B$71)*(1+_xlfn.XLOOKUP(Table1[[#This Row], [EXIT]],Sheet1!$A$70:$A$71,Sheet1!$C$70:$C$71))</f>
        <v>1701680.3999999994</v>
      </c>
      <c r="L764" s="13" t="s">
        <v>61</v>
      </c>
      <c r="M764" s="4">
        <f>IF(Table1[[#This Row], [EQUIPMENT]]="YES",Sheet1!$C$44*(1+Sheet1!$D$44),0)</f>
        <v>0</v>
      </c>
      <c r="N764" s="4">
        <f>_xlfn.XLOOKUP(Table1[[#This Row], [ROOM]],Sheet1!$A$47:$A$66,Sheet1!$F$47:$F$66)</f>
        <v>17550000</v>
      </c>
      <c r="O764" s="9">
        <f>_xlfn.XLOOKUP(_xlfn.CONCAT(Table1[[#This Row], [TEAM]],Table1[[#This Row], [ROOM]]),'ROOM TIME'!$H$2:$H$121,'ROOM TIME'!$J$2:$J$121)</f>
        <v>59.901249999999983</v>
      </c>
      <c r="P764" s="9">
        <f>(INDEX(Sheet1!$X$48:$Z$67,MATCH(Table1[[#This Row], [ROOM]],Sheet1!$P$48:$P$67,0),MATCH(Table1[[#This Row], [WEAPON]],Sheet1!$X$47:$Z$47,0)))/Table1[[#This Row], [NUM OF MEM]]</f>
        <v>5.75</v>
      </c>
      <c r="Q764" s="9">
        <f>Table1[[#This Row], [ROOM TIME]]+Table1[[#This Row], [GUARD TIME]]</f>
        <v>65.651249999999976</v>
      </c>
      <c r="R764" s="4">
        <f>Sheet1!$K$3*_xlfn.XLOOKUP(Table1[[#This Row], [DISGUISE]],Sheet1!$A$21:$A$23,Sheet1!$D$21:$D$23)</f>
        <v>66</v>
      </c>
      <c r="S764" s="9">
        <f>Table1[[#This Row], [TOTAL TIME]]-Table1[[#This Row], [TOTAL TIME TAKEN]]</f>
        <v>0.34875000000002387</v>
      </c>
      <c r="T764" t="str">
        <f>IF(Table1[[#This Row], [TIME DIFFERENCE]]&gt;=0,"PASS","FAIL")</f>
        <v>PASS</v>
      </c>
      <c r="U764" s="9">
        <f>Table1[[#This Row], [TRC]]+Table1[[#This Row], [DRC]]+Table1[[#This Row], [WRC]]+Table1[[#This Row], [ERC]]+Table1[[#This Row], [EQRC]]</f>
        <v>7885880.3999999994</v>
      </c>
      <c r="V764" s="9">
        <f>Table1[[#This Row], [TOTAL COST]]+_xlfn.XLOOKUP(Table1[[#This Row], [TEAM]],Sheet1!$A$12:$A$17,Sheet1!$I$12:$I$17)</f>
        <v>8190020.3999999994</v>
      </c>
      <c r="W764" s="9">
        <f>Table1[[#This Row], [LOOT]]-Table1[[#This Row], [TOTAL COST]]</f>
        <v>9664119.6000000015</v>
      </c>
      <c r="X764" s="9">
        <f>IF(Table1[[#This Row], [PASS/FAIL]]="FAIL",0,Table1[[#This Row], [PROFIT]])</f>
        <v>9664119.6000000015</v>
      </c>
    </row>
    <row r="765" spans="1:24" ht="19.5" customHeight="1" x14ac:dyDescent="0.45">
      <c r="A765" t="s">
        <v>9</v>
      </c>
      <c r="B765" s="14">
        <f>_xlfn.XLOOKUP(Table1[[#This Row], [TEAM]],Sheet1!$A$12:$A$17,Sheet1!$F$12:$F$17)</f>
        <v>3</v>
      </c>
      <c r="C765" s="14">
        <f>_xlfn.XLOOKUP(Table1[[#This Row], [TEAM]],Sheet1!$A$12:$A$17,Sheet1!$G$12:$G$17)</f>
        <v>6238750</v>
      </c>
      <c r="D765" t="s">
        <v>29</v>
      </c>
      <c r="E765" s="4">
        <f>_xlfn.XLOOKUP(Table1[[#This Row], [ROOM]],Sheet1!$A$47:$A$66,Sheet1!$B$47:$B$66)</f>
        <v>236</v>
      </c>
      <c r="F765" t="s">
        <v>62</v>
      </c>
      <c r="G765" s="4">
        <f>_xlfn.XLOOKUP(Table1[[#This Row], [DISGUISE]],Sheet1!$A$21:$A$23,Sheet1!$B$21:$B$23)*Table1[[#This Row], [NUM OF MEM]]*(1+_xlfn.XLOOKUP(Table1[[#This Row], [DISGUISE]],Sheet1!$A$21:$A$23,Sheet1!$C$21:$C$23))</f>
        <v>15600</v>
      </c>
      <c r="H765" s="13" t="s">
        <v>59</v>
      </c>
      <c r="I765" s="4">
        <f>_xlfn.XLOOKUP(Table1[[#This Row], [WEAPON]],Sheet1!$A$27:$A$29,Sheet1!$B$27:$B$29)*Table1[[#This Row], [NUM OF MEM]]*(1+_xlfn.XLOOKUP(Table1[[#This Row], [WEAPON]],Sheet1!$A$27:$A$29,Sheet1!$C$27:$C$29))</f>
        <v>136500</v>
      </c>
      <c r="J765" t="s">
        <v>64</v>
      </c>
      <c r="K765" s="9">
        <f>Table1[[#This Row], [NUM OF MEM]]*Table1[[#This Row], [TOTAL TIME TAKEN]]*_xlfn.XLOOKUP(Table1[[#This Row], [EXIT]],Sheet1!$A$70:$A$71,Sheet1!$B$70:$B$71)*(1+_xlfn.XLOOKUP(Table1[[#This Row], [EXIT]],Sheet1!$A$70:$A$71,Sheet1!$C$70:$C$71))</f>
        <v>1637668.7999999993</v>
      </c>
      <c r="L765" s="13" t="s">
        <v>65</v>
      </c>
      <c r="M765" s="4">
        <f>IF(Table1[[#This Row], [EQUIPMENT]]="YES",Sheet1!$C$44*(1+Sheet1!$D$44),0)</f>
        <v>307500</v>
      </c>
      <c r="N765" s="4">
        <f>_xlfn.XLOOKUP(Table1[[#This Row], [ROOM]],Sheet1!$A$47:$A$66,Sheet1!$F$47:$F$66)</f>
        <v>18000000</v>
      </c>
      <c r="O765" s="9">
        <f>_xlfn.XLOOKUP(_xlfn.CONCAT(Table1[[#This Row], [TEAM]],Table1[[#This Row], [ROOM]]),'ROOM TIME'!$H$2:$H$121,'ROOM TIME'!$J$2:$J$121)</f>
        <v>37.137777777777764</v>
      </c>
      <c r="P765" s="9">
        <f>(INDEX(Sheet1!$X$48:$Z$67,MATCH(Table1[[#This Row], [ROOM]],Sheet1!$P$48:$P$67,0),MATCH(Table1[[#This Row], [WEAPON]],Sheet1!$X$47:$Z$47,0)))/Table1[[#This Row], [NUM OF MEM]]</f>
        <v>4.9833333333333334</v>
      </c>
      <c r="Q765" s="9">
        <f>Table1[[#This Row], [ROOM TIME]]+Table1[[#This Row], [GUARD TIME]]</f>
        <v>42.121111111111098</v>
      </c>
      <c r="R765" s="4">
        <f>Sheet1!$K$3*_xlfn.XLOOKUP(Table1[[#This Row], [DISGUISE]],Sheet1!$A$21:$A$23,Sheet1!$D$21:$D$23)</f>
        <v>66</v>
      </c>
      <c r="S765" s="9">
        <f>Table1[[#This Row], [TOTAL TIME]]-Table1[[#This Row], [TOTAL TIME TAKEN]]</f>
        <v>23.878888888888902</v>
      </c>
      <c r="T765" t="str">
        <f>IF(Table1[[#This Row], [TIME DIFFERENCE]]&gt;=0,"PASS","FAIL")</f>
        <v>PASS</v>
      </c>
      <c r="U765" s="9">
        <f>Table1[[#This Row], [TRC]]+Table1[[#This Row], [DRC]]+Table1[[#This Row], [WRC]]+Table1[[#This Row], [ERC]]+Table1[[#This Row], [EQRC]]</f>
        <v>8336018.7999999989</v>
      </c>
      <c r="V765" s="9">
        <f>Table1[[#This Row], [TOTAL COST]]+_xlfn.XLOOKUP(Table1[[#This Row], [TEAM]],Sheet1!$A$12:$A$17,Sheet1!$I$12:$I$17)</f>
        <v>8647956.2999999989</v>
      </c>
      <c r="W765" s="9">
        <f>Table1[[#This Row], [LOOT]]-Table1[[#This Row], [TOTAL COST]]</f>
        <v>9663981.2000000011</v>
      </c>
      <c r="X765" s="9">
        <f>IF(Table1[[#This Row], [PASS/FAIL]]="FAIL",0,Table1[[#This Row], [PROFIT]])</f>
        <v>9663981.2000000011</v>
      </c>
    </row>
    <row r="766" spans="1:24" ht="19.5" customHeight="1" x14ac:dyDescent="0.45">
      <c r="A766" t="s">
        <v>12</v>
      </c>
      <c r="B766" s="14">
        <f>_xlfn.XLOOKUP(Table1[[#This Row], [TEAM]],Sheet1!$A$12:$A$17,Sheet1!$F$12:$F$17)</f>
        <v>3</v>
      </c>
      <c r="C766" s="14">
        <f>_xlfn.XLOOKUP(Table1[[#This Row], [TEAM]],Sheet1!$A$12:$A$17,Sheet1!$G$12:$G$17)</f>
        <v>5988750</v>
      </c>
      <c r="D766" t="s">
        <v>21</v>
      </c>
      <c r="E766" s="4">
        <f>_xlfn.XLOOKUP(Table1[[#This Row], [ROOM]],Sheet1!$A$47:$A$66,Sheet1!$B$47:$B$66)</f>
        <v>234</v>
      </c>
      <c r="F766" t="s">
        <v>58</v>
      </c>
      <c r="G766" s="4">
        <f>_xlfn.XLOOKUP(Table1[[#This Row], [DISGUISE]],Sheet1!$A$21:$A$23,Sheet1!$B$21:$B$23)*Table1[[#This Row], [NUM OF MEM]]*(1+_xlfn.XLOOKUP(Table1[[#This Row], [DISGUISE]],Sheet1!$A$21:$A$23,Sheet1!$C$21:$C$23))</f>
        <v>38400</v>
      </c>
      <c r="H766" s="13" t="s">
        <v>63</v>
      </c>
      <c r="I766" s="4">
        <f>_xlfn.XLOOKUP(Table1[[#This Row], [WEAPON]],Sheet1!$A$27:$A$29,Sheet1!$B$27:$B$29)*Table1[[#This Row], [NUM OF MEM]]*(1+_xlfn.XLOOKUP(Table1[[#This Row], [WEAPON]],Sheet1!$A$27:$A$29,Sheet1!$C$27:$C$29))</f>
        <v>69000</v>
      </c>
      <c r="J766" t="s">
        <v>60</v>
      </c>
      <c r="K766" s="9">
        <f>Table1[[#This Row], [NUM OF MEM]]*Table1[[#This Row], [TOTAL TIME TAKEN]]*_xlfn.XLOOKUP(Table1[[#This Row], [EXIT]],Sheet1!$A$70:$A$71,Sheet1!$B$70:$B$71)*(1+_xlfn.XLOOKUP(Table1[[#This Row], [EXIT]],Sheet1!$A$70:$A$71,Sheet1!$C$70:$C$71))</f>
        <v>1832438.2249999992</v>
      </c>
      <c r="L766" s="13" t="s">
        <v>65</v>
      </c>
      <c r="M766" s="4">
        <f>IF(Table1[[#This Row], [EQUIPMENT]]="YES",Sheet1!$C$44*(1+Sheet1!$D$44),0)</f>
        <v>307500</v>
      </c>
      <c r="N766" s="4">
        <f>_xlfn.XLOOKUP(Table1[[#This Row], [ROOM]],Sheet1!$A$47:$A$66,Sheet1!$F$47:$F$66)</f>
        <v>17900000</v>
      </c>
      <c r="O766" s="9">
        <f>_xlfn.XLOOKUP(_xlfn.CONCAT(Table1[[#This Row], [TEAM]],Table1[[#This Row], [ROOM]]),'ROOM TIME'!$H$2:$H$121,'ROOM TIME'!$J$2:$J$121)</f>
        <v>41.748888888888878</v>
      </c>
      <c r="P766" s="9">
        <f>(INDEX(Sheet1!$X$48:$Z$67,MATCH(Table1[[#This Row], [ROOM]],Sheet1!$P$48:$P$67,0),MATCH(Table1[[#This Row], [WEAPON]],Sheet1!$X$47:$Z$47,0)))/Table1[[#This Row], [NUM OF MEM]]</f>
        <v>5.8500000000000005</v>
      </c>
      <c r="Q766" s="9">
        <f>Table1[[#This Row], [ROOM TIME]]+Table1[[#This Row], [GUARD TIME]]</f>
        <v>47.598888888888879</v>
      </c>
      <c r="R766" s="4">
        <f>Sheet1!$K$3*_xlfn.XLOOKUP(Table1[[#This Row], [DISGUISE]],Sheet1!$A$21:$A$23,Sheet1!$D$21:$D$23)</f>
        <v>69</v>
      </c>
      <c r="S766" s="9">
        <f>Table1[[#This Row], [TOTAL TIME]]-Table1[[#This Row], [TOTAL TIME TAKEN]]</f>
        <v>21.401111111111121</v>
      </c>
      <c r="T766" t="str">
        <f>IF(Table1[[#This Row], [TIME DIFFERENCE]]&gt;=0,"PASS","FAIL")</f>
        <v>PASS</v>
      </c>
      <c r="U766" s="9">
        <f>Table1[[#This Row], [TRC]]+Table1[[#This Row], [DRC]]+Table1[[#This Row], [WRC]]+Table1[[#This Row], [ERC]]+Table1[[#This Row], [EQRC]]</f>
        <v>8236088.2249999996</v>
      </c>
      <c r="V766" s="9">
        <f>Table1[[#This Row], [TOTAL COST]]+_xlfn.XLOOKUP(Table1[[#This Row], [TEAM]],Sheet1!$A$12:$A$17,Sheet1!$I$12:$I$17)</f>
        <v>8535525.7249999996</v>
      </c>
      <c r="W766" s="9">
        <f>Table1[[#This Row], [LOOT]]-Table1[[#This Row], [TOTAL COST]]</f>
        <v>9663911.7750000004</v>
      </c>
      <c r="X766" s="9">
        <f>IF(Table1[[#This Row], [PASS/FAIL]]="FAIL",0,Table1[[#This Row], [PROFIT]])</f>
        <v>9663911.7750000004</v>
      </c>
    </row>
    <row r="767" spans="1:24" ht="19.5" customHeight="1" x14ac:dyDescent="0.45">
      <c r="A767" t="s">
        <v>9</v>
      </c>
      <c r="B767" s="14">
        <f>_xlfn.XLOOKUP(Table1[[#This Row], [TEAM]],Sheet1!$A$12:$A$17,Sheet1!$F$12:$F$17)</f>
        <v>3</v>
      </c>
      <c r="C767" s="14">
        <f>_xlfn.XLOOKUP(Table1[[#This Row], [TEAM]],Sheet1!$A$12:$A$17,Sheet1!$G$12:$G$17)</f>
        <v>6238750</v>
      </c>
      <c r="D767" t="s">
        <v>18</v>
      </c>
      <c r="E767" s="4">
        <f>_xlfn.XLOOKUP(Table1[[#This Row], [ROOM]],Sheet1!$A$47:$A$66,Sheet1!$B$47:$B$66)</f>
        <v>134</v>
      </c>
      <c r="F767" t="s">
        <v>58</v>
      </c>
      <c r="G767" s="4">
        <f>_xlfn.XLOOKUP(Table1[[#This Row], [DISGUISE]],Sheet1!$A$21:$A$23,Sheet1!$B$21:$B$23)*Table1[[#This Row], [NUM OF MEM]]*(1+_xlfn.XLOOKUP(Table1[[#This Row], [DISGUISE]],Sheet1!$A$21:$A$23,Sheet1!$C$21:$C$23))</f>
        <v>38400</v>
      </c>
      <c r="H767" s="13" t="s">
        <v>66</v>
      </c>
      <c r="I767" s="4">
        <f>_xlfn.XLOOKUP(Table1[[#This Row], [WEAPON]],Sheet1!$A$27:$A$29,Sheet1!$B$27:$B$29)*Table1[[#This Row], [NUM OF MEM]]*(1+_xlfn.XLOOKUP(Table1[[#This Row], [WEAPON]],Sheet1!$A$27:$A$29,Sheet1!$C$27:$C$29))</f>
        <v>108000</v>
      </c>
      <c r="J767" t="s">
        <v>60</v>
      </c>
      <c r="K767" s="9">
        <f>Table1[[#This Row], [NUM OF MEM]]*Table1[[#This Row], [TOTAL TIME TAKEN]]*_xlfn.XLOOKUP(Table1[[#This Row], [EXIT]],Sheet1!$A$70:$A$71,Sheet1!$B$70:$B$71)*(1+_xlfn.XLOOKUP(Table1[[#This Row], [EXIT]],Sheet1!$A$70:$A$71,Sheet1!$C$70:$C$71))</f>
        <v>1694039.7124999999</v>
      </c>
      <c r="L767" s="13" t="s">
        <v>65</v>
      </c>
      <c r="M767" s="4">
        <f>IF(Table1[[#This Row], [EQUIPMENT]]="YES",Sheet1!$C$44*(1+Sheet1!$D$44),0)</f>
        <v>307500</v>
      </c>
      <c r="N767" s="4">
        <f>_xlfn.XLOOKUP(Table1[[#This Row], [ROOM]],Sheet1!$A$47:$A$66,Sheet1!$F$47:$F$66)</f>
        <v>18050000</v>
      </c>
      <c r="O767" s="9">
        <f>_xlfn.XLOOKUP(_xlfn.CONCAT(Table1[[#This Row], [TEAM]],Table1[[#This Row], [ROOM]]),'ROOM TIME'!$H$2:$H$121,'ROOM TIME'!$J$2:$J$121)</f>
        <v>39.003888888888881</v>
      </c>
      <c r="P767" s="4">
        <f>(INDEX(Sheet1!$X$48:$Z$67,MATCH(Table1[[#This Row], [ROOM]],Sheet1!$P$48:$P$67,0),MATCH(Table1[[#This Row], [WEAPON]],Sheet1!$X$47:$Z$47,0)))/Table1[[#This Row], [NUM OF MEM]]</f>
        <v>5</v>
      </c>
      <c r="Q767" s="9">
        <f>Table1[[#This Row], [ROOM TIME]]+Table1[[#This Row], [GUARD TIME]]</f>
        <v>44.003888888888881</v>
      </c>
      <c r="R767" s="4">
        <f>Sheet1!$K$3*_xlfn.XLOOKUP(Table1[[#This Row], [DISGUISE]],Sheet1!$A$21:$A$23,Sheet1!$D$21:$D$23)</f>
        <v>69</v>
      </c>
      <c r="S767" s="9">
        <f>Table1[[#This Row], [TOTAL TIME]]-Table1[[#This Row], [TOTAL TIME TAKEN]]</f>
        <v>24.996111111111119</v>
      </c>
      <c r="T767" t="str">
        <f>IF(Table1[[#This Row], [TIME DIFFERENCE]]&gt;=0,"PASS","FAIL")</f>
        <v>PASS</v>
      </c>
      <c r="U767" s="9">
        <f>Table1[[#This Row], [TRC]]+Table1[[#This Row], [DRC]]+Table1[[#This Row], [WRC]]+Table1[[#This Row], [ERC]]+Table1[[#This Row], [EQRC]]</f>
        <v>8386689.7125000004</v>
      </c>
      <c r="V767" s="9">
        <f>Table1[[#This Row], [TOTAL COST]]+_xlfn.XLOOKUP(Table1[[#This Row], [TEAM]],Sheet1!$A$12:$A$17,Sheet1!$I$12:$I$17)</f>
        <v>8698627.2125000004</v>
      </c>
      <c r="W767" s="9">
        <f>Table1[[#This Row], [LOOT]]-Table1[[#This Row], [TOTAL COST]]</f>
        <v>9663310.2874999996</v>
      </c>
      <c r="X767" s="9">
        <f>IF(Table1[[#This Row], [PASS/FAIL]]="FAIL",0,Table1[[#This Row], [PROFIT]])</f>
        <v>9663310.2874999996</v>
      </c>
    </row>
    <row r="768" spans="1:24" ht="19.5" customHeight="1" x14ac:dyDescent="0.45">
      <c r="A768" t="s">
        <v>14</v>
      </c>
      <c r="B768" s="14">
        <f>_xlfn.XLOOKUP(Table1[[#This Row], [TEAM]],Sheet1!$A$12:$A$17,Sheet1!$F$12:$F$17)</f>
        <v>2</v>
      </c>
      <c r="C768" s="14">
        <f>_xlfn.XLOOKUP(Table1[[#This Row], [TEAM]],Sheet1!$A$12:$A$17,Sheet1!$G$12:$G$17)</f>
        <v>5949600</v>
      </c>
      <c r="D768" t="s">
        <v>11</v>
      </c>
      <c r="E768" s="4">
        <f>_xlfn.XLOOKUP(Table1[[#This Row], [ROOM]],Sheet1!$A$47:$A$66,Sheet1!$B$47:$B$66)</f>
        <v>124</v>
      </c>
      <c r="F768" t="s">
        <v>58</v>
      </c>
      <c r="G768" s="4">
        <f>_xlfn.XLOOKUP(Table1[[#This Row], [DISGUISE]],Sheet1!$A$21:$A$23,Sheet1!$B$21:$B$23)*Table1[[#This Row], [NUM OF MEM]]*(1+_xlfn.XLOOKUP(Table1[[#This Row], [DISGUISE]],Sheet1!$A$21:$A$23,Sheet1!$C$21:$C$23))</f>
        <v>25600</v>
      </c>
      <c r="H768" s="13" t="s">
        <v>66</v>
      </c>
      <c r="I768" s="4">
        <f>_xlfn.XLOOKUP(Table1[[#This Row], [WEAPON]],Sheet1!$A$27:$A$29,Sheet1!$B$27:$B$29)*Table1[[#This Row], [NUM OF MEM]]*(1+_xlfn.XLOOKUP(Table1[[#This Row], [WEAPON]],Sheet1!$A$27:$A$29,Sheet1!$C$27:$C$29))</f>
        <v>72000</v>
      </c>
      <c r="J768" t="s">
        <v>60</v>
      </c>
      <c r="K768" s="9">
        <f>Table1[[#This Row], [NUM OF MEM]]*Table1[[#This Row], [TOTAL TIME TAKEN]]*_xlfn.XLOOKUP(Table1[[#This Row], [EXIT]],Sheet1!$A$70:$A$71,Sheet1!$B$70:$B$71)*(1+_xlfn.XLOOKUP(Table1[[#This Row], [EXIT]],Sheet1!$A$70:$A$71,Sheet1!$C$70:$C$71))</f>
        <v>1739702.0249999999</v>
      </c>
      <c r="L768" s="13" t="s">
        <v>61</v>
      </c>
      <c r="M768" s="4">
        <f>IF(Table1[[#This Row], [EQUIPMENT]]="YES",Sheet1!$C$44*(1+Sheet1!$D$44),0)</f>
        <v>0</v>
      </c>
      <c r="N768" s="4">
        <f>_xlfn.XLOOKUP(Table1[[#This Row], [ROOM]],Sheet1!$A$47:$A$66,Sheet1!$F$47:$F$66)</f>
        <v>17450000</v>
      </c>
      <c r="O768" s="9">
        <f>_xlfn.XLOOKUP(_xlfn.CONCAT(Table1[[#This Row], [TEAM]],Table1[[#This Row], [ROOM]]),'ROOM TIME'!$H$2:$H$121,'ROOM TIME'!$J$2:$J$121)</f>
        <v>60.91</v>
      </c>
      <c r="P768" s="9">
        <f>(INDEX(Sheet1!$X$48:$Z$67,MATCH(Table1[[#This Row], [ROOM]],Sheet1!$P$48:$P$67,0),MATCH(Table1[[#This Row], [WEAPON]],Sheet1!$X$47:$Z$47,0)))/Table1[[#This Row], [NUM OF MEM]]</f>
        <v>6.875</v>
      </c>
      <c r="Q768" s="9">
        <f>Table1[[#This Row], [ROOM TIME]]+Table1[[#This Row], [GUARD TIME]]</f>
        <v>67.784999999999997</v>
      </c>
      <c r="R768" s="4">
        <f>Sheet1!$K$3*_xlfn.XLOOKUP(Table1[[#This Row], [DISGUISE]],Sheet1!$A$21:$A$23,Sheet1!$D$21:$D$23)</f>
        <v>69</v>
      </c>
      <c r="S768" s="9">
        <f>Table1[[#This Row], [TOTAL TIME]]-Table1[[#This Row], [TOTAL TIME TAKEN]]</f>
        <v>1.2150000000000034</v>
      </c>
      <c r="T768" t="str">
        <f>IF(Table1[[#This Row], [TIME DIFFERENCE]]&gt;=0,"PASS","FAIL")</f>
        <v>PASS</v>
      </c>
      <c r="U768" s="9">
        <f>Table1[[#This Row], [TRC]]+Table1[[#This Row], [DRC]]+Table1[[#This Row], [WRC]]+Table1[[#This Row], [ERC]]+Table1[[#This Row], [EQRC]]</f>
        <v>7786902.0250000004</v>
      </c>
      <c r="V768" s="9">
        <f>Table1[[#This Row], [TOTAL COST]]+_xlfn.XLOOKUP(Table1[[#This Row], [TEAM]],Sheet1!$A$12:$A$17,Sheet1!$I$12:$I$17)</f>
        <v>8084382.0250000004</v>
      </c>
      <c r="W768" s="9">
        <f>Table1[[#This Row], [LOOT]]-Table1[[#This Row], [TOTAL COST]]</f>
        <v>9663097.9749999996</v>
      </c>
      <c r="X768" s="9">
        <f>IF(Table1[[#This Row], [PASS/FAIL]]="FAIL",0,Table1[[#This Row], [PROFIT]])</f>
        <v>9663097.9749999996</v>
      </c>
    </row>
    <row r="769" spans="1:24" ht="19.5" customHeight="1" x14ac:dyDescent="0.45">
      <c r="A769" t="s">
        <v>13</v>
      </c>
      <c r="B769" s="14">
        <f>_xlfn.XLOOKUP(Table1[[#This Row], [TEAM]],Sheet1!$A$12:$A$17,Sheet1!$F$12:$F$17)</f>
        <v>3</v>
      </c>
      <c r="C769" s="14">
        <f>_xlfn.XLOOKUP(Table1[[#This Row], [TEAM]],Sheet1!$A$12:$A$17,Sheet1!$G$12:$G$17)</f>
        <v>5930000</v>
      </c>
      <c r="D769" t="s">
        <v>34</v>
      </c>
      <c r="E769" s="4">
        <f>_xlfn.XLOOKUP(Table1[[#This Row], [ROOM]],Sheet1!$A$47:$A$66,Sheet1!$B$47:$B$66)</f>
        <v>456</v>
      </c>
      <c r="F769" t="s">
        <v>62</v>
      </c>
      <c r="G769" s="4">
        <f>_xlfn.XLOOKUP(Table1[[#This Row], [DISGUISE]],Sheet1!$A$21:$A$23,Sheet1!$B$21:$B$23)*Table1[[#This Row], [NUM OF MEM]]*(1+_xlfn.XLOOKUP(Table1[[#This Row], [DISGUISE]],Sheet1!$A$21:$A$23,Sheet1!$C$21:$C$23))</f>
        <v>15600</v>
      </c>
      <c r="H769" s="13" t="s">
        <v>59</v>
      </c>
      <c r="I769" s="4">
        <f>_xlfn.XLOOKUP(Table1[[#This Row], [WEAPON]],Sheet1!$A$27:$A$29,Sheet1!$B$27:$B$29)*Table1[[#This Row], [NUM OF MEM]]*(1+_xlfn.XLOOKUP(Table1[[#This Row], [WEAPON]],Sheet1!$A$27:$A$29,Sheet1!$C$27:$C$29))</f>
        <v>136500</v>
      </c>
      <c r="J769" t="s">
        <v>60</v>
      </c>
      <c r="K769" s="9">
        <f>Table1[[#This Row], [NUM OF MEM]]*Table1[[#This Row], [TOTAL TIME TAKEN]]*_xlfn.XLOOKUP(Table1[[#This Row], [EXIT]],Sheet1!$A$70:$A$71,Sheet1!$B$70:$B$71)*(1+_xlfn.XLOOKUP(Table1[[#This Row], [EXIT]],Sheet1!$A$70:$A$71,Sheet1!$C$70:$C$71))</f>
        <v>1647329.4124999996</v>
      </c>
      <c r="L769" s="13" t="s">
        <v>65</v>
      </c>
      <c r="M769" s="4">
        <f>IF(Table1[[#This Row], [EQUIPMENT]]="YES",Sheet1!$C$44*(1+Sheet1!$D$44),0)</f>
        <v>307500</v>
      </c>
      <c r="N769" s="4">
        <f>_xlfn.XLOOKUP(Table1[[#This Row], [ROOM]],Sheet1!$A$47:$A$66,Sheet1!$F$47:$F$66)</f>
        <v>17700000</v>
      </c>
      <c r="O769" s="9">
        <f>_xlfn.XLOOKUP(_xlfn.CONCAT(Table1[[#This Row], [TEAM]],Table1[[#This Row], [ROOM]]),'ROOM TIME'!$H$2:$H$121,'ROOM TIME'!$J$2:$J$121)</f>
        <v>38.573888888888881</v>
      </c>
      <c r="P769" s="9">
        <f>(INDEX(Sheet1!$X$48:$Z$67,MATCH(Table1[[#This Row], [ROOM]],Sheet1!$P$48:$P$67,0),MATCH(Table1[[#This Row], [WEAPON]],Sheet1!$X$47:$Z$47,0)))/Table1[[#This Row], [NUM OF MEM]]</f>
        <v>4.2166666666666659</v>
      </c>
      <c r="Q769" s="9">
        <f>Table1[[#This Row], [ROOM TIME]]+Table1[[#This Row], [GUARD TIME]]</f>
        <v>42.790555555555549</v>
      </c>
      <c r="R769" s="4">
        <f>Sheet1!$K$3*_xlfn.XLOOKUP(Table1[[#This Row], [DISGUISE]],Sheet1!$A$21:$A$23,Sheet1!$D$21:$D$23)</f>
        <v>66</v>
      </c>
      <c r="S769" s="9">
        <f>Table1[[#This Row], [TOTAL TIME]]-Table1[[#This Row], [TOTAL TIME TAKEN]]</f>
        <v>23.209444444444451</v>
      </c>
      <c r="T769" t="str">
        <f>IF(Table1[[#This Row], [TIME DIFFERENCE]]&gt;=0,"PASS","FAIL")</f>
        <v>PASS</v>
      </c>
      <c r="U769" s="9">
        <f>Table1[[#This Row], [TRC]]+Table1[[#This Row], [DRC]]+Table1[[#This Row], [WRC]]+Table1[[#This Row], [ERC]]+Table1[[#This Row], [EQRC]]</f>
        <v>8036929.4124999996</v>
      </c>
      <c r="V769" s="9">
        <f>Table1[[#This Row], [TOTAL COST]]+_xlfn.XLOOKUP(Table1[[#This Row], [TEAM]],Sheet1!$A$12:$A$17,Sheet1!$I$12:$I$17)</f>
        <v>8333429.4124999996</v>
      </c>
      <c r="W769" s="9">
        <f>Table1[[#This Row], [LOOT]]-Table1[[#This Row], [TOTAL COST]]</f>
        <v>9663070.5875000004</v>
      </c>
      <c r="X769" s="9">
        <f>IF(Table1[[#This Row], [PASS/FAIL]]="FAIL",0,Table1[[#This Row], [PROFIT]])</f>
        <v>9663070.5875000004</v>
      </c>
    </row>
    <row r="770" spans="1:24" ht="19.5" customHeight="1" x14ac:dyDescent="0.45">
      <c r="A770" t="s">
        <v>13</v>
      </c>
      <c r="B770" s="14">
        <f>_xlfn.XLOOKUP(Table1[[#This Row], [TEAM]],Sheet1!$A$12:$A$17,Sheet1!$F$12:$F$17)</f>
        <v>3</v>
      </c>
      <c r="C770" s="14">
        <f>_xlfn.XLOOKUP(Table1[[#This Row], [TEAM]],Sheet1!$A$12:$A$17,Sheet1!$G$12:$G$17)</f>
        <v>5930000</v>
      </c>
      <c r="D770" t="s">
        <v>34</v>
      </c>
      <c r="E770" s="4">
        <f>_xlfn.XLOOKUP(Table1[[#This Row], [ROOM]],Sheet1!$A$47:$A$66,Sheet1!$B$47:$B$66)</f>
        <v>456</v>
      </c>
      <c r="F770" t="s">
        <v>58</v>
      </c>
      <c r="G770" s="4">
        <f>_xlfn.XLOOKUP(Table1[[#This Row], [DISGUISE]],Sheet1!$A$21:$A$23,Sheet1!$B$21:$B$23)*Table1[[#This Row], [NUM OF MEM]]*(1+_xlfn.XLOOKUP(Table1[[#This Row], [DISGUISE]],Sheet1!$A$21:$A$23,Sheet1!$C$21:$C$23))</f>
        <v>38400</v>
      </c>
      <c r="H770" s="13" t="s">
        <v>63</v>
      </c>
      <c r="I770" s="4">
        <f>_xlfn.XLOOKUP(Table1[[#This Row], [WEAPON]],Sheet1!$A$27:$A$29,Sheet1!$B$27:$B$29)*Table1[[#This Row], [NUM OF MEM]]*(1+_xlfn.XLOOKUP(Table1[[#This Row], [WEAPON]],Sheet1!$A$27:$A$29,Sheet1!$C$27:$C$29))</f>
        <v>69000</v>
      </c>
      <c r="J770" t="s">
        <v>64</v>
      </c>
      <c r="K770" s="9">
        <f>Table1[[#This Row], [NUM OF MEM]]*Table1[[#This Row], [TOTAL TIME TAKEN]]*_xlfn.XLOOKUP(Table1[[#This Row], [EXIT]],Sheet1!$A$70:$A$71,Sheet1!$B$70:$B$71)*(1+_xlfn.XLOOKUP(Table1[[#This Row], [EXIT]],Sheet1!$A$70:$A$71,Sheet1!$C$70:$C$71))</f>
        <v>1692208.8</v>
      </c>
      <c r="L770" s="13" t="s">
        <v>65</v>
      </c>
      <c r="M770" s="4">
        <f>IF(Table1[[#This Row], [EQUIPMENT]]="YES",Sheet1!$C$44*(1+Sheet1!$D$44),0)</f>
        <v>307500</v>
      </c>
      <c r="N770" s="4">
        <f>_xlfn.XLOOKUP(Table1[[#This Row], [ROOM]],Sheet1!$A$47:$A$66,Sheet1!$F$47:$F$66)</f>
        <v>17700000</v>
      </c>
      <c r="O770" s="9">
        <f>_xlfn.XLOOKUP(_xlfn.CONCAT(Table1[[#This Row], [TEAM]],Table1[[#This Row], [ROOM]]),'ROOM TIME'!$H$2:$H$121,'ROOM TIME'!$J$2:$J$121)</f>
        <v>38.573888888888881</v>
      </c>
      <c r="P770" s="9">
        <f>(INDEX(Sheet1!$X$48:$Z$67,MATCH(Table1[[#This Row], [ROOM]],Sheet1!$P$48:$P$67,0),MATCH(Table1[[#This Row], [WEAPON]],Sheet1!$X$47:$Z$47,0)))/Table1[[#This Row], [NUM OF MEM]]</f>
        <v>4.95</v>
      </c>
      <c r="Q770" s="9">
        <f>Table1[[#This Row], [ROOM TIME]]+Table1[[#This Row], [GUARD TIME]]</f>
        <v>43.523888888888884</v>
      </c>
      <c r="R770" s="4">
        <f>Sheet1!$K$3*_xlfn.XLOOKUP(Table1[[#This Row], [DISGUISE]],Sheet1!$A$21:$A$23,Sheet1!$D$21:$D$23)</f>
        <v>69</v>
      </c>
      <c r="S770" s="9">
        <f>Table1[[#This Row], [TOTAL TIME]]-Table1[[#This Row], [TOTAL TIME TAKEN]]</f>
        <v>25.476111111111116</v>
      </c>
      <c r="T770" t="str">
        <f>IF(Table1[[#This Row], [TIME DIFFERENCE]]&gt;=0,"PASS","FAIL")</f>
        <v>PASS</v>
      </c>
      <c r="U770" s="9">
        <f>Table1[[#This Row], [TRC]]+Table1[[#This Row], [DRC]]+Table1[[#This Row], [WRC]]+Table1[[#This Row], [ERC]]+Table1[[#This Row], [EQRC]]</f>
        <v>8037108.7999999998</v>
      </c>
      <c r="V770" s="9">
        <f>Table1[[#This Row], [TOTAL COST]]+_xlfn.XLOOKUP(Table1[[#This Row], [TEAM]],Sheet1!$A$12:$A$17,Sheet1!$I$12:$I$17)</f>
        <v>8333608.7999999998</v>
      </c>
      <c r="W770" s="9">
        <f>Table1[[#This Row], [LOOT]]-Table1[[#This Row], [TOTAL COST]]</f>
        <v>9662891.1999999993</v>
      </c>
      <c r="X770" s="9">
        <f>IF(Table1[[#This Row], [PASS/FAIL]]="FAIL",0,Table1[[#This Row], [PROFIT]])</f>
        <v>9662891.1999999993</v>
      </c>
    </row>
    <row r="771" spans="1:24" ht="19.5" customHeight="1" x14ac:dyDescent="0.45">
      <c r="A771" t="s">
        <v>13</v>
      </c>
      <c r="B771" s="14">
        <f>_xlfn.XLOOKUP(Table1[[#This Row], [TEAM]],Sheet1!$A$12:$A$17,Sheet1!$F$12:$F$17)</f>
        <v>3</v>
      </c>
      <c r="C771" s="14">
        <f>_xlfn.XLOOKUP(Table1[[#This Row], [TEAM]],Sheet1!$A$12:$A$17,Sheet1!$G$12:$G$17)</f>
        <v>5930000</v>
      </c>
      <c r="D771" t="s">
        <v>34</v>
      </c>
      <c r="E771" s="4">
        <f>_xlfn.XLOOKUP(Table1[[#This Row], [ROOM]],Sheet1!$A$47:$A$66,Sheet1!$B$47:$B$66)</f>
        <v>456</v>
      </c>
      <c r="F771" t="s">
        <v>62</v>
      </c>
      <c r="G771" s="4">
        <f>_xlfn.XLOOKUP(Table1[[#This Row], [DISGUISE]],Sheet1!$A$21:$A$23,Sheet1!$B$21:$B$23)*Table1[[#This Row], [NUM OF MEM]]*(1+_xlfn.XLOOKUP(Table1[[#This Row], [DISGUISE]],Sheet1!$A$21:$A$23,Sheet1!$C$21:$C$23))</f>
        <v>15600</v>
      </c>
      <c r="H771" s="13" t="s">
        <v>66</v>
      </c>
      <c r="I771" s="4">
        <f>_xlfn.XLOOKUP(Table1[[#This Row], [WEAPON]],Sheet1!$A$27:$A$29,Sheet1!$B$27:$B$29)*Table1[[#This Row], [NUM OF MEM]]*(1+_xlfn.XLOOKUP(Table1[[#This Row], [WEAPON]],Sheet1!$A$27:$A$29,Sheet1!$C$27:$C$29))</f>
        <v>108000</v>
      </c>
      <c r="J771" t="s">
        <v>64</v>
      </c>
      <c r="K771" s="9">
        <f>Table1[[#This Row], [NUM OF MEM]]*Table1[[#This Row], [TOTAL TIME TAKEN]]*_xlfn.XLOOKUP(Table1[[#This Row], [EXIT]],Sheet1!$A$70:$A$71,Sheet1!$B$70:$B$71)*(1+_xlfn.XLOOKUP(Table1[[#This Row], [EXIT]],Sheet1!$A$70:$A$71,Sheet1!$C$70:$C$71))</f>
        <v>1677952.7999999996</v>
      </c>
      <c r="L771" s="13" t="s">
        <v>65</v>
      </c>
      <c r="M771" s="4">
        <f>IF(Table1[[#This Row], [EQUIPMENT]]="YES",Sheet1!$C$44*(1+Sheet1!$D$44),0)</f>
        <v>307500</v>
      </c>
      <c r="N771" s="4">
        <f>_xlfn.XLOOKUP(Table1[[#This Row], [ROOM]],Sheet1!$A$47:$A$66,Sheet1!$F$47:$F$66)</f>
        <v>17700000</v>
      </c>
      <c r="O771" s="9">
        <f>_xlfn.XLOOKUP(_xlfn.CONCAT(Table1[[#This Row], [TEAM]],Table1[[#This Row], [ROOM]]),'ROOM TIME'!$H$2:$H$121,'ROOM TIME'!$J$2:$J$121)</f>
        <v>38.573888888888881</v>
      </c>
      <c r="P771" s="9">
        <f>(INDEX(Sheet1!$X$48:$Z$67,MATCH(Table1[[#This Row], [ROOM]],Sheet1!$P$48:$P$67,0),MATCH(Table1[[#This Row], [WEAPON]],Sheet1!$X$47:$Z$47,0)))/Table1[[#This Row], [NUM OF MEM]]</f>
        <v>4.583333333333333</v>
      </c>
      <c r="Q771" s="9">
        <f>Table1[[#This Row], [ROOM TIME]]+Table1[[#This Row], [GUARD TIME]]</f>
        <v>43.157222222222217</v>
      </c>
      <c r="R771" s="4">
        <f>Sheet1!$K$3*_xlfn.XLOOKUP(Table1[[#This Row], [DISGUISE]],Sheet1!$A$21:$A$23,Sheet1!$D$21:$D$23)</f>
        <v>66</v>
      </c>
      <c r="S771" s="9">
        <f>Table1[[#This Row], [TOTAL TIME]]-Table1[[#This Row], [TOTAL TIME TAKEN]]</f>
        <v>22.842777777777783</v>
      </c>
      <c r="T771" t="str">
        <f>IF(Table1[[#This Row], [TIME DIFFERENCE]]&gt;=0,"PASS","FAIL")</f>
        <v>PASS</v>
      </c>
      <c r="U771" s="9">
        <f>Table1[[#This Row], [TRC]]+Table1[[#This Row], [DRC]]+Table1[[#This Row], [WRC]]+Table1[[#This Row], [ERC]]+Table1[[#This Row], [EQRC]]</f>
        <v>8039052.7999999998</v>
      </c>
      <c r="V771" s="9">
        <f>Table1[[#This Row], [TOTAL COST]]+_xlfn.XLOOKUP(Table1[[#This Row], [TEAM]],Sheet1!$A$12:$A$17,Sheet1!$I$12:$I$17)</f>
        <v>8335552.7999999998</v>
      </c>
      <c r="W771" s="9">
        <f>Table1[[#This Row], [LOOT]]-Table1[[#This Row], [TOTAL COST]]</f>
        <v>9660947.1999999993</v>
      </c>
      <c r="X771" s="9">
        <f>IF(Table1[[#This Row], [PASS/FAIL]]="FAIL",0,Table1[[#This Row], [PROFIT]])</f>
        <v>9660947.1999999993</v>
      </c>
    </row>
    <row r="772" spans="1:24" ht="19.5" customHeight="1" x14ac:dyDescent="0.45">
      <c r="A772" t="s">
        <v>15</v>
      </c>
      <c r="B772" s="14">
        <f>_xlfn.XLOOKUP(Table1[[#This Row], [TEAM]],Sheet1!$A$12:$A$17,Sheet1!$F$12:$F$17)</f>
        <v>2</v>
      </c>
      <c r="C772" s="14">
        <f>_xlfn.XLOOKUP(Table1[[#This Row], [TEAM]],Sheet1!$A$12:$A$17,Sheet1!$G$12:$G$17)</f>
        <v>5932950</v>
      </c>
      <c r="D772" t="s">
        <v>23</v>
      </c>
      <c r="E772" s="4">
        <f>_xlfn.XLOOKUP(Table1[[#This Row], [ROOM]],Sheet1!$A$47:$A$66,Sheet1!$B$47:$B$66)</f>
        <v>245</v>
      </c>
      <c r="F772" t="s">
        <v>58</v>
      </c>
      <c r="G772" s="4">
        <f>_xlfn.XLOOKUP(Table1[[#This Row], [DISGUISE]],Sheet1!$A$21:$A$23,Sheet1!$B$21:$B$23)*Table1[[#This Row], [NUM OF MEM]]*(1+_xlfn.XLOOKUP(Table1[[#This Row], [DISGUISE]],Sheet1!$A$21:$A$23,Sheet1!$C$21:$C$23))</f>
        <v>25600</v>
      </c>
      <c r="H772" s="13" t="s">
        <v>63</v>
      </c>
      <c r="I772" s="4">
        <f>_xlfn.XLOOKUP(Table1[[#This Row], [WEAPON]],Sheet1!$A$27:$A$29,Sheet1!$B$27:$B$29)*Table1[[#This Row], [NUM OF MEM]]*(1+_xlfn.XLOOKUP(Table1[[#This Row], [WEAPON]],Sheet1!$A$27:$A$29,Sheet1!$C$27:$C$29))</f>
        <v>46000</v>
      </c>
      <c r="J772" t="s">
        <v>60</v>
      </c>
      <c r="K772" s="9">
        <f>Table1[[#This Row], [NUM OF MEM]]*Table1[[#This Row], [TOTAL TIME TAKEN]]*_xlfn.XLOOKUP(Table1[[#This Row], [EXIT]],Sheet1!$A$70:$A$71,Sheet1!$B$70:$B$71)*(1+_xlfn.XLOOKUP(Table1[[#This Row], [EXIT]],Sheet1!$A$70:$A$71,Sheet1!$C$70:$C$71))</f>
        <v>1735563.5437499997</v>
      </c>
      <c r="L772" s="13" t="s">
        <v>61</v>
      </c>
      <c r="M772" s="4">
        <f>IF(Table1[[#This Row], [EQUIPMENT]]="YES",Sheet1!$C$44*(1+Sheet1!$D$44),0)</f>
        <v>0</v>
      </c>
      <c r="N772" s="4">
        <f>_xlfn.XLOOKUP(Table1[[#This Row], [ROOM]],Sheet1!$A$47:$A$66,Sheet1!$F$47:$F$66)</f>
        <v>17400000</v>
      </c>
      <c r="O772" s="9">
        <f>_xlfn.XLOOKUP(_xlfn.CONCAT(Table1[[#This Row], [TEAM]],Table1[[#This Row], [ROOM]]),'ROOM TIME'!$H$2:$H$121,'ROOM TIME'!$J$2:$J$121)</f>
        <v>60.198749999999983</v>
      </c>
      <c r="P772" s="9">
        <f>(INDEX(Sheet1!$X$48:$Z$67,MATCH(Table1[[#This Row], [ROOM]],Sheet1!$P$48:$P$67,0),MATCH(Table1[[#This Row], [WEAPON]],Sheet1!$X$47:$Z$47,0)))/Table1[[#This Row], [NUM OF MEM]]</f>
        <v>7.4250000000000007</v>
      </c>
      <c r="Q772" s="9">
        <f>Table1[[#This Row], [ROOM TIME]]+Table1[[#This Row], [GUARD TIME]]</f>
        <v>67.623749999999987</v>
      </c>
      <c r="R772" s="4">
        <f>Sheet1!$K$3*_xlfn.XLOOKUP(Table1[[#This Row], [DISGUISE]],Sheet1!$A$21:$A$23,Sheet1!$D$21:$D$23)</f>
        <v>69</v>
      </c>
      <c r="S772" s="9">
        <f>Table1[[#This Row], [TOTAL TIME]]-Table1[[#This Row], [TOTAL TIME TAKEN]]</f>
        <v>1.3762500000000131</v>
      </c>
      <c r="T772" t="str">
        <f>IF(Table1[[#This Row], [TIME DIFFERENCE]]&gt;=0,"PASS","FAIL")</f>
        <v>PASS</v>
      </c>
      <c r="U772" s="9">
        <f>Table1[[#This Row], [TRC]]+Table1[[#This Row], [DRC]]+Table1[[#This Row], [WRC]]+Table1[[#This Row], [ERC]]+Table1[[#This Row], [EQRC]]</f>
        <v>7740113.5437499993</v>
      </c>
      <c r="V772" s="9">
        <f>Table1[[#This Row], [TOTAL COST]]+_xlfn.XLOOKUP(Table1[[#This Row], [TEAM]],Sheet1!$A$12:$A$17,Sheet1!$I$12:$I$17)</f>
        <v>8036761.0437499993</v>
      </c>
      <c r="W772" s="9">
        <f>Table1[[#This Row], [LOOT]]-Table1[[#This Row], [TOTAL COST]]</f>
        <v>9659886.4562500007</v>
      </c>
      <c r="X772" s="9">
        <f>IF(Table1[[#This Row], [PASS/FAIL]]="FAIL",0,Table1[[#This Row], [PROFIT]])</f>
        <v>9659886.4562500007</v>
      </c>
    </row>
    <row r="773" spans="1:24" ht="19.5" customHeight="1" x14ac:dyDescent="0.45">
      <c r="A773" t="s">
        <v>12</v>
      </c>
      <c r="B773" s="14">
        <f>_xlfn.XLOOKUP(Table1[[#This Row], [TEAM]],Sheet1!$A$12:$A$17,Sheet1!$F$12:$F$17)</f>
        <v>3</v>
      </c>
      <c r="C773" s="14">
        <f>_xlfn.XLOOKUP(Table1[[#This Row], [TEAM]],Sheet1!$A$12:$A$17,Sheet1!$G$12:$G$17)</f>
        <v>5988750</v>
      </c>
      <c r="D773" t="s">
        <v>34</v>
      </c>
      <c r="E773" s="4">
        <f>_xlfn.XLOOKUP(Table1[[#This Row], [ROOM]],Sheet1!$A$47:$A$66,Sheet1!$B$47:$B$66)</f>
        <v>456</v>
      </c>
      <c r="F773" t="s">
        <v>62</v>
      </c>
      <c r="G773" s="4">
        <f>_xlfn.XLOOKUP(Table1[[#This Row], [DISGUISE]],Sheet1!$A$21:$A$23,Sheet1!$B$21:$B$23)*Table1[[#This Row], [NUM OF MEM]]*(1+_xlfn.XLOOKUP(Table1[[#This Row], [DISGUISE]],Sheet1!$A$21:$A$23,Sheet1!$C$21:$C$23))</f>
        <v>15600</v>
      </c>
      <c r="H773" s="13" t="s">
        <v>59</v>
      </c>
      <c r="I773" s="4">
        <f>_xlfn.XLOOKUP(Table1[[#This Row], [WEAPON]],Sheet1!$A$27:$A$29,Sheet1!$B$27:$B$29)*Table1[[#This Row], [NUM OF MEM]]*(1+_xlfn.XLOOKUP(Table1[[#This Row], [WEAPON]],Sheet1!$A$27:$A$29,Sheet1!$C$27:$C$29))</f>
        <v>136500</v>
      </c>
      <c r="J773" t="s">
        <v>64</v>
      </c>
      <c r="K773" s="9">
        <f>Table1[[#This Row], [NUM OF MEM]]*Table1[[#This Row], [TOTAL TIME TAKEN]]*_xlfn.XLOOKUP(Table1[[#This Row], [EXIT]],Sheet1!$A$70:$A$71,Sheet1!$B$70:$B$71)*(1+_xlfn.XLOOKUP(Table1[[#This Row], [EXIT]],Sheet1!$A$70:$A$71,Sheet1!$C$70:$C$71))</f>
        <v>1593345.5999999994</v>
      </c>
      <c r="L773" s="13" t="s">
        <v>65</v>
      </c>
      <c r="M773" s="4">
        <f>IF(Table1[[#This Row], [EQUIPMENT]]="YES",Sheet1!$C$44*(1+Sheet1!$D$44),0)</f>
        <v>307500</v>
      </c>
      <c r="N773" s="4">
        <f>_xlfn.XLOOKUP(Table1[[#This Row], [ROOM]],Sheet1!$A$47:$A$66,Sheet1!$F$47:$F$66)</f>
        <v>17700000</v>
      </c>
      <c r="O773" s="9">
        <f>_xlfn.XLOOKUP(_xlfn.CONCAT(Table1[[#This Row], [TEAM]],Table1[[#This Row], [ROOM]]),'ROOM TIME'!$H$2:$H$121,'ROOM TIME'!$J$2:$J$121)</f>
        <v>36.764444444444429</v>
      </c>
      <c r="P773" s="9">
        <f>(INDEX(Sheet1!$X$48:$Z$67,MATCH(Table1[[#This Row], [ROOM]],Sheet1!$P$48:$P$67,0),MATCH(Table1[[#This Row], [WEAPON]],Sheet1!$X$47:$Z$47,0)))/Table1[[#This Row], [NUM OF MEM]]</f>
        <v>4.2166666666666659</v>
      </c>
      <c r="Q773" s="9">
        <f>Table1[[#This Row], [ROOM TIME]]+Table1[[#This Row], [GUARD TIME]]</f>
        <v>40.981111111111098</v>
      </c>
      <c r="R773" s="4">
        <f>Sheet1!$K$3*_xlfn.XLOOKUP(Table1[[#This Row], [DISGUISE]],Sheet1!$A$21:$A$23,Sheet1!$D$21:$D$23)</f>
        <v>66</v>
      </c>
      <c r="S773" s="9">
        <f>Table1[[#This Row], [TOTAL TIME]]-Table1[[#This Row], [TOTAL TIME TAKEN]]</f>
        <v>25.018888888888902</v>
      </c>
      <c r="T773" t="str">
        <f>IF(Table1[[#This Row], [TIME DIFFERENCE]]&gt;=0,"PASS","FAIL")</f>
        <v>PASS</v>
      </c>
      <c r="U773" s="9">
        <f>Table1[[#This Row], [TRC]]+Table1[[#This Row], [DRC]]+Table1[[#This Row], [WRC]]+Table1[[#This Row], [ERC]]+Table1[[#This Row], [EQRC]]</f>
        <v>8041695.5999999996</v>
      </c>
      <c r="V773" s="9">
        <f>Table1[[#This Row], [TOTAL COST]]+_xlfn.XLOOKUP(Table1[[#This Row], [TEAM]],Sheet1!$A$12:$A$17,Sheet1!$I$12:$I$17)</f>
        <v>8341133.0999999996</v>
      </c>
      <c r="W773" s="9">
        <f>Table1[[#This Row], [LOOT]]-Table1[[#This Row], [TOTAL COST]]</f>
        <v>9658304.4000000004</v>
      </c>
      <c r="X773" s="9">
        <f>IF(Table1[[#This Row], [PASS/FAIL]]="FAIL",0,Table1[[#This Row], [PROFIT]])</f>
        <v>9658304.4000000004</v>
      </c>
    </row>
    <row r="774" spans="1:24" ht="19.5" customHeight="1" x14ac:dyDescent="0.45">
      <c r="A774" t="s">
        <v>14</v>
      </c>
      <c r="B774" s="14">
        <f>_xlfn.XLOOKUP(Table1[[#This Row], [TEAM]],Sheet1!$A$12:$A$17,Sheet1!$F$12:$F$17)</f>
        <v>2</v>
      </c>
      <c r="C774" s="14">
        <f>_xlfn.XLOOKUP(Table1[[#This Row], [TEAM]],Sheet1!$A$12:$A$17,Sheet1!$G$12:$G$17)</f>
        <v>5949600</v>
      </c>
      <c r="D774" t="s">
        <v>11</v>
      </c>
      <c r="E774" s="4">
        <f>_xlfn.XLOOKUP(Table1[[#This Row], [ROOM]],Sheet1!$A$47:$A$66,Sheet1!$B$47:$B$66)</f>
        <v>124</v>
      </c>
      <c r="F774" t="s">
        <v>58</v>
      </c>
      <c r="G774" s="4">
        <f>_xlfn.XLOOKUP(Table1[[#This Row], [DISGUISE]],Sheet1!$A$21:$A$23,Sheet1!$B$21:$B$23)*Table1[[#This Row], [NUM OF MEM]]*(1+_xlfn.XLOOKUP(Table1[[#This Row], [DISGUISE]],Sheet1!$A$21:$A$23,Sheet1!$C$21:$C$23))</f>
        <v>25600</v>
      </c>
      <c r="H774" s="13" t="s">
        <v>59</v>
      </c>
      <c r="I774" s="4">
        <f>_xlfn.XLOOKUP(Table1[[#This Row], [WEAPON]],Sheet1!$A$27:$A$29,Sheet1!$B$27:$B$29)*Table1[[#This Row], [NUM OF MEM]]*(1+_xlfn.XLOOKUP(Table1[[#This Row], [WEAPON]],Sheet1!$A$27:$A$29,Sheet1!$C$27:$C$29))</f>
        <v>91000</v>
      </c>
      <c r="J774" t="s">
        <v>60</v>
      </c>
      <c r="K774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1725586.2749999999</v>
      </c>
      <c r="L774" s="13" t="s">
        <v>61</v>
      </c>
      <c r="M774" s="4">
        <f>IF(Table1[[#This Row], [EQUIPMENT]]="YES",Sheet1!$C$44*(1+Sheet1!$D$44),0)</f>
        <v>0</v>
      </c>
      <c r="N774" s="4">
        <f>_xlfn.XLOOKUP(Table1[[#This Row], [ROOM]],Sheet1!$A$47:$A$66,Sheet1!$F$47:$F$66)</f>
        <v>17450000</v>
      </c>
      <c r="O774" s="9">
        <f>_xlfn.XLOOKUP(_xlfn.CONCAT(Table1[[#This Row], [TEAM]],Table1[[#This Row], [ROOM]]),'ROOM TIME'!$H$2:$H$121,'ROOM TIME'!$J$2:$J$121)</f>
        <v>60.91</v>
      </c>
      <c r="P774" s="9">
        <f>(INDEX(Sheet1!$X$48:$Z$67,MATCH(Table1[[#This Row], [ROOM]],Sheet1!$P$48:$P$67,0),MATCH(Table1[[#This Row], [WEAPON]],Sheet1!$X$47:$Z$47,0)))/Table1[[#This Row], [NUM OF MEM]]</f>
        <v>6.3249999999999993</v>
      </c>
      <c r="Q774" s="9">
        <f>Table1[[#This Row], [ROOM TIME]]+Table1[[#This Row], [GUARD TIME]]</f>
        <v>67.234999999999999</v>
      </c>
      <c r="R774" s="4">
        <f>Sheet1!$K$3*_xlfn.XLOOKUP(Table1[[#This Row], [DISGUISE]],Sheet1!$A$21:$A$23,Sheet1!$D$21:$D$23)</f>
        <v>69</v>
      </c>
      <c r="S774" s="9">
        <f>Table1[[#This Row], [TOTAL TIME]]-Table1[[#This Row], [TOTAL TIME TAKEN]]</f>
        <v>1.7650000000000006</v>
      </c>
      <c r="T774" t="str">
        <f>IF(Table1[[#This Row], [TIME DIFFERENCE]]&gt;=0,"PASS","FAIL")</f>
        <v>PASS</v>
      </c>
      <c r="U774" s="9">
        <f>Table1[[#This Row], [TRC]]+Table1[[#This Row], [DRC]]+Table1[[#This Row], [WRC]]+Table1[[#This Row], [ERC]]+Table1[[#This Row], [EQRC]]</f>
        <v>7791786.2750000004</v>
      </c>
      <c r="V774" s="9">
        <f>Table1[[#This Row], [TOTAL COST]]+_xlfn.XLOOKUP(Table1[[#This Row], [TEAM]],Sheet1!$A$12:$A$17,Sheet1!$I$12:$I$17)</f>
        <v>8089266.2750000004</v>
      </c>
      <c r="W774" s="9">
        <f>Table1[[#This Row], [LOOT]]-Table1[[#This Row], [TOTAL COST]]</f>
        <v>9658213.7249999996</v>
      </c>
      <c r="X774" s="9">
        <f>IF(Table1[[#This Row], [PASS/FAIL]]="FAIL",0,Table1[[#This Row], [PROFIT]])</f>
        <v>9658213.7249999996</v>
      </c>
    </row>
    <row r="775" spans="1:24" ht="19.5" customHeight="1" x14ac:dyDescent="0.45">
      <c r="A775" t="s">
        <v>14</v>
      </c>
      <c r="B775" s="14">
        <f>_xlfn.XLOOKUP(Table1[[#This Row], [TEAM]],Sheet1!$A$12:$A$17,Sheet1!$F$12:$F$17)</f>
        <v>2</v>
      </c>
      <c r="C775" s="14">
        <f>_xlfn.XLOOKUP(Table1[[#This Row], [TEAM]],Sheet1!$A$12:$A$17,Sheet1!$G$12:$G$17)</f>
        <v>5949600</v>
      </c>
      <c r="D775" t="s">
        <v>11</v>
      </c>
      <c r="E775" s="4">
        <f>_xlfn.XLOOKUP(Table1[[#This Row], [ROOM]],Sheet1!$A$47:$A$66,Sheet1!$B$47:$B$66)</f>
        <v>124</v>
      </c>
      <c r="F775" t="s">
        <v>58</v>
      </c>
      <c r="G775" s="4">
        <f>_xlfn.XLOOKUP(Table1[[#This Row], [DISGUISE]],Sheet1!$A$21:$A$23,Sheet1!$B$21:$B$23)*Table1[[#This Row], [NUM OF MEM]]*(1+_xlfn.XLOOKUP(Table1[[#This Row], [DISGUISE]],Sheet1!$A$21:$A$23,Sheet1!$C$21:$C$23))</f>
        <v>25600</v>
      </c>
      <c r="H775" s="13" t="s">
        <v>63</v>
      </c>
      <c r="I775" s="4">
        <f>_xlfn.XLOOKUP(Table1[[#This Row], [WEAPON]],Sheet1!$A$27:$A$29,Sheet1!$B$27:$B$29)*Table1[[#This Row], [NUM OF MEM]]*(1+_xlfn.XLOOKUP(Table1[[#This Row], [WEAPON]],Sheet1!$A$27:$A$29,Sheet1!$C$27:$C$29))</f>
        <v>46000</v>
      </c>
      <c r="J775" t="s">
        <v>64</v>
      </c>
      <c r="K775" s="9">
        <f>Table1[[#This Row], [NUM OF MEM]]*Table1[[#This Row], [TOTAL TIME TAKEN]]*_xlfn.XLOOKUP(Table1[[#This Row], [EXIT]],Sheet1!$A$70:$A$71,Sheet1!$B$70:$B$71)*(1+_xlfn.XLOOKUP(Table1[[#This Row], [EXIT]],Sheet1!$A$70:$A$71,Sheet1!$C$70:$C$71))</f>
        <v>1771243.1999999997</v>
      </c>
      <c r="L775" s="13" t="s">
        <v>61</v>
      </c>
      <c r="M775" s="4">
        <f>IF(Table1[[#This Row], [EQUIPMENT]]="YES",Sheet1!$C$44*(1+Sheet1!$D$44),0)</f>
        <v>0</v>
      </c>
      <c r="N775" s="4">
        <f>_xlfn.XLOOKUP(Table1[[#This Row], [ROOM]],Sheet1!$A$47:$A$66,Sheet1!$F$47:$F$66)</f>
        <v>17450000</v>
      </c>
      <c r="O775" s="9">
        <f>_xlfn.XLOOKUP(_xlfn.CONCAT(Table1[[#This Row], [TEAM]],Table1[[#This Row], [ROOM]]),'ROOM TIME'!$H$2:$H$121,'ROOM TIME'!$J$2:$J$121)</f>
        <v>60.91</v>
      </c>
      <c r="P775" s="9">
        <f>(INDEX(Sheet1!$X$48:$Z$67,MATCH(Table1[[#This Row], [ROOM]],Sheet1!$P$48:$P$67,0),MATCH(Table1[[#This Row], [WEAPON]],Sheet1!$X$47:$Z$47,0)))/Table1[[#This Row], [NUM OF MEM]]</f>
        <v>7.4250000000000007</v>
      </c>
      <c r="Q775" s="9">
        <f>Table1[[#This Row], [ROOM TIME]]+Table1[[#This Row], [GUARD TIME]]</f>
        <v>68.334999999999994</v>
      </c>
      <c r="R775" s="4">
        <f>Sheet1!$K$3*_xlfn.XLOOKUP(Table1[[#This Row], [DISGUISE]],Sheet1!$A$21:$A$23,Sheet1!$D$21:$D$23)</f>
        <v>69</v>
      </c>
      <c r="S775" s="9">
        <f>Table1[[#This Row], [TOTAL TIME]]-Table1[[#This Row], [TOTAL TIME TAKEN]]</f>
        <v>0.66500000000000625</v>
      </c>
      <c r="T775" t="str">
        <f>IF(Table1[[#This Row], [TIME DIFFERENCE]]&gt;=0,"PASS","FAIL")</f>
        <v>PASS</v>
      </c>
      <c r="U775" s="9">
        <f>Table1[[#This Row], [TRC]]+Table1[[#This Row], [DRC]]+Table1[[#This Row], [WRC]]+Table1[[#This Row], [ERC]]+Table1[[#This Row], [EQRC]]</f>
        <v>7792443.1999999993</v>
      </c>
      <c r="V775" s="9">
        <f>Table1[[#This Row], [TOTAL COST]]+_xlfn.XLOOKUP(Table1[[#This Row], [TEAM]],Sheet1!$A$12:$A$17,Sheet1!$I$12:$I$17)</f>
        <v>8089923.1999999993</v>
      </c>
      <c r="W775" s="9">
        <f>Table1[[#This Row], [LOOT]]-Table1[[#This Row], [TOTAL COST]]</f>
        <v>9657556.8000000007</v>
      </c>
      <c r="X775" s="9">
        <f>IF(Table1[[#This Row], [PASS/FAIL]]="FAIL",0,Table1[[#This Row], [PROFIT]])</f>
        <v>9657556.8000000007</v>
      </c>
    </row>
    <row r="776" spans="1:24" ht="19.5" customHeight="1" x14ac:dyDescent="0.45">
      <c r="A776" t="s">
        <v>9</v>
      </c>
      <c r="B776" s="14">
        <f>_xlfn.XLOOKUP(Table1[[#This Row], [TEAM]],Sheet1!$A$12:$A$17,Sheet1!$F$12:$F$17)</f>
        <v>3</v>
      </c>
      <c r="C776" s="14">
        <f>_xlfn.XLOOKUP(Table1[[#This Row], [TEAM]],Sheet1!$A$12:$A$17,Sheet1!$G$12:$G$17)</f>
        <v>6238750</v>
      </c>
      <c r="D776" t="s">
        <v>29</v>
      </c>
      <c r="E776" s="4">
        <f>_xlfn.XLOOKUP(Table1[[#This Row], [ROOM]],Sheet1!$A$47:$A$66,Sheet1!$B$47:$B$66)</f>
        <v>236</v>
      </c>
      <c r="F776" t="s">
        <v>58</v>
      </c>
      <c r="G776" s="4">
        <f>_xlfn.XLOOKUP(Table1[[#This Row], [DISGUISE]],Sheet1!$A$21:$A$23,Sheet1!$B$21:$B$23)*Table1[[#This Row], [NUM OF MEM]]*(1+_xlfn.XLOOKUP(Table1[[#This Row], [DISGUISE]],Sheet1!$A$21:$A$23,Sheet1!$C$21:$C$23))</f>
        <v>38400</v>
      </c>
      <c r="H776" s="13" t="s">
        <v>59</v>
      </c>
      <c r="I776" s="4">
        <f>_xlfn.XLOOKUP(Table1[[#This Row], [WEAPON]],Sheet1!$A$27:$A$29,Sheet1!$B$27:$B$29)*Table1[[#This Row], [NUM OF MEM]]*(1+_xlfn.XLOOKUP(Table1[[#This Row], [WEAPON]],Sheet1!$A$27:$A$29,Sheet1!$C$27:$C$29))</f>
        <v>136500</v>
      </c>
      <c r="J776" t="s">
        <v>60</v>
      </c>
      <c r="K776" s="9">
        <f>Table1[[#This Row], [NUM OF MEM]]*Table1[[#This Row], [TOTAL TIME TAKEN]]*_xlfn.XLOOKUP(Table1[[#This Row], [EXIT]],Sheet1!$A$70:$A$71,Sheet1!$B$70:$B$71)*(1+_xlfn.XLOOKUP(Table1[[#This Row], [EXIT]],Sheet1!$A$70:$A$71,Sheet1!$C$70:$C$71))</f>
        <v>1621557.4749999992</v>
      </c>
      <c r="L776" s="13" t="s">
        <v>65</v>
      </c>
      <c r="M776" s="4">
        <f>IF(Table1[[#This Row], [EQUIPMENT]]="YES",Sheet1!$C$44*(1+Sheet1!$D$44),0)</f>
        <v>307500</v>
      </c>
      <c r="N776" s="4">
        <f>_xlfn.XLOOKUP(Table1[[#This Row], [ROOM]],Sheet1!$A$47:$A$66,Sheet1!$F$47:$F$66)</f>
        <v>18000000</v>
      </c>
      <c r="O776" s="9">
        <f>_xlfn.XLOOKUP(_xlfn.CONCAT(Table1[[#This Row], [TEAM]],Table1[[#This Row], [ROOM]]),'ROOM TIME'!$H$2:$H$121,'ROOM TIME'!$J$2:$J$121)</f>
        <v>37.137777777777764</v>
      </c>
      <c r="P776" s="9">
        <f>(INDEX(Sheet1!$X$48:$Z$67,MATCH(Table1[[#This Row], [ROOM]],Sheet1!$P$48:$P$67,0),MATCH(Table1[[#This Row], [WEAPON]],Sheet1!$X$47:$Z$47,0)))/Table1[[#This Row], [NUM OF MEM]]</f>
        <v>4.9833333333333334</v>
      </c>
      <c r="Q776" s="9">
        <f>Table1[[#This Row], [ROOM TIME]]+Table1[[#This Row], [GUARD TIME]]</f>
        <v>42.121111111111098</v>
      </c>
      <c r="R776" s="4">
        <f>Sheet1!$K$3*_xlfn.XLOOKUP(Table1[[#This Row], [DISGUISE]],Sheet1!$A$21:$A$23,Sheet1!$D$21:$D$23)</f>
        <v>69</v>
      </c>
      <c r="S776" s="9">
        <f>Table1[[#This Row], [TOTAL TIME]]-Table1[[#This Row], [TOTAL TIME TAKEN]]</f>
        <v>26.878888888888902</v>
      </c>
      <c r="T776" t="str">
        <f>IF(Table1[[#This Row], [TIME DIFFERENCE]]&gt;=0,"PASS","FAIL")</f>
        <v>PASS</v>
      </c>
      <c r="U776" s="9">
        <f>Table1[[#This Row], [TRC]]+Table1[[#This Row], [DRC]]+Table1[[#This Row], [WRC]]+Table1[[#This Row], [ERC]]+Table1[[#This Row], [EQRC]]</f>
        <v>8342707.4749999996</v>
      </c>
      <c r="V776" s="9">
        <f>Table1[[#This Row], [TOTAL COST]]+_xlfn.XLOOKUP(Table1[[#This Row], [TEAM]],Sheet1!$A$12:$A$17,Sheet1!$I$12:$I$17)</f>
        <v>8654644.9749999996</v>
      </c>
      <c r="W776" s="9">
        <f>Table1[[#This Row], [LOOT]]-Table1[[#This Row], [TOTAL COST]]</f>
        <v>9657292.5250000004</v>
      </c>
      <c r="X776" s="9">
        <f>IF(Table1[[#This Row], [PASS/FAIL]]="FAIL",0,Table1[[#This Row], [PROFIT]])</f>
        <v>9657292.5250000004</v>
      </c>
    </row>
    <row r="777" spans="1:24" ht="19.5" customHeight="1" x14ac:dyDescent="0.45">
      <c r="A777" t="s">
        <v>13</v>
      </c>
      <c r="B777" s="14">
        <f>_xlfn.XLOOKUP(Table1[[#This Row], [TEAM]],Sheet1!$A$12:$A$17,Sheet1!$F$12:$F$17)</f>
        <v>3</v>
      </c>
      <c r="C777" s="14">
        <f>_xlfn.XLOOKUP(Table1[[#This Row], [TEAM]],Sheet1!$A$12:$A$17,Sheet1!$G$12:$G$17)</f>
        <v>5930000</v>
      </c>
      <c r="D777" t="s">
        <v>27</v>
      </c>
      <c r="E777" s="4">
        <f>_xlfn.XLOOKUP(Table1[[#This Row], [ROOM]],Sheet1!$A$47:$A$66,Sheet1!$B$47:$B$66)</f>
        <v>146</v>
      </c>
      <c r="F777" t="s">
        <v>58</v>
      </c>
      <c r="G777" s="4">
        <f>_xlfn.XLOOKUP(Table1[[#This Row], [DISGUISE]],Sheet1!$A$21:$A$23,Sheet1!$B$21:$B$23)*Table1[[#This Row], [NUM OF MEM]]*(1+_xlfn.XLOOKUP(Table1[[#This Row], [DISGUISE]],Sheet1!$A$21:$A$23,Sheet1!$C$21:$C$23))</f>
        <v>38400</v>
      </c>
      <c r="H777" s="13" t="s">
        <v>59</v>
      </c>
      <c r="I777" s="4">
        <f>_xlfn.XLOOKUP(Table1[[#This Row], [WEAPON]],Sheet1!$A$27:$A$29,Sheet1!$B$27:$B$29)*Table1[[#This Row], [NUM OF MEM]]*(1+_xlfn.XLOOKUP(Table1[[#This Row], [WEAPON]],Sheet1!$A$27:$A$29,Sheet1!$C$27:$C$29))</f>
        <v>136500</v>
      </c>
      <c r="J777" t="s">
        <v>64</v>
      </c>
      <c r="K777" s="9">
        <f>Table1[[#This Row], [NUM OF MEM]]*Table1[[#This Row], [TOTAL TIME TAKEN]]*_xlfn.XLOOKUP(Table1[[#This Row], [EXIT]],Sheet1!$A$70:$A$71,Sheet1!$B$70:$B$71)*(1+_xlfn.XLOOKUP(Table1[[#This Row], [EXIT]],Sheet1!$A$70:$A$71,Sheet1!$C$70:$C$71))</f>
        <v>1680911.9999999998</v>
      </c>
      <c r="L777" s="13" t="s">
        <v>65</v>
      </c>
      <c r="M777" s="4">
        <f>IF(Table1[[#This Row], [EQUIPMENT]]="YES",Sheet1!$C$44*(1+Sheet1!$D$44),0)</f>
        <v>307500</v>
      </c>
      <c r="N777" s="4">
        <f>_xlfn.XLOOKUP(Table1[[#This Row], [ROOM]],Sheet1!$A$47:$A$66,Sheet1!$F$47:$F$66)</f>
        <v>17750000</v>
      </c>
      <c r="O777" s="9">
        <f>_xlfn.XLOOKUP(_xlfn.CONCAT(Table1[[#This Row], [TEAM]],Table1[[#This Row], [ROOM]]),'ROOM TIME'!$H$2:$H$121,'ROOM TIME'!$J$2:$J$121)</f>
        <v>39.016666666666659</v>
      </c>
      <c r="P777" s="9">
        <f>(INDEX(Sheet1!$X$48:$Z$67,MATCH(Table1[[#This Row], [ROOM]],Sheet1!$P$48:$P$67,0),MATCH(Table1[[#This Row], [WEAPON]],Sheet1!$X$47:$Z$47,0)))/Table1[[#This Row], [NUM OF MEM]]</f>
        <v>4.2166666666666659</v>
      </c>
      <c r="Q777" s="9">
        <f>Table1[[#This Row], [ROOM TIME]]+Table1[[#This Row], [GUARD TIME]]</f>
        <v>43.233333333333327</v>
      </c>
      <c r="R777" s="4">
        <f>Sheet1!$K$3*_xlfn.XLOOKUP(Table1[[#This Row], [DISGUISE]],Sheet1!$A$21:$A$23,Sheet1!$D$21:$D$23)</f>
        <v>69</v>
      </c>
      <c r="S777" s="9">
        <f>Table1[[#This Row], [TOTAL TIME]]-Table1[[#This Row], [TOTAL TIME TAKEN]]</f>
        <v>25.766666666666673</v>
      </c>
      <c r="T777" t="str">
        <f>IF(Table1[[#This Row], [TIME DIFFERENCE]]&gt;=0,"PASS","FAIL")</f>
        <v>PASS</v>
      </c>
      <c r="U777" s="4">
        <f>Table1[[#This Row], [TRC]]+Table1[[#This Row], [DRC]]+Table1[[#This Row], [WRC]]+Table1[[#This Row], [ERC]]+Table1[[#This Row], [EQRC]]</f>
        <v>8093312</v>
      </c>
      <c r="V777" s="4">
        <f>Table1[[#This Row], [TOTAL COST]]+_xlfn.XLOOKUP(Table1[[#This Row], [TEAM]],Sheet1!$A$12:$A$17,Sheet1!$I$12:$I$17)</f>
        <v>8389812</v>
      </c>
      <c r="W777" s="4">
        <f>Table1[[#This Row], [LOOT]]-Table1[[#This Row], [TOTAL COST]]</f>
        <v>9656688</v>
      </c>
      <c r="X777" s="4">
        <f>IF(Table1[[#This Row], [PASS/FAIL]]="FAIL",0,Table1[[#This Row], [PROFIT]])</f>
        <v>9656688</v>
      </c>
    </row>
    <row r="778" spans="1:24" ht="19.5" customHeight="1" x14ac:dyDescent="0.45">
      <c r="A778" t="s">
        <v>13</v>
      </c>
      <c r="B778" s="14">
        <f>_xlfn.XLOOKUP(Table1[[#This Row], [TEAM]],Sheet1!$A$12:$A$17,Sheet1!$F$12:$F$17)</f>
        <v>3</v>
      </c>
      <c r="C778" s="14">
        <f>_xlfn.XLOOKUP(Table1[[#This Row], [TEAM]],Sheet1!$A$12:$A$17,Sheet1!$G$12:$G$17)</f>
        <v>5930000</v>
      </c>
      <c r="D778" t="s">
        <v>21</v>
      </c>
      <c r="E778" s="4">
        <f>_xlfn.XLOOKUP(Table1[[#This Row], [ROOM]],Sheet1!$A$47:$A$66,Sheet1!$B$47:$B$66)</f>
        <v>234</v>
      </c>
      <c r="F778" t="s">
        <v>62</v>
      </c>
      <c r="G778" s="4">
        <f>_xlfn.XLOOKUP(Table1[[#This Row], [DISGUISE]],Sheet1!$A$21:$A$23,Sheet1!$B$21:$B$23)*Table1[[#This Row], [NUM OF MEM]]*(1+_xlfn.XLOOKUP(Table1[[#This Row], [DISGUISE]],Sheet1!$A$21:$A$23,Sheet1!$C$21:$C$23))</f>
        <v>15600</v>
      </c>
      <c r="H778" s="13" t="s">
        <v>63</v>
      </c>
      <c r="I778" s="4">
        <f>_xlfn.XLOOKUP(Table1[[#This Row], [WEAPON]],Sheet1!$A$27:$A$29,Sheet1!$B$27:$B$29)*Table1[[#This Row], [NUM OF MEM]]*(1+_xlfn.XLOOKUP(Table1[[#This Row], [WEAPON]],Sheet1!$A$27:$A$29,Sheet1!$C$27:$C$29))</f>
        <v>69000</v>
      </c>
      <c r="J778" t="s">
        <v>64</v>
      </c>
      <c r="K778" s="9">
        <f>Table1[[#This Row], [NUM OF MEM]]*Table1[[#This Row], [TOTAL TIME TAKEN]]*_xlfn.XLOOKUP(Table1[[#This Row], [EXIT]],Sheet1!$A$70:$A$71,Sheet1!$B$70:$B$71)*(1+_xlfn.XLOOKUP(Table1[[#This Row], [EXIT]],Sheet1!$A$70:$A$71,Sheet1!$C$70:$C$71))</f>
        <v>1921276.7999999998</v>
      </c>
      <c r="L778" s="13" t="s">
        <v>65</v>
      </c>
      <c r="M778" s="4">
        <f>IF(Table1[[#This Row], [EQUIPMENT]]="YES",Sheet1!$C$44*(1+Sheet1!$D$44),0)</f>
        <v>307500</v>
      </c>
      <c r="N778" s="4">
        <f>_xlfn.XLOOKUP(Table1[[#This Row], [ROOM]],Sheet1!$A$47:$A$66,Sheet1!$F$47:$F$66)</f>
        <v>17900000</v>
      </c>
      <c r="O778" s="9">
        <f>_xlfn.XLOOKUP(_xlfn.CONCAT(Table1[[#This Row], [TEAM]],Table1[[#This Row], [ROOM]]),'ROOM TIME'!$H$2:$H$121,'ROOM TIME'!$J$2:$J$121)</f>
        <v>43.565555555555555</v>
      </c>
      <c r="P778" s="9">
        <f>(INDEX(Sheet1!$X$48:$Z$67,MATCH(Table1[[#This Row], [ROOM]],Sheet1!$P$48:$P$67,0),MATCH(Table1[[#This Row], [WEAPON]],Sheet1!$X$47:$Z$47,0)))/Table1[[#This Row], [NUM OF MEM]]</f>
        <v>5.8500000000000005</v>
      </c>
      <c r="Q778" s="9">
        <f>Table1[[#This Row], [ROOM TIME]]+Table1[[#This Row], [GUARD TIME]]</f>
        <v>49.415555555555557</v>
      </c>
      <c r="R778" s="4">
        <f>Sheet1!$K$3*_xlfn.XLOOKUP(Table1[[#This Row], [DISGUISE]],Sheet1!$A$21:$A$23,Sheet1!$D$21:$D$23)</f>
        <v>66</v>
      </c>
      <c r="S778" s="9">
        <f>Table1[[#This Row], [TOTAL TIME]]-Table1[[#This Row], [TOTAL TIME TAKEN]]</f>
        <v>16.584444444444443</v>
      </c>
      <c r="T778" t="str">
        <f>IF(Table1[[#This Row], [TIME DIFFERENCE]]&gt;=0,"PASS","FAIL")</f>
        <v>PASS</v>
      </c>
      <c r="U778" s="9">
        <f>Table1[[#This Row], [TRC]]+Table1[[#This Row], [DRC]]+Table1[[#This Row], [WRC]]+Table1[[#This Row], [ERC]]+Table1[[#This Row], [EQRC]]</f>
        <v>8243376.7999999998</v>
      </c>
      <c r="V778" s="9">
        <f>Table1[[#This Row], [TOTAL COST]]+_xlfn.XLOOKUP(Table1[[#This Row], [TEAM]],Sheet1!$A$12:$A$17,Sheet1!$I$12:$I$17)</f>
        <v>8539876.8000000007</v>
      </c>
      <c r="W778" s="9">
        <f>Table1[[#This Row], [LOOT]]-Table1[[#This Row], [TOTAL COST]]</f>
        <v>9656623.1999999993</v>
      </c>
      <c r="X778" s="9">
        <f>IF(Table1[[#This Row], [PASS/FAIL]]="FAIL",0,Table1[[#This Row], [PROFIT]])</f>
        <v>9656623.1999999993</v>
      </c>
    </row>
    <row r="779" spans="1:24" ht="19.5" customHeight="1" x14ac:dyDescent="0.45">
      <c r="A779" t="s">
        <v>9</v>
      </c>
      <c r="B779" s="14">
        <f>_xlfn.XLOOKUP(Table1[[#This Row], [TEAM]],Sheet1!$A$12:$A$17,Sheet1!$F$12:$F$17)</f>
        <v>3</v>
      </c>
      <c r="C779" s="14">
        <f>_xlfn.XLOOKUP(Table1[[#This Row], [TEAM]],Sheet1!$A$12:$A$17,Sheet1!$G$12:$G$17)</f>
        <v>6238750</v>
      </c>
      <c r="D779" t="s">
        <v>18</v>
      </c>
      <c r="E779" s="4">
        <f>_xlfn.XLOOKUP(Table1[[#This Row], [ROOM]],Sheet1!$A$47:$A$66,Sheet1!$B$47:$B$66)</f>
        <v>134</v>
      </c>
      <c r="F779" t="s">
        <v>62</v>
      </c>
      <c r="G779" s="4">
        <f>_xlfn.XLOOKUP(Table1[[#This Row], [DISGUISE]],Sheet1!$A$21:$A$23,Sheet1!$B$21:$B$23)*Table1[[#This Row], [NUM OF MEM]]*(1+_xlfn.XLOOKUP(Table1[[#This Row], [DISGUISE]],Sheet1!$A$21:$A$23,Sheet1!$C$21:$C$23))</f>
        <v>15600</v>
      </c>
      <c r="H779" s="13" t="s">
        <v>59</v>
      </c>
      <c r="I779" s="4">
        <f>_xlfn.XLOOKUP(Table1[[#This Row], [WEAPON]],Sheet1!$A$27:$A$29,Sheet1!$B$27:$B$29)*Table1[[#This Row], [NUM OF MEM]]*(1+_xlfn.XLOOKUP(Table1[[#This Row], [WEAPON]],Sheet1!$A$27:$A$29,Sheet1!$C$27:$C$29))</f>
        <v>136500</v>
      </c>
      <c r="J779" t="s">
        <v>64</v>
      </c>
      <c r="K779" s="9">
        <f>Table1[[#This Row], [NUM OF MEM]]*Table1[[#This Row], [TOTAL TIME TAKEN]]*_xlfn.XLOOKUP(Table1[[#This Row], [EXIT]],Sheet1!$A$70:$A$71,Sheet1!$B$70:$B$71)*(1+_xlfn.XLOOKUP(Table1[[#This Row], [EXIT]],Sheet1!$A$70:$A$71,Sheet1!$C$70:$C$71))</f>
        <v>1695319.1999999997</v>
      </c>
      <c r="L779" s="13" t="s">
        <v>65</v>
      </c>
      <c r="M779" s="4">
        <f>IF(Table1[[#This Row], [EQUIPMENT]]="YES",Sheet1!$C$44*(1+Sheet1!$D$44),0)</f>
        <v>307500</v>
      </c>
      <c r="N779" s="4">
        <f>_xlfn.XLOOKUP(Table1[[#This Row], [ROOM]],Sheet1!$A$47:$A$66,Sheet1!$F$47:$F$66)</f>
        <v>18050000</v>
      </c>
      <c r="O779" s="9">
        <f>_xlfn.XLOOKUP(_xlfn.CONCAT(Table1[[#This Row], [TEAM]],Table1[[#This Row], [ROOM]]),'ROOM TIME'!$H$2:$H$121,'ROOM TIME'!$J$2:$J$121)</f>
        <v>39.003888888888881</v>
      </c>
      <c r="P779" s="9">
        <f>(INDEX(Sheet1!$X$48:$Z$67,MATCH(Table1[[#This Row], [ROOM]],Sheet1!$P$48:$P$67,0),MATCH(Table1[[#This Row], [WEAPON]],Sheet1!$X$47:$Z$47,0)))/Table1[[#This Row], [NUM OF MEM]]</f>
        <v>4.5999999999999996</v>
      </c>
      <c r="Q779" s="9">
        <f>Table1[[#This Row], [ROOM TIME]]+Table1[[#This Row], [GUARD TIME]]</f>
        <v>43.603888888888882</v>
      </c>
      <c r="R779" s="4">
        <f>Sheet1!$K$3*_xlfn.XLOOKUP(Table1[[#This Row], [DISGUISE]],Sheet1!$A$21:$A$23,Sheet1!$D$21:$D$23)</f>
        <v>66</v>
      </c>
      <c r="S779" s="9">
        <f>Table1[[#This Row], [TOTAL TIME]]-Table1[[#This Row], [TOTAL TIME TAKEN]]</f>
        <v>22.396111111111118</v>
      </c>
      <c r="T779" t="str">
        <f>IF(Table1[[#This Row], [TIME DIFFERENCE]]&gt;=0,"PASS","FAIL")</f>
        <v>PASS</v>
      </c>
      <c r="U779" s="9">
        <f>Table1[[#This Row], [TRC]]+Table1[[#This Row], [DRC]]+Table1[[#This Row], [WRC]]+Table1[[#This Row], [ERC]]+Table1[[#This Row], [EQRC]]</f>
        <v>8393669.1999999993</v>
      </c>
      <c r="V779" s="9">
        <f>Table1[[#This Row], [TOTAL COST]]+_xlfn.XLOOKUP(Table1[[#This Row], [TEAM]],Sheet1!$A$12:$A$17,Sheet1!$I$12:$I$17)</f>
        <v>8705606.6999999993</v>
      </c>
      <c r="W779" s="9">
        <f>Table1[[#This Row], [LOOT]]-Table1[[#This Row], [TOTAL COST]]</f>
        <v>9656330.8000000007</v>
      </c>
      <c r="X779" s="9">
        <f>IF(Table1[[#This Row], [PASS/FAIL]]="FAIL",0,Table1[[#This Row], [PROFIT]])</f>
        <v>9656330.8000000007</v>
      </c>
    </row>
    <row r="780" spans="1:24" ht="19.5" customHeight="1" x14ac:dyDescent="0.45">
      <c r="A780" t="s">
        <v>12</v>
      </c>
      <c r="B780" s="14">
        <f>_xlfn.XLOOKUP(Table1[[#This Row], [TEAM]],Sheet1!$A$12:$A$17,Sheet1!$F$12:$F$17)</f>
        <v>3</v>
      </c>
      <c r="C780" s="14">
        <f>_xlfn.XLOOKUP(Table1[[#This Row], [TEAM]],Sheet1!$A$12:$A$17,Sheet1!$G$12:$G$17)</f>
        <v>5988750</v>
      </c>
      <c r="D780" t="s">
        <v>28</v>
      </c>
      <c r="E780" s="4">
        <f>_xlfn.XLOOKUP(Table1[[#This Row], [ROOM]],Sheet1!$A$47:$A$66,Sheet1!$B$47:$B$66)</f>
        <v>156</v>
      </c>
      <c r="F780" t="s">
        <v>62</v>
      </c>
      <c r="G780" s="4">
        <f>_xlfn.XLOOKUP(Table1[[#This Row], [DISGUISE]],Sheet1!$A$21:$A$23,Sheet1!$B$21:$B$23)*Table1[[#This Row], [NUM OF MEM]]*(1+_xlfn.XLOOKUP(Table1[[#This Row], [DISGUISE]],Sheet1!$A$21:$A$23,Sheet1!$C$21:$C$23))</f>
        <v>15600</v>
      </c>
      <c r="H780" s="13" t="s">
        <v>63</v>
      </c>
      <c r="I780" s="4">
        <f>_xlfn.XLOOKUP(Table1[[#This Row], [WEAPON]],Sheet1!$A$27:$A$29,Sheet1!$B$27:$B$29)*Table1[[#This Row], [NUM OF MEM]]*(1+_xlfn.XLOOKUP(Table1[[#This Row], [WEAPON]],Sheet1!$A$27:$A$29,Sheet1!$C$27:$C$29))</f>
        <v>69000</v>
      </c>
      <c r="J780" t="s">
        <v>64</v>
      </c>
      <c r="K780" s="9">
        <f>Table1[[#This Row], [NUM OF MEM]]*Table1[[#This Row], [TOTAL TIME TAKEN]]*_xlfn.XLOOKUP(Table1[[#This Row], [EXIT]],Sheet1!$A$70:$A$71,Sheet1!$B$70:$B$71)*(1+_xlfn.XLOOKUP(Table1[[#This Row], [EXIT]],Sheet1!$A$70:$A$71,Sheet1!$C$70:$C$71))</f>
        <v>1612871.9999999993</v>
      </c>
      <c r="L780" s="13" t="s">
        <v>65</v>
      </c>
      <c r="M780" s="4">
        <f>IF(Table1[[#This Row], [EQUIPMENT]]="YES",Sheet1!$C$44*(1+Sheet1!$D$44),0)</f>
        <v>307500</v>
      </c>
      <c r="N780" s="4">
        <f>_xlfn.XLOOKUP(Table1[[#This Row], [ROOM]],Sheet1!$A$47:$A$66,Sheet1!$F$47:$F$66)</f>
        <v>17650000</v>
      </c>
      <c r="O780" s="9">
        <f>_xlfn.XLOOKUP(_xlfn.CONCAT(Table1[[#This Row], [TEAM]],Table1[[#This Row], [ROOM]]),'ROOM TIME'!$H$2:$H$121,'ROOM TIME'!$J$2:$J$121)</f>
        <v>36.98333333333332</v>
      </c>
      <c r="P780" s="9">
        <f>(INDEX(Sheet1!$X$48:$Z$67,MATCH(Table1[[#This Row], [ROOM]],Sheet1!$P$48:$P$67,0),MATCH(Table1[[#This Row], [WEAPON]],Sheet1!$X$47:$Z$47,0)))/Table1[[#This Row], [NUM OF MEM]]</f>
        <v>4.5</v>
      </c>
      <c r="Q780" s="9">
        <f>Table1[[#This Row], [ROOM TIME]]+Table1[[#This Row], [GUARD TIME]]</f>
        <v>41.48333333333332</v>
      </c>
      <c r="R780" s="4">
        <f>Sheet1!$K$3*_xlfn.XLOOKUP(Table1[[#This Row], [DISGUISE]],Sheet1!$A$21:$A$23,Sheet1!$D$21:$D$23)</f>
        <v>66</v>
      </c>
      <c r="S780" s="9">
        <f>Table1[[#This Row], [TOTAL TIME]]-Table1[[#This Row], [TOTAL TIME TAKEN]]</f>
        <v>24.51666666666668</v>
      </c>
      <c r="T780" t="str">
        <f>IF(Table1[[#This Row], [TIME DIFFERENCE]]&gt;=0,"PASS","FAIL")</f>
        <v>PASS</v>
      </c>
      <c r="U780" s="9">
        <f>Table1[[#This Row], [TRC]]+Table1[[#This Row], [DRC]]+Table1[[#This Row], [WRC]]+Table1[[#This Row], [ERC]]+Table1[[#This Row], [EQRC]]</f>
        <v>7993721.9999999991</v>
      </c>
      <c r="V780" s="9">
        <f>Table1[[#This Row], [TOTAL COST]]+_xlfn.XLOOKUP(Table1[[#This Row], [TEAM]],Sheet1!$A$12:$A$17,Sheet1!$I$12:$I$17)</f>
        <v>8293159.4999999991</v>
      </c>
      <c r="W780" s="4">
        <f>Table1[[#This Row], [LOOT]]-Table1[[#This Row], [TOTAL COST]]</f>
        <v>9656278</v>
      </c>
      <c r="X780" s="4">
        <f>IF(Table1[[#This Row], [PASS/FAIL]]="FAIL",0,Table1[[#This Row], [PROFIT]])</f>
        <v>9656278</v>
      </c>
    </row>
    <row r="781" spans="1:24" ht="19.5" customHeight="1" x14ac:dyDescent="0.45">
      <c r="A781" t="s">
        <v>16</v>
      </c>
      <c r="B781" s="14">
        <f>_xlfn.XLOOKUP(Table1[[#This Row], [TEAM]],Sheet1!$A$12:$A$17,Sheet1!$F$12:$F$17)</f>
        <v>2</v>
      </c>
      <c r="C781" s="14">
        <f>_xlfn.XLOOKUP(Table1[[#This Row], [TEAM]],Sheet1!$A$12:$A$17,Sheet1!$G$12:$G$17)</f>
        <v>6082800</v>
      </c>
      <c r="D781" t="s">
        <v>20</v>
      </c>
      <c r="E781" s="4">
        <f>_xlfn.XLOOKUP(Table1[[#This Row], [ROOM]],Sheet1!$A$47:$A$66,Sheet1!$B$47:$B$66)</f>
        <v>145</v>
      </c>
      <c r="F781" t="s">
        <v>58</v>
      </c>
      <c r="G781" s="4">
        <f>_xlfn.XLOOKUP(Table1[[#This Row], [DISGUISE]],Sheet1!$A$21:$A$23,Sheet1!$B$21:$B$23)*Table1[[#This Row], [NUM OF MEM]]*(1+_xlfn.XLOOKUP(Table1[[#This Row], [DISGUISE]],Sheet1!$A$21:$A$23,Sheet1!$C$21:$C$23))</f>
        <v>25600</v>
      </c>
      <c r="H781" s="13" t="s">
        <v>66</v>
      </c>
      <c r="I781" s="4">
        <f>_xlfn.XLOOKUP(Table1[[#This Row], [WEAPON]],Sheet1!$A$27:$A$29,Sheet1!$B$27:$B$29)*Table1[[#This Row], [NUM OF MEM]]*(1+_xlfn.XLOOKUP(Table1[[#This Row], [WEAPON]],Sheet1!$A$27:$A$29,Sheet1!$C$27:$C$29))</f>
        <v>72000</v>
      </c>
      <c r="J781" t="s">
        <v>64</v>
      </c>
      <c r="K781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1714640.3999999994</v>
      </c>
      <c r="L781" s="13" t="s">
        <v>61</v>
      </c>
      <c r="M781" s="4">
        <f>IF(Table1[[#This Row], [EQUIPMENT]]="YES",Sheet1!$C$44*(1+Sheet1!$D$44),0)</f>
        <v>0</v>
      </c>
      <c r="N781" s="4">
        <f>_xlfn.XLOOKUP(Table1[[#This Row], [ROOM]],Sheet1!$A$47:$A$66,Sheet1!$F$47:$F$66)</f>
        <v>17550000</v>
      </c>
      <c r="O781" s="9">
        <f>_xlfn.XLOOKUP(_xlfn.CONCAT(Table1[[#This Row], [TEAM]],Table1[[#This Row], [ROOM]]),'ROOM TIME'!$H$2:$H$121,'ROOM TIME'!$J$2:$J$121)</f>
        <v>59.901249999999983</v>
      </c>
      <c r="P781" s="9">
        <f>(INDEX(Sheet1!$X$48:$Z$67,MATCH(Table1[[#This Row], [ROOM]],Sheet1!$P$48:$P$67,0),MATCH(Table1[[#This Row], [WEAPON]],Sheet1!$X$47:$Z$47,0)))/Table1[[#This Row], [NUM OF MEM]]</f>
        <v>6.25</v>
      </c>
      <c r="Q781" s="9">
        <f>Table1[[#This Row], [ROOM TIME]]+Table1[[#This Row], [GUARD TIME]]</f>
        <v>66.151249999999976</v>
      </c>
      <c r="R781" s="4">
        <f>Sheet1!$K$3*_xlfn.XLOOKUP(Table1[[#This Row], [DISGUISE]],Sheet1!$A$21:$A$23,Sheet1!$D$21:$D$23)</f>
        <v>69</v>
      </c>
      <c r="S781" s="9">
        <f>Table1[[#This Row], [TOTAL TIME]]-Table1[[#This Row], [TOTAL TIME TAKEN]]</f>
        <v>2.8487500000000239</v>
      </c>
      <c r="T781" t="str">
        <f>IF(Table1[[#This Row], [TIME DIFFERENCE]]&gt;=0,"PASS","FAIL")</f>
        <v>PASS</v>
      </c>
      <c r="U781" s="9">
        <f>Table1[[#This Row], [TRC]]+Table1[[#This Row], [DRC]]+Table1[[#This Row], [WRC]]+Table1[[#This Row], [ERC]]+Table1[[#This Row], [EQRC]]</f>
        <v>7895040.3999999994</v>
      </c>
      <c r="V781" s="9">
        <f>Table1[[#This Row], [TOTAL COST]]+_xlfn.XLOOKUP(Table1[[#This Row], [TEAM]],Sheet1!$A$12:$A$17,Sheet1!$I$12:$I$17)</f>
        <v>8199180.3999999994</v>
      </c>
      <c r="W781" s="9">
        <f>Table1[[#This Row], [LOOT]]-Table1[[#This Row], [TOTAL COST]]</f>
        <v>9654959.6000000015</v>
      </c>
      <c r="X781" s="9">
        <f>IF(Table1[[#This Row], [PASS/FAIL]]="FAIL",0,Table1[[#This Row], [PROFIT]])</f>
        <v>9654959.6000000015</v>
      </c>
    </row>
    <row r="782" spans="1:24" ht="19.5" customHeight="1" x14ac:dyDescent="0.45">
      <c r="A782" t="s">
        <v>13</v>
      </c>
      <c r="B782" s="14">
        <f>_xlfn.XLOOKUP(Table1[[#This Row], [TEAM]],Sheet1!$A$12:$A$17,Sheet1!$F$12:$F$17)</f>
        <v>3</v>
      </c>
      <c r="C782" s="14">
        <f>_xlfn.XLOOKUP(Table1[[#This Row], [TEAM]],Sheet1!$A$12:$A$17,Sheet1!$G$12:$G$17)</f>
        <v>5930000</v>
      </c>
      <c r="D782" t="s">
        <v>34</v>
      </c>
      <c r="E782" s="4">
        <f>_xlfn.XLOOKUP(Table1[[#This Row], [ROOM]],Sheet1!$A$47:$A$66,Sheet1!$B$47:$B$66)</f>
        <v>456</v>
      </c>
      <c r="F782" t="s">
        <v>58</v>
      </c>
      <c r="G782" s="4">
        <f>_xlfn.XLOOKUP(Table1[[#This Row], [DISGUISE]],Sheet1!$A$21:$A$23,Sheet1!$B$21:$B$23)*Table1[[#This Row], [NUM OF MEM]]*(1+_xlfn.XLOOKUP(Table1[[#This Row], [DISGUISE]],Sheet1!$A$21:$A$23,Sheet1!$C$21:$C$23))</f>
        <v>38400</v>
      </c>
      <c r="H782" s="13" t="s">
        <v>66</v>
      </c>
      <c r="I782" s="4">
        <f>_xlfn.XLOOKUP(Table1[[#This Row], [WEAPON]],Sheet1!$A$27:$A$29,Sheet1!$B$27:$B$29)*Table1[[#This Row], [NUM OF MEM]]*(1+_xlfn.XLOOKUP(Table1[[#This Row], [WEAPON]],Sheet1!$A$27:$A$29,Sheet1!$C$27:$C$29))</f>
        <v>108000</v>
      </c>
      <c r="J782" t="s">
        <v>60</v>
      </c>
      <c r="K782" s="9">
        <f>Table1[[#This Row], [NUM OF MEM]]*Table1[[#This Row], [TOTAL TIME TAKEN]]*_xlfn.XLOOKUP(Table1[[#This Row], [EXIT]],Sheet1!$A$70:$A$71,Sheet1!$B$70:$B$71)*(1+_xlfn.XLOOKUP(Table1[[#This Row], [EXIT]],Sheet1!$A$70:$A$71,Sheet1!$C$70:$C$71))</f>
        <v>1661445.1624999996</v>
      </c>
      <c r="L782" s="13" t="s">
        <v>65</v>
      </c>
      <c r="M782" s="4">
        <f>IF(Table1[[#This Row], [EQUIPMENT]]="YES",Sheet1!$C$44*(1+Sheet1!$D$44),0)</f>
        <v>307500</v>
      </c>
      <c r="N782" s="4">
        <f>_xlfn.XLOOKUP(Table1[[#This Row], [ROOM]],Sheet1!$A$47:$A$66,Sheet1!$F$47:$F$66)</f>
        <v>17700000</v>
      </c>
      <c r="O782" s="9">
        <f>_xlfn.XLOOKUP(_xlfn.CONCAT(Table1[[#This Row], [TEAM]],Table1[[#This Row], [ROOM]]),'ROOM TIME'!$H$2:$H$121,'ROOM TIME'!$J$2:$J$121)</f>
        <v>38.573888888888881</v>
      </c>
      <c r="P782" s="9">
        <f>(INDEX(Sheet1!$X$48:$Z$67,MATCH(Table1[[#This Row], [ROOM]],Sheet1!$P$48:$P$67,0),MATCH(Table1[[#This Row], [WEAPON]],Sheet1!$X$47:$Z$47,0)))/Table1[[#This Row], [NUM OF MEM]]</f>
        <v>4.583333333333333</v>
      </c>
      <c r="Q782" s="9">
        <f>Table1[[#This Row], [ROOM TIME]]+Table1[[#This Row], [GUARD TIME]]</f>
        <v>43.157222222222217</v>
      </c>
      <c r="R782" s="4">
        <f>Sheet1!$K$3*_xlfn.XLOOKUP(Table1[[#This Row], [DISGUISE]],Sheet1!$A$21:$A$23,Sheet1!$D$21:$D$23)</f>
        <v>69</v>
      </c>
      <c r="S782" s="9">
        <f>Table1[[#This Row], [TOTAL TIME]]-Table1[[#This Row], [TOTAL TIME TAKEN]]</f>
        <v>25.842777777777783</v>
      </c>
      <c r="T782" t="str">
        <f>IF(Table1[[#This Row], [TIME DIFFERENCE]]&gt;=0,"PASS","FAIL")</f>
        <v>PASS</v>
      </c>
      <c r="U782" s="9">
        <f>Table1[[#This Row], [TRC]]+Table1[[#This Row], [DRC]]+Table1[[#This Row], [WRC]]+Table1[[#This Row], [ERC]]+Table1[[#This Row], [EQRC]]</f>
        <v>8045345.1624999996</v>
      </c>
      <c r="V782" s="9">
        <f>Table1[[#This Row], [TOTAL COST]]+_xlfn.XLOOKUP(Table1[[#This Row], [TEAM]],Sheet1!$A$12:$A$17,Sheet1!$I$12:$I$17)</f>
        <v>8341845.1624999996</v>
      </c>
      <c r="W782" s="9">
        <f>Table1[[#This Row], [LOOT]]-Table1[[#This Row], [TOTAL COST]]</f>
        <v>9654654.8375000004</v>
      </c>
      <c r="X782" s="9">
        <f>IF(Table1[[#This Row], [PASS/FAIL]]="FAIL",0,Table1[[#This Row], [PROFIT]])</f>
        <v>9654654.8375000004</v>
      </c>
    </row>
    <row r="783" spans="1:24" ht="19.5" customHeight="1" x14ac:dyDescent="0.45">
      <c r="A783" t="s">
        <v>9</v>
      </c>
      <c r="B783" s="14">
        <f>_xlfn.XLOOKUP(Table1[[#This Row], [TEAM]],Sheet1!$A$12:$A$17,Sheet1!$F$12:$F$17)</f>
        <v>3</v>
      </c>
      <c r="C783" s="14">
        <f>_xlfn.XLOOKUP(Table1[[#This Row], [TEAM]],Sheet1!$A$12:$A$17,Sheet1!$G$12:$G$17)</f>
        <v>6238750</v>
      </c>
      <c r="D783" t="s">
        <v>24</v>
      </c>
      <c r="E783" s="4">
        <f>_xlfn.XLOOKUP(Table1[[#This Row], [ROOM]],Sheet1!$A$47:$A$66,Sheet1!$B$47:$B$66)</f>
        <v>345</v>
      </c>
      <c r="F783" t="s">
        <v>62</v>
      </c>
      <c r="G783" s="4">
        <f>_xlfn.XLOOKUP(Table1[[#This Row], [DISGUISE]],Sheet1!$A$21:$A$23,Sheet1!$B$21:$B$23)*Table1[[#This Row], [NUM OF MEM]]*(1+_xlfn.XLOOKUP(Table1[[#This Row], [DISGUISE]],Sheet1!$A$21:$A$23,Sheet1!$C$21:$C$23))</f>
        <v>15600</v>
      </c>
      <c r="H783" s="13" t="s">
        <v>63</v>
      </c>
      <c r="I783" s="4">
        <f>_xlfn.XLOOKUP(Table1[[#This Row], [WEAPON]],Sheet1!$A$27:$A$29,Sheet1!$B$27:$B$29)*Table1[[#This Row], [NUM OF MEM]]*(1+_xlfn.XLOOKUP(Table1[[#This Row], [WEAPON]],Sheet1!$A$27:$A$29,Sheet1!$C$27:$C$29))</f>
        <v>69000</v>
      </c>
      <c r="J783" t="s">
        <v>64</v>
      </c>
      <c r="K783" s="9">
        <f>Table1[[#This Row], [NUM OF MEM]]*Table1[[#This Row], [TOTAL TIME TAKEN]]*_xlfn.XLOOKUP(Table1[[#This Row], [EXIT]],Sheet1!$A$70:$A$71,Sheet1!$B$70:$B$71)*(1+_xlfn.XLOOKUP(Table1[[#This Row], [EXIT]],Sheet1!$A$70:$A$71,Sheet1!$C$70:$C$71))</f>
        <v>1715083.1999999997</v>
      </c>
      <c r="L783" s="13" t="s">
        <v>65</v>
      </c>
      <c r="M783" s="4">
        <f>IF(Table1[[#This Row], [EQUIPMENT]]="YES",Sheet1!$C$44*(1+Sheet1!$D$44),0)</f>
        <v>307500</v>
      </c>
      <c r="N783" s="4">
        <f>_xlfn.XLOOKUP(Table1[[#This Row], [ROOM]],Sheet1!$A$47:$A$66,Sheet1!$F$47:$F$66)</f>
        <v>18000000</v>
      </c>
      <c r="O783" s="9">
        <f>_xlfn.XLOOKUP(_xlfn.CONCAT(Table1[[#This Row], [TEAM]],Table1[[#This Row], [ROOM]]),'ROOM TIME'!$H$2:$H$121,'ROOM TIME'!$J$2:$J$121)</f>
        <v>38.712222222222216</v>
      </c>
      <c r="P783" s="9">
        <f>(INDEX(Sheet1!$X$48:$Z$67,MATCH(Table1[[#This Row], [ROOM]],Sheet1!$P$48:$P$67,0),MATCH(Table1[[#This Row], [WEAPON]],Sheet1!$X$47:$Z$47,0)))/Table1[[#This Row], [NUM OF MEM]]</f>
        <v>5.4000000000000012</v>
      </c>
      <c r="Q783" s="9">
        <f>Table1[[#This Row], [ROOM TIME]]+Table1[[#This Row], [GUARD TIME]]</f>
        <v>44.112222222222215</v>
      </c>
      <c r="R783" s="4">
        <f>Sheet1!$K$3*_xlfn.XLOOKUP(Table1[[#This Row], [DISGUISE]],Sheet1!$A$21:$A$23,Sheet1!$D$21:$D$23)</f>
        <v>66</v>
      </c>
      <c r="S783" s="9">
        <f>Table1[[#This Row], [TOTAL TIME]]-Table1[[#This Row], [TOTAL TIME TAKEN]]</f>
        <v>21.887777777777785</v>
      </c>
      <c r="T783" t="str">
        <f>IF(Table1[[#This Row], [TIME DIFFERENCE]]&gt;=0,"PASS","FAIL")</f>
        <v>PASS</v>
      </c>
      <c r="U783" s="9">
        <f>Table1[[#This Row], [TRC]]+Table1[[#This Row], [DRC]]+Table1[[#This Row], [WRC]]+Table1[[#This Row], [ERC]]+Table1[[#This Row], [EQRC]]</f>
        <v>8345933.1999999993</v>
      </c>
      <c r="V783" s="9">
        <f>Table1[[#This Row], [TOTAL COST]]+_xlfn.XLOOKUP(Table1[[#This Row], [TEAM]],Sheet1!$A$12:$A$17,Sheet1!$I$12:$I$17)</f>
        <v>8657870.6999999993</v>
      </c>
      <c r="W783" s="9">
        <f>Table1[[#This Row], [LOOT]]-Table1[[#This Row], [TOTAL COST]]</f>
        <v>9654066.8000000007</v>
      </c>
      <c r="X783" s="9">
        <f>IF(Table1[[#This Row], [PASS/FAIL]]="FAIL",0,Table1[[#This Row], [PROFIT]])</f>
        <v>9654066.8000000007</v>
      </c>
    </row>
    <row r="784" spans="1:24" ht="19.5" customHeight="1" x14ac:dyDescent="0.45">
      <c r="A784" t="s">
        <v>16</v>
      </c>
      <c r="B784" s="14">
        <f>_xlfn.XLOOKUP(Table1[[#This Row], [TEAM]],Sheet1!$A$12:$A$17,Sheet1!$F$12:$F$17)</f>
        <v>2</v>
      </c>
      <c r="C784" s="14">
        <f>_xlfn.XLOOKUP(Table1[[#This Row], [TEAM]],Sheet1!$A$12:$A$17,Sheet1!$G$12:$G$17)</f>
        <v>6082800</v>
      </c>
      <c r="D784" t="s">
        <v>27</v>
      </c>
      <c r="E784" s="4">
        <f>_xlfn.XLOOKUP(Table1[[#This Row], [ROOM]],Sheet1!$A$47:$A$66,Sheet1!$B$47:$B$66)</f>
        <v>146</v>
      </c>
      <c r="F784" t="s">
        <v>62</v>
      </c>
      <c r="G784" s="4">
        <f>_xlfn.XLOOKUP(Table1[[#This Row], [DISGUISE]],Sheet1!$A$21:$A$23,Sheet1!$B$21:$B$23)*Table1[[#This Row], [NUM OF MEM]]*(1+_xlfn.XLOOKUP(Table1[[#This Row], [DISGUISE]],Sheet1!$A$21:$A$23,Sheet1!$C$21:$C$23))</f>
        <v>10400</v>
      </c>
      <c r="H784" s="13" t="s">
        <v>66</v>
      </c>
      <c r="I784" s="4">
        <f>_xlfn.XLOOKUP(Table1[[#This Row], [WEAPON]],Sheet1!$A$27:$A$29,Sheet1!$B$27:$B$29)*Table1[[#This Row], [NUM OF MEM]]*(1+_xlfn.XLOOKUP(Table1[[#This Row], [WEAPON]],Sheet1!$A$27:$A$29,Sheet1!$C$27:$C$29))</f>
        <v>72000</v>
      </c>
      <c r="J784" t="s">
        <v>60</v>
      </c>
      <c r="K784" s="9">
        <f>Table1[[#This Row], [NUM OF MEM]]*Table1[[#This Row], [TOTAL TIME TAKEN]]*_xlfn.XLOOKUP(Table1[[#This Row], [EXIT]],Sheet1!$A$70:$A$71,Sheet1!$B$70:$B$71)*(1+_xlfn.XLOOKUP(Table1[[#This Row], [EXIT]],Sheet1!$A$70:$A$71,Sheet1!$C$70:$C$71))</f>
        <v>1623471.6562499993</v>
      </c>
      <c r="L784" s="13" t="s">
        <v>65</v>
      </c>
      <c r="M784" s="4">
        <f>IF(Table1[[#This Row], [EQUIPMENT]]="YES",Sheet1!$C$44*(1+Sheet1!$D$44),0)</f>
        <v>307500</v>
      </c>
      <c r="N784" s="4">
        <f>_xlfn.XLOOKUP(Table1[[#This Row], [ROOM]],Sheet1!$A$47:$A$66,Sheet1!$F$47:$F$66)</f>
        <v>17750000</v>
      </c>
      <c r="O784" s="9">
        <f>_xlfn.XLOOKUP(_xlfn.CONCAT(Table1[[#This Row], [TEAM]],Table1[[#This Row], [ROOM]]),'ROOM TIME'!$H$2:$H$121,'ROOM TIME'!$J$2:$J$121)</f>
        <v>56.38124999999998</v>
      </c>
      <c r="P784" s="9">
        <f>(INDEX(Sheet1!$X$48:$Z$67,MATCH(Table1[[#This Row], [ROOM]],Sheet1!$P$48:$P$67,0),MATCH(Table1[[#This Row], [WEAPON]],Sheet1!$X$47:$Z$47,0)))/Table1[[#This Row], [NUM OF MEM]]</f>
        <v>6.875</v>
      </c>
      <c r="Q784" s="9">
        <f>Table1[[#This Row], [ROOM TIME]]+Table1[[#This Row], [GUARD TIME]]</f>
        <v>63.25624999999998</v>
      </c>
      <c r="R784" s="4">
        <f>Sheet1!$K$3*_xlfn.XLOOKUP(Table1[[#This Row], [DISGUISE]],Sheet1!$A$21:$A$23,Sheet1!$D$21:$D$23)</f>
        <v>66</v>
      </c>
      <c r="S784" s="9">
        <f>Table1[[#This Row], [TOTAL TIME]]-Table1[[#This Row], [TOTAL TIME TAKEN]]</f>
        <v>2.7437500000000199</v>
      </c>
      <c r="T784" t="str">
        <f>IF(Table1[[#This Row], [TIME DIFFERENCE]]&gt;=0,"PASS","FAIL")</f>
        <v>PASS</v>
      </c>
      <c r="U784" s="9">
        <f>Table1[[#This Row], [TRC]]+Table1[[#This Row], [DRC]]+Table1[[#This Row], [WRC]]+Table1[[#This Row], [ERC]]+Table1[[#This Row], [EQRC]]</f>
        <v>8096171.6562499991</v>
      </c>
      <c r="V784" s="9">
        <f>Table1[[#This Row], [TOTAL COST]]+_xlfn.XLOOKUP(Table1[[#This Row], [TEAM]],Sheet1!$A$12:$A$17,Sheet1!$I$12:$I$17)</f>
        <v>8400311.65625</v>
      </c>
      <c r="W784" s="9">
        <f>Table1[[#This Row], [LOOT]]-Table1[[#This Row], [TOTAL COST]]</f>
        <v>9653828.34375</v>
      </c>
      <c r="X784" s="9">
        <f>IF(Table1[[#This Row], [PASS/FAIL]]="FAIL",0,Table1[[#This Row], [PROFIT]])</f>
        <v>9653828.34375</v>
      </c>
    </row>
    <row r="785" spans="1:24" ht="19.5" customHeight="1" x14ac:dyDescent="0.45">
      <c r="A785" t="s">
        <v>13</v>
      </c>
      <c r="B785" s="14">
        <f>_xlfn.XLOOKUP(Table1[[#This Row], [TEAM]],Sheet1!$A$12:$A$17,Sheet1!$F$12:$F$17)</f>
        <v>3</v>
      </c>
      <c r="C785" s="14">
        <f>_xlfn.XLOOKUP(Table1[[#This Row], [TEAM]],Sheet1!$A$12:$A$17,Sheet1!$G$12:$G$17)</f>
        <v>5930000</v>
      </c>
      <c r="D785" t="s">
        <v>21</v>
      </c>
      <c r="E785" s="4">
        <f>_xlfn.XLOOKUP(Table1[[#This Row], [ROOM]],Sheet1!$A$47:$A$66,Sheet1!$B$47:$B$66)</f>
        <v>234</v>
      </c>
      <c r="F785" t="s">
        <v>62</v>
      </c>
      <c r="G785" s="4">
        <f>_xlfn.XLOOKUP(Table1[[#This Row], [DISGUISE]],Sheet1!$A$21:$A$23,Sheet1!$B$21:$B$23)*Table1[[#This Row], [NUM OF MEM]]*(1+_xlfn.XLOOKUP(Table1[[#This Row], [DISGUISE]],Sheet1!$A$21:$A$23,Sheet1!$C$21:$C$23))</f>
        <v>15600</v>
      </c>
      <c r="H785" s="13" t="s">
        <v>66</v>
      </c>
      <c r="I785" s="4">
        <f>_xlfn.XLOOKUP(Table1[[#This Row], [WEAPON]],Sheet1!$A$27:$A$29,Sheet1!$B$27:$B$29)*Table1[[#This Row], [NUM OF MEM]]*(1+_xlfn.XLOOKUP(Table1[[#This Row], [WEAPON]],Sheet1!$A$27:$A$29,Sheet1!$C$27:$C$29))</f>
        <v>108000</v>
      </c>
      <c r="J785" t="s">
        <v>60</v>
      </c>
      <c r="K785" s="9">
        <f>Table1[[#This Row], [NUM OF MEM]]*Table1[[#This Row], [TOTAL TIME TAKEN]]*_xlfn.XLOOKUP(Table1[[#This Row], [EXIT]],Sheet1!$A$70:$A$71,Sheet1!$B$70:$B$71)*(1+_xlfn.XLOOKUP(Table1[[#This Row], [EXIT]],Sheet1!$A$70:$A$71,Sheet1!$C$70:$C$71))</f>
        <v>1885693.0999999999</v>
      </c>
      <c r="L785" s="13" t="s">
        <v>65</v>
      </c>
      <c r="M785" s="4">
        <f>IF(Table1[[#This Row], [EQUIPMENT]]="YES",Sheet1!$C$44*(1+Sheet1!$D$44),0)</f>
        <v>307500</v>
      </c>
      <c r="N785" s="4">
        <f>_xlfn.XLOOKUP(Table1[[#This Row], [ROOM]],Sheet1!$A$47:$A$66,Sheet1!$F$47:$F$66)</f>
        <v>17900000</v>
      </c>
      <c r="O785" s="9">
        <f>_xlfn.XLOOKUP(_xlfn.CONCAT(Table1[[#This Row], [TEAM]],Table1[[#This Row], [ROOM]]),'ROOM TIME'!$H$2:$H$121,'ROOM TIME'!$J$2:$J$121)</f>
        <v>43.565555555555555</v>
      </c>
      <c r="P785" s="9">
        <f>(INDEX(Sheet1!$X$48:$Z$67,MATCH(Table1[[#This Row], [ROOM]],Sheet1!$P$48:$P$67,0),MATCH(Table1[[#This Row], [WEAPON]],Sheet1!$X$47:$Z$47,0)))/Table1[[#This Row], [NUM OF MEM]]</f>
        <v>5.416666666666667</v>
      </c>
      <c r="Q785" s="9">
        <f>Table1[[#This Row], [ROOM TIME]]+Table1[[#This Row], [GUARD TIME]]</f>
        <v>48.982222222222219</v>
      </c>
      <c r="R785" s="4">
        <f>Sheet1!$K$3*_xlfn.XLOOKUP(Table1[[#This Row], [DISGUISE]],Sheet1!$A$21:$A$23,Sheet1!$D$21:$D$23)</f>
        <v>66</v>
      </c>
      <c r="S785" s="9">
        <f>Table1[[#This Row], [TOTAL TIME]]-Table1[[#This Row], [TOTAL TIME TAKEN]]</f>
        <v>17.017777777777781</v>
      </c>
      <c r="T785" t="str">
        <f>IF(Table1[[#This Row], [TIME DIFFERENCE]]&gt;=0,"PASS","FAIL")</f>
        <v>PASS</v>
      </c>
      <c r="U785" s="9">
        <f>Table1[[#This Row], [TRC]]+Table1[[#This Row], [DRC]]+Table1[[#This Row], [WRC]]+Table1[[#This Row], [ERC]]+Table1[[#This Row], [EQRC]]</f>
        <v>8246793.0999999996</v>
      </c>
      <c r="V785" s="9">
        <f>Table1[[#This Row], [TOTAL COST]]+_xlfn.XLOOKUP(Table1[[#This Row], [TEAM]],Sheet1!$A$12:$A$17,Sheet1!$I$12:$I$17)</f>
        <v>8543293.0999999996</v>
      </c>
      <c r="W785" s="9">
        <f>Table1[[#This Row], [LOOT]]-Table1[[#This Row], [TOTAL COST]]</f>
        <v>9653206.9000000004</v>
      </c>
      <c r="X785" s="9">
        <f>IF(Table1[[#This Row], [PASS/FAIL]]="FAIL",0,Table1[[#This Row], [PROFIT]])</f>
        <v>9653206.9000000004</v>
      </c>
    </row>
    <row r="786" spans="1:24" ht="19.5" customHeight="1" x14ac:dyDescent="0.45">
      <c r="A786" t="s">
        <v>15</v>
      </c>
      <c r="B786" s="14">
        <f>_xlfn.XLOOKUP(Table1[[#This Row], [TEAM]],Sheet1!$A$12:$A$17,Sheet1!$F$12:$F$17)</f>
        <v>2</v>
      </c>
      <c r="C786" s="14">
        <f>_xlfn.XLOOKUP(Table1[[#This Row], [TEAM]],Sheet1!$A$12:$A$17,Sheet1!$G$12:$G$17)</f>
        <v>5932950</v>
      </c>
      <c r="D786" t="s">
        <v>11</v>
      </c>
      <c r="E786" s="4">
        <f>_xlfn.XLOOKUP(Table1[[#This Row], [ROOM]],Sheet1!$A$47:$A$66,Sheet1!$B$47:$B$66)</f>
        <v>124</v>
      </c>
      <c r="F786" t="s">
        <v>58</v>
      </c>
      <c r="G786" s="4">
        <f>_xlfn.XLOOKUP(Table1[[#This Row], [DISGUISE]],Sheet1!$A$21:$A$23,Sheet1!$B$21:$B$23)*Table1[[#This Row], [NUM OF MEM]]*(1+_xlfn.XLOOKUP(Table1[[#This Row], [DISGUISE]],Sheet1!$A$21:$A$23,Sheet1!$C$21:$C$23))</f>
        <v>25600</v>
      </c>
      <c r="H786" s="13" t="s">
        <v>66</v>
      </c>
      <c r="I786" s="4">
        <f>_xlfn.XLOOKUP(Table1[[#This Row], [WEAPON]],Sheet1!$A$27:$A$29,Sheet1!$B$27:$B$29)*Table1[[#This Row], [NUM OF MEM]]*(1+_xlfn.XLOOKUP(Table1[[#This Row], [WEAPON]],Sheet1!$A$27:$A$29,Sheet1!$C$27:$C$29))</f>
        <v>72000</v>
      </c>
      <c r="J786" t="s">
        <v>64</v>
      </c>
      <c r="K786" s="9">
        <f>Table1[[#This Row], [NUM OF MEM]]*Table1[[#This Row], [TOTAL TIME TAKEN]]*_xlfn.XLOOKUP(Table1[[#This Row], [EXIT]],Sheet1!$A$70:$A$71,Sheet1!$B$70:$B$71)*(1+_xlfn.XLOOKUP(Table1[[#This Row], [EXIT]],Sheet1!$A$70:$A$71,Sheet1!$C$70:$C$71))</f>
        <v>1766350.7999999993</v>
      </c>
      <c r="L786" s="13" t="s">
        <v>61</v>
      </c>
      <c r="M786" s="4">
        <f>IF(Table1[[#This Row], [EQUIPMENT]]="YES",Sheet1!$C$44*(1+Sheet1!$D$44),0)</f>
        <v>0</v>
      </c>
      <c r="N786" s="4">
        <f>_xlfn.XLOOKUP(Table1[[#This Row], [ROOM]],Sheet1!$A$47:$A$66,Sheet1!$F$47:$F$66)</f>
        <v>17450000</v>
      </c>
      <c r="O786" s="9">
        <f>_xlfn.XLOOKUP(_xlfn.CONCAT(Table1[[#This Row], [TEAM]],Table1[[#This Row], [ROOM]]),'ROOM TIME'!$H$2:$H$121,'ROOM TIME'!$J$2:$J$121)</f>
        <v>61.271249999999981</v>
      </c>
      <c r="P786" s="9">
        <f>(INDEX(Sheet1!$X$48:$Z$67,MATCH(Table1[[#This Row], [ROOM]],Sheet1!$P$48:$P$67,0),MATCH(Table1[[#This Row], [WEAPON]],Sheet1!$X$47:$Z$47,0)))/Table1[[#This Row], [NUM OF MEM]]</f>
        <v>6.875</v>
      </c>
      <c r="Q786" s="9">
        <f>Table1[[#This Row], [ROOM TIME]]+Table1[[#This Row], [GUARD TIME]]</f>
        <v>68.146249999999981</v>
      </c>
      <c r="R786" s="4">
        <f>Sheet1!$K$3*_xlfn.XLOOKUP(Table1[[#This Row], [DISGUISE]],Sheet1!$A$21:$A$23,Sheet1!$D$21:$D$23)</f>
        <v>69</v>
      </c>
      <c r="S786" s="9">
        <f>Table1[[#This Row], [TOTAL TIME]]-Table1[[#This Row], [TOTAL TIME TAKEN]]</f>
        <v>0.85375000000001933</v>
      </c>
      <c r="T786" t="str">
        <f>IF(Table1[[#This Row], [TIME DIFFERENCE]]&gt;=0,"PASS","FAIL")</f>
        <v>PASS</v>
      </c>
      <c r="U786" s="9">
        <f>Table1[[#This Row], [TRC]]+Table1[[#This Row], [DRC]]+Table1[[#This Row], [WRC]]+Table1[[#This Row], [ERC]]+Table1[[#This Row], [EQRC]]</f>
        <v>7796900.7999999989</v>
      </c>
      <c r="V786" s="9">
        <f>Table1[[#This Row], [TOTAL COST]]+_xlfn.XLOOKUP(Table1[[#This Row], [TEAM]],Sheet1!$A$12:$A$17,Sheet1!$I$12:$I$17)</f>
        <v>8093548.2999999989</v>
      </c>
      <c r="W786" s="9">
        <f>Table1[[#This Row], [LOOT]]-Table1[[#This Row], [TOTAL COST]]</f>
        <v>9653099.2000000011</v>
      </c>
      <c r="X786" s="9">
        <f>IF(Table1[[#This Row], [PASS/FAIL]]="FAIL",0,Table1[[#This Row], [PROFIT]])</f>
        <v>9653099.2000000011</v>
      </c>
    </row>
    <row r="787" spans="1:24" ht="19.5" customHeight="1" x14ac:dyDescent="0.45">
      <c r="A787" t="s">
        <v>9</v>
      </c>
      <c r="B787" s="14">
        <f>_xlfn.XLOOKUP(Table1[[#This Row], [TEAM]],Sheet1!$A$12:$A$17,Sheet1!$F$12:$F$17)</f>
        <v>3</v>
      </c>
      <c r="C787" s="14">
        <f>_xlfn.XLOOKUP(Table1[[#This Row], [TEAM]],Sheet1!$A$12:$A$17,Sheet1!$G$12:$G$17)</f>
        <v>6238750</v>
      </c>
      <c r="D787" t="s">
        <v>29</v>
      </c>
      <c r="E787" s="4">
        <f>_xlfn.XLOOKUP(Table1[[#This Row], [ROOM]],Sheet1!$A$47:$A$66,Sheet1!$B$47:$B$66)</f>
        <v>236</v>
      </c>
      <c r="F787" t="s">
        <v>58</v>
      </c>
      <c r="G787" s="4">
        <f>_xlfn.XLOOKUP(Table1[[#This Row], [DISGUISE]],Sheet1!$A$21:$A$23,Sheet1!$B$21:$B$23)*Table1[[#This Row], [NUM OF MEM]]*(1+_xlfn.XLOOKUP(Table1[[#This Row], [DISGUISE]],Sheet1!$A$21:$A$23,Sheet1!$C$21:$C$23))</f>
        <v>38400</v>
      </c>
      <c r="H787" s="13" t="s">
        <v>66</v>
      </c>
      <c r="I787" s="4">
        <f>_xlfn.XLOOKUP(Table1[[#This Row], [WEAPON]],Sheet1!$A$27:$A$29,Sheet1!$B$27:$B$29)*Table1[[#This Row], [NUM OF MEM]]*(1+_xlfn.XLOOKUP(Table1[[#This Row], [WEAPON]],Sheet1!$A$27:$A$29,Sheet1!$C$27:$C$29))</f>
        <v>108000</v>
      </c>
      <c r="J787" t="s">
        <v>64</v>
      </c>
      <c r="K787" s="9">
        <f>Table1[[#This Row], [NUM OF MEM]]*Table1[[#This Row], [TOTAL TIME TAKEN]]*_xlfn.XLOOKUP(Table1[[#This Row], [EXIT]],Sheet1!$A$70:$A$71,Sheet1!$B$70:$B$71)*(1+_xlfn.XLOOKUP(Table1[[#This Row], [EXIT]],Sheet1!$A$70:$A$71,Sheet1!$C$70:$C$71))</f>
        <v>1654516.7999999993</v>
      </c>
      <c r="L787" s="13" t="s">
        <v>65</v>
      </c>
      <c r="M787" s="4">
        <f>IF(Table1[[#This Row], [EQUIPMENT]]="YES",Sheet1!$C$44*(1+Sheet1!$D$44),0)</f>
        <v>307500</v>
      </c>
      <c r="N787" s="4">
        <f>_xlfn.XLOOKUP(Table1[[#This Row], [ROOM]],Sheet1!$A$47:$A$66,Sheet1!$F$47:$F$66)</f>
        <v>18000000</v>
      </c>
      <c r="O787" s="9">
        <f>_xlfn.XLOOKUP(_xlfn.CONCAT(Table1[[#This Row], [TEAM]],Table1[[#This Row], [ROOM]]),'ROOM TIME'!$H$2:$H$121,'ROOM TIME'!$J$2:$J$121)</f>
        <v>37.137777777777764</v>
      </c>
      <c r="P787" s="9">
        <f>(INDEX(Sheet1!$X$48:$Z$67,MATCH(Table1[[#This Row], [ROOM]],Sheet1!$P$48:$P$67,0),MATCH(Table1[[#This Row], [WEAPON]],Sheet1!$X$47:$Z$47,0)))/Table1[[#This Row], [NUM OF MEM]]</f>
        <v>5.416666666666667</v>
      </c>
      <c r="Q787" s="9">
        <f>Table1[[#This Row], [ROOM TIME]]+Table1[[#This Row], [GUARD TIME]]</f>
        <v>42.554444444444428</v>
      </c>
      <c r="R787" s="4">
        <f>Sheet1!$K$3*_xlfn.XLOOKUP(Table1[[#This Row], [DISGUISE]],Sheet1!$A$21:$A$23,Sheet1!$D$21:$D$23)</f>
        <v>69</v>
      </c>
      <c r="S787" s="9">
        <f>Table1[[#This Row], [TOTAL TIME]]-Table1[[#This Row], [TOTAL TIME TAKEN]]</f>
        <v>26.445555555555572</v>
      </c>
      <c r="T787" t="str">
        <f>IF(Table1[[#This Row], [TIME DIFFERENCE]]&gt;=0,"PASS","FAIL")</f>
        <v>PASS</v>
      </c>
      <c r="U787" s="9">
        <f>Table1[[#This Row], [TRC]]+Table1[[#This Row], [DRC]]+Table1[[#This Row], [WRC]]+Table1[[#This Row], [ERC]]+Table1[[#This Row], [EQRC]]</f>
        <v>8347166.7999999989</v>
      </c>
      <c r="V787" s="9">
        <f>Table1[[#This Row], [TOTAL COST]]+_xlfn.XLOOKUP(Table1[[#This Row], [TEAM]],Sheet1!$A$12:$A$17,Sheet1!$I$12:$I$17)</f>
        <v>8659104.2999999989</v>
      </c>
      <c r="W787" s="9">
        <f>Table1[[#This Row], [LOOT]]-Table1[[#This Row], [TOTAL COST]]</f>
        <v>9652833.2000000011</v>
      </c>
      <c r="X787" s="9">
        <f>IF(Table1[[#This Row], [PASS/FAIL]]="FAIL",0,Table1[[#This Row], [PROFIT]])</f>
        <v>9652833.2000000011</v>
      </c>
    </row>
    <row r="788" spans="1:24" ht="19.5" customHeight="1" x14ac:dyDescent="0.45">
      <c r="A788" t="s">
        <v>13</v>
      </c>
      <c r="B788" s="14">
        <f>_xlfn.XLOOKUP(Table1[[#This Row], [TEAM]],Sheet1!$A$12:$A$17,Sheet1!$F$12:$F$17)</f>
        <v>3</v>
      </c>
      <c r="C788" s="14">
        <f>_xlfn.XLOOKUP(Table1[[#This Row], [TEAM]],Sheet1!$A$12:$A$17,Sheet1!$G$12:$G$17)</f>
        <v>5930000</v>
      </c>
      <c r="D788" t="s">
        <v>21</v>
      </c>
      <c r="E788" s="4">
        <f>_xlfn.XLOOKUP(Table1[[#This Row], [ROOM]],Sheet1!$A$47:$A$66,Sheet1!$B$47:$B$66)</f>
        <v>234</v>
      </c>
      <c r="F788" t="s">
        <v>58</v>
      </c>
      <c r="G788" s="4">
        <f>_xlfn.XLOOKUP(Table1[[#This Row], [DISGUISE]],Sheet1!$A$21:$A$23,Sheet1!$B$21:$B$23)*Table1[[#This Row], [NUM OF MEM]]*(1+_xlfn.XLOOKUP(Table1[[#This Row], [DISGUISE]],Sheet1!$A$21:$A$23,Sheet1!$C$21:$C$23))</f>
        <v>38400</v>
      </c>
      <c r="H788" s="13" t="s">
        <v>63</v>
      </c>
      <c r="I788" s="4">
        <f>_xlfn.XLOOKUP(Table1[[#This Row], [WEAPON]],Sheet1!$A$27:$A$29,Sheet1!$B$27:$B$29)*Table1[[#This Row], [NUM OF MEM]]*(1+_xlfn.XLOOKUP(Table1[[#This Row], [WEAPON]],Sheet1!$A$27:$A$29,Sheet1!$C$27:$C$29))</f>
        <v>69000</v>
      </c>
      <c r="J788" t="s">
        <v>60</v>
      </c>
      <c r="K788" s="9">
        <f>Table1[[#This Row], [NUM OF MEM]]*Table1[[#This Row], [TOTAL TIME TAKEN]]*_xlfn.XLOOKUP(Table1[[#This Row], [EXIT]],Sheet1!$A$70:$A$71,Sheet1!$B$70:$B$71)*(1+_xlfn.XLOOKUP(Table1[[#This Row], [EXIT]],Sheet1!$A$70:$A$71,Sheet1!$C$70:$C$71))</f>
        <v>1902375.3499999999</v>
      </c>
      <c r="L788" s="13" t="s">
        <v>65</v>
      </c>
      <c r="M788" s="4">
        <f>IF(Table1[[#This Row], [EQUIPMENT]]="YES",Sheet1!$C$44*(1+Sheet1!$D$44),0)</f>
        <v>307500</v>
      </c>
      <c r="N788" s="4">
        <f>_xlfn.XLOOKUP(Table1[[#This Row], [ROOM]],Sheet1!$A$47:$A$66,Sheet1!$F$47:$F$66)</f>
        <v>17900000</v>
      </c>
      <c r="O788" s="9">
        <f>_xlfn.XLOOKUP(_xlfn.CONCAT(Table1[[#This Row], [TEAM]],Table1[[#This Row], [ROOM]]),'ROOM TIME'!$H$2:$H$121,'ROOM TIME'!$J$2:$J$121)</f>
        <v>43.565555555555555</v>
      </c>
      <c r="P788" s="9">
        <f>(INDEX(Sheet1!$X$48:$Z$67,MATCH(Table1[[#This Row], [ROOM]],Sheet1!$P$48:$P$67,0),MATCH(Table1[[#This Row], [WEAPON]],Sheet1!$X$47:$Z$47,0)))/Table1[[#This Row], [NUM OF MEM]]</f>
        <v>5.8500000000000005</v>
      </c>
      <c r="Q788" s="9">
        <f>Table1[[#This Row], [ROOM TIME]]+Table1[[#This Row], [GUARD TIME]]</f>
        <v>49.415555555555557</v>
      </c>
      <c r="R788" s="4">
        <f>Sheet1!$K$3*_xlfn.XLOOKUP(Table1[[#This Row], [DISGUISE]],Sheet1!$A$21:$A$23,Sheet1!$D$21:$D$23)</f>
        <v>69</v>
      </c>
      <c r="S788" s="9">
        <f>Table1[[#This Row], [TOTAL TIME]]-Table1[[#This Row], [TOTAL TIME TAKEN]]</f>
        <v>19.584444444444443</v>
      </c>
      <c r="T788" t="str">
        <f>IF(Table1[[#This Row], [TIME DIFFERENCE]]&gt;=0,"PASS","FAIL")</f>
        <v>PASS</v>
      </c>
      <c r="U788" s="9">
        <f>Table1[[#This Row], [TRC]]+Table1[[#This Row], [DRC]]+Table1[[#This Row], [WRC]]+Table1[[#This Row], [ERC]]+Table1[[#This Row], [EQRC]]</f>
        <v>8247275.3499999996</v>
      </c>
      <c r="V788" s="9">
        <f>Table1[[#This Row], [TOTAL COST]]+_xlfn.XLOOKUP(Table1[[#This Row], [TEAM]],Sheet1!$A$12:$A$17,Sheet1!$I$12:$I$17)</f>
        <v>8543775.3499999996</v>
      </c>
      <c r="W788" s="9">
        <f>Table1[[#This Row], [LOOT]]-Table1[[#This Row], [TOTAL COST]]</f>
        <v>9652724.6500000004</v>
      </c>
      <c r="X788" s="9">
        <f>IF(Table1[[#This Row], [PASS/FAIL]]="FAIL",0,Table1[[#This Row], [PROFIT]])</f>
        <v>9652724.6500000004</v>
      </c>
    </row>
    <row r="789" spans="1:24" ht="19.5" customHeight="1" x14ac:dyDescent="0.45">
      <c r="A789" t="s">
        <v>12</v>
      </c>
      <c r="B789" s="14">
        <f>_xlfn.XLOOKUP(Table1[[#This Row], [TEAM]],Sheet1!$A$12:$A$17,Sheet1!$F$12:$F$17)</f>
        <v>3</v>
      </c>
      <c r="C789" s="14">
        <f>_xlfn.XLOOKUP(Table1[[#This Row], [TEAM]],Sheet1!$A$12:$A$17,Sheet1!$G$12:$G$17)</f>
        <v>5988750</v>
      </c>
      <c r="D789" t="s">
        <v>21</v>
      </c>
      <c r="E789" s="4">
        <f>_xlfn.XLOOKUP(Table1[[#This Row], [ROOM]],Sheet1!$A$47:$A$66,Sheet1!$B$47:$B$66)</f>
        <v>234</v>
      </c>
      <c r="F789" t="s">
        <v>62</v>
      </c>
      <c r="G789" s="4">
        <f>_xlfn.XLOOKUP(Table1[[#This Row], [DISGUISE]],Sheet1!$A$21:$A$23,Sheet1!$B$21:$B$23)*Table1[[#This Row], [NUM OF MEM]]*(1+_xlfn.XLOOKUP(Table1[[#This Row], [DISGUISE]],Sheet1!$A$21:$A$23,Sheet1!$C$21:$C$23))</f>
        <v>15600</v>
      </c>
      <c r="H789" s="13" t="s">
        <v>59</v>
      </c>
      <c r="I789" s="4">
        <f>_xlfn.XLOOKUP(Table1[[#This Row], [WEAPON]],Sheet1!$A$27:$A$29,Sheet1!$B$27:$B$29)*Table1[[#This Row], [NUM OF MEM]]*(1+_xlfn.XLOOKUP(Table1[[#This Row], [WEAPON]],Sheet1!$A$27:$A$29,Sheet1!$C$27:$C$29))</f>
        <v>136500</v>
      </c>
      <c r="J789" t="s">
        <v>60</v>
      </c>
      <c r="K789" s="9">
        <f>Table1[[#This Row], [NUM OF MEM]]*Table1[[#This Row], [TOTAL TIME TAKEN]]*_xlfn.XLOOKUP(Table1[[#This Row], [EXIT]],Sheet1!$A$70:$A$71,Sheet1!$B$70:$B$71)*(1+_xlfn.XLOOKUP(Table1[[#This Row], [EXIT]],Sheet1!$A$70:$A$71,Sheet1!$C$70:$C$71))</f>
        <v>1799073.7249999996</v>
      </c>
      <c r="L789" s="13" t="s">
        <v>65</v>
      </c>
      <c r="M789" s="4">
        <f>IF(Table1[[#This Row], [EQUIPMENT]]="YES",Sheet1!$C$44*(1+Sheet1!$D$44),0)</f>
        <v>307500</v>
      </c>
      <c r="N789" s="4">
        <f>_xlfn.XLOOKUP(Table1[[#This Row], [ROOM]],Sheet1!$A$47:$A$66,Sheet1!$F$47:$F$66)</f>
        <v>17900000</v>
      </c>
      <c r="O789" s="9">
        <f>_xlfn.XLOOKUP(_xlfn.CONCAT(Table1[[#This Row], [TEAM]],Table1[[#This Row], [ROOM]]),'ROOM TIME'!$H$2:$H$121,'ROOM TIME'!$J$2:$J$121)</f>
        <v>41.748888888888878</v>
      </c>
      <c r="P789" s="9">
        <f>(INDEX(Sheet1!$X$48:$Z$67,MATCH(Table1[[#This Row], [ROOM]],Sheet1!$P$48:$P$67,0),MATCH(Table1[[#This Row], [WEAPON]],Sheet1!$X$47:$Z$47,0)))/Table1[[#This Row], [NUM OF MEM]]</f>
        <v>4.9833333333333334</v>
      </c>
      <c r="Q789" s="9">
        <f>Table1[[#This Row], [ROOM TIME]]+Table1[[#This Row], [GUARD TIME]]</f>
        <v>46.732222222222212</v>
      </c>
      <c r="R789" s="4">
        <f>Sheet1!$K$3*_xlfn.XLOOKUP(Table1[[#This Row], [DISGUISE]],Sheet1!$A$21:$A$23,Sheet1!$D$21:$D$23)</f>
        <v>66</v>
      </c>
      <c r="S789" s="9">
        <f>Table1[[#This Row], [TOTAL TIME]]-Table1[[#This Row], [TOTAL TIME TAKEN]]</f>
        <v>19.267777777777788</v>
      </c>
      <c r="T789" t="str">
        <f>IF(Table1[[#This Row], [TIME DIFFERENCE]]&gt;=0,"PASS","FAIL")</f>
        <v>PASS</v>
      </c>
      <c r="U789" s="9">
        <f>Table1[[#This Row], [TRC]]+Table1[[#This Row], [DRC]]+Table1[[#This Row], [WRC]]+Table1[[#This Row], [ERC]]+Table1[[#This Row], [EQRC]]</f>
        <v>8247423.7249999996</v>
      </c>
      <c r="V789" s="9">
        <f>Table1[[#This Row], [TOTAL COST]]+_xlfn.XLOOKUP(Table1[[#This Row], [TEAM]],Sheet1!$A$12:$A$17,Sheet1!$I$12:$I$17)</f>
        <v>8546861.2249999996</v>
      </c>
      <c r="W789" s="9">
        <f>Table1[[#This Row], [LOOT]]-Table1[[#This Row], [TOTAL COST]]</f>
        <v>9652576.2750000004</v>
      </c>
      <c r="X789" s="9">
        <f>IF(Table1[[#This Row], [PASS/FAIL]]="FAIL",0,Table1[[#This Row], [PROFIT]])</f>
        <v>9652576.2750000004</v>
      </c>
    </row>
    <row r="790" spans="1:24" ht="19.5" customHeight="1" x14ac:dyDescent="0.45">
      <c r="A790" t="s">
        <v>12</v>
      </c>
      <c r="B790" s="14">
        <f>_xlfn.XLOOKUP(Table1[[#This Row], [TEAM]],Sheet1!$A$12:$A$17,Sheet1!$F$12:$F$17)</f>
        <v>3</v>
      </c>
      <c r="C790" s="14">
        <f>_xlfn.XLOOKUP(Table1[[#This Row], [TEAM]],Sheet1!$A$12:$A$17,Sheet1!$G$12:$G$17)</f>
        <v>5988750</v>
      </c>
      <c r="D790" t="s">
        <v>34</v>
      </c>
      <c r="E790" s="4">
        <f>_xlfn.XLOOKUP(Table1[[#This Row], [ROOM]],Sheet1!$A$47:$A$66,Sheet1!$B$47:$B$66)</f>
        <v>456</v>
      </c>
      <c r="F790" t="s">
        <v>58</v>
      </c>
      <c r="G790" s="4">
        <f>_xlfn.XLOOKUP(Table1[[#This Row], [DISGUISE]],Sheet1!$A$21:$A$23,Sheet1!$B$21:$B$23)*Table1[[#This Row], [NUM OF MEM]]*(1+_xlfn.XLOOKUP(Table1[[#This Row], [DISGUISE]],Sheet1!$A$21:$A$23,Sheet1!$C$21:$C$23))</f>
        <v>38400</v>
      </c>
      <c r="H790" s="13" t="s">
        <v>59</v>
      </c>
      <c r="I790" s="4">
        <f>_xlfn.XLOOKUP(Table1[[#This Row], [WEAPON]],Sheet1!$A$27:$A$29,Sheet1!$B$27:$B$29)*Table1[[#This Row], [NUM OF MEM]]*(1+_xlfn.XLOOKUP(Table1[[#This Row], [WEAPON]],Sheet1!$A$27:$A$29,Sheet1!$C$27:$C$29))</f>
        <v>136500</v>
      </c>
      <c r="J790" t="s">
        <v>60</v>
      </c>
      <c r="K790" s="9">
        <f>Table1[[#This Row], [NUM OF MEM]]*Table1[[#This Row], [TOTAL TIME TAKEN]]*_xlfn.XLOOKUP(Table1[[#This Row], [EXIT]],Sheet1!$A$70:$A$71,Sheet1!$B$70:$B$71)*(1+_xlfn.XLOOKUP(Table1[[#This Row], [EXIT]],Sheet1!$A$70:$A$71,Sheet1!$C$70:$C$71))</f>
        <v>1577670.3249999997</v>
      </c>
      <c r="L790" s="13" t="s">
        <v>65</v>
      </c>
      <c r="M790" s="4">
        <f>IF(Table1[[#This Row], [EQUIPMENT]]="YES",Sheet1!$C$44*(1+Sheet1!$D$44),0)</f>
        <v>307500</v>
      </c>
      <c r="N790" s="4">
        <f>_xlfn.XLOOKUP(Table1[[#This Row], [ROOM]],Sheet1!$A$47:$A$66,Sheet1!$F$47:$F$66)</f>
        <v>17700000</v>
      </c>
      <c r="O790" s="9">
        <f>_xlfn.XLOOKUP(_xlfn.CONCAT(Table1[[#This Row], [TEAM]],Table1[[#This Row], [ROOM]]),'ROOM TIME'!$H$2:$H$121,'ROOM TIME'!$J$2:$J$121)</f>
        <v>36.764444444444429</v>
      </c>
      <c r="P790" s="9">
        <f>(INDEX(Sheet1!$X$48:$Z$67,MATCH(Table1[[#This Row], [ROOM]],Sheet1!$P$48:$P$67,0),MATCH(Table1[[#This Row], [WEAPON]],Sheet1!$X$47:$Z$47,0)))/Table1[[#This Row], [NUM OF MEM]]</f>
        <v>4.2166666666666659</v>
      </c>
      <c r="Q790" s="9">
        <f>Table1[[#This Row], [ROOM TIME]]+Table1[[#This Row], [GUARD TIME]]</f>
        <v>40.981111111111098</v>
      </c>
      <c r="R790" s="4">
        <f>Sheet1!$K$3*_xlfn.XLOOKUP(Table1[[#This Row], [DISGUISE]],Sheet1!$A$21:$A$23,Sheet1!$D$21:$D$23)</f>
        <v>69</v>
      </c>
      <c r="S790" s="9">
        <f>Table1[[#This Row], [TOTAL TIME]]-Table1[[#This Row], [TOTAL TIME TAKEN]]</f>
        <v>28.018888888888902</v>
      </c>
      <c r="T790" t="str">
        <f>IF(Table1[[#This Row], [TIME DIFFERENCE]]&gt;=0,"PASS","FAIL")</f>
        <v>PASS</v>
      </c>
      <c r="U790" s="9">
        <f>Table1[[#This Row], [TRC]]+Table1[[#This Row], [DRC]]+Table1[[#This Row], [WRC]]+Table1[[#This Row], [ERC]]+Table1[[#This Row], [EQRC]]</f>
        <v>8048820.3249999993</v>
      </c>
      <c r="V790" s="9">
        <f>Table1[[#This Row], [TOTAL COST]]+_xlfn.XLOOKUP(Table1[[#This Row], [TEAM]],Sheet1!$A$12:$A$17,Sheet1!$I$12:$I$17)</f>
        <v>8348257.8249999993</v>
      </c>
      <c r="W790" s="9">
        <f>Table1[[#This Row], [LOOT]]-Table1[[#This Row], [TOTAL COST]]</f>
        <v>9651179.6750000007</v>
      </c>
      <c r="X790" s="9">
        <f>IF(Table1[[#This Row], [PASS/FAIL]]="FAIL",0,Table1[[#This Row], [PROFIT]])</f>
        <v>9651179.6750000007</v>
      </c>
    </row>
    <row r="791" spans="1:24" ht="19.5" customHeight="1" x14ac:dyDescent="0.45">
      <c r="A791" t="s">
        <v>16</v>
      </c>
      <c r="B791" s="14">
        <f>_xlfn.XLOOKUP(Table1[[#This Row], [TEAM]],Sheet1!$A$12:$A$17,Sheet1!$F$12:$F$17)</f>
        <v>2</v>
      </c>
      <c r="C791" s="14">
        <f>_xlfn.XLOOKUP(Table1[[#This Row], [TEAM]],Sheet1!$A$12:$A$17,Sheet1!$G$12:$G$17)</f>
        <v>6082800</v>
      </c>
      <c r="D791" t="s">
        <v>27</v>
      </c>
      <c r="E791" s="4">
        <f>_xlfn.XLOOKUP(Table1[[#This Row], [ROOM]],Sheet1!$A$47:$A$66,Sheet1!$B$47:$B$66)</f>
        <v>146</v>
      </c>
      <c r="F791" t="s">
        <v>58</v>
      </c>
      <c r="G791" s="4">
        <f>_xlfn.XLOOKUP(Table1[[#This Row], [DISGUISE]],Sheet1!$A$21:$A$23,Sheet1!$B$21:$B$23)*Table1[[#This Row], [NUM OF MEM]]*(1+_xlfn.XLOOKUP(Table1[[#This Row], [DISGUISE]],Sheet1!$A$21:$A$23,Sheet1!$C$21:$C$23))</f>
        <v>25600</v>
      </c>
      <c r="H791" s="13" t="s">
        <v>63</v>
      </c>
      <c r="I791" s="4">
        <f>_xlfn.XLOOKUP(Table1[[#This Row], [WEAPON]],Sheet1!$A$27:$A$29,Sheet1!$B$27:$B$29)*Table1[[#This Row], [NUM OF MEM]]*(1+_xlfn.XLOOKUP(Table1[[#This Row], [WEAPON]],Sheet1!$A$27:$A$29,Sheet1!$C$27:$C$29))</f>
        <v>46000</v>
      </c>
      <c r="J791" t="s">
        <v>60</v>
      </c>
      <c r="K791" s="9">
        <f>Table1[[#This Row], [NUM OF MEM]]*Table1[[#This Row], [TOTAL TIME TAKEN]]*_xlfn.XLOOKUP(Table1[[#This Row], [EXIT]],Sheet1!$A$70:$A$71,Sheet1!$B$70:$B$71)*(1+_xlfn.XLOOKUP(Table1[[#This Row], [EXIT]],Sheet1!$A$70:$A$71,Sheet1!$C$70:$C$71))</f>
        <v>1637587.4062499993</v>
      </c>
      <c r="L791" s="13" t="s">
        <v>65</v>
      </c>
      <c r="M791" s="4">
        <f>IF(Table1[[#This Row], [EQUIPMENT]]="YES",Sheet1!$C$44*(1+Sheet1!$D$44),0)</f>
        <v>307500</v>
      </c>
      <c r="N791" s="4">
        <f>_xlfn.XLOOKUP(Table1[[#This Row], [ROOM]],Sheet1!$A$47:$A$66,Sheet1!$F$47:$F$66)</f>
        <v>17750000</v>
      </c>
      <c r="O791" s="9">
        <f>_xlfn.XLOOKUP(_xlfn.CONCAT(Table1[[#This Row], [TEAM]],Table1[[#This Row], [ROOM]]),'ROOM TIME'!$H$2:$H$121,'ROOM TIME'!$J$2:$J$121)</f>
        <v>56.38124999999998</v>
      </c>
      <c r="P791" s="9">
        <f>(INDEX(Sheet1!$X$48:$Z$67,MATCH(Table1[[#This Row], [ROOM]],Sheet1!$P$48:$P$67,0),MATCH(Table1[[#This Row], [WEAPON]],Sheet1!$X$47:$Z$47,0)))/Table1[[#This Row], [NUM OF MEM]]</f>
        <v>7.4250000000000007</v>
      </c>
      <c r="Q791" s="9">
        <f>Table1[[#This Row], [ROOM TIME]]+Table1[[#This Row], [GUARD TIME]]</f>
        <v>63.806249999999977</v>
      </c>
      <c r="R791" s="4">
        <f>Sheet1!$K$3*_xlfn.XLOOKUP(Table1[[#This Row], [DISGUISE]],Sheet1!$A$21:$A$23,Sheet1!$D$21:$D$23)</f>
        <v>69</v>
      </c>
      <c r="S791" s="9">
        <f>Table1[[#This Row], [TOTAL TIME]]-Table1[[#This Row], [TOTAL TIME TAKEN]]</f>
        <v>5.1937500000000227</v>
      </c>
      <c r="T791" t="str">
        <f>IF(Table1[[#This Row], [TIME DIFFERENCE]]&gt;=0,"PASS","FAIL")</f>
        <v>PASS</v>
      </c>
      <c r="U791" s="9">
        <f>Table1[[#This Row], [TRC]]+Table1[[#This Row], [DRC]]+Table1[[#This Row], [WRC]]+Table1[[#This Row], [ERC]]+Table1[[#This Row], [EQRC]]</f>
        <v>8099487.4062499991</v>
      </c>
      <c r="V791" s="9">
        <f>Table1[[#This Row], [TOTAL COST]]+_xlfn.XLOOKUP(Table1[[#This Row], [TEAM]],Sheet1!$A$12:$A$17,Sheet1!$I$12:$I$17)</f>
        <v>8403627.40625</v>
      </c>
      <c r="W791" s="9">
        <f>Table1[[#This Row], [LOOT]]-Table1[[#This Row], [TOTAL COST]]</f>
        <v>9650512.59375</v>
      </c>
      <c r="X791" s="9">
        <f>IF(Table1[[#This Row], [PASS/FAIL]]="FAIL",0,Table1[[#This Row], [PROFIT]])</f>
        <v>9650512.59375</v>
      </c>
    </row>
    <row r="792" spans="1:24" ht="19.5" customHeight="1" x14ac:dyDescent="0.45">
      <c r="A792" t="s">
        <v>9</v>
      </c>
      <c r="B792" s="14">
        <f>_xlfn.XLOOKUP(Table1[[#This Row], [TEAM]],Sheet1!$A$12:$A$17,Sheet1!$F$12:$F$17)</f>
        <v>3</v>
      </c>
      <c r="C792" s="14">
        <f>_xlfn.XLOOKUP(Table1[[#This Row], [TEAM]],Sheet1!$A$12:$A$17,Sheet1!$G$12:$G$17)</f>
        <v>6238750</v>
      </c>
      <c r="D792" t="s">
        <v>18</v>
      </c>
      <c r="E792" s="4">
        <f>_xlfn.XLOOKUP(Table1[[#This Row], [ROOM]],Sheet1!$A$47:$A$66,Sheet1!$B$47:$B$66)</f>
        <v>134</v>
      </c>
      <c r="F792" t="s">
        <v>58</v>
      </c>
      <c r="G792" s="4">
        <f>_xlfn.XLOOKUP(Table1[[#This Row], [DISGUISE]],Sheet1!$A$21:$A$23,Sheet1!$B$21:$B$23)*Table1[[#This Row], [NUM OF MEM]]*(1+_xlfn.XLOOKUP(Table1[[#This Row], [DISGUISE]],Sheet1!$A$21:$A$23,Sheet1!$C$21:$C$23))</f>
        <v>38400</v>
      </c>
      <c r="H792" s="13" t="s">
        <v>59</v>
      </c>
      <c r="I792" s="4">
        <f>_xlfn.XLOOKUP(Table1[[#This Row], [WEAPON]],Sheet1!$A$27:$A$29,Sheet1!$B$27:$B$29)*Table1[[#This Row], [NUM OF MEM]]*(1+_xlfn.XLOOKUP(Table1[[#This Row], [WEAPON]],Sheet1!$A$27:$A$29,Sheet1!$C$27:$C$29))</f>
        <v>136500</v>
      </c>
      <c r="J792" t="s">
        <v>60</v>
      </c>
      <c r="K792" s="9">
        <f>Table1[[#This Row], [NUM OF MEM]]*Table1[[#This Row], [TOTAL TIME TAKEN]]*_xlfn.XLOOKUP(Table1[[#This Row], [EXIT]],Sheet1!$A$70:$A$71,Sheet1!$B$70:$B$71)*(1+_xlfn.XLOOKUP(Table1[[#This Row], [EXIT]],Sheet1!$A$70:$A$71,Sheet1!$C$70:$C$71))</f>
        <v>1678640.7124999997</v>
      </c>
      <c r="L792" s="13" t="s">
        <v>65</v>
      </c>
      <c r="M792" s="4">
        <f>IF(Table1[[#This Row], [EQUIPMENT]]="YES",Sheet1!$C$44*(1+Sheet1!$D$44),0)</f>
        <v>307500</v>
      </c>
      <c r="N792" s="4">
        <f>_xlfn.XLOOKUP(Table1[[#This Row], [ROOM]],Sheet1!$A$47:$A$66,Sheet1!$F$47:$F$66)</f>
        <v>18050000</v>
      </c>
      <c r="O792" s="9">
        <f>_xlfn.XLOOKUP(_xlfn.CONCAT(Table1[[#This Row], [TEAM]],Table1[[#This Row], [ROOM]]),'ROOM TIME'!$H$2:$H$121,'ROOM TIME'!$J$2:$J$121)</f>
        <v>39.003888888888881</v>
      </c>
      <c r="P792" s="9">
        <f>(INDEX(Sheet1!$X$48:$Z$67,MATCH(Table1[[#This Row], [ROOM]],Sheet1!$P$48:$P$67,0),MATCH(Table1[[#This Row], [WEAPON]],Sheet1!$X$47:$Z$47,0)))/Table1[[#This Row], [NUM OF MEM]]</f>
        <v>4.5999999999999996</v>
      </c>
      <c r="Q792" s="9">
        <f>Table1[[#This Row], [ROOM TIME]]+Table1[[#This Row], [GUARD TIME]]</f>
        <v>43.603888888888882</v>
      </c>
      <c r="R792" s="4">
        <f>Sheet1!$K$3*_xlfn.XLOOKUP(Table1[[#This Row], [DISGUISE]],Sheet1!$A$21:$A$23,Sheet1!$D$21:$D$23)</f>
        <v>69</v>
      </c>
      <c r="S792" s="9">
        <f>Table1[[#This Row], [TOTAL TIME]]-Table1[[#This Row], [TOTAL TIME TAKEN]]</f>
        <v>25.396111111111118</v>
      </c>
      <c r="T792" t="str">
        <f>IF(Table1[[#This Row], [TIME DIFFERENCE]]&gt;=0,"PASS","FAIL")</f>
        <v>PASS</v>
      </c>
      <c r="U792" s="9">
        <f>Table1[[#This Row], [TRC]]+Table1[[#This Row], [DRC]]+Table1[[#This Row], [WRC]]+Table1[[#This Row], [ERC]]+Table1[[#This Row], [EQRC]]</f>
        <v>8399790.7124999985</v>
      </c>
      <c r="V792" s="9">
        <f>Table1[[#This Row], [TOTAL COST]]+_xlfn.XLOOKUP(Table1[[#This Row], [TEAM]],Sheet1!$A$12:$A$17,Sheet1!$I$12:$I$17)</f>
        <v>8711728.2124999985</v>
      </c>
      <c r="W792" s="9">
        <f>Table1[[#This Row], [LOOT]]-Table1[[#This Row], [TOTAL COST]]</f>
        <v>9650209.2875000015</v>
      </c>
      <c r="X792" s="9">
        <f>IF(Table1[[#This Row], [PASS/FAIL]]="FAIL",0,Table1[[#This Row], [PROFIT]])</f>
        <v>9650209.2875000015</v>
      </c>
    </row>
    <row r="793" spans="1:24" ht="19.5" customHeight="1" x14ac:dyDescent="0.45">
      <c r="A793" t="s">
        <v>12</v>
      </c>
      <c r="B793" s="14">
        <f>_xlfn.XLOOKUP(Table1[[#This Row], [TEAM]],Sheet1!$A$12:$A$17,Sheet1!$F$12:$F$17)</f>
        <v>3</v>
      </c>
      <c r="C793" s="14">
        <f>_xlfn.XLOOKUP(Table1[[#This Row], [TEAM]],Sheet1!$A$12:$A$17,Sheet1!$G$12:$G$17)</f>
        <v>5988750</v>
      </c>
      <c r="D793" t="s">
        <v>34</v>
      </c>
      <c r="E793" s="4">
        <f>_xlfn.XLOOKUP(Table1[[#This Row], [ROOM]],Sheet1!$A$47:$A$66,Sheet1!$B$47:$B$66)</f>
        <v>456</v>
      </c>
      <c r="F793" t="s">
        <v>58</v>
      </c>
      <c r="G793" s="4">
        <f>_xlfn.XLOOKUP(Table1[[#This Row], [DISGUISE]],Sheet1!$A$21:$A$23,Sheet1!$B$21:$B$23)*Table1[[#This Row], [NUM OF MEM]]*(1+_xlfn.XLOOKUP(Table1[[#This Row], [DISGUISE]],Sheet1!$A$21:$A$23,Sheet1!$C$21:$C$23))</f>
        <v>38400</v>
      </c>
      <c r="H793" s="13" t="s">
        <v>66</v>
      </c>
      <c r="I793" s="4">
        <f>_xlfn.XLOOKUP(Table1[[#This Row], [WEAPON]],Sheet1!$A$27:$A$29,Sheet1!$B$27:$B$29)*Table1[[#This Row], [NUM OF MEM]]*(1+_xlfn.XLOOKUP(Table1[[#This Row], [WEAPON]],Sheet1!$A$27:$A$29,Sheet1!$C$27:$C$29))</f>
        <v>108000</v>
      </c>
      <c r="J793" t="s">
        <v>64</v>
      </c>
      <c r="K793" s="9">
        <f>Table1[[#This Row], [NUM OF MEM]]*Table1[[#This Row], [TOTAL TIME TAKEN]]*_xlfn.XLOOKUP(Table1[[#This Row], [EXIT]],Sheet1!$A$70:$A$71,Sheet1!$B$70:$B$71)*(1+_xlfn.XLOOKUP(Table1[[#This Row], [EXIT]],Sheet1!$A$70:$A$71,Sheet1!$C$70:$C$71))</f>
        <v>1607601.5999999994</v>
      </c>
      <c r="L793" s="13" t="s">
        <v>65</v>
      </c>
      <c r="M793" s="4">
        <f>IF(Table1[[#This Row], [EQUIPMENT]]="YES",Sheet1!$C$44*(1+Sheet1!$D$44),0)</f>
        <v>307500</v>
      </c>
      <c r="N793" s="4">
        <f>_xlfn.XLOOKUP(Table1[[#This Row], [ROOM]],Sheet1!$A$47:$A$66,Sheet1!$F$47:$F$66)</f>
        <v>17700000</v>
      </c>
      <c r="O793" s="9">
        <f>_xlfn.XLOOKUP(_xlfn.CONCAT(Table1[[#This Row], [TEAM]],Table1[[#This Row], [ROOM]]),'ROOM TIME'!$H$2:$H$121,'ROOM TIME'!$J$2:$J$121)</f>
        <v>36.764444444444429</v>
      </c>
      <c r="P793" s="9">
        <f>(INDEX(Sheet1!$X$48:$Z$67,MATCH(Table1[[#This Row], [ROOM]],Sheet1!$P$48:$P$67,0),MATCH(Table1[[#This Row], [WEAPON]],Sheet1!$X$47:$Z$47,0)))/Table1[[#This Row], [NUM OF MEM]]</f>
        <v>4.583333333333333</v>
      </c>
      <c r="Q793" s="9">
        <f>Table1[[#This Row], [ROOM TIME]]+Table1[[#This Row], [GUARD TIME]]</f>
        <v>41.347777777777765</v>
      </c>
      <c r="R793" s="4">
        <f>Sheet1!$K$3*_xlfn.XLOOKUP(Table1[[#This Row], [DISGUISE]],Sheet1!$A$21:$A$23,Sheet1!$D$21:$D$23)</f>
        <v>69</v>
      </c>
      <c r="S793" s="9">
        <f>Table1[[#This Row], [TOTAL TIME]]-Table1[[#This Row], [TOTAL TIME TAKEN]]</f>
        <v>27.652222222222235</v>
      </c>
      <c r="T793" t="str">
        <f>IF(Table1[[#This Row], [TIME DIFFERENCE]]&gt;=0,"PASS","FAIL")</f>
        <v>PASS</v>
      </c>
      <c r="U793" s="9">
        <f>Table1[[#This Row], [TRC]]+Table1[[#This Row], [DRC]]+Table1[[#This Row], [WRC]]+Table1[[#This Row], [ERC]]+Table1[[#This Row], [EQRC]]</f>
        <v>8050251.5999999996</v>
      </c>
      <c r="V793" s="9">
        <f>Table1[[#This Row], [TOTAL COST]]+_xlfn.XLOOKUP(Table1[[#This Row], [TEAM]],Sheet1!$A$12:$A$17,Sheet1!$I$12:$I$17)</f>
        <v>8349689.0999999996</v>
      </c>
      <c r="W793" s="9">
        <f>Table1[[#This Row], [LOOT]]-Table1[[#This Row], [TOTAL COST]]</f>
        <v>9649748.4000000004</v>
      </c>
      <c r="X793" s="9">
        <f>IF(Table1[[#This Row], [PASS/FAIL]]="FAIL",0,Table1[[#This Row], [PROFIT]])</f>
        <v>9649748.4000000004</v>
      </c>
    </row>
    <row r="794" spans="1:24" ht="19.5" customHeight="1" x14ac:dyDescent="0.45">
      <c r="A794" t="s">
        <v>13</v>
      </c>
      <c r="B794" s="14">
        <f>_xlfn.XLOOKUP(Table1[[#This Row], [TEAM]],Sheet1!$A$12:$A$17,Sheet1!$F$12:$F$17)</f>
        <v>3</v>
      </c>
      <c r="C794" s="14">
        <f>_xlfn.XLOOKUP(Table1[[#This Row], [TEAM]],Sheet1!$A$12:$A$17,Sheet1!$G$12:$G$17)</f>
        <v>5930000</v>
      </c>
      <c r="D794" t="s">
        <v>28</v>
      </c>
      <c r="E794" s="4">
        <f>_xlfn.XLOOKUP(Table1[[#This Row], [ROOM]],Sheet1!$A$47:$A$66,Sheet1!$B$47:$B$66)</f>
        <v>156</v>
      </c>
      <c r="F794" t="s">
        <v>62</v>
      </c>
      <c r="G794" s="4">
        <f>_xlfn.XLOOKUP(Table1[[#This Row], [DISGUISE]],Sheet1!$A$21:$A$23,Sheet1!$B$21:$B$23)*Table1[[#This Row], [NUM OF MEM]]*(1+_xlfn.XLOOKUP(Table1[[#This Row], [DISGUISE]],Sheet1!$A$21:$A$23,Sheet1!$C$21:$C$23))</f>
        <v>15600</v>
      </c>
      <c r="H794" s="13" t="s">
        <v>63</v>
      </c>
      <c r="I794" s="4">
        <f>_xlfn.XLOOKUP(Table1[[#This Row], [WEAPON]],Sheet1!$A$27:$A$29,Sheet1!$B$27:$B$29)*Table1[[#This Row], [NUM OF MEM]]*(1+_xlfn.XLOOKUP(Table1[[#This Row], [WEAPON]],Sheet1!$A$27:$A$29,Sheet1!$C$27:$C$29))</f>
        <v>69000</v>
      </c>
      <c r="J794" t="s">
        <v>64</v>
      </c>
      <c r="K794" s="9">
        <f>Table1[[#This Row], [NUM OF MEM]]*Table1[[#This Row], [TOTAL TIME TAKEN]]*_xlfn.XLOOKUP(Table1[[#This Row], [EXIT]],Sheet1!$A$70:$A$71,Sheet1!$B$70:$B$71)*(1+_xlfn.XLOOKUP(Table1[[#This Row], [EXIT]],Sheet1!$A$70:$A$71,Sheet1!$C$70:$C$71))</f>
        <v>1678168.7999999996</v>
      </c>
      <c r="L794" s="13" t="s">
        <v>65</v>
      </c>
      <c r="M794" s="4">
        <f>IF(Table1[[#This Row], [EQUIPMENT]]="YES",Sheet1!$C$44*(1+Sheet1!$D$44),0)</f>
        <v>307500</v>
      </c>
      <c r="N794" s="4">
        <f>_xlfn.XLOOKUP(Table1[[#This Row], [ROOM]],Sheet1!$A$47:$A$66,Sheet1!$F$47:$F$66)</f>
        <v>17650000</v>
      </c>
      <c r="O794" s="9">
        <f>_xlfn.XLOOKUP(_xlfn.CONCAT(Table1[[#This Row], [TEAM]],Table1[[#This Row], [ROOM]]),'ROOM TIME'!$H$2:$H$121,'ROOM TIME'!$J$2:$J$121)</f>
        <v>38.662777777777769</v>
      </c>
      <c r="P794" s="9">
        <f>(INDEX(Sheet1!$X$48:$Z$67,MATCH(Table1[[#This Row], [ROOM]],Sheet1!$P$48:$P$67,0),MATCH(Table1[[#This Row], [WEAPON]],Sheet1!$X$47:$Z$47,0)))/Table1[[#This Row], [NUM OF MEM]]</f>
        <v>4.5</v>
      </c>
      <c r="Q794" s="9">
        <f>Table1[[#This Row], [ROOM TIME]]+Table1[[#This Row], [GUARD TIME]]</f>
        <v>43.162777777777769</v>
      </c>
      <c r="R794" s="4">
        <f>Sheet1!$K$3*_xlfn.XLOOKUP(Table1[[#This Row], [DISGUISE]],Sheet1!$A$21:$A$23,Sheet1!$D$21:$D$23)</f>
        <v>66</v>
      </c>
      <c r="S794" s="9">
        <f>Table1[[#This Row], [TOTAL TIME]]-Table1[[#This Row], [TOTAL TIME TAKEN]]</f>
        <v>22.837222222222231</v>
      </c>
      <c r="T794" t="str">
        <f>IF(Table1[[#This Row], [TIME DIFFERENCE]]&gt;=0,"PASS","FAIL")</f>
        <v>PASS</v>
      </c>
      <c r="U794" s="9">
        <f>Table1[[#This Row], [TRC]]+Table1[[#This Row], [DRC]]+Table1[[#This Row], [WRC]]+Table1[[#This Row], [ERC]]+Table1[[#This Row], [EQRC]]</f>
        <v>8000268.7999999998</v>
      </c>
      <c r="V794" s="9">
        <f>Table1[[#This Row], [TOTAL COST]]+_xlfn.XLOOKUP(Table1[[#This Row], [TEAM]],Sheet1!$A$12:$A$17,Sheet1!$I$12:$I$17)</f>
        <v>8296768.7999999998</v>
      </c>
      <c r="W794" s="9">
        <f>Table1[[#This Row], [LOOT]]-Table1[[#This Row], [TOTAL COST]]</f>
        <v>9649731.1999999993</v>
      </c>
      <c r="X794" s="9">
        <f>IF(Table1[[#This Row], [PASS/FAIL]]="FAIL",0,Table1[[#This Row], [PROFIT]])</f>
        <v>9649731.1999999993</v>
      </c>
    </row>
    <row r="795" spans="1:24" ht="19.5" customHeight="1" x14ac:dyDescent="0.45">
      <c r="A795" t="s">
        <v>16</v>
      </c>
      <c r="B795" s="14">
        <f>_xlfn.XLOOKUP(Table1[[#This Row], [TEAM]],Sheet1!$A$12:$A$17,Sheet1!$F$12:$F$17)</f>
        <v>2</v>
      </c>
      <c r="C795" s="14">
        <f>_xlfn.XLOOKUP(Table1[[#This Row], [TEAM]],Sheet1!$A$12:$A$17,Sheet1!$G$12:$G$17)</f>
        <v>6082800</v>
      </c>
      <c r="D795" t="s">
        <v>27</v>
      </c>
      <c r="E795" s="4">
        <f>_xlfn.XLOOKUP(Table1[[#This Row], [ROOM]],Sheet1!$A$47:$A$66,Sheet1!$B$47:$B$66)</f>
        <v>146</v>
      </c>
      <c r="F795" t="s">
        <v>62</v>
      </c>
      <c r="G795" s="4">
        <f>_xlfn.XLOOKUP(Table1[[#This Row], [DISGUISE]],Sheet1!$A$21:$A$23,Sheet1!$B$21:$B$23)*Table1[[#This Row], [NUM OF MEM]]*(1+_xlfn.XLOOKUP(Table1[[#This Row], [DISGUISE]],Sheet1!$A$21:$A$23,Sheet1!$C$21:$C$23))</f>
        <v>10400</v>
      </c>
      <c r="H795" s="13" t="s">
        <v>63</v>
      </c>
      <c r="I795" s="4">
        <f>_xlfn.XLOOKUP(Table1[[#This Row], [WEAPON]],Sheet1!$A$27:$A$29,Sheet1!$B$27:$B$29)*Table1[[#This Row], [NUM OF MEM]]*(1+_xlfn.XLOOKUP(Table1[[#This Row], [WEAPON]],Sheet1!$A$27:$A$29,Sheet1!$C$27:$C$29))</f>
        <v>46000</v>
      </c>
      <c r="J795" t="s">
        <v>64</v>
      </c>
      <c r="K795" s="9">
        <f>Table1[[#This Row], [NUM OF MEM]]*Table1[[#This Row], [TOTAL TIME TAKEN]]*_xlfn.XLOOKUP(Table1[[#This Row], [EXIT]],Sheet1!$A$70:$A$71,Sheet1!$B$70:$B$71)*(1+_xlfn.XLOOKUP(Table1[[#This Row], [EXIT]],Sheet1!$A$70:$A$71,Sheet1!$C$70:$C$71))</f>
        <v>1653857.9999999993</v>
      </c>
      <c r="L795" s="13" t="s">
        <v>65</v>
      </c>
      <c r="M795" s="4">
        <f>IF(Table1[[#This Row], [EQUIPMENT]]="YES",Sheet1!$C$44*(1+Sheet1!$D$44),0)</f>
        <v>307500</v>
      </c>
      <c r="N795" s="4">
        <f>_xlfn.XLOOKUP(Table1[[#This Row], [ROOM]],Sheet1!$A$47:$A$66,Sheet1!$F$47:$F$66)</f>
        <v>17750000</v>
      </c>
      <c r="O795" s="9">
        <f>_xlfn.XLOOKUP(_xlfn.CONCAT(Table1[[#This Row], [TEAM]],Table1[[#This Row], [ROOM]]),'ROOM TIME'!$H$2:$H$121,'ROOM TIME'!$J$2:$J$121)</f>
        <v>56.38124999999998</v>
      </c>
      <c r="P795" s="9">
        <f>(INDEX(Sheet1!$X$48:$Z$67,MATCH(Table1[[#This Row], [ROOM]],Sheet1!$P$48:$P$67,0),MATCH(Table1[[#This Row], [WEAPON]],Sheet1!$X$47:$Z$47,0)))/Table1[[#This Row], [NUM OF MEM]]</f>
        <v>7.4250000000000007</v>
      </c>
      <c r="Q795" s="9">
        <f>Table1[[#This Row], [ROOM TIME]]+Table1[[#This Row], [GUARD TIME]]</f>
        <v>63.806249999999977</v>
      </c>
      <c r="R795" s="4">
        <f>Sheet1!$K$3*_xlfn.XLOOKUP(Table1[[#This Row], [DISGUISE]],Sheet1!$A$21:$A$23,Sheet1!$D$21:$D$23)</f>
        <v>66</v>
      </c>
      <c r="S795" s="9">
        <f>Table1[[#This Row], [TOTAL TIME]]-Table1[[#This Row], [TOTAL TIME TAKEN]]</f>
        <v>2.1937500000000227</v>
      </c>
      <c r="T795" t="str">
        <f>IF(Table1[[#This Row], [TIME DIFFERENCE]]&gt;=0,"PASS","FAIL")</f>
        <v>PASS</v>
      </c>
      <c r="U795" s="9">
        <f>Table1[[#This Row], [TRC]]+Table1[[#This Row], [DRC]]+Table1[[#This Row], [WRC]]+Table1[[#This Row], [ERC]]+Table1[[#This Row], [EQRC]]</f>
        <v>8100557.9999999991</v>
      </c>
      <c r="V795" s="4">
        <f>Table1[[#This Row], [TOTAL COST]]+_xlfn.XLOOKUP(Table1[[#This Row], [TEAM]],Sheet1!$A$12:$A$17,Sheet1!$I$12:$I$17)</f>
        <v>8404698</v>
      </c>
      <c r="W795" s="4">
        <f>Table1[[#This Row], [LOOT]]-Table1[[#This Row], [TOTAL COST]]</f>
        <v>9649442</v>
      </c>
      <c r="X795" s="4">
        <f>IF(Table1[[#This Row], [PASS/FAIL]]="FAIL",0,Table1[[#This Row], [PROFIT]])</f>
        <v>9649442</v>
      </c>
    </row>
    <row r="796" spans="1:24" ht="19.5" customHeight="1" x14ac:dyDescent="0.45">
      <c r="A796" t="s">
        <v>12</v>
      </c>
      <c r="B796" s="14">
        <f>_xlfn.XLOOKUP(Table1[[#This Row], [TEAM]],Sheet1!$A$12:$A$17,Sheet1!$F$12:$F$17)</f>
        <v>3</v>
      </c>
      <c r="C796" s="14">
        <f>_xlfn.XLOOKUP(Table1[[#This Row], [TEAM]],Sheet1!$A$12:$A$17,Sheet1!$G$12:$G$17)</f>
        <v>5988750</v>
      </c>
      <c r="D796" t="s">
        <v>28</v>
      </c>
      <c r="E796" s="4">
        <f>_xlfn.XLOOKUP(Table1[[#This Row], [ROOM]],Sheet1!$A$47:$A$66,Sheet1!$B$47:$B$66)</f>
        <v>156</v>
      </c>
      <c r="F796" t="s">
        <v>58</v>
      </c>
      <c r="G796" s="4">
        <f>_xlfn.XLOOKUP(Table1[[#This Row], [DISGUISE]],Sheet1!$A$21:$A$23,Sheet1!$B$21:$B$23)*Table1[[#This Row], [NUM OF MEM]]*(1+_xlfn.XLOOKUP(Table1[[#This Row], [DISGUISE]],Sheet1!$A$21:$A$23,Sheet1!$C$21:$C$23))</f>
        <v>38400</v>
      </c>
      <c r="H796" s="13" t="s">
        <v>63</v>
      </c>
      <c r="I796" s="4">
        <f>_xlfn.XLOOKUP(Table1[[#This Row], [WEAPON]],Sheet1!$A$27:$A$29,Sheet1!$B$27:$B$29)*Table1[[#This Row], [NUM OF MEM]]*(1+_xlfn.XLOOKUP(Table1[[#This Row], [WEAPON]],Sheet1!$A$27:$A$29,Sheet1!$C$27:$C$29))</f>
        <v>69000</v>
      </c>
      <c r="J796" t="s">
        <v>60</v>
      </c>
      <c r="K796" s="9">
        <f>Table1[[#This Row], [NUM OF MEM]]*Table1[[#This Row], [TOTAL TIME TAKEN]]*_xlfn.XLOOKUP(Table1[[#This Row], [EXIT]],Sheet1!$A$70:$A$71,Sheet1!$B$70:$B$71)*(1+_xlfn.XLOOKUP(Table1[[#This Row], [EXIT]],Sheet1!$A$70:$A$71,Sheet1!$C$70:$C$71))</f>
        <v>1597004.6249999993</v>
      </c>
      <c r="L796" s="13" t="s">
        <v>65</v>
      </c>
      <c r="M796" s="4">
        <f>IF(Table1[[#This Row], [EQUIPMENT]]="YES",Sheet1!$C$44*(1+Sheet1!$D$44),0)</f>
        <v>307500</v>
      </c>
      <c r="N796" s="4">
        <f>_xlfn.XLOOKUP(Table1[[#This Row], [ROOM]],Sheet1!$A$47:$A$66,Sheet1!$F$47:$F$66)</f>
        <v>17650000</v>
      </c>
      <c r="O796" s="9">
        <f>_xlfn.XLOOKUP(_xlfn.CONCAT(Table1[[#This Row], [TEAM]],Table1[[#This Row], [ROOM]]),'ROOM TIME'!$H$2:$H$121,'ROOM TIME'!$J$2:$J$121)</f>
        <v>36.98333333333332</v>
      </c>
      <c r="P796" s="9">
        <f>(INDEX(Sheet1!$X$48:$Z$67,MATCH(Table1[[#This Row], [ROOM]],Sheet1!$P$48:$P$67,0),MATCH(Table1[[#This Row], [WEAPON]],Sheet1!$X$47:$Z$47,0)))/Table1[[#This Row], [NUM OF MEM]]</f>
        <v>4.5</v>
      </c>
      <c r="Q796" s="9">
        <f>Table1[[#This Row], [ROOM TIME]]+Table1[[#This Row], [GUARD TIME]]</f>
        <v>41.48333333333332</v>
      </c>
      <c r="R796" s="4">
        <f>Sheet1!$K$3*_xlfn.XLOOKUP(Table1[[#This Row], [DISGUISE]],Sheet1!$A$21:$A$23,Sheet1!$D$21:$D$23)</f>
        <v>69</v>
      </c>
      <c r="S796" s="9">
        <f>Table1[[#This Row], [TOTAL TIME]]-Table1[[#This Row], [TOTAL TIME TAKEN]]</f>
        <v>27.51666666666668</v>
      </c>
      <c r="T796" t="str">
        <f>IF(Table1[[#This Row], [TIME DIFFERENCE]]&gt;=0,"PASS","FAIL")</f>
        <v>PASS</v>
      </c>
      <c r="U796" s="9">
        <f>Table1[[#This Row], [TRC]]+Table1[[#This Row], [DRC]]+Table1[[#This Row], [WRC]]+Table1[[#This Row], [ERC]]+Table1[[#This Row], [EQRC]]</f>
        <v>8000654.6249999991</v>
      </c>
      <c r="V796" s="9">
        <f>Table1[[#This Row], [TOTAL COST]]+_xlfn.XLOOKUP(Table1[[#This Row], [TEAM]],Sheet1!$A$12:$A$17,Sheet1!$I$12:$I$17)</f>
        <v>8300092.1249999991</v>
      </c>
      <c r="W796" s="9">
        <f>Table1[[#This Row], [LOOT]]-Table1[[#This Row], [TOTAL COST]]</f>
        <v>9649345.375</v>
      </c>
      <c r="X796" s="9">
        <f>IF(Table1[[#This Row], [PASS/FAIL]]="FAIL",0,Table1[[#This Row], [PROFIT]])</f>
        <v>9649345.375</v>
      </c>
    </row>
    <row r="797" spans="1:24" ht="19.5" customHeight="1" x14ac:dyDescent="0.45">
      <c r="A797" t="s">
        <v>16</v>
      </c>
      <c r="B797" s="14">
        <f>_xlfn.XLOOKUP(Table1[[#This Row], [TEAM]],Sheet1!$A$12:$A$17,Sheet1!$F$12:$F$17)</f>
        <v>2</v>
      </c>
      <c r="C797" s="14">
        <f>_xlfn.XLOOKUP(Table1[[#This Row], [TEAM]],Sheet1!$A$12:$A$17,Sheet1!$G$12:$G$17)</f>
        <v>6082800</v>
      </c>
      <c r="D797" t="s">
        <v>27</v>
      </c>
      <c r="E797" s="4">
        <f>_xlfn.XLOOKUP(Table1[[#This Row], [ROOM]],Sheet1!$A$47:$A$66,Sheet1!$B$47:$B$66)</f>
        <v>146</v>
      </c>
      <c r="F797" t="s">
        <v>62</v>
      </c>
      <c r="G797" s="4">
        <f>_xlfn.XLOOKUP(Table1[[#This Row], [DISGUISE]],Sheet1!$A$21:$A$23,Sheet1!$B$21:$B$23)*Table1[[#This Row], [NUM OF MEM]]*(1+_xlfn.XLOOKUP(Table1[[#This Row], [DISGUISE]],Sheet1!$A$21:$A$23,Sheet1!$C$21:$C$23))</f>
        <v>10400</v>
      </c>
      <c r="H797" s="13" t="s">
        <v>59</v>
      </c>
      <c r="I797" s="4">
        <f>_xlfn.XLOOKUP(Table1[[#This Row], [WEAPON]],Sheet1!$A$27:$A$29,Sheet1!$B$27:$B$29)*Table1[[#This Row], [NUM OF MEM]]*(1+_xlfn.XLOOKUP(Table1[[#This Row], [WEAPON]],Sheet1!$A$27:$A$29,Sheet1!$C$27:$C$29))</f>
        <v>91000</v>
      </c>
      <c r="J797" t="s">
        <v>60</v>
      </c>
      <c r="K797" s="9">
        <f>Table1[[#This Row], [NUM OF MEM]]*Table1[[#This Row], [TOTAL TIME TAKEN]]*_xlfn.XLOOKUP(Table1[[#This Row], [EXIT]],Sheet1!$A$70:$A$71,Sheet1!$B$70:$B$71)*(1+_xlfn.XLOOKUP(Table1[[#This Row], [EXIT]],Sheet1!$A$70:$A$71,Sheet1!$C$70:$C$71))</f>
        <v>1609355.9062499995</v>
      </c>
      <c r="L797" s="13" t="s">
        <v>65</v>
      </c>
      <c r="M797" s="4">
        <f>IF(Table1[[#This Row], [EQUIPMENT]]="YES",Sheet1!$C$44*(1+Sheet1!$D$44),0)</f>
        <v>307500</v>
      </c>
      <c r="N797" s="4">
        <f>_xlfn.XLOOKUP(Table1[[#This Row], [ROOM]],Sheet1!$A$47:$A$66,Sheet1!$F$47:$F$66)</f>
        <v>17750000</v>
      </c>
      <c r="O797" s="9">
        <f>_xlfn.XLOOKUP(_xlfn.CONCAT(Table1[[#This Row], [TEAM]],Table1[[#This Row], [ROOM]]),'ROOM TIME'!$H$2:$H$121,'ROOM TIME'!$J$2:$J$121)</f>
        <v>56.38124999999998</v>
      </c>
      <c r="P797" s="9">
        <f>(INDEX(Sheet1!$X$48:$Z$67,MATCH(Table1[[#This Row], [ROOM]],Sheet1!$P$48:$P$67,0),MATCH(Table1[[#This Row], [WEAPON]],Sheet1!$X$47:$Z$47,0)))/Table1[[#This Row], [NUM OF MEM]]</f>
        <v>6.3249999999999993</v>
      </c>
      <c r="Q797" s="9">
        <f>Table1[[#This Row], [ROOM TIME]]+Table1[[#This Row], [GUARD TIME]]</f>
        <v>62.706249999999983</v>
      </c>
      <c r="R797" s="4">
        <f>Sheet1!$K$3*_xlfn.XLOOKUP(Table1[[#This Row], [DISGUISE]],Sheet1!$A$21:$A$23,Sheet1!$D$21:$D$23)</f>
        <v>66</v>
      </c>
      <c r="S797" s="9">
        <f>Table1[[#This Row], [TOTAL TIME]]-Table1[[#This Row], [TOTAL TIME TAKEN]]</f>
        <v>3.2937500000000171</v>
      </c>
      <c r="T797" t="str">
        <f>IF(Table1[[#This Row], [TIME DIFFERENCE]]&gt;=0,"PASS","FAIL")</f>
        <v>PASS</v>
      </c>
      <c r="U797" s="9">
        <f>Table1[[#This Row], [TRC]]+Table1[[#This Row], [DRC]]+Table1[[#This Row], [WRC]]+Table1[[#This Row], [ERC]]+Table1[[#This Row], [EQRC]]</f>
        <v>8101055.90625</v>
      </c>
      <c r="V797" s="9">
        <f>Table1[[#This Row], [TOTAL COST]]+_xlfn.XLOOKUP(Table1[[#This Row], [TEAM]],Sheet1!$A$12:$A$17,Sheet1!$I$12:$I$17)</f>
        <v>8405195.90625</v>
      </c>
      <c r="W797" s="9">
        <f>Table1[[#This Row], [LOOT]]-Table1[[#This Row], [TOTAL COST]]</f>
        <v>9648944.09375</v>
      </c>
      <c r="X797" s="9">
        <f>IF(Table1[[#This Row], [PASS/FAIL]]="FAIL",0,Table1[[#This Row], [PROFIT]])</f>
        <v>9648944.09375</v>
      </c>
    </row>
    <row r="798" spans="1:24" ht="19.5" customHeight="1" x14ac:dyDescent="0.45">
      <c r="A798" t="s">
        <v>16</v>
      </c>
      <c r="B798" s="14">
        <f>_xlfn.XLOOKUP(Table1[[#This Row], [TEAM]],Sheet1!$A$12:$A$17,Sheet1!$F$12:$F$17)</f>
        <v>2</v>
      </c>
      <c r="C798" s="14">
        <f>_xlfn.XLOOKUP(Table1[[#This Row], [TEAM]],Sheet1!$A$12:$A$17,Sheet1!$G$12:$G$17)</f>
        <v>6082800</v>
      </c>
      <c r="D798" t="s">
        <v>20</v>
      </c>
      <c r="E798" s="4">
        <f>_xlfn.XLOOKUP(Table1[[#This Row], [ROOM]],Sheet1!$A$47:$A$66,Sheet1!$B$47:$B$66)</f>
        <v>145</v>
      </c>
      <c r="F798" t="s">
        <v>58</v>
      </c>
      <c r="G798" s="4">
        <f>_xlfn.XLOOKUP(Table1[[#This Row], [DISGUISE]],Sheet1!$A$21:$A$23,Sheet1!$B$21:$B$23)*Table1[[#This Row], [NUM OF MEM]]*(1+_xlfn.XLOOKUP(Table1[[#This Row], [DISGUISE]],Sheet1!$A$21:$A$23,Sheet1!$C$21:$C$23))</f>
        <v>25600</v>
      </c>
      <c r="H798" s="13" t="s">
        <v>59</v>
      </c>
      <c r="I798" s="4">
        <f>_xlfn.XLOOKUP(Table1[[#This Row], [WEAPON]],Sheet1!$A$27:$A$29,Sheet1!$B$27:$B$29)*Table1[[#This Row], [NUM OF MEM]]*(1+_xlfn.XLOOKUP(Table1[[#This Row], [WEAPON]],Sheet1!$A$27:$A$29,Sheet1!$C$27:$C$29))</f>
        <v>91000</v>
      </c>
      <c r="J798" t="s">
        <v>64</v>
      </c>
      <c r="K798" s="9">
        <f>Table1[[#This Row], [NUM OF MEM]]*Table1[[#This Row], [TOTAL TIME TAKEN]]*_xlfn.XLOOKUP(Table1[[#This Row], [EXIT]],Sheet1!$A$70:$A$71,Sheet1!$B$70:$B$71)*(1+_xlfn.XLOOKUP(Table1[[#This Row], [EXIT]],Sheet1!$A$70:$A$71,Sheet1!$C$70:$C$71))</f>
        <v>1701680.3999999994</v>
      </c>
      <c r="L798" s="13" t="s">
        <v>61</v>
      </c>
      <c r="M798" s="4">
        <f>IF(Table1[[#This Row], [EQUIPMENT]]="YES",Sheet1!$C$44*(1+Sheet1!$D$44),0)</f>
        <v>0</v>
      </c>
      <c r="N798" s="4">
        <f>_xlfn.XLOOKUP(Table1[[#This Row], [ROOM]],Sheet1!$A$47:$A$66,Sheet1!$F$47:$F$66)</f>
        <v>17550000</v>
      </c>
      <c r="O798" s="9">
        <f>_xlfn.XLOOKUP(_xlfn.CONCAT(Table1[[#This Row], [TEAM]],Table1[[#This Row], [ROOM]]),'ROOM TIME'!$H$2:$H$121,'ROOM TIME'!$J$2:$J$121)</f>
        <v>59.901249999999983</v>
      </c>
      <c r="P798" s="9">
        <f>(INDEX(Sheet1!$X$48:$Z$67,MATCH(Table1[[#This Row], [ROOM]],Sheet1!$P$48:$P$67,0),MATCH(Table1[[#This Row], [WEAPON]],Sheet1!$X$47:$Z$47,0)))/Table1[[#This Row], [NUM OF MEM]]</f>
        <v>5.75</v>
      </c>
      <c r="Q798" s="9">
        <f>Table1[[#This Row], [ROOM TIME]]+Table1[[#This Row], [GUARD TIME]]</f>
        <v>65.651249999999976</v>
      </c>
      <c r="R798" s="4">
        <f>Sheet1!$K$3*_xlfn.XLOOKUP(Table1[[#This Row], [DISGUISE]],Sheet1!$A$21:$A$23,Sheet1!$D$21:$D$23)</f>
        <v>69</v>
      </c>
      <c r="S798" s="9">
        <f>Table1[[#This Row], [TOTAL TIME]]-Table1[[#This Row], [TOTAL TIME TAKEN]]</f>
        <v>3.3487500000000239</v>
      </c>
      <c r="T798" t="str">
        <f>IF(Table1[[#This Row], [TIME DIFFERENCE]]&gt;=0,"PASS","FAIL")</f>
        <v>PASS</v>
      </c>
      <c r="U798" s="9">
        <f>Table1[[#This Row], [TRC]]+Table1[[#This Row], [DRC]]+Table1[[#This Row], [WRC]]+Table1[[#This Row], [ERC]]+Table1[[#This Row], [EQRC]]</f>
        <v>7901080.3999999994</v>
      </c>
      <c r="V798" s="9">
        <f>Table1[[#This Row], [TOTAL COST]]+_xlfn.XLOOKUP(Table1[[#This Row], [TEAM]],Sheet1!$A$12:$A$17,Sheet1!$I$12:$I$17)</f>
        <v>8205220.3999999994</v>
      </c>
      <c r="W798" s="9">
        <f>Table1[[#This Row], [LOOT]]-Table1[[#This Row], [TOTAL COST]]</f>
        <v>9648919.6000000015</v>
      </c>
      <c r="X798" s="9">
        <f>IF(Table1[[#This Row], [PASS/FAIL]]="FAIL",0,Table1[[#This Row], [PROFIT]])</f>
        <v>9648919.6000000015</v>
      </c>
    </row>
    <row r="799" spans="1:24" ht="19.5" customHeight="1" x14ac:dyDescent="0.45">
      <c r="A799" t="s">
        <v>15</v>
      </c>
      <c r="B799" s="14">
        <f>_xlfn.XLOOKUP(Table1[[#This Row], [TEAM]],Sheet1!$A$12:$A$17,Sheet1!$F$12:$F$17)</f>
        <v>2</v>
      </c>
      <c r="C799" s="14">
        <f>_xlfn.XLOOKUP(Table1[[#This Row], [TEAM]],Sheet1!$A$12:$A$17,Sheet1!$G$12:$G$17)</f>
        <v>5932950</v>
      </c>
      <c r="D799" t="s">
        <v>11</v>
      </c>
      <c r="E799" s="4">
        <f>_xlfn.XLOOKUP(Table1[[#This Row], [ROOM]],Sheet1!$A$47:$A$66,Sheet1!$B$47:$B$66)</f>
        <v>124</v>
      </c>
      <c r="F799" t="s">
        <v>58</v>
      </c>
      <c r="G799" s="4">
        <f>_xlfn.XLOOKUP(Table1[[#This Row], [DISGUISE]],Sheet1!$A$21:$A$23,Sheet1!$B$21:$B$23)*Table1[[#This Row], [NUM OF MEM]]*(1+_xlfn.XLOOKUP(Table1[[#This Row], [DISGUISE]],Sheet1!$A$21:$A$23,Sheet1!$C$21:$C$23))</f>
        <v>25600</v>
      </c>
      <c r="H799" s="13" t="s">
        <v>59</v>
      </c>
      <c r="I799" s="4">
        <f>_xlfn.XLOOKUP(Table1[[#This Row], [WEAPON]],Sheet1!$A$27:$A$29,Sheet1!$B$27:$B$29)*Table1[[#This Row], [NUM OF MEM]]*(1+_xlfn.XLOOKUP(Table1[[#This Row], [WEAPON]],Sheet1!$A$27:$A$29,Sheet1!$C$27:$C$29))</f>
        <v>91000</v>
      </c>
      <c r="J799" t="s">
        <v>64</v>
      </c>
      <c r="K799" s="9">
        <f>Table1[[#This Row], [NUM OF MEM]]*Table1[[#This Row], [TOTAL TIME TAKEN]]*_xlfn.XLOOKUP(Table1[[#This Row], [EXIT]],Sheet1!$A$70:$A$71,Sheet1!$B$70:$B$71)*(1+_xlfn.XLOOKUP(Table1[[#This Row], [EXIT]],Sheet1!$A$70:$A$71,Sheet1!$C$70:$C$71))</f>
        <v>1752094.7999999993</v>
      </c>
      <c r="L799" s="13" t="s">
        <v>61</v>
      </c>
      <c r="M799" s="4">
        <f>IF(Table1[[#This Row], [EQUIPMENT]]="YES",Sheet1!$C$44*(1+Sheet1!$D$44),0)</f>
        <v>0</v>
      </c>
      <c r="N799" s="4">
        <f>_xlfn.XLOOKUP(Table1[[#This Row], [ROOM]],Sheet1!$A$47:$A$66,Sheet1!$F$47:$F$66)</f>
        <v>17450000</v>
      </c>
      <c r="O799" s="9">
        <f>_xlfn.XLOOKUP(_xlfn.CONCAT(Table1[[#This Row], [TEAM]],Table1[[#This Row], [ROOM]]),'ROOM TIME'!$H$2:$H$121,'ROOM TIME'!$J$2:$J$121)</f>
        <v>61.271249999999981</v>
      </c>
      <c r="P799" s="9">
        <f>(INDEX(Sheet1!$X$48:$Z$67,MATCH(Table1[[#This Row], [ROOM]],Sheet1!$P$48:$P$67,0),MATCH(Table1[[#This Row], [WEAPON]],Sheet1!$X$47:$Z$47,0)))/Table1[[#This Row], [NUM OF MEM]]</f>
        <v>6.3249999999999993</v>
      </c>
      <c r="Q799" s="9">
        <f>Table1[[#This Row], [ROOM TIME]]+Table1[[#This Row], [GUARD TIME]]</f>
        <v>67.596249999999984</v>
      </c>
      <c r="R799" s="4">
        <f>Sheet1!$K$3*_xlfn.XLOOKUP(Table1[[#This Row], [DISGUISE]],Sheet1!$A$21:$A$23,Sheet1!$D$21:$D$23)</f>
        <v>69</v>
      </c>
      <c r="S799" s="9">
        <f>Table1[[#This Row], [TOTAL TIME]]-Table1[[#This Row], [TOTAL TIME TAKEN]]</f>
        <v>1.4037500000000165</v>
      </c>
      <c r="T799" t="str">
        <f>IF(Table1[[#This Row], [TIME DIFFERENCE]]&gt;=0,"PASS","FAIL")</f>
        <v>PASS</v>
      </c>
      <c r="U799" s="9">
        <f>Table1[[#This Row], [TRC]]+Table1[[#This Row], [DRC]]+Table1[[#This Row], [WRC]]+Table1[[#This Row], [ERC]]+Table1[[#This Row], [EQRC]]</f>
        <v>7801644.7999999989</v>
      </c>
      <c r="V799" s="9">
        <f>Table1[[#This Row], [TOTAL COST]]+_xlfn.XLOOKUP(Table1[[#This Row], [TEAM]],Sheet1!$A$12:$A$17,Sheet1!$I$12:$I$17)</f>
        <v>8098292.2999999989</v>
      </c>
      <c r="W799" s="9">
        <f>Table1[[#This Row], [LOOT]]-Table1[[#This Row], [TOTAL COST]]</f>
        <v>9648355.2000000011</v>
      </c>
      <c r="X799" s="9">
        <f>IF(Table1[[#This Row], [PASS/FAIL]]="FAIL",0,Table1[[#This Row], [PROFIT]])</f>
        <v>9648355.2000000011</v>
      </c>
    </row>
    <row r="800" spans="1:24" ht="19.5" customHeight="1" x14ac:dyDescent="0.45">
      <c r="A800" t="s">
        <v>9</v>
      </c>
      <c r="B800" s="14">
        <f>_xlfn.XLOOKUP(Table1[[#This Row], [TEAM]],Sheet1!$A$12:$A$17,Sheet1!$F$12:$F$17)</f>
        <v>3</v>
      </c>
      <c r="C800" s="14">
        <f>_xlfn.XLOOKUP(Table1[[#This Row], [TEAM]],Sheet1!$A$12:$A$17,Sheet1!$G$12:$G$17)</f>
        <v>6238750</v>
      </c>
      <c r="D800" t="s">
        <v>24</v>
      </c>
      <c r="E800" s="4">
        <f>_xlfn.XLOOKUP(Table1[[#This Row], [ROOM]],Sheet1!$A$47:$A$66,Sheet1!$B$47:$B$66)</f>
        <v>345</v>
      </c>
      <c r="F800" t="s">
        <v>58</v>
      </c>
      <c r="G800" s="4">
        <f>_xlfn.XLOOKUP(Table1[[#This Row], [DISGUISE]],Sheet1!$A$21:$A$23,Sheet1!$B$21:$B$23)*Table1[[#This Row], [NUM OF MEM]]*(1+_xlfn.XLOOKUP(Table1[[#This Row], [DISGUISE]],Sheet1!$A$21:$A$23,Sheet1!$C$21:$C$23))</f>
        <v>38400</v>
      </c>
      <c r="H800" s="13" t="s">
        <v>63</v>
      </c>
      <c r="I800" s="4">
        <f>_xlfn.XLOOKUP(Table1[[#This Row], [WEAPON]],Sheet1!$A$27:$A$29,Sheet1!$B$27:$B$29)*Table1[[#This Row], [NUM OF MEM]]*(1+_xlfn.XLOOKUP(Table1[[#This Row], [WEAPON]],Sheet1!$A$27:$A$29,Sheet1!$C$27:$C$29))</f>
        <v>69000</v>
      </c>
      <c r="J800" t="s">
        <v>60</v>
      </c>
      <c r="K800" s="9">
        <f>Table1[[#This Row], [NUM OF MEM]]*Table1[[#This Row], [TOTAL TIME TAKEN]]*_xlfn.XLOOKUP(Table1[[#This Row], [EXIT]],Sheet1!$A$70:$A$71,Sheet1!$B$70:$B$71)*(1+_xlfn.XLOOKUP(Table1[[#This Row], [EXIT]],Sheet1!$A$70:$A$71,Sheet1!$C$70:$C$71))</f>
        <v>1698210.2749999997</v>
      </c>
      <c r="L800" s="13" t="s">
        <v>65</v>
      </c>
      <c r="M800" s="4">
        <f>IF(Table1[[#This Row], [EQUIPMENT]]="YES",Sheet1!$C$44*(1+Sheet1!$D$44),0)</f>
        <v>307500</v>
      </c>
      <c r="N800" s="4">
        <f>_xlfn.XLOOKUP(Table1[[#This Row], [ROOM]],Sheet1!$A$47:$A$66,Sheet1!$F$47:$F$66)</f>
        <v>18000000</v>
      </c>
      <c r="O800" s="9">
        <f>_xlfn.XLOOKUP(_xlfn.CONCAT(Table1[[#This Row], [TEAM]],Table1[[#This Row], [ROOM]]),'ROOM TIME'!$H$2:$H$121,'ROOM TIME'!$J$2:$J$121)</f>
        <v>38.712222222222216</v>
      </c>
      <c r="P800" s="9">
        <f>(INDEX(Sheet1!$X$48:$Z$67,MATCH(Table1[[#This Row], [ROOM]],Sheet1!$P$48:$P$67,0),MATCH(Table1[[#This Row], [WEAPON]],Sheet1!$X$47:$Z$47,0)))/Table1[[#This Row], [NUM OF MEM]]</f>
        <v>5.4000000000000012</v>
      </c>
      <c r="Q800" s="9">
        <f>Table1[[#This Row], [ROOM TIME]]+Table1[[#This Row], [GUARD TIME]]</f>
        <v>44.112222222222215</v>
      </c>
      <c r="R800" s="4">
        <f>Sheet1!$K$3*_xlfn.XLOOKUP(Table1[[#This Row], [DISGUISE]],Sheet1!$A$21:$A$23,Sheet1!$D$21:$D$23)</f>
        <v>69</v>
      </c>
      <c r="S800" s="9">
        <f>Table1[[#This Row], [TOTAL TIME]]-Table1[[#This Row], [TOTAL TIME TAKEN]]</f>
        <v>24.887777777777785</v>
      </c>
      <c r="T800" t="str">
        <f>IF(Table1[[#This Row], [TIME DIFFERENCE]]&gt;=0,"PASS","FAIL")</f>
        <v>PASS</v>
      </c>
      <c r="U800" s="9">
        <f>Table1[[#This Row], [TRC]]+Table1[[#This Row], [DRC]]+Table1[[#This Row], [WRC]]+Table1[[#This Row], [ERC]]+Table1[[#This Row], [EQRC]]</f>
        <v>8351860.2749999994</v>
      </c>
      <c r="V800" s="9">
        <f>Table1[[#This Row], [TOTAL COST]]+_xlfn.XLOOKUP(Table1[[#This Row], [TEAM]],Sheet1!$A$12:$A$17,Sheet1!$I$12:$I$17)</f>
        <v>8663797.7749999985</v>
      </c>
      <c r="W800" s="9">
        <f>Table1[[#This Row], [LOOT]]-Table1[[#This Row], [TOTAL COST]]</f>
        <v>9648139.7250000015</v>
      </c>
      <c r="X800" s="9">
        <f>IF(Table1[[#This Row], [PASS/FAIL]]="FAIL",0,Table1[[#This Row], [PROFIT]])</f>
        <v>9648139.7250000015</v>
      </c>
    </row>
    <row r="801" spans="1:24" ht="19.5" customHeight="1" x14ac:dyDescent="0.45">
      <c r="A801" t="s">
        <v>15</v>
      </c>
      <c r="B801" s="14">
        <f>_xlfn.XLOOKUP(Table1[[#This Row], [TEAM]],Sheet1!$A$12:$A$17,Sheet1!$F$12:$F$17)</f>
        <v>2</v>
      </c>
      <c r="C801" s="14">
        <f>_xlfn.XLOOKUP(Table1[[#This Row], [TEAM]],Sheet1!$A$12:$A$17,Sheet1!$G$12:$G$17)</f>
        <v>5932950</v>
      </c>
      <c r="D801" t="s">
        <v>23</v>
      </c>
      <c r="E801" s="4">
        <f>_xlfn.XLOOKUP(Table1[[#This Row], [ROOM]],Sheet1!$A$47:$A$66,Sheet1!$B$47:$B$66)</f>
        <v>245</v>
      </c>
      <c r="F801" t="s">
        <v>58</v>
      </c>
      <c r="G801" s="4">
        <f>_xlfn.XLOOKUP(Table1[[#This Row], [DISGUISE]],Sheet1!$A$21:$A$23,Sheet1!$B$21:$B$23)*Table1[[#This Row], [NUM OF MEM]]*(1+_xlfn.XLOOKUP(Table1[[#This Row], [DISGUISE]],Sheet1!$A$21:$A$23,Sheet1!$C$21:$C$23))</f>
        <v>25600</v>
      </c>
      <c r="H801" s="13" t="s">
        <v>66</v>
      </c>
      <c r="I801" s="4">
        <f>_xlfn.XLOOKUP(Table1[[#This Row], [WEAPON]],Sheet1!$A$27:$A$29,Sheet1!$B$27:$B$29)*Table1[[#This Row], [NUM OF MEM]]*(1+_xlfn.XLOOKUP(Table1[[#This Row], [WEAPON]],Sheet1!$A$27:$A$29,Sheet1!$C$27:$C$29))</f>
        <v>72000</v>
      </c>
      <c r="J801" t="s">
        <v>60</v>
      </c>
      <c r="K801" s="9">
        <f>Table1[[#This Row], [NUM OF MEM]]*Table1[[#This Row], [TOTAL TIME TAKEN]]*_xlfn.XLOOKUP(Table1[[#This Row], [EXIT]],Sheet1!$A$70:$A$71,Sheet1!$B$70:$B$71)*(1+_xlfn.XLOOKUP(Table1[[#This Row], [EXIT]],Sheet1!$A$70:$A$71,Sheet1!$C$70:$C$71))</f>
        <v>1721447.7937499997</v>
      </c>
      <c r="L801" s="13" t="s">
        <v>61</v>
      </c>
      <c r="M801" s="4">
        <f>IF(Table1[[#This Row], [EQUIPMENT]]="YES",Sheet1!$C$44*(1+Sheet1!$D$44),0)</f>
        <v>0</v>
      </c>
      <c r="N801" s="4">
        <f>_xlfn.XLOOKUP(Table1[[#This Row], [ROOM]],Sheet1!$A$47:$A$66,Sheet1!$F$47:$F$66)</f>
        <v>17400000</v>
      </c>
      <c r="O801" s="9">
        <f>_xlfn.XLOOKUP(_xlfn.CONCAT(Table1[[#This Row], [TEAM]],Table1[[#This Row], [ROOM]]),'ROOM TIME'!$H$2:$H$121,'ROOM TIME'!$J$2:$J$121)</f>
        <v>60.198749999999983</v>
      </c>
      <c r="P801" s="9">
        <f>(INDEX(Sheet1!$X$48:$Z$67,MATCH(Table1[[#This Row], [ROOM]],Sheet1!$P$48:$P$67,0),MATCH(Table1[[#This Row], [WEAPON]],Sheet1!$X$47:$Z$47,0)))/Table1[[#This Row], [NUM OF MEM]]</f>
        <v>6.875</v>
      </c>
      <c r="Q801" s="9">
        <f>Table1[[#This Row], [ROOM TIME]]+Table1[[#This Row], [GUARD TIME]]</f>
        <v>67.07374999999999</v>
      </c>
      <c r="R801" s="4">
        <f>Sheet1!$K$3*_xlfn.XLOOKUP(Table1[[#This Row], [DISGUISE]],Sheet1!$A$21:$A$23,Sheet1!$D$21:$D$23)</f>
        <v>69</v>
      </c>
      <c r="S801" s="9">
        <f>Table1[[#This Row], [TOTAL TIME]]-Table1[[#This Row], [TOTAL TIME TAKEN]]</f>
        <v>1.9262500000000102</v>
      </c>
      <c r="T801" t="str">
        <f>IF(Table1[[#This Row], [TIME DIFFERENCE]]&gt;=0,"PASS","FAIL")</f>
        <v>PASS</v>
      </c>
      <c r="U801" s="9">
        <f>Table1[[#This Row], [TRC]]+Table1[[#This Row], [DRC]]+Table1[[#This Row], [WRC]]+Table1[[#This Row], [ERC]]+Table1[[#This Row], [EQRC]]</f>
        <v>7751997.7937499993</v>
      </c>
      <c r="V801" s="9">
        <f>Table1[[#This Row], [TOTAL COST]]+_xlfn.XLOOKUP(Table1[[#This Row], [TEAM]],Sheet1!$A$12:$A$17,Sheet1!$I$12:$I$17)</f>
        <v>8048645.2937499993</v>
      </c>
      <c r="W801" s="9">
        <f>Table1[[#This Row], [LOOT]]-Table1[[#This Row], [TOTAL COST]]</f>
        <v>9648002.2062500007</v>
      </c>
      <c r="X801" s="9">
        <f>IF(Table1[[#This Row], [PASS/FAIL]]="FAIL",0,Table1[[#This Row], [PROFIT]])</f>
        <v>9648002.2062500007</v>
      </c>
    </row>
    <row r="802" spans="1:24" ht="19.5" customHeight="1" x14ac:dyDescent="0.45">
      <c r="A802" t="s">
        <v>9</v>
      </c>
      <c r="B802" s="14">
        <f>_xlfn.XLOOKUP(Table1[[#This Row], [TEAM]],Sheet1!$A$12:$A$17,Sheet1!$F$12:$F$17)</f>
        <v>3</v>
      </c>
      <c r="C802" s="14">
        <f>_xlfn.XLOOKUP(Table1[[#This Row], [TEAM]],Sheet1!$A$12:$A$17,Sheet1!$G$12:$G$17)</f>
        <v>6238750</v>
      </c>
      <c r="D802" t="s">
        <v>24</v>
      </c>
      <c r="E802" s="4">
        <f>_xlfn.XLOOKUP(Table1[[#This Row], [ROOM]],Sheet1!$A$47:$A$66,Sheet1!$B$47:$B$66)</f>
        <v>345</v>
      </c>
      <c r="F802" t="s">
        <v>62</v>
      </c>
      <c r="G802" s="4">
        <f>_xlfn.XLOOKUP(Table1[[#This Row], [DISGUISE]],Sheet1!$A$21:$A$23,Sheet1!$B$21:$B$23)*Table1[[#This Row], [NUM OF MEM]]*(1+_xlfn.XLOOKUP(Table1[[#This Row], [DISGUISE]],Sheet1!$A$21:$A$23,Sheet1!$C$21:$C$23))</f>
        <v>15600</v>
      </c>
      <c r="H802" s="13" t="s">
        <v>66</v>
      </c>
      <c r="I802" s="4">
        <f>_xlfn.XLOOKUP(Table1[[#This Row], [WEAPON]],Sheet1!$A$27:$A$29,Sheet1!$B$27:$B$29)*Table1[[#This Row], [NUM OF MEM]]*(1+_xlfn.XLOOKUP(Table1[[#This Row], [WEAPON]],Sheet1!$A$27:$A$29,Sheet1!$C$27:$C$29))</f>
        <v>108000</v>
      </c>
      <c r="J802" t="s">
        <v>60</v>
      </c>
      <c r="K802" s="9">
        <f>Table1[[#This Row], [NUM OF MEM]]*Table1[[#This Row], [TOTAL TIME TAKEN]]*_xlfn.XLOOKUP(Table1[[#This Row], [EXIT]],Sheet1!$A$70:$A$71,Sheet1!$B$70:$B$71)*(1+_xlfn.XLOOKUP(Table1[[#This Row], [EXIT]],Sheet1!$A$70:$A$71,Sheet1!$C$70:$C$71))</f>
        <v>1682811.2749999999</v>
      </c>
      <c r="L802" s="13" t="s">
        <v>65</v>
      </c>
      <c r="M802" s="4">
        <f>IF(Table1[[#This Row], [EQUIPMENT]]="YES",Sheet1!$C$44*(1+Sheet1!$D$44),0)</f>
        <v>307500</v>
      </c>
      <c r="N802" s="4">
        <f>_xlfn.XLOOKUP(Table1[[#This Row], [ROOM]],Sheet1!$A$47:$A$66,Sheet1!$F$47:$F$66)</f>
        <v>18000000</v>
      </c>
      <c r="O802" s="9">
        <f>_xlfn.XLOOKUP(_xlfn.CONCAT(Table1[[#This Row], [TEAM]],Table1[[#This Row], [ROOM]]),'ROOM TIME'!$H$2:$H$121,'ROOM TIME'!$J$2:$J$121)</f>
        <v>38.712222222222216</v>
      </c>
      <c r="P802" s="4">
        <f>(INDEX(Sheet1!$X$48:$Z$67,MATCH(Table1[[#This Row], [ROOM]],Sheet1!$P$48:$P$67,0),MATCH(Table1[[#This Row], [WEAPON]],Sheet1!$X$47:$Z$47,0)))/Table1[[#This Row], [NUM OF MEM]]</f>
        <v>5</v>
      </c>
      <c r="Q802" s="9">
        <f>Table1[[#This Row], [ROOM TIME]]+Table1[[#This Row], [GUARD TIME]]</f>
        <v>43.712222222222216</v>
      </c>
      <c r="R802" s="4">
        <f>Sheet1!$K$3*_xlfn.XLOOKUP(Table1[[#This Row], [DISGUISE]],Sheet1!$A$21:$A$23,Sheet1!$D$21:$D$23)</f>
        <v>66</v>
      </c>
      <c r="S802" s="9">
        <f>Table1[[#This Row], [TOTAL TIME]]-Table1[[#This Row], [TOTAL TIME TAKEN]]</f>
        <v>22.287777777777784</v>
      </c>
      <c r="T802" t="str">
        <f>IF(Table1[[#This Row], [TIME DIFFERENCE]]&gt;=0,"PASS","FAIL")</f>
        <v>PASS</v>
      </c>
      <c r="U802" s="9">
        <f>Table1[[#This Row], [TRC]]+Table1[[#This Row], [DRC]]+Table1[[#This Row], [WRC]]+Table1[[#This Row], [ERC]]+Table1[[#This Row], [EQRC]]</f>
        <v>8352661.2750000004</v>
      </c>
      <c r="V802" s="9">
        <f>Table1[[#This Row], [TOTAL COST]]+_xlfn.XLOOKUP(Table1[[#This Row], [TEAM]],Sheet1!$A$12:$A$17,Sheet1!$I$12:$I$17)</f>
        <v>8664598.7750000004</v>
      </c>
      <c r="W802" s="9">
        <f>Table1[[#This Row], [LOOT]]-Table1[[#This Row], [TOTAL COST]]</f>
        <v>9647338.7249999996</v>
      </c>
      <c r="X802" s="9">
        <f>IF(Table1[[#This Row], [PASS/FAIL]]="FAIL",0,Table1[[#This Row], [PROFIT]])</f>
        <v>9647338.7249999996</v>
      </c>
    </row>
    <row r="803" spans="1:24" ht="19.5" customHeight="1" x14ac:dyDescent="0.45">
      <c r="A803" t="s">
        <v>13</v>
      </c>
      <c r="B803" s="14">
        <f>_xlfn.XLOOKUP(Table1[[#This Row], [TEAM]],Sheet1!$A$12:$A$17,Sheet1!$F$12:$F$17)</f>
        <v>3</v>
      </c>
      <c r="C803" s="14">
        <f>_xlfn.XLOOKUP(Table1[[#This Row], [TEAM]],Sheet1!$A$12:$A$17,Sheet1!$G$12:$G$17)</f>
        <v>5930000</v>
      </c>
      <c r="D803" t="s">
        <v>34</v>
      </c>
      <c r="E803" s="4">
        <f>_xlfn.XLOOKUP(Table1[[#This Row], [ROOM]],Sheet1!$A$47:$A$66,Sheet1!$B$47:$B$66)</f>
        <v>456</v>
      </c>
      <c r="F803" t="s">
        <v>62</v>
      </c>
      <c r="G803" s="4">
        <f>_xlfn.XLOOKUP(Table1[[#This Row], [DISGUISE]],Sheet1!$A$21:$A$23,Sheet1!$B$21:$B$23)*Table1[[#This Row], [NUM OF MEM]]*(1+_xlfn.XLOOKUP(Table1[[#This Row], [DISGUISE]],Sheet1!$A$21:$A$23,Sheet1!$C$21:$C$23))</f>
        <v>15600</v>
      </c>
      <c r="H803" s="13" t="s">
        <v>59</v>
      </c>
      <c r="I803" s="4">
        <f>_xlfn.XLOOKUP(Table1[[#This Row], [WEAPON]],Sheet1!$A$27:$A$29,Sheet1!$B$27:$B$29)*Table1[[#This Row], [NUM OF MEM]]*(1+_xlfn.XLOOKUP(Table1[[#This Row], [WEAPON]],Sheet1!$A$27:$A$29,Sheet1!$C$27:$C$29))</f>
        <v>136500</v>
      </c>
      <c r="J803" t="s">
        <v>64</v>
      </c>
      <c r="K803" s="9">
        <f>Table1[[#This Row], [NUM OF MEM]]*Table1[[#This Row], [TOTAL TIME TAKEN]]*_xlfn.XLOOKUP(Table1[[#This Row], [EXIT]],Sheet1!$A$70:$A$71,Sheet1!$B$70:$B$71)*(1+_xlfn.XLOOKUP(Table1[[#This Row], [EXIT]],Sheet1!$A$70:$A$71,Sheet1!$C$70:$C$71))</f>
        <v>1663696.7999999996</v>
      </c>
      <c r="L803" s="13" t="s">
        <v>65</v>
      </c>
      <c r="M803" s="4">
        <f>IF(Table1[[#This Row], [EQUIPMENT]]="YES",Sheet1!$C$44*(1+Sheet1!$D$44),0)</f>
        <v>307500</v>
      </c>
      <c r="N803" s="4">
        <f>_xlfn.XLOOKUP(Table1[[#This Row], [ROOM]],Sheet1!$A$47:$A$66,Sheet1!$F$47:$F$66)</f>
        <v>17700000</v>
      </c>
      <c r="O803" s="9">
        <f>_xlfn.XLOOKUP(_xlfn.CONCAT(Table1[[#This Row], [TEAM]],Table1[[#This Row], [ROOM]]),'ROOM TIME'!$H$2:$H$121,'ROOM TIME'!$J$2:$J$121)</f>
        <v>38.573888888888881</v>
      </c>
      <c r="P803" s="9">
        <f>(INDEX(Sheet1!$X$48:$Z$67,MATCH(Table1[[#This Row], [ROOM]],Sheet1!$P$48:$P$67,0),MATCH(Table1[[#This Row], [WEAPON]],Sheet1!$X$47:$Z$47,0)))/Table1[[#This Row], [NUM OF MEM]]</f>
        <v>4.2166666666666659</v>
      </c>
      <c r="Q803" s="9">
        <f>Table1[[#This Row], [ROOM TIME]]+Table1[[#This Row], [GUARD TIME]]</f>
        <v>42.790555555555549</v>
      </c>
      <c r="R803" s="4">
        <f>Sheet1!$K$3*_xlfn.XLOOKUP(Table1[[#This Row], [DISGUISE]],Sheet1!$A$21:$A$23,Sheet1!$D$21:$D$23)</f>
        <v>66</v>
      </c>
      <c r="S803" s="9">
        <f>Table1[[#This Row], [TOTAL TIME]]-Table1[[#This Row], [TOTAL TIME TAKEN]]</f>
        <v>23.209444444444451</v>
      </c>
      <c r="T803" t="str">
        <f>IF(Table1[[#This Row], [TIME DIFFERENCE]]&gt;=0,"PASS","FAIL")</f>
        <v>PASS</v>
      </c>
      <c r="U803" s="9">
        <f>Table1[[#This Row], [TRC]]+Table1[[#This Row], [DRC]]+Table1[[#This Row], [WRC]]+Table1[[#This Row], [ERC]]+Table1[[#This Row], [EQRC]]</f>
        <v>8053296.7999999998</v>
      </c>
      <c r="V803" s="9">
        <f>Table1[[#This Row], [TOTAL COST]]+_xlfn.XLOOKUP(Table1[[#This Row], [TEAM]],Sheet1!$A$12:$A$17,Sheet1!$I$12:$I$17)</f>
        <v>8349796.7999999998</v>
      </c>
      <c r="W803" s="9">
        <f>Table1[[#This Row], [LOOT]]-Table1[[#This Row], [TOTAL COST]]</f>
        <v>9646703.1999999993</v>
      </c>
      <c r="X803" s="9">
        <f>IF(Table1[[#This Row], [PASS/FAIL]]="FAIL",0,Table1[[#This Row], [PROFIT]])</f>
        <v>9646703.1999999993</v>
      </c>
    </row>
    <row r="804" spans="1:24" ht="19.5" customHeight="1" x14ac:dyDescent="0.45">
      <c r="A804" t="s">
        <v>9</v>
      </c>
      <c r="B804" s="14">
        <f>_xlfn.XLOOKUP(Table1[[#This Row], [TEAM]],Sheet1!$A$12:$A$17,Sheet1!$F$12:$F$17)</f>
        <v>3</v>
      </c>
      <c r="C804" s="14">
        <f>_xlfn.XLOOKUP(Table1[[#This Row], [TEAM]],Sheet1!$A$12:$A$17,Sheet1!$G$12:$G$17)</f>
        <v>6238750</v>
      </c>
      <c r="D804" t="s">
        <v>18</v>
      </c>
      <c r="E804" s="4">
        <f>_xlfn.XLOOKUP(Table1[[#This Row], [ROOM]],Sheet1!$A$47:$A$66,Sheet1!$B$47:$B$66)</f>
        <v>134</v>
      </c>
      <c r="F804" t="s">
        <v>58</v>
      </c>
      <c r="G804" s="4">
        <f>_xlfn.XLOOKUP(Table1[[#This Row], [DISGUISE]],Sheet1!$A$21:$A$23,Sheet1!$B$21:$B$23)*Table1[[#This Row], [NUM OF MEM]]*(1+_xlfn.XLOOKUP(Table1[[#This Row], [DISGUISE]],Sheet1!$A$21:$A$23,Sheet1!$C$21:$C$23))</f>
        <v>38400</v>
      </c>
      <c r="H804" s="13" t="s">
        <v>66</v>
      </c>
      <c r="I804" s="4">
        <f>_xlfn.XLOOKUP(Table1[[#This Row], [WEAPON]],Sheet1!$A$27:$A$29,Sheet1!$B$27:$B$29)*Table1[[#This Row], [NUM OF MEM]]*(1+_xlfn.XLOOKUP(Table1[[#This Row], [WEAPON]],Sheet1!$A$27:$A$29,Sheet1!$C$27:$C$29))</f>
        <v>108000</v>
      </c>
      <c r="J804" t="s">
        <v>64</v>
      </c>
      <c r="K804" s="9">
        <f>Table1[[#This Row], [NUM OF MEM]]*Table1[[#This Row], [TOTAL TIME TAKEN]]*_xlfn.XLOOKUP(Table1[[#This Row], [EXIT]],Sheet1!$A$70:$A$71,Sheet1!$B$70:$B$71)*(1+_xlfn.XLOOKUP(Table1[[#This Row], [EXIT]],Sheet1!$A$70:$A$71,Sheet1!$C$70:$C$71))</f>
        <v>1710871.2</v>
      </c>
      <c r="L804" s="13" t="s">
        <v>65</v>
      </c>
      <c r="M804" s="4">
        <f>IF(Table1[[#This Row], [EQUIPMENT]]="YES",Sheet1!$C$44*(1+Sheet1!$D$44),0)</f>
        <v>307500</v>
      </c>
      <c r="N804" s="4">
        <f>_xlfn.XLOOKUP(Table1[[#This Row], [ROOM]],Sheet1!$A$47:$A$66,Sheet1!$F$47:$F$66)</f>
        <v>18050000</v>
      </c>
      <c r="O804" s="9">
        <f>_xlfn.XLOOKUP(_xlfn.CONCAT(Table1[[#This Row], [TEAM]],Table1[[#This Row], [ROOM]]),'ROOM TIME'!$H$2:$H$121,'ROOM TIME'!$J$2:$J$121)</f>
        <v>39.003888888888881</v>
      </c>
      <c r="P804" s="4">
        <f>(INDEX(Sheet1!$X$48:$Z$67,MATCH(Table1[[#This Row], [ROOM]],Sheet1!$P$48:$P$67,0),MATCH(Table1[[#This Row], [WEAPON]],Sheet1!$X$47:$Z$47,0)))/Table1[[#This Row], [NUM OF MEM]]</f>
        <v>5</v>
      </c>
      <c r="Q804" s="9">
        <f>Table1[[#This Row], [ROOM TIME]]+Table1[[#This Row], [GUARD TIME]]</f>
        <v>44.003888888888881</v>
      </c>
      <c r="R804" s="4">
        <f>Sheet1!$K$3*_xlfn.XLOOKUP(Table1[[#This Row], [DISGUISE]],Sheet1!$A$21:$A$23,Sheet1!$D$21:$D$23)</f>
        <v>69</v>
      </c>
      <c r="S804" s="9">
        <f>Table1[[#This Row], [TOTAL TIME]]-Table1[[#This Row], [TOTAL TIME TAKEN]]</f>
        <v>24.996111111111119</v>
      </c>
      <c r="T804" t="str">
        <f>IF(Table1[[#This Row], [TIME DIFFERENCE]]&gt;=0,"PASS","FAIL")</f>
        <v>PASS</v>
      </c>
      <c r="U804" s="9">
        <f>Table1[[#This Row], [TRC]]+Table1[[#This Row], [DRC]]+Table1[[#This Row], [WRC]]+Table1[[#This Row], [ERC]]+Table1[[#This Row], [EQRC]]</f>
        <v>8403521.1999999993</v>
      </c>
      <c r="V804" s="9">
        <f>Table1[[#This Row], [TOTAL COST]]+_xlfn.XLOOKUP(Table1[[#This Row], [TEAM]],Sheet1!$A$12:$A$17,Sheet1!$I$12:$I$17)</f>
        <v>8715458.6999999993</v>
      </c>
      <c r="W804" s="9">
        <f>Table1[[#This Row], [LOOT]]-Table1[[#This Row], [TOTAL COST]]</f>
        <v>9646478.8000000007</v>
      </c>
      <c r="X804" s="9">
        <f>IF(Table1[[#This Row], [PASS/FAIL]]="FAIL",0,Table1[[#This Row], [PROFIT]])</f>
        <v>9646478.8000000007</v>
      </c>
    </row>
    <row r="805" spans="1:24" ht="19.5" customHeight="1" x14ac:dyDescent="0.45">
      <c r="A805" t="s">
        <v>12</v>
      </c>
      <c r="B805" s="14">
        <f>_xlfn.XLOOKUP(Table1[[#This Row], [TEAM]],Sheet1!$A$12:$A$17,Sheet1!$F$12:$F$17)</f>
        <v>3</v>
      </c>
      <c r="C805" s="14">
        <f>_xlfn.XLOOKUP(Table1[[#This Row], [TEAM]],Sheet1!$A$12:$A$17,Sheet1!$G$12:$G$17)</f>
        <v>5988750</v>
      </c>
      <c r="D805" t="s">
        <v>21</v>
      </c>
      <c r="E805" s="4">
        <f>_xlfn.XLOOKUP(Table1[[#This Row], [ROOM]],Sheet1!$A$47:$A$66,Sheet1!$B$47:$B$66)</f>
        <v>234</v>
      </c>
      <c r="F805" t="s">
        <v>62</v>
      </c>
      <c r="G805" s="4">
        <f>_xlfn.XLOOKUP(Table1[[#This Row], [DISGUISE]],Sheet1!$A$21:$A$23,Sheet1!$B$21:$B$23)*Table1[[#This Row], [NUM OF MEM]]*(1+_xlfn.XLOOKUP(Table1[[#This Row], [DISGUISE]],Sheet1!$A$21:$A$23,Sheet1!$C$21:$C$23))</f>
        <v>15600</v>
      </c>
      <c r="H805" s="13" t="s">
        <v>66</v>
      </c>
      <c r="I805" s="4">
        <f>_xlfn.XLOOKUP(Table1[[#This Row], [WEAPON]],Sheet1!$A$27:$A$29,Sheet1!$B$27:$B$29)*Table1[[#This Row], [NUM OF MEM]]*(1+_xlfn.XLOOKUP(Table1[[#This Row], [WEAPON]],Sheet1!$A$27:$A$29,Sheet1!$C$27:$C$29))</f>
        <v>108000</v>
      </c>
      <c r="J805" t="s">
        <v>64</v>
      </c>
      <c r="K805" s="9">
        <f>Table1[[#This Row], [NUM OF MEM]]*Table1[[#This Row], [TOTAL TIME TAKEN]]*_xlfn.XLOOKUP(Table1[[#This Row], [EXIT]],Sheet1!$A$70:$A$71,Sheet1!$B$70:$B$71)*(1+_xlfn.XLOOKUP(Table1[[#This Row], [EXIT]],Sheet1!$A$70:$A$71,Sheet1!$C$70:$C$71))</f>
        <v>1833796.7999999993</v>
      </c>
      <c r="L805" s="13" t="s">
        <v>65</v>
      </c>
      <c r="M805" s="4">
        <f>IF(Table1[[#This Row], [EQUIPMENT]]="YES",Sheet1!$C$44*(1+Sheet1!$D$44),0)</f>
        <v>307500</v>
      </c>
      <c r="N805" s="4">
        <f>_xlfn.XLOOKUP(Table1[[#This Row], [ROOM]],Sheet1!$A$47:$A$66,Sheet1!$F$47:$F$66)</f>
        <v>17900000</v>
      </c>
      <c r="O805" s="9">
        <f>_xlfn.XLOOKUP(_xlfn.CONCAT(Table1[[#This Row], [TEAM]],Table1[[#This Row], [ROOM]]),'ROOM TIME'!$H$2:$H$121,'ROOM TIME'!$J$2:$J$121)</f>
        <v>41.748888888888878</v>
      </c>
      <c r="P805" s="9">
        <f>(INDEX(Sheet1!$X$48:$Z$67,MATCH(Table1[[#This Row], [ROOM]],Sheet1!$P$48:$P$67,0),MATCH(Table1[[#This Row], [WEAPON]],Sheet1!$X$47:$Z$47,0)))/Table1[[#This Row], [NUM OF MEM]]</f>
        <v>5.416666666666667</v>
      </c>
      <c r="Q805" s="9">
        <f>Table1[[#This Row], [ROOM TIME]]+Table1[[#This Row], [GUARD TIME]]</f>
        <v>47.165555555555542</v>
      </c>
      <c r="R805" s="4">
        <f>Sheet1!$K$3*_xlfn.XLOOKUP(Table1[[#This Row], [DISGUISE]],Sheet1!$A$21:$A$23,Sheet1!$D$21:$D$23)</f>
        <v>66</v>
      </c>
      <c r="S805" s="9">
        <f>Table1[[#This Row], [TOTAL TIME]]-Table1[[#This Row], [TOTAL TIME TAKEN]]</f>
        <v>18.834444444444458</v>
      </c>
      <c r="T805" t="str">
        <f>IF(Table1[[#This Row], [TIME DIFFERENCE]]&gt;=0,"PASS","FAIL")</f>
        <v>PASS</v>
      </c>
      <c r="U805" s="9">
        <f>Table1[[#This Row], [TRC]]+Table1[[#This Row], [DRC]]+Table1[[#This Row], [WRC]]+Table1[[#This Row], [ERC]]+Table1[[#This Row], [EQRC]]</f>
        <v>8253646.7999999989</v>
      </c>
      <c r="V805" s="9">
        <f>Table1[[#This Row], [TOTAL COST]]+_xlfn.XLOOKUP(Table1[[#This Row], [TEAM]],Sheet1!$A$12:$A$17,Sheet1!$I$12:$I$17)</f>
        <v>8553084.2999999989</v>
      </c>
      <c r="W805" s="9">
        <f>Table1[[#This Row], [LOOT]]-Table1[[#This Row], [TOTAL COST]]</f>
        <v>9646353.2000000011</v>
      </c>
      <c r="X805" s="9">
        <f>IF(Table1[[#This Row], [PASS/FAIL]]="FAIL",0,Table1[[#This Row], [PROFIT]])</f>
        <v>9646353.2000000011</v>
      </c>
    </row>
    <row r="806" spans="1:24" ht="19.5" customHeight="1" x14ac:dyDescent="0.45">
      <c r="A806" t="s">
        <v>12</v>
      </c>
      <c r="B806" s="14">
        <f>_xlfn.XLOOKUP(Table1[[#This Row], [TEAM]],Sheet1!$A$12:$A$17,Sheet1!$F$12:$F$17)</f>
        <v>3</v>
      </c>
      <c r="C806" s="14">
        <f>_xlfn.XLOOKUP(Table1[[#This Row], [TEAM]],Sheet1!$A$12:$A$17,Sheet1!$G$12:$G$17)</f>
        <v>5988750</v>
      </c>
      <c r="D806" t="s">
        <v>28</v>
      </c>
      <c r="E806" s="4">
        <f>_xlfn.XLOOKUP(Table1[[#This Row], [ROOM]],Sheet1!$A$47:$A$66,Sheet1!$B$47:$B$66)</f>
        <v>156</v>
      </c>
      <c r="F806" t="s">
        <v>62</v>
      </c>
      <c r="G806" s="4">
        <f>_xlfn.XLOOKUP(Table1[[#This Row], [DISGUISE]],Sheet1!$A$21:$A$23,Sheet1!$B$21:$B$23)*Table1[[#This Row], [NUM OF MEM]]*(1+_xlfn.XLOOKUP(Table1[[#This Row], [DISGUISE]],Sheet1!$A$21:$A$23,Sheet1!$C$21:$C$23))</f>
        <v>15600</v>
      </c>
      <c r="H806" s="13" t="s">
        <v>66</v>
      </c>
      <c r="I806" s="4">
        <f>_xlfn.XLOOKUP(Table1[[#This Row], [WEAPON]],Sheet1!$A$27:$A$29,Sheet1!$B$27:$B$29)*Table1[[#This Row], [NUM OF MEM]]*(1+_xlfn.XLOOKUP(Table1[[#This Row], [WEAPON]],Sheet1!$A$27:$A$29,Sheet1!$C$27:$C$29))</f>
        <v>108000</v>
      </c>
      <c r="J806" t="s">
        <v>60</v>
      </c>
      <c r="K806" s="9">
        <f>Table1[[#This Row], [NUM OF MEM]]*Table1[[#This Row], [TOTAL TIME TAKEN]]*_xlfn.XLOOKUP(Table1[[#This Row], [EXIT]],Sheet1!$A$70:$A$71,Sheet1!$B$70:$B$71)*(1+_xlfn.XLOOKUP(Table1[[#This Row], [EXIT]],Sheet1!$A$70:$A$71,Sheet1!$C$70:$C$71))</f>
        <v>1584172.1249999993</v>
      </c>
      <c r="L806" s="13" t="s">
        <v>65</v>
      </c>
      <c r="M806" s="4">
        <f>IF(Table1[[#This Row], [EQUIPMENT]]="YES",Sheet1!$C$44*(1+Sheet1!$D$44),0)</f>
        <v>307500</v>
      </c>
      <c r="N806" s="4">
        <f>_xlfn.XLOOKUP(Table1[[#This Row], [ROOM]],Sheet1!$A$47:$A$66,Sheet1!$F$47:$F$66)</f>
        <v>17650000</v>
      </c>
      <c r="O806" s="9">
        <f>_xlfn.XLOOKUP(_xlfn.CONCAT(Table1[[#This Row], [TEAM]],Table1[[#This Row], [ROOM]]),'ROOM TIME'!$H$2:$H$121,'ROOM TIME'!$J$2:$J$121)</f>
        <v>36.98333333333332</v>
      </c>
      <c r="P806" s="9">
        <f>(INDEX(Sheet1!$X$48:$Z$67,MATCH(Table1[[#This Row], [ROOM]],Sheet1!$P$48:$P$67,0),MATCH(Table1[[#This Row], [WEAPON]],Sheet1!$X$47:$Z$47,0)))/Table1[[#This Row], [NUM OF MEM]]</f>
        <v>4.166666666666667</v>
      </c>
      <c r="Q806" s="9">
        <f>Table1[[#This Row], [ROOM TIME]]+Table1[[#This Row], [GUARD TIME]]</f>
        <v>41.149999999999984</v>
      </c>
      <c r="R806" s="4">
        <f>Sheet1!$K$3*_xlfn.XLOOKUP(Table1[[#This Row], [DISGUISE]],Sheet1!$A$21:$A$23,Sheet1!$D$21:$D$23)</f>
        <v>66</v>
      </c>
      <c r="S806" s="9">
        <f>Table1[[#This Row], [TOTAL TIME]]-Table1[[#This Row], [TOTAL TIME TAKEN]]</f>
        <v>24.850000000000016</v>
      </c>
      <c r="T806" t="str">
        <f>IF(Table1[[#This Row], [TIME DIFFERENCE]]&gt;=0,"PASS","FAIL")</f>
        <v>PASS</v>
      </c>
      <c r="U806" s="9">
        <f>Table1[[#This Row], [TRC]]+Table1[[#This Row], [DRC]]+Table1[[#This Row], [WRC]]+Table1[[#This Row], [ERC]]+Table1[[#This Row], [EQRC]]</f>
        <v>8004022.1249999991</v>
      </c>
      <c r="V806" s="9">
        <f>Table1[[#This Row], [TOTAL COST]]+_xlfn.XLOOKUP(Table1[[#This Row], [TEAM]],Sheet1!$A$12:$A$17,Sheet1!$I$12:$I$17)</f>
        <v>8303459.6249999991</v>
      </c>
      <c r="W806" s="9">
        <f>Table1[[#This Row], [LOOT]]-Table1[[#This Row], [TOTAL COST]]</f>
        <v>9645977.875</v>
      </c>
      <c r="X806" s="9">
        <f>IF(Table1[[#This Row], [PASS/FAIL]]="FAIL",0,Table1[[#This Row], [PROFIT]])</f>
        <v>9645977.875</v>
      </c>
    </row>
    <row r="807" spans="1:24" ht="19.5" customHeight="1" x14ac:dyDescent="0.45">
      <c r="A807" t="s">
        <v>14</v>
      </c>
      <c r="B807" s="14">
        <f>_xlfn.XLOOKUP(Table1[[#This Row], [TEAM]],Sheet1!$A$12:$A$17,Sheet1!$F$12:$F$17)</f>
        <v>2</v>
      </c>
      <c r="C807" s="14">
        <f>_xlfn.XLOOKUP(Table1[[#This Row], [TEAM]],Sheet1!$A$12:$A$17,Sheet1!$G$12:$G$17)</f>
        <v>5949600</v>
      </c>
      <c r="D807" t="s">
        <v>11</v>
      </c>
      <c r="E807" s="4">
        <f>_xlfn.XLOOKUP(Table1[[#This Row], [ROOM]],Sheet1!$A$47:$A$66,Sheet1!$B$47:$B$66)</f>
        <v>124</v>
      </c>
      <c r="F807" t="s">
        <v>58</v>
      </c>
      <c r="G807" s="4">
        <f>_xlfn.XLOOKUP(Table1[[#This Row], [DISGUISE]],Sheet1!$A$21:$A$23,Sheet1!$B$21:$B$23)*Table1[[#This Row], [NUM OF MEM]]*(1+_xlfn.XLOOKUP(Table1[[#This Row], [DISGUISE]],Sheet1!$A$21:$A$23,Sheet1!$C$21:$C$23))</f>
        <v>25600</v>
      </c>
      <c r="H807" s="13" t="s">
        <v>66</v>
      </c>
      <c r="I807" s="4">
        <f>_xlfn.XLOOKUP(Table1[[#This Row], [WEAPON]],Sheet1!$A$27:$A$29,Sheet1!$B$27:$B$29)*Table1[[#This Row], [NUM OF MEM]]*(1+_xlfn.XLOOKUP(Table1[[#This Row], [WEAPON]],Sheet1!$A$27:$A$29,Sheet1!$C$27:$C$29))</f>
        <v>72000</v>
      </c>
      <c r="J807" t="s">
        <v>64</v>
      </c>
      <c r="K807" s="9">
        <f>Table1[[#This Row], [NUM OF MEM]]*Table1[[#This Row], [TOTAL TIME TAKEN]]*_xlfn.XLOOKUP(Table1[[#This Row], [EXIT]],Sheet1!$A$70:$A$71,Sheet1!$B$70:$B$71)*(1+_xlfn.XLOOKUP(Table1[[#This Row], [EXIT]],Sheet1!$A$70:$A$71,Sheet1!$C$70:$C$71))</f>
        <v>1756987.2</v>
      </c>
      <c r="L807" s="13" t="s">
        <v>61</v>
      </c>
      <c r="M807" s="4">
        <f>IF(Table1[[#This Row], [EQUIPMENT]]="YES",Sheet1!$C$44*(1+Sheet1!$D$44),0)</f>
        <v>0</v>
      </c>
      <c r="N807" s="4">
        <f>_xlfn.XLOOKUP(Table1[[#This Row], [ROOM]],Sheet1!$A$47:$A$66,Sheet1!$F$47:$F$66)</f>
        <v>17450000</v>
      </c>
      <c r="O807" s="9">
        <f>_xlfn.XLOOKUP(_xlfn.CONCAT(Table1[[#This Row], [TEAM]],Table1[[#This Row], [ROOM]]),'ROOM TIME'!$H$2:$H$121,'ROOM TIME'!$J$2:$J$121)</f>
        <v>60.91</v>
      </c>
      <c r="P807" s="9">
        <f>(INDEX(Sheet1!$X$48:$Z$67,MATCH(Table1[[#This Row], [ROOM]],Sheet1!$P$48:$P$67,0),MATCH(Table1[[#This Row], [WEAPON]],Sheet1!$X$47:$Z$47,0)))/Table1[[#This Row], [NUM OF MEM]]</f>
        <v>6.875</v>
      </c>
      <c r="Q807" s="9">
        <f>Table1[[#This Row], [ROOM TIME]]+Table1[[#This Row], [GUARD TIME]]</f>
        <v>67.784999999999997</v>
      </c>
      <c r="R807" s="4">
        <f>Sheet1!$K$3*_xlfn.XLOOKUP(Table1[[#This Row], [DISGUISE]],Sheet1!$A$21:$A$23,Sheet1!$D$21:$D$23)</f>
        <v>69</v>
      </c>
      <c r="S807" s="9">
        <f>Table1[[#This Row], [TOTAL TIME]]-Table1[[#This Row], [TOTAL TIME TAKEN]]</f>
        <v>1.2150000000000034</v>
      </c>
      <c r="T807" t="str">
        <f>IF(Table1[[#This Row], [TIME DIFFERENCE]]&gt;=0,"PASS","FAIL")</f>
        <v>PASS</v>
      </c>
      <c r="U807" s="9">
        <f>Table1[[#This Row], [TRC]]+Table1[[#This Row], [DRC]]+Table1[[#This Row], [WRC]]+Table1[[#This Row], [ERC]]+Table1[[#This Row], [EQRC]]</f>
        <v>7804187.2000000002</v>
      </c>
      <c r="V807" s="9">
        <f>Table1[[#This Row], [TOTAL COST]]+_xlfn.XLOOKUP(Table1[[#This Row], [TEAM]],Sheet1!$A$12:$A$17,Sheet1!$I$12:$I$17)</f>
        <v>8101667.2000000002</v>
      </c>
      <c r="W807" s="9">
        <f>Table1[[#This Row], [LOOT]]-Table1[[#This Row], [TOTAL COST]]</f>
        <v>9645812.8000000007</v>
      </c>
      <c r="X807" s="9">
        <f>IF(Table1[[#This Row], [PASS/FAIL]]="FAIL",0,Table1[[#This Row], [PROFIT]])</f>
        <v>9645812.8000000007</v>
      </c>
    </row>
    <row r="808" spans="1:24" ht="19.5" customHeight="1" x14ac:dyDescent="0.45">
      <c r="A808" t="s">
        <v>12</v>
      </c>
      <c r="B808" s="14">
        <f>_xlfn.XLOOKUP(Table1[[#This Row], [TEAM]],Sheet1!$A$12:$A$17,Sheet1!$F$12:$F$17)</f>
        <v>3</v>
      </c>
      <c r="C808" s="14">
        <f>_xlfn.XLOOKUP(Table1[[#This Row], [TEAM]],Sheet1!$A$12:$A$17,Sheet1!$G$12:$G$17)</f>
        <v>5988750</v>
      </c>
      <c r="D808" t="s">
        <v>21</v>
      </c>
      <c r="E808" s="4">
        <f>_xlfn.XLOOKUP(Table1[[#This Row], [ROOM]],Sheet1!$A$47:$A$66,Sheet1!$B$47:$B$66)</f>
        <v>234</v>
      </c>
      <c r="F808" t="s">
        <v>58</v>
      </c>
      <c r="G808" s="4">
        <f>_xlfn.XLOOKUP(Table1[[#This Row], [DISGUISE]],Sheet1!$A$21:$A$23,Sheet1!$B$21:$B$23)*Table1[[#This Row], [NUM OF MEM]]*(1+_xlfn.XLOOKUP(Table1[[#This Row], [DISGUISE]],Sheet1!$A$21:$A$23,Sheet1!$C$21:$C$23))</f>
        <v>38400</v>
      </c>
      <c r="H808" s="13" t="s">
        <v>63</v>
      </c>
      <c r="I808" s="4">
        <f>_xlfn.XLOOKUP(Table1[[#This Row], [WEAPON]],Sheet1!$A$27:$A$29,Sheet1!$B$27:$B$29)*Table1[[#This Row], [NUM OF MEM]]*(1+_xlfn.XLOOKUP(Table1[[#This Row], [WEAPON]],Sheet1!$A$27:$A$29,Sheet1!$C$27:$C$29))</f>
        <v>69000</v>
      </c>
      <c r="J808" t="s">
        <v>64</v>
      </c>
      <c r="K808" s="9">
        <f>Table1[[#This Row], [NUM OF MEM]]*Table1[[#This Row], [TOTAL TIME TAKEN]]*_xlfn.XLOOKUP(Table1[[#This Row], [EXIT]],Sheet1!$A$70:$A$71,Sheet1!$B$70:$B$71)*(1+_xlfn.XLOOKUP(Table1[[#This Row], [EXIT]],Sheet1!$A$70:$A$71,Sheet1!$C$70:$C$71))</f>
        <v>1850644.7999999993</v>
      </c>
      <c r="L808" s="13" t="s">
        <v>65</v>
      </c>
      <c r="M808" s="4">
        <f>IF(Table1[[#This Row], [EQUIPMENT]]="YES",Sheet1!$C$44*(1+Sheet1!$D$44),0)</f>
        <v>307500</v>
      </c>
      <c r="N808" s="4">
        <f>_xlfn.XLOOKUP(Table1[[#This Row], [ROOM]],Sheet1!$A$47:$A$66,Sheet1!$F$47:$F$66)</f>
        <v>17900000</v>
      </c>
      <c r="O808" s="9">
        <f>_xlfn.XLOOKUP(_xlfn.CONCAT(Table1[[#This Row], [TEAM]],Table1[[#This Row], [ROOM]]),'ROOM TIME'!$H$2:$H$121,'ROOM TIME'!$J$2:$J$121)</f>
        <v>41.748888888888878</v>
      </c>
      <c r="P808" s="9">
        <f>(INDEX(Sheet1!$X$48:$Z$67,MATCH(Table1[[#This Row], [ROOM]],Sheet1!$P$48:$P$67,0),MATCH(Table1[[#This Row], [WEAPON]],Sheet1!$X$47:$Z$47,0)))/Table1[[#This Row], [NUM OF MEM]]</f>
        <v>5.8500000000000005</v>
      </c>
      <c r="Q808" s="9">
        <f>Table1[[#This Row], [ROOM TIME]]+Table1[[#This Row], [GUARD TIME]]</f>
        <v>47.598888888888879</v>
      </c>
      <c r="R808" s="4">
        <f>Sheet1!$K$3*_xlfn.XLOOKUP(Table1[[#This Row], [DISGUISE]],Sheet1!$A$21:$A$23,Sheet1!$D$21:$D$23)</f>
        <v>69</v>
      </c>
      <c r="S808" s="9">
        <f>Table1[[#This Row], [TOTAL TIME]]-Table1[[#This Row], [TOTAL TIME TAKEN]]</f>
        <v>21.401111111111121</v>
      </c>
      <c r="T808" t="str">
        <f>IF(Table1[[#This Row], [TIME DIFFERENCE]]&gt;=0,"PASS","FAIL")</f>
        <v>PASS</v>
      </c>
      <c r="U808" s="9">
        <f>Table1[[#This Row], [TRC]]+Table1[[#This Row], [DRC]]+Table1[[#This Row], [WRC]]+Table1[[#This Row], [ERC]]+Table1[[#This Row], [EQRC]]</f>
        <v>8254294.7999999989</v>
      </c>
      <c r="V808" s="9">
        <f>Table1[[#This Row], [TOTAL COST]]+_xlfn.XLOOKUP(Table1[[#This Row], [TEAM]],Sheet1!$A$12:$A$17,Sheet1!$I$12:$I$17)</f>
        <v>8553732.2999999989</v>
      </c>
      <c r="W808" s="9">
        <f>Table1[[#This Row], [LOOT]]-Table1[[#This Row], [TOTAL COST]]</f>
        <v>9645705.2000000011</v>
      </c>
      <c r="X808" s="9">
        <f>IF(Table1[[#This Row], [PASS/FAIL]]="FAIL",0,Table1[[#This Row], [PROFIT]])</f>
        <v>9645705.2000000011</v>
      </c>
    </row>
    <row r="809" spans="1:24" ht="19.5" customHeight="1" x14ac:dyDescent="0.45">
      <c r="A809" t="s">
        <v>12</v>
      </c>
      <c r="B809" s="14">
        <f>_xlfn.XLOOKUP(Table1[[#This Row], [TEAM]],Sheet1!$A$12:$A$17,Sheet1!$F$12:$F$17)</f>
        <v>3</v>
      </c>
      <c r="C809" s="14">
        <f>_xlfn.XLOOKUP(Table1[[#This Row], [TEAM]],Sheet1!$A$12:$A$17,Sheet1!$G$12:$G$17)</f>
        <v>5988750</v>
      </c>
      <c r="D809" t="s">
        <v>10</v>
      </c>
      <c r="E809" s="4">
        <f>_xlfn.XLOOKUP(Table1[[#This Row], [ROOM]],Sheet1!$A$47:$A$66,Sheet1!$B$47:$B$66)</f>
        <v>123</v>
      </c>
      <c r="F809" t="s">
        <v>62</v>
      </c>
      <c r="G809" s="4">
        <f>_xlfn.XLOOKUP(Table1[[#This Row], [DISGUISE]],Sheet1!$A$21:$A$23,Sheet1!$B$21:$B$23)*Table1[[#This Row], [NUM OF MEM]]*(1+_xlfn.XLOOKUP(Table1[[#This Row], [DISGUISE]],Sheet1!$A$21:$A$23,Sheet1!$C$21:$C$23))</f>
        <v>15600</v>
      </c>
      <c r="H809" s="13" t="s">
        <v>63</v>
      </c>
      <c r="I809" s="4">
        <f>_xlfn.XLOOKUP(Table1[[#This Row], [WEAPON]],Sheet1!$A$27:$A$29,Sheet1!$B$27:$B$29)*Table1[[#This Row], [NUM OF MEM]]*(1+_xlfn.XLOOKUP(Table1[[#This Row], [WEAPON]],Sheet1!$A$27:$A$29,Sheet1!$C$27:$C$29))</f>
        <v>69000</v>
      </c>
      <c r="J809" t="s">
        <v>60</v>
      </c>
      <c r="K809" s="9">
        <f>Table1[[#This Row], [NUM OF MEM]]*Table1[[#This Row], [TOTAL TIME TAKEN]]*_xlfn.XLOOKUP(Table1[[#This Row], [EXIT]],Sheet1!$A$70:$A$71,Sheet1!$B$70:$B$71)*(1+_xlfn.XLOOKUP(Table1[[#This Row], [EXIT]],Sheet1!$A$70:$A$71,Sheet1!$C$70:$C$71))</f>
        <v>1823541.0249999997</v>
      </c>
      <c r="L809" s="13" t="s">
        <v>65</v>
      </c>
      <c r="M809" s="4">
        <f>IF(Table1[[#This Row], [EQUIPMENT]]="YES",Sheet1!$C$44*(1+Sheet1!$D$44),0)</f>
        <v>307500</v>
      </c>
      <c r="N809" s="4">
        <f>_xlfn.XLOOKUP(Table1[[#This Row], [ROOM]],Sheet1!$A$47:$A$66,Sheet1!$F$47:$F$66)</f>
        <v>17850000</v>
      </c>
      <c r="O809" s="9">
        <f>_xlfn.XLOOKUP(_xlfn.CONCAT(Table1[[#This Row], [TEAM]],Table1[[#This Row], [ROOM]]),'ROOM TIME'!$H$2:$H$121,'ROOM TIME'!$J$2:$J$121)</f>
        <v>41.967777777777762</v>
      </c>
      <c r="P809" s="9">
        <f>(INDEX(Sheet1!$X$48:$Z$67,MATCH(Table1[[#This Row], [ROOM]],Sheet1!$P$48:$P$67,0),MATCH(Table1[[#This Row], [WEAPON]],Sheet1!$X$47:$Z$47,0)))/Table1[[#This Row], [NUM OF MEM]]</f>
        <v>5.4000000000000012</v>
      </c>
      <c r="Q809" s="9">
        <f>Table1[[#This Row], [ROOM TIME]]+Table1[[#This Row], [GUARD TIME]]</f>
        <v>47.367777777777761</v>
      </c>
      <c r="R809" s="4">
        <f>Sheet1!$K$3*_xlfn.XLOOKUP(Table1[[#This Row], [DISGUISE]],Sheet1!$A$21:$A$23,Sheet1!$D$21:$D$23)</f>
        <v>66</v>
      </c>
      <c r="S809" s="9">
        <f>Table1[[#This Row], [TOTAL TIME]]-Table1[[#This Row], [TOTAL TIME TAKEN]]</f>
        <v>18.632222222222239</v>
      </c>
      <c r="T809" t="str">
        <f>IF(Table1[[#This Row], [TIME DIFFERENCE]]&gt;=0,"PASS","FAIL")</f>
        <v>PASS</v>
      </c>
      <c r="U809" s="9">
        <f>Table1[[#This Row], [TRC]]+Table1[[#This Row], [DRC]]+Table1[[#This Row], [WRC]]+Table1[[#This Row], [ERC]]+Table1[[#This Row], [EQRC]]</f>
        <v>8204391.0249999994</v>
      </c>
      <c r="V809" s="9">
        <f>Table1[[#This Row], [TOTAL COST]]+_xlfn.XLOOKUP(Table1[[#This Row], [TEAM]],Sheet1!$A$12:$A$17,Sheet1!$I$12:$I$17)</f>
        <v>8503828.5249999985</v>
      </c>
      <c r="W809" s="9">
        <f>Table1[[#This Row], [LOOT]]-Table1[[#This Row], [TOTAL COST]]</f>
        <v>9645608.9750000015</v>
      </c>
      <c r="X809" s="9">
        <f>IF(Table1[[#This Row], [PASS/FAIL]]="FAIL",0,Table1[[#This Row], [PROFIT]])</f>
        <v>9645608.9750000015</v>
      </c>
    </row>
    <row r="810" spans="1:24" ht="19.5" customHeight="1" x14ac:dyDescent="0.45">
      <c r="A810" t="s">
        <v>13</v>
      </c>
      <c r="B810" s="14">
        <f>_xlfn.XLOOKUP(Table1[[#This Row], [TEAM]],Sheet1!$A$12:$A$17,Sheet1!$F$12:$F$17)</f>
        <v>3</v>
      </c>
      <c r="C810" s="14">
        <f>_xlfn.XLOOKUP(Table1[[#This Row], [TEAM]],Sheet1!$A$12:$A$17,Sheet1!$G$12:$G$17)</f>
        <v>5930000</v>
      </c>
      <c r="D810" t="s">
        <v>28</v>
      </c>
      <c r="E810" s="4">
        <f>_xlfn.XLOOKUP(Table1[[#This Row], [ROOM]],Sheet1!$A$47:$A$66,Sheet1!$B$47:$B$66)</f>
        <v>156</v>
      </c>
      <c r="F810" t="s">
        <v>58</v>
      </c>
      <c r="G810" s="4">
        <f>_xlfn.XLOOKUP(Table1[[#This Row], [DISGUISE]],Sheet1!$A$21:$A$23,Sheet1!$B$21:$B$23)*Table1[[#This Row], [NUM OF MEM]]*(1+_xlfn.XLOOKUP(Table1[[#This Row], [DISGUISE]],Sheet1!$A$21:$A$23,Sheet1!$C$21:$C$23))</f>
        <v>38400</v>
      </c>
      <c r="H810" s="13" t="s">
        <v>63</v>
      </c>
      <c r="I810" s="4">
        <f>_xlfn.XLOOKUP(Table1[[#This Row], [WEAPON]],Sheet1!$A$27:$A$29,Sheet1!$B$27:$B$29)*Table1[[#This Row], [NUM OF MEM]]*(1+_xlfn.XLOOKUP(Table1[[#This Row], [WEAPON]],Sheet1!$A$27:$A$29,Sheet1!$C$27:$C$29))</f>
        <v>69000</v>
      </c>
      <c r="J810" t="s">
        <v>60</v>
      </c>
      <c r="K810" s="9">
        <f>Table1[[#This Row], [NUM OF MEM]]*Table1[[#This Row], [TOTAL TIME TAKEN]]*_xlfn.XLOOKUP(Table1[[#This Row], [EXIT]],Sheet1!$A$70:$A$71,Sheet1!$B$70:$B$71)*(1+_xlfn.XLOOKUP(Table1[[#This Row], [EXIT]],Sheet1!$A$70:$A$71,Sheet1!$C$70:$C$71))</f>
        <v>1661659.0374999996</v>
      </c>
      <c r="L810" s="13" t="s">
        <v>65</v>
      </c>
      <c r="M810" s="4">
        <f>IF(Table1[[#This Row], [EQUIPMENT]]="YES",Sheet1!$C$44*(1+Sheet1!$D$44),0)</f>
        <v>307500</v>
      </c>
      <c r="N810" s="4">
        <f>_xlfn.XLOOKUP(Table1[[#This Row], [ROOM]],Sheet1!$A$47:$A$66,Sheet1!$F$47:$F$66)</f>
        <v>17650000</v>
      </c>
      <c r="O810" s="9">
        <f>_xlfn.XLOOKUP(_xlfn.CONCAT(Table1[[#This Row], [TEAM]],Table1[[#This Row], [ROOM]]),'ROOM TIME'!$H$2:$H$121,'ROOM TIME'!$J$2:$J$121)</f>
        <v>38.662777777777769</v>
      </c>
      <c r="P810" s="9">
        <f>(INDEX(Sheet1!$X$48:$Z$67,MATCH(Table1[[#This Row], [ROOM]],Sheet1!$P$48:$P$67,0),MATCH(Table1[[#This Row], [WEAPON]],Sheet1!$X$47:$Z$47,0)))/Table1[[#This Row], [NUM OF MEM]]</f>
        <v>4.5</v>
      </c>
      <c r="Q810" s="9">
        <f>Table1[[#This Row], [ROOM TIME]]+Table1[[#This Row], [GUARD TIME]]</f>
        <v>43.162777777777769</v>
      </c>
      <c r="R810" s="4">
        <f>Sheet1!$K$3*_xlfn.XLOOKUP(Table1[[#This Row], [DISGUISE]],Sheet1!$A$21:$A$23,Sheet1!$D$21:$D$23)</f>
        <v>69</v>
      </c>
      <c r="S810" s="9">
        <f>Table1[[#This Row], [TOTAL TIME]]-Table1[[#This Row], [TOTAL TIME TAKEN]]</f>
        <v>25.837222222222231</v>
      </c>
      <c r="T810" t="str">
        <f>IF(Table1[[#This Row], [TIME DIFFERENCE]]&gt;=0,"PASS","FAIL")</f>
        <v>PASS</v>
      </c>
      <c r="U810" s="9">
        <f>Table1[[#This Row], [TRC]]+Table1[[#This Row], [DRC]]+Table1[[#This Row], [WRC]]+Table1[[#This Row], [ERC]]+Table1[[#This Row], [EQRC]]</f>
        <v>8006559.0374999996</v>
      </c>
      <c r="V810" s="9">
        <f>Table1[[#This Row], [TOTAL COST]]+_xlfn.XLOOKUP(Table1[[#This Row], [TEAM]],Sheet1!$A$12:$A$17,Sheet1!$I$12:$I$17)</f>
        <v>8303059.0374999996</v>
      </c>
      <c r="W810" s="9">
        <f>Table1[[#This Row], [LOOT]]-Table1[[#This Row], [TOTAL COST]]</f>
        <v>9643440.9625000004</v>
      </c>
      <c r="X810" s="9">
        <f>IF(Table1[[#This Row], [PASS/FAIL]]="FAIL",0,Table1[[#This Row], [PROFIT]])</f>
        <v>9643440.9625000004</v>
      </c>
    </row>
    <row r="811" spans="1:24" ht="19.5" customHeight="1" x14ac:dyDescent="0.45">
      <c r="A811" t="s">
        <v>15</v>
      </c>
      <c r="B811" s="14">
        <f>_xlfn.XLOOKUP(Table1[[#This Row], [TEAM]],Sheet1!$A$12:$A$17,Sheet1!$F$12:$F$17)</f>
        <v>2</v>
      </c>
      <c r="C811" s="14">
        <f>_xlfn.XLOOKUP(Table1[[#This Row], [TEAM]],Sheet1!$A$12:$A$17,Sheet1!$G$12:$G$17)</f>
        <v>5932950</v>
      </c>
      <c r="D811" t="s">
        <v>23</v>
      </c>
      <c r="E811" s="4">
        <f>_xlfn.XLOOKUP(Table1[[#This Row], [ROOM]],Sheet1!$A$47:$A$66,Sheet1!$B$47:$B$66)</f>
        <v>245</v>
      </c>
      <c r="F811" t="s">
        <v>58</v>
      </c>
      <c r="G811" s="4">
        <f>_xlfn.XLOOKUP(Table1[[#This Row], [DISGUISE]],Sheet1!$A$21:$A$23,Sheet1!$B$21:$B$23)*Table1[[#This Row], [NUM OF MEM]]*(1+_xlfn.XLOOKUP(Table1[[#This Row], [DISGUISE]],Sheet1!$A$21:$A$23,Sheet1!$C$21:$C$23))</f>
        <v>25600</v>
      </c>
      <c r="H811" s="13" t="s">
        <v>59</v>
      </c>
      <c r="I811" s="4">
        <f>_xlfn.XLOOKUP(Table1[[#This Row], [WEAPON]],Sheet1!$A$27:$A$29,Sheet1!$B$27:$B$29)*Table1[[#This Row], [NUM OF MEM]]*(1+_xlfn.XLOOKUP(Table1[[#This Row], [WEAPON]],Sheet1!$A$27:$A$29,Sheet1!$C$27:$C$29))</f>
        <v>91000</v>
      </c>
      <c r="J811" t="s">
        <v>60</v>
      </c>
      <c r="K811" s="9">
        <f>Table1[[#This Row], [NUM OF MEM]]*Table1[[#This Row], [TOTAL TIME TAKEN]]*_xlfn.XLOOKUP(Table1[[#This Row], [EXIT]],Sheet1!$A$70:$A$71,Sheet1!$B$70:$B$71)*(1+_xlfn.XLOOKUP(Table1[[#This Row], [EXIT]],Sheet1!$A$70:$A$71,Sheet1!$C$70:$C$71))</f>
        <v>1707332.0437499993</v>
      </c>
      <c r="L811" s="13" t="s">
        <v>61</v>
      </c>
      <c r="M811" s="4">
        <f>IF(Table1[[#This Row], [EQUIPMENT]]="YES",Sheet1!$C$44*(1+Sheet1!$D$44),0)</f>
        <v>0</v>
      </c>
      <c r="N811" s="4">
        <f>_xlfn.XLOOKUP(Table1[[#This Row], [ROOM]],Sheet1!$A$47:$A$66,Sheet1!$F$47:$F$66)</f>
        <v>17400000</v>
      </c>
      <c r="O811" s="9">
        <f>_xlfn.XLOOKUP(_xlfn.CONCAT(Table1[[#This Row], [TEAM]],Table1[[#This Row], [ROOM]]),'ROOM TIME'!$H$2:$H$121,'ROOM TIME'!$J$2:$J$121)</f>
        <v>60.198749999999983</v>
      </c>
      <c r="P811" s="9">
        <f>(INDEX(Sheet1!$X$48:$Z$67,MATCH(Table1[[#This Row], [ROOM]],Sheet1!$P$48:$P$67,0),MATCH(Table1[[#This Row], [WEAPON]],Sheet1!$X$47:$Z$47,0)))/Table1[[#This Row], [NUM OF MEM]]</f>
        <v>6.3249999999999993</v>
      </c>
      <c r="Q811" s="9">
        <f>Table1[[#This Row], [ROOM TIME]]+Table1[[#This Row], [GUARD TIME]]</f>
        <v>66.523749999999978</v>
      </c>
      <c r="R811" s="4">
        <f>Sheet1!$K$3*_xlfn.XLOOKUP(Table1[[#This Row], [DISGUISE]],Sheet1!$A$21:$A$23,Sheet1!$D$21:$D$23)</f>
        <v>69</v>
      </c>
      <c r="S811" s="9">
        <f>Table1[[#This Row], [TOTAL TIME]]-Table1[[#This Row], [TOTAL TIME TAKEN]]</f>
        <v>2.4762500000000216</v>
      </c>
      <c r="T811" t="str">
        <f>IF(Table1[[#This Row], [TIME DIFFERENCE]]&gt;=0,"PASS","FAIL")</f>
        <v>PASS</v>
      </c>
      <c r="U811" s="9">
        <f>Table1[[#This Row], [TRC]]+Table1[[#This Row], [DRC]]+Table1[[#This Row], [WRC]]+Table1[[#This Row], [ERC]]+Table1[[#This Row], [EQRC]]</f>
        <v>7756882.0437499993</v>
      </c>
      <c r="V811" s="9">
        <f>Table1[[#This Row], [TOTAL COST]]+_xlfn.XLOOKUP(Table1[[#This Row], [TEAM]],Sheet1!$A$12:$A$17,Sheet1!$I$12:$I$17)</f>
        <v>8053529.5437499993</v>
      </c>
      <c r="W811" s="9">
        <f>Table1[[#This Row], [LOOT]]-Table1[[#This Row], [TOTAL COST]]</f>
        <v>9643117.9562500007</v>
      </c>
      <c r="X811" s="9">
        <f>IF(Table1[[#This Row], [PASS/FAIL]]="FAIL",0,Table1[[#This Row], [PROFIT]])</f>
        <v>9643117.9562500007</v>
      </c>
    </row>
    <row r="812" spans="1:24" ht="19.5" customHeight="1" x14ac:dyDescent="0.45">
      <c r="A812" t="s">
        <v>15</v>
      </c>
      <c r="B812" s="14">
        <f>_xlfn.XLOOKUP(Table1[[#This Row], [TEAM]],Sheet1!$A$12:$A$17,Sheet1!$F$12:$F$17)</f>
        <v>2</v>
      </c>
      <c r="C812" s="14">
        <f>_xlfn.XLOOKUP(Table1[[#This Row], [TEAM]],Sheet1!$A$12:$A$17,Sheet1!$G$12:$G$17)</f>
        <v>5932950</v>
      </c>
      <c r="D812" t="s">
        <v>23</v>
      </c>
      <c r="E812" s="4">
        <f>_xlfn.XLOOKUP(Table1[[#This Row], [ROOM]],Sheet1!$A$47:$A$66,Sheet1!$B$47:$B$66)</f>
        <v>245</v>
      </c>
      <c r="F812" t="s">
        <v>58</v>
      </c>
      <c r="G812" s="4">
        <f>_xlfn.XLOOKUP(Table1[[#This Row], [DISGUISE]],Sheet1!$A$21:$A$23,Sheet1!$B$21:$B$23)*Table1[[#This Row], [NUM OF MEM]]*(1+_xlfn.XLOOKUP(Table1[[#This Row], [DISGUISE]],Sheet1!$A$21:$A$23,Sheet1!$C$21:$C$23))</f>
        <v>25600</v>
      </c>
      <c r="H812" s="13" t="s">
        <v>63</v>
      </c>
      <c r="I812" s="4">
        <f>_xlfn.XLOOKUP(Table1[[#This Row], [WEAPON]],Sheet1!$A$27:$A$29,Sheet1!$B$27:$B$29)*Table1[[#This Row], [NUM OF MEM]]*(1+_xlfn.XLOOKUP(Table1[[#This Row], [WEAPON]],Sheet1!$A$27:$A$29,Sheet1!$C$27:$C$29))</f>
        <v>46000</v>
      </c>
      <c r="J812" t="s">
        <v>64</v>
      </c>
      <c r="K812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1752807.5999999996</v>
      </c>
      <c r="L812" s="13" t="s">
        <v>61</v>
      </c>
      <c r="M812" s="4">
        <f>IF(Table1[[#This Row], [EQUIPMENT]]="YES",Sheet1!$C$44*(1+Sheet1!$D$44),0)</f>
        <v>0</v>
      </c>
      <c r="N812" s="4">
        <f>_xlfn.XLOOKUP(Table1[[#This Row], [ROOM]],Sheet1!$A$47:$A$66,Sheet1!$F$47:$F$66)</f>
        <v>17400000</v>
      </c>
      <c r="O812" s="9">
        <f>_xlfn.XLOOKUP(_xlfn.CONCAT(Table1[[#This Row], [TEAM]],Table1[[#This Row], [ROOM]]),'ROOM TIME'!$H$2:$H$121,'ROOM TIME'!$J$2:$J$121)</f>
        <v>60.198749999999983</v>
      </c>
      <c r="P812" s="9">
        <f>(INDEX(Sheet1!$X$48:$Z$67,MATCH(Table1[[#This Row], [ROOM]],Sheet1!$P$48:$P$67,0),MATCH(Table1[[#This Row], [WEAPON]],Sheet1!$X$47:$Z$47,0)))/Table1[[#This Row], [NUM OF MEM]]</f>
        <v>7.4250000000000007</v>
      </c>
      <c r="Q812" s="9">
        <f>Table1[[#This Row], [ROOM TIME]]+Table1[[#This Row], [GUARD TIME]]</f>
        <v>67.623749999999987</v>
      </c>
      <c r="R812" s="4">
        <f>Sheet1!$K$3*_xlfn.XLOOKUP(Table1[[#This Row], [DISGUISE]],Sheet1!$A$21:$A$23,Sheet1!$D$21:$D$23)</f>
        <v>69</v>
      </c>
      <c r="S812" s="9">
        <f>Table1[[#This Row], [TOTAL TIME]]-Table1[[#This Row], [TOTAL TIME TAKEN]]</f>
        <v>1.3762500000000131</v>
      </c>
      <c r="T812" t="str">
        <f>IF(Table1[[#This Row], [TIME DIFFERENCE]]&gt;=0,"PASS","FAIL")</f>
        <v>PASS</v>
      </c>
      <c r="U812" s="9">
        <f>Table1[[#This Row], [TRC]]+Table1[[#This Row], [DRC]]+Table1[[#This Row], [WRC]]+Table1[[#This Row], [ERC]]+Table1[[#This Row], [EQRC]]</f>
        <v>7757357.5999999996</v>
      </c>
      <c r="V812" s="9">
        <f>Table1[[#This Row], [TOTAL COST]]+_xlfn.XLOOKUP(Table1[[#This Row], [TEAM]],Sheet1!$A$12:$A$17,Sheet1!$I$12:$I$17)</f>
        <v>8054005.0999999996</v>
      </c>
      <c r="W812" s="9">
        <f>Table1[[#This Row], [LOOT]]-Table1[[#This Row], [TOTAL COST]]</f>
        <v>9642642.4000000004</v>
      </c>
      <c r="X812" s="9">
        <f>IF(Table1[[#This Row], [PASS/FAIL]]="FAIL",0,Table1[[#This Row], [PROFIT]])</f>
        <v>9642642.4000000004</v>
      </c>
    </row>
    <row r="813" spans="1:24" ht="19.5" customHeight="1" x14ac:dyDescent="0.45">
      <c r="A813" t="s">
        <v>12</v>
      </c>
      <c r="B813" s="14">
        <f>_xlfn.XLOOKUP(Table1[[#This Row], [TEAM]],Sheet1!$A$12:$A$17,Sheet1!$F$12:$F$17)</f>
        <v>3</v>
      </c>
      <c r="C813" s="14">
        <f>_xlfn.XLOOKUP(Table1[[#This Row], [TEAM]],Sheet1!$A$12:$A$17,Sheet1!$G$12:$G$17)</f>
        <v>5988750</v>
      </c>
      <c r="D813" t="s">
        <v>21</v>
      </c>
      <c r="E813" s="4">
        <f>_xlfn.XLOOKUP(Table1[[#This Row], [ROOM]],Sheet1!$A$47:$A$66,Sheet1!$B$47:$B$66)</f>
        <v>234</v>
      </c>
      <c r="F813" t="s">
        <v>58</v>
      </c>
      <c r="G813" s="4">
        <f>_xlfn.XLOOKUP(Table1[[#This Row], [DISGUISE]],Sheet1!$A$21:$A$23,Sheet1!$B$21:$B$23)*Table1[[#This Row], [NUM OF MEM]]*(1+_xlfn.XLOOKUP(Table1[[#This Row], [DISGUISE]],Sheet1!$A$21:$A$23,Sheet1!$C$21:$C$23))</f>
        <v>38400</v>
      </c>
      <c r="H813" s="13" t="s">
        <v>66</v>
      </c>
      <c r="I813" s="4">
        <f>_xlfn.XLOOKUP(Table1[[#This Row], [WEAPON]],Sheet1!$A$27:$A$29,Sheet1!$B$27:$B$29)*Table1[[#This Row], [NUM OF MEM]]*(1+_xlfn.XLOOKUP(Table1[[#This Row], [WEAPON]],Sheet1!$A$27:$A$29,Sheet1!$C$27:$C$29))</f>
        <v>108000</v>
      </c>
      <c r="J813" t="s">
        <v>60</v>
      </c>
      <c r="K813" s="9">
        <f>Table1[[#This Row], [NUM OF MEM]]*Table1[[#This Row], [TOTAL TIME TAKEN]]*_xlfn.XLOOKUP(Table1[[#This Row], [EXIT]],Sheet1!$A$70:$A$71,Sheet1!$B$70:$B$71)*(1+_xlfn.XLOOKUP(Table1[[#This Row], [EXIT]],Sheet1!$A$70:$A$71,Sheet1!$C$70:$C$71))</f>
        <v>1815755.9749999992</v>
      </c>
      <c r="L813" s="13" t="s">
        <v>65</v>
      </c>
      <c r="M813" s="4">
        <f>IF(Table1[[#This Row], [EQUIPMENT]]="YES",Sheet1!$C$44*(1+Sheet1!$D$44),0)</f>
        <v>307500</v>
      </c>
      <c r="N813" s="4">
        <f>_xlfn.XLOOKUP(Table1[[#This Row], [ROOM]],Sheet1!$A$47:$A$66,Sheet1!$F$47:$F$66)</f>
        <v>17900000</v>
      </c>
      <c r="O813" s="9">
        <f>_xlfn.XLOOKUP(_xlfn.CONCAT(Table1[[#This Row], [TEAM]],Table1[[#This Row], [ROOM]]),'ROOM TIME'!$H$2:$H$121,'ROOM TIME'!$J$2:$J$121)</f>
        <v>41.748888888888878</v>
      </c>
      <c r="P813" s="9">
        <f>(INDEX(Sheet1!$X$48:$Z$67,MATCH(Table1[[#This Row], [ROOM]],Sheet1!$P$48:$P$67,0),MATCH(Table1[[#This Row], [WEAPON]],Sheet1!$X$47:$Z$47,0)))/Table1[[#This Row], [NUM OF MEM]]</f>
        <v>5.416666666666667</v>
      </c>
      <c r="Q813" s="9">
        <f>Table1[[#This Row], [ROOM TIME]]+Table1[[#This Row], [GUARD TIME]]</f>
        <v>47.165555555555542</v>
      </c>
      <c r="R813" s="4">
        <f>Sheet1!$K$3*_xlfn.XLOOKUP(Table1[[#This Row], [DISGUISE]],Sheet1!$A$21:$A$23,Sheet1!$D$21:$D$23)</f>
        <v>69</v>
      </c>
      <c r="S813" s="9">
        <f>Table1[[#This Row], [TOTAL TIME]]-Table1[[#This Row], [TOTAL TIME TAKEN]]</f>
        <v>21.834444444444458</v>
      </c>
      <c r="T813" t="str">
        <f>IF(Table1[[#This Row], [TIME DIFFERENCE]]&gt;=0,"PASS","FAIL")</f>
        <v>PASS</v>
      </c>
      <c r="U813" s="9">
        <f>Table1[[#This Row], [TRC]]+Table1[[#This Row], [DRC]]+Table1[[#This Row], [WRC]]+Table1[[#This Row], [ERC]]+Table1[[#This Row], [EQRC]]</f>
        <v>8258405.9749999996</v>
      </c>
      <c r="V813" s="9">
        <f>Table1[[#This Row], [TOTAL COST]]+_xlfn.XLOOKUP(Table1[[#This Row], [TEAM]],Sheet1!$A$12:$A$17,Sheet1!$I$12:$I$17)</f>
        <v>8557843.4749999996</v>
      </c>
      <c r="W813" s="9">
        <f>Table1[[#This Row], [LOOT]]-Table1[[#This Row], [TOTAL COST]]</f>
        <v>9641594.0250000004</v>
      </c>
      <c r="X813" s="9">
        <f>IF(Table1[[#This Row], [PASS/FAIL]]="FAIL",0,Table1[[#This Row], [PROFIT]])</f>
        <v>9641594.0250000004</v>
      </c>
    </row>
    <row r="814" spans="1:24" ht="19.5" customHeight="1" x14ac:dyDescent="0.45">
      <c r="A814" t="s">
        <v>13</v>
      </c>
      <c r="B814" s="14">
        <f>_xlfn.XLOOKUP(Table1[[#This Row], [TEAM]],Sheet1!$A$12:$A$17,Sheet1!$F$12:$F$17)</f>
        <v>3</v>
      </c>
      <c r="C814" s="14">
        <f>_xlfn.XLOOKUP(Table1[[#This Row], [TEAM]],Sheet1!$A$12:$A$17,Sheet1!$G$12:$G$17)</f>
        <v>5930000</v>
      </c>
      <c r="D814" t="s">
        <v>21</v>
      </c>
      <c r="E814" s="4">
        <f>_xlfn.XLOOKUP(Table1[[#This Row], [ROOM]],Sheet1!$A$47:$A$66,Sheet1!$B$47:$B$66)</f>
        <v>234</v>
      </c>
      <c r="F814" t="s">
        <v>62</v>
      </c>
      <c r="G814" s="4">
        <f>_xlfn.XLOOKUP(Table1[[#This Row], [DISGUISE]],Sheet1!$A$21:$A$23,Sheet1!$B$21:$B$23)*Table1[[#This Row], [NUM OF MEM]]*(1+_xlfn.XLOOKUP(Table1[[#This Row], [DISGUISE]],Sheet1!$A$21:$A$23,Sheet1!$C$21:$C$23))</f>
        <v>15600</v>
      </c>
      <c r="H814" s="13" t="s">
        <v>59</v>
      </c>
      <c r="I814" s="4">
        <f>_xlfn.XLOOKUP(Table1[[#This Row], [WEAPON]],Sheet1!$A$27:$A$29,Sheet1!$B$27:$B$29)*Table1[[#This Row], [NUM OF MEM]]*(1+_xlfn.XLOOKUP(Table1[[#This Row], [WEAPON]],Sheet1!$A$27:$A$29,Sheet1!$C$27:$C$29))</f>
        <v>136500</v>
      </c>
      <c r="J814" t="s">
        <v>60</v>
      </c>
      <c r="K814" s="9">
        <f>Table1[[#This Row], [NUM OF MEM]]*Table1[[#This Row], [TOTAL TIME TAKEN]]*_xlfn.XLOOKUP(Table1[[#This Row], [EXIT]],Sheet1!$A$70:$A$71,Sheet1!$B$70:$B$71)*(1+_xlfn.XLOOKUP(Table1[[#This Row], [EXIT]],Sheet1!$A$70:$A$71,Sheet1!$C$70:$C$71))</f>
        <v>1869010.8499999999</v>
      </c>
      <c r="L814" s="13" t="s">
        <v>65</v>
      </c>
      <c r="M814" s="4">
        <f>IF(Table1[[#This Row], [EQUIPMENT]]="YES",Sheet1!$C$44*(1+Sheet1!$D$44),0)</f>
        <v>307500</v>
      </c>
      <c r="N814" s="4">
        <f>_xlfn.XLOOKUP(Table1[[#This Row], [ROOM]],Sheet1!$A$47:$A$66,Sheet1!$F$47:$F$66)</f>
        <v>17900000</v>
      </c>
      <c r="O814" s="9">
        <f>_xlfn.XLOOKUP(_xlfn.CONCAT(Table1[[#This Row], [TEAM]],Table1[[#This Row], [ROOM]]),'ROOM TIME'!$H$2:$H$121,'ROOM TIME'!$J$2:$J$121)</f>
        <v>43.565555555555555</v>
      </c>
      <c r="P814" s="9">
        <f>(INDEX(Sheet1!$X$48:$Z$67,MATCH(Table1[[#This Row], [ROOM]],Sheet1!$P$48:$P$67,0),MATCH(Table1[[#This Row], [WEAPON]],Sheet1!$X$47:$Z$47,0)))/Table1[[#This Row], [NUM OF MEM]]</f>
        <v>4.9833333333333334</v>
      </c>
      <c r="Q814" s="9">
        <f>Table1[[#This Row], [ROOM TIME]]+Table1[[#This Row], [GUARD TIME]]</f>
        <v>48.548888888888889</v>
      </c>
      <c r="R814" s="4">
        <f>Sheet1!$K$3*_xlfn.XLOOKUP(Table1[[#This Row], [DISGUISE]],Sheet1!$A$21:$A$23,Sheet1!$D$21:$D$23)</f>
        <v>66</v>
      </c>
      <c r="S814" s="9">
        <f>Table1[[#This Row], [TOTAL TIME]]-Table1[[#This Row], [TOTAL TIME TAKEN]]</f>
        <v>17.451111111111111</v>
      </c>
      <c r="T814" t="str">
        <f>IF(Table1[[#This Row], [TIME DIFFERENCE]]&gt;=0,"PASS","FAIL")</f>
        <v>PASS</v>
      </c>
      <c r="U814" s="9">
        <f>Table1[[#This Row], [TRC]]+Table1[[#This Row], [DRC]]+Table1[[#This Row], [WRC]]+Table1[[#This Row], [ERC]]+Table1[[#This Row], [EQRC]]</f>
        <v>8258610.8499999996</v>
      </c>
      <c r="V814" s="9">
        <f>Table1[[#This Row], [TOTAL COST]]+_xlfn.XLOOKUP(Table1[[#This Row], [TEAM]],Sheet1!$A$12:$A$17,Sheet1!$I$12:$I$17)</f>
        <v>8555110.8499999996</v>
      </c>
      <c r="W814" s="9">
        <f>Table1[[#This Row], [LOOT]]-Table1[[#This Row], [TOTAL COST]]</f>
        <v>9641389.1500000004</v>
      </c>
      <c r="X814" s="9">
        <f>IF(Table1[[#This Row], [PASS/FAIL]]="FAIL",0,Table1[[#This Row], [PROFIT]])</f>
        <v>9641389.1500000004</v>
      </c>
    </row>
    <row r="815" spans="1:24" ht="19.5" customHeight="1" x14ac:dyDescent="0.45">
      <c r="A815" t="s">
        <v>9</v>
      </c>
      <c r="B815" s="14">
        <f>_xlfn.XLOOKUP(Table1[[#This Row], [TEAM]],Sheet1!$A$12:$A$17,Sheet1!$F$12:$F$17)</f>
        <v>3</v>
      </c>
      <c r="C815" s="14">
        <f>_xlfn.XLOOKUP(Table1[[#This Row], [TEAM]],Sheet1!$A$12:$A$17,Sheet1!$G$12:$G$17)</f>
        <v>6238750</v>
      </c>
      <c r="D815" t="s">
        <v>29</v>
      </c>
      <c r="E815" s="4">
        <f>_xlfn.XLOOKUP(Table1[[#This Row], [ROOM]],Sheet1!$A$47:$A$66,Sheet1!$B$47:$B$66)</f>
        <v>236</v>
      </c>
      <c r="F815" t="s">
        <v>58</v>
      </c>
      <c r="G815" s="4">
        <f>_xlfn.XLOOKUP(Table1[[#This Row], [DISGUISE]],Sheet1!$A$21:$A$23,Sheet1!$B$21:$B$23)*Table1[[#This Row], [NUM OF MEM]]*(1+_xlfn.XLOOKUP(Table1[[#This Row], [DISGUISE]],Sheet1!$A$21:$A$23,Sheet1!$C$21:$C$23))</f>
        <v>38400</v>
      </c>
      <c r="H815" s="13" t="s">
        <v>59</v>
      </c>
      <c r="I815" s="4">
        <f>_xlfn.XLOOKUP(Table1[[#This Row], [WEAPON]],Sheet1!$A$27:$A$29,Sheet1!$B$27:$B$29)*Table1[[#This Row], [NUM OF MEM]]*(1+_xlfn.XLOOKUP(Table1[[#This Row], [WEAPON]],Sheet1!$A$27:$A$29,Sheet1!$C$27:$C$29))</f>
        <v>136500</v>
      </c>
      <c r="J815" t="s">
        <v>64</v>
      </c>
      <c r="K815" s="9">
        <f>Table1[[#This Row], [NUM OF MEM]]*Table1[[#This Row], [TOTAL TIME TAKEN]]*_xlfn.XLOOKUP(Table1[[#This Row], [EXIT]],Sheet1!$A$70:$A$71,Sheet1!$B$70:$B$71)*(1+_xlfn.XLOOKUP(Table1[[#This Row], [EXIT]],Sheet1!$A$70:$A$71,Sheet1!$C$70:$C$71))</f>
        <v>1637668.7999999993</v>
      </c>
      <c r="L815" s="13" t="s">
        <v>65</v>
      </c>
      <c r="M815" s="4">
        <f>IF(Table1[[#This Row], [EQUIPMENT]]="YES",Sheet1!$C$44*(1+Sheet1!$D$44),0)</f>
        <v>307500</v>
      </c>
      <c r="N815" s="4">
        <f>_xlfn.XLOOKUP(Table1[[#This Row], [ROOM]],Sheet1!$A$47:$A$66,Sheet1!$F$47:$F$66)</f>
        <v>18000000</v>
      </c>
      <c r="O815" s="9">
        <f>_xlfn.XLOOKUP(_xlfn.CONCAT(Table1[[#This Row], [TEAM]],Table1[[#This Row], [ROOM]]),'ROOM TIME'!$H$2:$H$121,'ROOM TIME'!$J$2:$J$121)</f>
        <v>37.137777777777764</v>
      </c>
      <c r="P815" s="9">
        <f>(INDEX(Sheet1!$X$48:$Z$67,MATCH(Table1[[#This Row], [ROOM]],Sheet1!$P$48:$P$67,0),MATCH(Table1[[#This Row], [WEAPON]],Sheet1!$X$47:$Z$47,0)))/Table1[[#This Row], [NUM OF MEM]]</f>
        <v>4.9833333333333334</v>
      </c>
      <c r="Q815" s="9">
        <f>Table1[[#This Row], [ROOM TIME]]+Table1[[#This Row], [GUARD TIME]]</f>
        <v>42.121111111111098</v>
      </c>
      <c r="R815" s="4">
        <f>Sheet1!$K$3*_xlfn.XLOOKUP(Table1[[#This Row], [DISGUISE]],Sheet1!$A$21:$A$23,Sheet1!$D$21:$D$23)</f>
        <v>69</v>
      </c>
      <c r="S815" s="9">
        <f>Table1[[#This Row], [TOTAL TIME]]-Table1[[#This Row], [TOTAL TIME TAKEN]]</f>
        <v>26.878888888888902</v>
      </c>
      <c r="T815" t="str">
        <f>IF(Table1[[#This Row], [TIME DIFFERENCE]]&gt;=0,"PASS","FAIL")</f>
        <v>PASS</v>
      </c>
      <c r="U815" s="9">
        <f>Table1[[#This Row], [TRC]]+Table1[[#This Row], [DRC]]+Table1[[#This Row], [WRC]]+Table1[[#This Row], [ERC]]+Table1[[#This Row], [EQRC]]</f>
        <v>8358818.7999999989</v>
      </c>
      <c r="V815" s="9">
        <f>Table1[[#This Row], [TOTAL COST]]+_xlfn.XLOOKUP(Table1[[#This Row], [TEAM]],Sheet1!$A$12:$A$17,Sheet1!$I$12:$I$17)</f>
        <v>8670756.2999999989</v>
      </c>
      <c r="W815" s="9">
        <f>Table1[[#This Row], [LOOT]]-Table1[[#This Row], [TOTAL COST]]</f>
        <v>9641181.2000000011</v>
      </c>
      <c r="X815" s="9">
        <f>IF(Table1[[#This Row], [PASS/FAIL]]="FAIL",0,Table1[[#This Row], [PROFIT]])</f>
        <v>9641181.2000000011</v>
      </c>
    </row>
    <row r="816" spans="1:24" ht="19.5" customHeight="1" x14ac:dyDescent="0.45">
      <c r="A816" t="s">
        <v>14</v>
      </c>
      <c r="B816" s="14">
        <f>_xlfn.XLOOKUP(Table1[[#This Row], [TEAM]],Sheet1!$A$12:$A$17,Sheet1!$F$12:$F$17)</f>
        <v>2</v>
      </c>
      <c r="C816" s="14">
        <f>_xlfn.XLOOKUP(Table1[[#This Row], [TEAM]],Sheet1!$A$12:$A$17,Sheet1!$G$12:$G$17)</f>
        <v>5949600</v>
      </c>
      <c r="D816" t="s">
        <v>11</v>
      </c>
      <c r="E816" s="4">
        <f>_xlfn.XLOOKUP(Table1[[#This Row], [ROOM]],Sheet1!$A$47:$A$66,Sheet1!$B$47:$B$66)</f>
        <v>124</v>
      </c>
      <c r="F816" t="s">
        <v>58</v>
      </c>
      <c r="G816" s="4">
        <f>_xlfn.XLOOKUP(Table1[[#This Row], [DISGUISE]],Sheet1!$A$21:$A$23,Sheet1!$B$21:$B$23)*Table1[[#This Row], [NUM OF MEM]]*(1+_xlfn.XLOOKUP(Table1[[#This Row], [DISGUISE]],Sheet1!$A$21:$A$23,Sheet1!$C$21:$C$23))</f>
        <v>25600</v>
      </c>
      <c r="H816" s="13" t="s">
        <v>59</v>
      </c>
      <c r="I816" s="4">
        <f>_xlfn.XLOOKUP(Table1[[#This Row], [WEAPON]],Sheet1!$A$27:$A$29,Sheet1!$B$27:$B$29)*Table1[[#This Row], [NUM OF MEM]]*(1+_xlfn.XLOOKUP(Table1[[#This Row], [WEAPON]],Sheet1!$A$27:$A$29,Sheet1!$C$27:$C$29))</f>
        <v>91000</v>
      </c>
      <c r="J816" t="s">
        <v>64</v>
      </c>
      <c r="K816" s="9">
        <f>Table1[[#This Row], [NUM OF MEM]]*Table1[[#This Row], [TOTAL TIME TAKEN]]*_xlfn.XLOOKUP(Table1[[#This Row], [EXIT]],Sheet1!$A$70:$A$71,Sheet1!$B$70:$B$71)*(1+_xlfn.XLOOKUP(Table1[[#This Row], [EXIT]],Sheet1!$A$70:$A$71,Sheet1!$C$70:$C$71))</f>
        <v>1742731.2</v>
      </c>
      <c r="L816" s="13" t="s">
        <v>61</v>
      </c>
      <c r="M816" s="4">
        <f>IF(Table1[[#This Row], [EQUIPMENT]]="YES",Sheet1!$C$44*(1+Sheet1!$D$44),0)</f>
        <v>0</v>
      </c>
      <c r="N816" s="4">
        <f>_xlfn.XLOOKUP(Table1[[#This Row], [ROOM]],Sheet1!$A$47:$A$66,Sheet1!$F$47:$F$66)</f>
        <v>17450000</v>
      </c>
      <c r="O816" s="9">
        <f>_xlfn.XLOOKUP(_xlfn.CONCAT(Table1[[#This Row], [TEAM]],Table1[[#This Row], [ROOM]]),'ROOM TIME'!$H$2:$H$121,'ROOM TIME'!$J$2:$J$121)</f>
        <v>60.91</v>
      </c>
      <c r="P816" s="9">
        <f>(INDEX(Sheet1!$X$48:$Z$67,MATCH(Table1[[#This Row], [ROOM]],Sheet1!$P$48:$P$67,0),MATCH(Table1[[#This Row], [WEAPON]],Sheet1!$X$47:$Z$47,0)))/Table1[[#This Row], [NUM OF MEM]]</f>
        <v>6.3249999999999993</v>
      </c>
      <c r="Q816" s="9">
        <f>Table1[[#This Row], [ROOM TIME]]+Table1[[#This Row], [GUARD TIME]]</f>
        <v>67.234999999999999</v>
      </c>
      <c r="R816" s="4">
        <f>Sheet1!$K$3*_xlfn.XLOOKUP(Table1[[#This Row], [DISGUISE]],Sheet1!$A$21:$A$23,Sheet1!$D$21:$D$23)</f>
        <v>69</v>
      </c>
      <c r="S816" s="9">
        <f>Table1[[#This Row], [TOTAL TIME]]-Table1[[#This Row], [TOTAL TIME TAKEN]]</f>
        <v>1.7650000000000006</v>
      </c>
      <c r="T816" t="str">
        <f>IF(Table1[[#This Row], [TIME DIFFERENCE]]&gt;=0,"PASS","FAIL")</f>
        <v>PASS</v>
      </c>
      <c r="U816" s="9">
        <f>Table1[[#This Row], [TRC]]+Table1[[#This Row], [DRC]]+Table1[[#This Row], [WRC]]+Table1[[#This Row], [ERC]]+Table1[[#This Row], [EQRC]]</f>
        <v>7808931.2000000002</v>
      </c>
      <c r="V816" s="9">
        <f>Table1[[#This Row], [TOTAL COST]]+_xlfn.XLOOKUP(Table1[[#This Row], [TEAM]],Sheet1!$A$12:$A$17,Sheet1!$I$12:$I$17)</f>
        <v>8106411.2000000002</v>
      </c>
      <c r="W816" s="9">
        <f>Table1[[#This Row], [LOOT]]-Table1[[#This Row], [TOTAL COST]]</f>
        <v>9641068.8000000007</v>
      </c>
      <c r="X816" s="9">
        <f>IF(Table1[[#This Row], [PASS/FAIL]]="FAIL",0,Table1[[#This Row], [PROFIT]])</f>
        <v>9641068.8000000007</v>
      </c>
    </row>
    <row r="817" spans="1:24" ht="19.5" customHeight="1" x14ac:dyDescent="0.45">
      <c r="A817" t="s">
        <v>9</v>
      </c>
      <c r="B817" s="14">
        <f>_xlfn.XLOOKUP(Table1[[#This Row], [TEAM]],Sheet1!$A$12:$A$17,Sheet1!$F$12:$F$17)</f>
        <v>3</v>
      </c>
      <c r="C817" s="14">
        <f>_xlfn.XLOOKUP(Table1[[#This Row], [TEAM]],Sheet1!$A$12:$A$17,Sheet1!$G$12:$G$17)</f>
        <v>6238750</v>
      </c>
      <c r="D817" t="s">
        <v>19</v>
      </c>
      <c r="E817" s="4">
        <f>_xlfn.XLOOKUP(Table1[[#This Row], [ROOM]],Sheet1!$A$47:$A$66,Sheet1!$B$47:$B$66)</f>
        <v>135</v>
      </c>
      <c r="F817" t="s">
        <v>62</v>
      </c>
      <c r="G817" s="4">
        <f>_xlfn.XLOOKUP(Table1[[#This Row], [DISGUISE]],Sheet1!$A$21:$A$23,Sheet1!$B$21:$B$23)*Table1[[#This Row], [NUM OF MEM]]*(1+_xlfn.XLOOKUP(Table1[[#This Row], [DISGUISE]],Sheet1!$A$21:$A$23,Sheet1!$C$21:$C$23))</f>
        <v>15600</v>
      </c>
      <c r="H817" s="13" t="s">
        <v>63</v>
      </c>
      <c r="I817" s="4">
        <f>_xlfn.XLOOKUP(Table1[[#This Row], [WEAPON]],Sheet1!$A$27:$A$29,Sheet1!$B$27:$B$29)*Table1[[#This Row], [NUM OF MEM]]*(1+_xlfn.XLOOKUP(Table1[[#This Row], [WEAPON]],Sheet1!$A$27:$A$29,Sheet1!$C$27:$C$29))</f>
        <v>69000</v>
      </c>
      <c r="J817" t="s">
        <v>60</v>
      </c>
      <c r="K817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1678469.6124999996</v>
      </c>
      <c r="L817" s="13" t="s">
        <v>65</v>
      </c>
      <c r="M817" s="4">
        <f>IF(Table1[[#This Row], [EQUIPMENT]]="YES",Sheet1!$C$44*(1+Sheet1!$D$44),0)</f>
        <v>307500</v>
      </c>
      <c r="N817" s="4">
        <f>_xlfn.XLOOKUP(Table1[[#This Row], [ROOM]],Sheet1!$A$47:$A$66,Sheet1!$F$47:$F$66)</f>
        <v>17950000</v>
      </c>
      <c r="O817" s="9">
        <f>_xlfn.XLOOKUP(_xlfn.CONCAT(Table1[[#This Row], [TEAM]],Table1[[#This Row], [ROOM]]),'ROOM TIME'!$H$2:$H$121,'ROOM TIME'!$J$2:$J$121)</f>
        <v>38.649444444444434</v>
      </c>
      <c r="P817" s="9">
        <f>(INDEX(Sheet1!$X$48:$Z$67,MATCH(Table1[[#This Row], [ROOM]],Sheet1!$P$48:$P$67,0),MATCH(Table1[[#This Row], [WEAPON]],Sheet1!$X$47:$Z$47,0)))/Table1[[#This Row], [NUM OF MEM]]</f>
        <v>4.95</v>
      </c>
      <c r="Q817" s="9">
        <f>Table1[[#This Row], [ROOM TIME]]+Table1[[#This Row], [GUARD TIME]]</f>
        <v>43.599444444444437</v>
      </c>
      <c r="R817" s="4">
        <f>Sheet1!$K$3*_xlfn.XLOOKUP(Table1[[#This Row], [DISGUISE]],Sheet1!$A$21:$A$23,Sheet1!$D$21:$D$23)</f>
        <v>66</v>
      </c>
      <c r="S817" s="9">
        <f>Table1[[#This Row], [TOTAL TIME]]-Table1[[#This Row], [TOTAL TIME TAKEN]]</f>
        <v>22.400555555555563</v>
      </c>
      <c r="T817" t="str">
        <f>IF(Table1[[#This Row], [TIME DIFFERENCE]]&gt;=0,"PASS","FAIL")</f>
        <v>PASS</v>
      </c>
      <c r="U817" s="9">
        <f>Table1[[#This Row], [TRC]]+Table1[[#This Row], [DRC]]+Table1[[#This Row], [WRC]]+Table1[[#This Row], [ERC]]+Table1[[#This Row], [EQRC]]</f>
        <v>8309319.6124999998</v>
      </c>
      <c r="V817" s="9">
        <f>Table1[[#This Row], [TOTAL COST]]+_xlfn.XLOOKUP(Table1[[#This Row], [TEAM]],Sheet1!$A$12:$A$17,Sheet1!$I$12:$I$17)</f>
        <v>8621257.1125000007</v>
      </c>
      <c r="W817" s="9">
        <f>Table1[[#This Row], [LOOT]]-Table1[[#This Row], [TOTAL COST]]</f>
        <v>9640680.3874999993</v>
      </c>
      <c r="X817" s="9">
        <f>IF(Table1[[#This Row], [PASS/FAIL]]="FAIL",0,Table1[[#This Row], [PROFIT]])</f>
        <v>9640680.3874999993</v>
      </c>
    </row>
    <row r="818" spans="1:24" ht="19.5" customHeight="1" x14ac:dyDescent="0.45">
      <c r="A818" t="s">
        <v>13</v>
      </c>
      <c r="B818" s="14">
        <f>_xlfn.XLOOKUP(Table1[[#This Row], [TEAM]],Sheet1!$A$12:$A$17,Sheet1!$F$12:$F$17)</f>
        <v>3</v>
      </c>
      <c r="C818" s="14">
        <f>_xlfn.XLOOKUP(Table1[[#This Row], [TEAM]],Sheet1!$A$12:$A$17,Sheet1!$G$12:$G$17)</f>
        <v>5930000</v>
      </c>
      <c r="D818" t="s">
        <v>34</v>
      </c>
      <c r="E818" s="4">
        <f>_xlfn.XLOOKUP(Table1[[#This Row], [ROOM]],Sheet1!$A$47:$A$66,Sheet1!$B$47:$B$66)</f>
        <v>456</v>
      </c>
      <c r="F818" t="s">
        <v>58</v>
      </c>
      <c r="G818" s="4">
        <f>_xlfn.XLOOKUP(Table1[[#This Row], [DISGUISE]],Sheet1!$A$21:$A$23,Sheet1!$B$21:$B$23)*Table1[[#This Row], [NUM OF MEM]]*(1+_xlfn.XLOOKUP(Table1[[#This Row], [DISGUISE]],Sheet1!$A$21:$A$23,Sheet1!$C$21:$C$23))</f>
        <v>38400</v>
      </c>
      <c r="H818" s="13" t="s">
        <v>59</v>
      </c>
      <c r="I818" s="4">
        <f>_xlfn.XLOOKUP(Table1[[#This Row], [WEAPON]],Sheet1!$A$27:$A$29,Sheet1!$B$27:$B$29)*Table1[[#This Row], [NUM OF MEM]]*(1+_xlfn.XLOOKUP(Table1[[#This Row], [WEAPON]],Sheet1!$A$27:$A$29,Sheet1!$C$27:$C$29))</f>
        <v>136500</v>
      </c>
      <c r="J818" t="s">
        <v>60</v>
      </c>
      <c r="K818" s="9">
        <f>Table1[[#This Row], [NUM OF MEM]]*Table1[[#This Row], [TOTAL TIME TAKEN]]*_xlfn.XLOOKUP(Table1[[#This Row], [EXIT]],Sheet1!$A$70:$A$71,Sheet1!$B$70:$B$71)*(1+_xlfn.XLOOKUP(Table1[[#This Row], [EXIT]],Sheet1!$A$70:$A$71,Sheet1!$C$70:$C$71))</f>
        <v>1647329.4124999996</v>
      </c>
      <c r="L818" s="13" t="s">
        <v>65</v>
      </c>
      <c r="M818" s="4">
        <f>IF(Table1[[#This Row], [EQUIPMENT]]="YES",Sheet1!$C$44*(1+Sheet1!$D$44),0)</f>
        <v>307500</v>
      </c>
      <c r="N818" s="4">
        <f>_xlfn.XLOOKUP(Table1[[#This Row], [ROOM]],Sheet1!$A$47:$A$66,Sheet1!$F$47:$F$66)</f>
        <v>17700000</v>
      </c>
      <c r="O818" s="9">
        <f>_xlfn.XLOOKUP(_xlfn.CONCAT(Table1[[#This Row], [TEAM]],Table1[[#This Row], [ROOM]]),'ROOM TIME'!$H$2:$H$121,'ROOM TIME'!$J$2:$J$121)</f>
        <v>38.573888888888881</v>
      </c>
      <c r="P818" s="9">
        <f>(INDEX(Sheet1!$X$48:$Z$67,MATCH(Table1[[#This Row], [ROOM]],Sheet1!$P$48:$P$67,0),MATCH(Table1[[#This Row], [WEAPON]],Sheet1!$X$47:$Z$47,0)))/Table1[[#This Row], [NUM OF MEM]]</f>
        <v>4.2166666666666659</v>
      </c>
      <c r="Q818" s="9">
        <f>Table1[[#This Row], [ROOM TIME]]+Table1[[#This Row], [GUARD TIME]]</f>
        <v>42.790555555555549</v>
      </c>
      <c r="R818" s="4">
        <f>Sheet1!$K$3*_xlfn.XLOOKUP(Table1[[#This Row], [DISGUISE]],Sheet1!$A$21:$A$23,Sheet1!$D$21:$D$23)</f>
        <v>69</v>
      </c>
      <c r="S818" s="9">
        <f>Table1[[#This Row], [TOTAL TIME]]-Table1[[#This Row], [TOTAL TIME TAKEN]]</f>
        <v>26.209444444444451</v>
      </c>
      <c r="T818" t="str">
        <f>IF(Table1[[#This Row], [TIME DIFFERENCE]]&gt;=0,"PASS","FAIL")</f>
        <v>PASS</v>
      </c>
      <c r="U818" s="9">
        <f>Table1[[#This Row], [TRC]]+Table1[[#This Row], [DRC]]+Table1[[#This Row], [WRC]]+Table1[[#This Row], [ERC]]+Table1[[#This Row], [EQRC]]</f>
        <v>8059729.4124999996</v>
      </c>
      <c r="V818" s="9">
        <f>Table1[[#This Row], [TOTAL COST]]+_xlfn.XLOOKUP(Table1[[#This Row], [TEAM]],Sheet1!$A$12:$A$17,Sheet1!$I$12:$I$17)</f>
        <v>8356229.4124999996</v>
      </c>
      <c r="W818" s="9">
        <f>Table1[[#This Row], [LOOT]]-Table1[[#This Row], [TOTAL COST]]</f>
        <v>9640270.5875000004</v>
      </c>
      <c r="X818" s="9">
        <f>IF(Table1[[#This Row], [PASS/FAIL]]="FAIL",0,Table1[[#This Row], [PROFIT]])</f>
        <v>9640270.5875000004</v>
      </c>
    </row>
    <row r="819" spans="1:24" ht="19.5" customHeight="1" x14ac:dyDescent="0.45">
      <c r="A819" t="s">
        <v>14</v>
      </c>
      <c r="B819" s="14">
        <f>_xlfn.XLOOKUP(Table1[[#This Row], [TEAM]],Sheet1!$A$12:$A$17,Sheet1!$F$12:$F$17)</f>
        <v>2</v>
      </c>
      <c r="C819" s="14">
        <f>_xlfn.XLOOKUP(Table1[[#This Row], [TEAM]],Sheet1!$A$12:$A$17,Sheet1!$G$12:$G$17)</f>
        <v>5949600</v>
      </c>
      <c r="D819" t="s">
        <v>23</v>
      </c>
      <c r="E819" s="4">
        <f>_xlfn.XLOOKUP(Table1[[#This Row], [ROOM]],Sheet1!$A$47:$A$66,Sheet1!$B$47:$B$66)</f>
        <v>245</v>
      </c>
      <c r="F819" t="s">
        <v>58</v>
      </c>
      <c r="G819" s="4">
        <f>_xlfn.XLOOKUP(Table1[[#This Row], [DISGUISE]],Sheet1!$A$21:$A$23,Sheet1!$B$21:$B$23)*Table1[[#This Row], [NUM OF MEM]]*(1+_xlfn.XLOOKUP(Table1[[#This Row], [DISGUISE]],Sheet1!$A$21:$A$23,Sheet1!$C$21:$C$23))</f>
        <v>25600</v>
      </c>
      <c r="H819" s="13" t="s">
        <v>63</v>
      </c>
      <c r="I819" s="4">
        <f>_xlfn.XLOOKUP(Table1[[#This Row], [WEAPON]],Sheet1!$A$27:$A$29,Sheet1!$B$27:$B$29)*Table1[[#This Row], [NUM OF MEM]]*(1+_xlfn.XLOOKUP(Table1[[#This Row], [WEAPON]],Sheet1!$A$27:$A$29,Sheet1!$C$27:$C$29))</f>
        <v>46000</v>
      </c>
      <c r="J819" t="s">
        <v>60</v>
      </c>
      <c r="K819" s="9">
        <f>Table1[[#This Row], [NUM OF MEM]]*Table1[[#This Row], [TOTAL TIME TAKEN]]*_xlfn.XLOOKUP(Table1[[#This Row], [EXIT]],Sheet1!$A$70:$A$71,Sheet1!$B$70:$B$71)*(1+_xlfn.XLOOKUP(Table1[[#This Row], [EXIT]],Sheet1!$A$70:$A$71,Sheet1!$C$70:$C$71))</f>
        <v>1738611.2624999993</v>
      </c>
      <c r="L819" s="13" t="s">
        <v>61</v>
      </c>
      <c r="M819" s="4">
        <f>IF(Table1[[#This Row], [EQUIPMENT]]="YES",Sheet1!$C$44*(1+Sheet1!$D$44),0)</f>
        <v>0</v>
      </c>
      <c r="N819" s="4">
        <f>_xlfn.XLOOKUP(Table1[[#This Row], [ROOM]],Sheet1!$A$47:$A$66,Sheet1!$F$47:$F$66)</f>
        <v>17400000</v>
      </c>
      <c r="O819" s="9">
        <f>_xlfn.XLOOKUP(_xlfn.CONCAT(Table1[[#This Row], [TEAM]],Table1[[#This Row], [ROOM]]),'ROOM TIME'!$H$2:$H$121,'ROOM TIME'!$J$2:$J$121)</f>
        <v>60.317499999999981</v>
      </c>
      <c r="P819" s="9">
        <f>(INDEX(Sheet1!$X$48:$Z$67,MATCH(Table1[[#This Row], [ROOM]],Sheet1!$P$48:$P$67,0),MATCH(Table1[[#This Row], [WEAPON]],Sheet1!$X$47:$Z$47,0)))/Table1[[#This Row], [NUM OF MEM]]</f>
        <v>7.4250000000000007</v>
      </c>
      <c r="Q819" s="9">
        <f>Table1[[#This Row], [ROOM TIME]]+Table1[[#This Row], [GUARD TIME]]</f>
        <v>67.742499999999978</v>
      </c>
      <c r="R819" s="4">
        <f>Sheet1!$K$3*_xlfn.XLOOKUP(Table1[[#This Row], [DISGUISE]],Sheet1!$A$21:$A$23,Sheet1!$D$21:$D$23)</f>
        <v>69</v>
      </c>
      <c r="S819" s="9">
        <f>Table1[[#This Row], [TOTAL TIME]]-Table1[[#This Row], [TOTAL TIME TAKEN]]</f>
        <v>1.2575000000000216</v>
      </c>
      <c r="T819" t="str">
        <f>IF(Table1[[#This Row], [TIME DIFFERENCE]]&gt;=0,"PASS","FAIL")</f>
        <v>PASS</v>
      </c>
      <c r="U819" s="9">
        <f>Table1[[#This Row], [TRC]]+Table1[[#This Row], [DRC]]+Table1[[#This Row], [WRC]]+Table1[[#This Row], [ERC]]+Table1[[#This Row], [EQRC]]</f>
        <v>7759811.2624999993</v>
      </c>
      <c r="V819" s="9">
        <f>Table1[[#This Row], [TOTAL COST]]+_xlfn.XLOOKUP(Table1[[#This Row], [TEAM]],Sheet1!$A$12:$A$17,Sheet1!$I$12:$I$17)</f>
        <v>8057291.2624999993</v>
      </c>
      <c r="W819" s="9">
        <f>Table1[[#This Row], [LOOT]]-Table1[[#This Row], [TOTAL COST]]</f>
        <v>9640188.7375000007</v>
      </c>
      <c r="X819" s="9">
        <f>IF(Table1[[#This Row], [PASS/FAIL]]="FAIL",0,Table1[[#This Row], [PROFIT]])</f>
        <v>9640188.7375000007</v>
      </c>
    </row>
    <row r="820" spans="1:24" ht="19.5" customHeight="1" x14ac:dyDescent="0.45">
      <c r="A820" t="s">
        <v>13</v>
      </c>
      <c r="B820" s="14">
        <f>_xlfn.XLOOKUP(Table1[[#This Row], [TEAM]],Sheet1!$A$12:$A$17,Sheet1!$F$12:$F$17)</f>
        <v>3</v>
      </c>
      <c r="C820" s="14">
        <f>_xlfn.XLOOKUP(Table1[[#This Row], [TEAM]],Sheet1!$A$12:$A$17,Sheet1!$G$12:$G$17)</f>
        <v>5930000</v>
      </c>
      <c r="D820" t="s">
        <v>28</v>
      </c>
      <c r="E820" s="4">
        <f>_xlfn.XLOOKUP(Table1[[#This Row], [ROOM]],Sheet1!$A$47:$A$66,Sheet1!$B$47:$B$66)</f>
        <v>156</v>
      </c>
      <c r="F820" t="s">
        <v>62</v>
      </c>
      <c r="G820" s="4">
        <f>_xlfn.XLOOKUP(Table1[[#This Row], [DISGUISE]],Sheet1!$A$21:$A$23,Sheet1!$B$21:$B$23)*Table1[[#This Row], [NUM OF MEM]]*(1+_xlfn.XLOOKUP(Table1[[#This Row], [DISGUISE]],Sheet1!$A$21:$A$23,Sheet1!$C$21:$C$23))</f>
        <v>15600</v>
      </c>
      <c r="H820" s="13" t="s">
        <v>66</v>
      </c>
      <c r="I820" s="4">
        <f>_xlfn.XLOOKUP(Table1[[#This Row], [WEAPON]],Sheet1!$A$27:$A$29,Sheet1!$B$27:$B$29)*Table1[[#This Row], [NUM OF MEM]]*(1+_xlfn.XLOOKUP(Table1[[#This Row], [WEAPON]],Sheet1!$A$27:$A$29,Sheet1!$C$27:$C$29))</f>
        <v>108000</v>
      </c>
      <c r="J820" t="s">
        <v>60</v>
      </c>
      <c r="K820" s="9">
        <f>Table1[[#This Row], [NUM OF MEM]]*Table1[[#This Row], [TOTAL TIME TAKEN]]*_xlfn.XLOOKUP(Table1[[#This Row], [EXIT]],Sheet1!$A$70:$A$71,Sheet1!$B$70:$B$71)*(1+_xlfn.XLOOKUP(Table1[[#This Row], [EXIT]],Sheet1!$A$70:$A$71,Sheet1!$C$70:$C$71))</f>
        <v>1648826.5374999992</v>
      </c>
      <c r="L820" s="13" t="s">
        <v>65</v>
      </c>
      <c r="M820" s="4">
        <f>IF(Table1[[#This Row], [EQUIPMENT]]="YES",Sheet1!$C$44*(1+Sheet1!$D$44),0)</f>
        <v>307500</v>
      </c>
      <c r="N820" s="4">
        <f>_xlfn.XLOOKUP(Table1[[#This Row], [ROOM]],Sheet1!$A$47:$A$66,Sheet1!$F$47:$F$66)</f>
        <v>17650000</v>
      </c>
      <c r="O820" s="9">
        <f>_xlfn.XLOOKUP(_xlfn.CONCAT(Table1[[#This Row], [TEAM]],Table1[[#This Row], [ROOM]]),'ROOM TIME'!$H$2:$H$121,'ROOM TIME'!$J$2:$J$121)</f>
        <v>38.662777777777769</v>
      </c>
      <c r="P820" s="9">
        <f>(INDEX(Sheet1!$X$48:$Z$67,MATCH(Table1[[#This Row], [ROOM]],Sheet1!$P$48:$P$67,0),MATCH(Table1[[#This Row], [WEAPON]],Sheet1!$X$47:$Z$47,0)))/Table1[[#This Row], [NUM OF MEM]]</f>
        <v>4.166666666666667</v>
      </c>
      <c r="Q820" s="9">
        <f>Table1[[#This Row], [ROOM TIME]]+Table1[[#This Row], [GUARD TIME]]</f>
        <v>42.829444444444434</v>
      </c>
      <c r="R820" s="4">
        <f>Sheet1!$K$3*_xlfn.XLOOKUP(Table1[[#This Row], [DISGUISE]],Sheet1!$A$21:$A$23,Sheet1!$D$21:$D$23)</f>
        <v>66</v>
      </c>
      <c r="S820" s="9">
        <f>Table1[[#This Row], [TOTAL TIME]]-Table1[[#This Row], [TOTAL TIME TAKEN]]</f>
        <v>23.170555555555566</v>
      </c>
      <c r="T820" t="str">
        <f>IF(Table1[[#This Row], [TIME DIFFERENCE]]&gt;=0,"PASS","FAIL")</f>
        <v>PASS</v>
      </c>
      <c r="U820" s="9">
        <f>Table1[[#This Row], [TRC]]+Table1[[#This Row], [DRC]]+Table1[[#This Row], [WRC]]+Table1[[#This Row], [ERC]]+Table1[[#This Row], [EQRC]]</f>
        <v>8009926.5374999996</v>
      </c>
      <c r="V820" s="9">
        <f>Table1[[#This Row], [TOTAL COST]]+_xlfn.XLOOKUP(Table1[[#This Row], [TEAM]],Sheet1!$A$12:$A$17,Sheet1!$I$12:$I$17)</f>
        <v>8306426.5374999996</v>
      </c>
      <c r="W820" s="9">
        <f>Table1[[#This Row], [LOOT]]-Table1[[#This Row], [TOTAL COST]]</f>
        <v>9640073.4625000004</v>
      </c>
      <c r="X820" s="9">
        <f>IF(Table1[[#This Row], [PASS/FAIL]]="FAIL",0,Table1[[#This Row], [PROFIT]])</f>
        <v>9640073.4625000004</v>
      </c>
    </row>
    <row r="821" spans="1:24" ht="19.5" customHeight="1" x14ac:dyDescent="0.45">
      <c r="A821" t="s">
        <v>13</v>
      </c>
      <c r="B821" s="14">
        <f>_xlfn.XLOOKUP(Table1[[#This Row], [TEAM]],Sheet1!$A$12:$A$17,Sheet1!$F$12:$F$17)</f>
        <v>3</v>
      </c>
      <c r="C821" s="14">
        <f>_xlfn.XLOOKUP(Table1[[#This Row], [TEAM]],Sheet1!$A$12:$A$17,Sheet1!$G$12:$G$17)</f>
        <v>5930000</v>
      </c>
      <c r="D821" t="s">
        <v>10</v>
      </c>
      <c r="E821" s="4">
        <f>_xlfn.XLOOKUP(Table1[[#This Row], [ROOM]],Sheet1!$A$47:$A$66,Sheet1!$B$47:$B$66)</f>
        <v>123</v>
      </c>
      <c r="F821" t="s">
        <v>62</v>
      </c>
      <c r="G821" s="4">
        <f>_xlfn.XLOOKUP(Table1[[#This Row], [DISGUISE]],Sheet1!$A$21:$A$23,Sheet1!$B$21:$B$23)*Table1[[#This Row], [NUM OF MEM]]*(1+_xlfn.XLOOKUP(Table1[[#This Row], [DISGUISE]],Sheet1!$A$21:$A$23,Sheet1!$C$21:$C$23))</f>
        <v>15600</v>
      </c>
      <c r="H821" s="13" t="s">
        <v>63</v>
      </c>
      <c r="I821" s="4">
        <f>_xlfn.XLOOKUP(Table1[[#This Row], [WEAPON]],Sheet1!$A$27:$A$29,Sheet1!$B$27:$B$29)*Table1[[#This Row], [NUM OF MEM]]*(1+_xlfn.XLOOKUP(Table1[[#This Row], [WEAPON]],Sheet1!$A$27:$A$29,Sheet1!$C$27:$C$29))</f>
        <v>69000</v>
      </c>
      <c r="J821" t="s">
        <v>60</v>
      </c>
      <c r="K821" s="9">
        <f>Table1[[#This Row], [NUM OF MEM]]*Table1[[#This Row], [TOTAL TIME TAKEN]]*_xlfn.XLOOKUP(Table1[[#This Row], [EXIT]],Sheet1!$A$70:$A$71,Sheet1!$B$70:$B$71)*(1+_xlfn.XLOOKUP(Table1[[#This Row], [EXIT]],Sheet1!$A$70:$A$71,Sheet1!$C$70:$C$71))</f>
        <v>1888473.4749999996</v>
      </c>
      <c r="L821" s="13" t="s">
        <v>65</v>
      </c>
      <c r="M821" s="4">
        <f>IF(Table1[[#This Row], [EQUIPMENT]]="YES",Sheet1!$C$44*(1+Sheet1!$D$44),0)</f>
        <v>307500</v>
      </c>
      <c r="N821" s="4">
        <f>_xlfn.XLOOKUP(Table1[[#This Row], [ROOM]],Sheet1!$A$47:$A$66,Sheet1!$F$47:$F$66)</f>
        <v>17850000</v>
      </c>
      <c r="O821" s="9">
        <f>_xlfn.XLOOKUP(_xlfn.CONCAT(Table1[[#This Row], [TEAM]],Table1[[#This Row], [ROOM]]),'ROOM TIME'!$H$2:$H$121,'ROOM TIME'!$J$2:$J$121)</f>
        <v>43.654444444444437</v>
      </c>
      <c r="P821" s="9">
        <f>(INDEX(Sheet1!$X$48:$Z$67,MATCH(Table1[[#This Row], [ROOM]],Sheet1!$P$48:$P$67,0),MATCH(Table1[[#This Row], [WEAPON]],Sheet1!$X$47:$Z$47,0)))/Table1[[#This Row], [NUM OF MEM]]</f>
        <v>5.4000000000000012</v>
      </c>
      <c r="Q821" s="9">
        <f>Table1[[#This Row], [ROOM TIME]]+Table1[[#This Row], [GUARD TIME]]</f>
        <v>49.054444444444435</v>
      </c>
      <c r="R821" s="4">
        <f>Sheet1!$K$3*_xlfn.XLOOKUP(Table1[[#This Row], [DISGUISE]],Sheet1!$A$21:$A$23,Sheet1!$D$21:$D$23)</f>
        <v>66</v>
      </c>
      <c r="S821" s="9">
        <f>Table1[[#This Row], [TOTAL TIME]]-Table1[[#This Row], [TOTAL TIME TAKEN]]</f>
        <v>16.945555555555565</v>
      </c>
      <c r="T821" t="str">
        <f>IF(Table1[[#This Row], [TIME DIFFERENCE]]&gt;=0,"PASS","FAIL")</f>
        <v>PASS</v>
      </c>
      <c r="U821" s="9">
        <f>Table1[[#This Row], [TRC]]+Table1[[#This Row], [DRC]]+Table1[[#This Row], [WRC]]+Table1[[#This Row], [ERC]]+Table1[[#This Row], [EQRC]]</f>
        <v>8210573.4749999996</v>
      </c>
      <c r="V821" s="9">
        <f>Table1[[#This Row], [TOTAL COST]]+_xlfn.XLOOKUP(Table1[[#This Row], [TEAM]],Sheet1!$A$12:$A$17,Sheet1!$I$12:$I$17)</f>
        <v>8507073.4749999996</v>
      </c>
      <c r="W821" s="9">
        <f>Table1[[#This Row], [LOOT]]-Table1[[#This Row], [TOTAL COST]]</f>
        <v>9639426.5250000004</v>
      </c>
      <c r="X821" s="9">
        <f>IF(Table1[[#This Row], [PASS/FAIL]]="FAIL",0,Table1[[#This Row], [PROFIT]])</f>
        <v>9639426.5250000004</v>
      </c>
    </row>
    <row r="822" spans="1:24" ht="19.5" customHeight="1" x14ac:dyDescent="0.45">
      <c r="A822" t="s">
        <v>16</v>
      </c>
      <c r="B822" s="14">
        <f>_xlfn.XLOOKUP(Table1[[#This Row], [TEAM]],Sheet1!$A$12:$A$17,Sheet1!$F$12:$F$17)</f>
        <v>2</v>
      </c>
      <c r="C822" s="14">
        <f>_xlfn.XLOOKUP(Table1[[#This Row], [TEAM]],Sheet1!$A$12:$A$17,Sheet1!$G$12:$G$17)</f>
        <v>6082800</v>
      </c>
      <c r="D822" t="s">
        <v>27</v>
      </c>
      <c r="E822" s="4">
        <f>_xlfn.XLOOKUP(Table1[[#This Row], [ROOM]],Sheet1!$A$47:$A$66,Sheet1!$B$47:$B$66)</f>
        <v>146</v>
      </c>
      <c r="F822" t="s">
        <v>58</v>
      </c>
      <c r="G822" s="4">
        <f>_xlfn.XLOOKUP(Table1[[#This Row], [DISGUISE]],Sheet1!$A$21:$A$23,Sheet1!$B$21:$B$23)*Table1[[#This Row], [NUM OF MEM]]*(1+_xlfn.XLOOKUP(Table1[[#This Row], [DISGUISE]],Sheet1!$A$21:$A$23,Sheet1!$C$21:$C$23))</f>
        <v>25600</v>
      </c>
      <c r="H822" s="13" t="s">
        <v>66</v>
      </c>
      <c r="I822" s="4">
        <f>_xlfn.XLOOKUP(Table1[[#This Row], [WEAPON]],Sheet1!$A$27:$A$29,Sheet1!$B$27:$B$29)*Table1[[#This Row], [NUM OF MEM]]*(1+_xlfn.XLOOKUP(Table1[[#This Row], [WEAPON]],Sheet1!$A$27:$A$29,Sheet1!$C$27:$C$29))</f>
        <v>72000</v>
      </c>
      <c r="J822" t="s">
        <v>60</v>
      </c>
      <c r="K822" s="9">
        <f>Table1[[#This Row], [NUM OF MEM]]*Table1[[#This Row], [TOTAL TIME TAKEN]]*_xlfn.XLOOKUP(Table1[[#This Row], [EXIT]],Sheet1!$A$70:$A$71,Sheet1!$B$70:$B$71)*(1+_xlfn.XLOOKUP(Table1[[#This Row], [EXIT]],Sheet1!$A$70:$A$71,Sheet1!$C$70:$C$71))</f>
        <v>1623471.6562499993</v>
      </c>
      <c r="L822" s="13" t="s">
        <v>65</v>
      </c>
      <c r="M822" s="4">
        <f>IF(Table1[[#This Row], [EQUIPMENT]]="YES",Sheet1!$C$44*(1+Sheet1!$D$44),0)</f>
        <v>307500</v>
      </c>
      <c r="N822" s="4">
        <f>_xlfn.XLOOKUP(Table1[[#This Row], [ROOM]],Sheet1!$A$47:$A$66,Sheet1!$F$47:$F$66)</f>
        <v>17750000</v>
      </c>
      <c r="O822" s="9">
        <f>_xlfn.XLOOKUP(_xlfn.CONCAT(Table1[[#This Row], [TEAM]],Table1[[#This Row], [ROOM]]),'ROOM TIME'!$H$2:$H$121,'ROOM TIME'!$J$2:$J$121)</f>
        <v>56.38124999999998</v>
      </c>
      <c r="P822" s="9">
        <f>(INDEX(Sheet1!$X$48:$Z$67,MATCH(Table1[[#This Row], [ROOM]],Sheet1!$P$48:$P$67,0),MATCH(Table1[[#This Row], [WEAPON]],Sheet1!$X$47:$Z$47,0)))/Table1[[#This Row], [NUM OF MEM]]</f>
        <v>6.875</v>
      </c>
      <c r="Q822" s="9">
        <f>Table1[[#This Row], [ROOM TIME]]+Table1[[#This Row], [GUARD TIME]]</f>
        <v>63.25624999999998</v>
      </c>
      <c r="R822" s="4">
        <f>Sheet1!$K$3*_xlfn.XLOOKUP(Table1[[#This Row], [DISGUISE]],Sheet1!$A$21:$A$23,Sheet1!$D$21:$D$23)</f>
        <v>69</v>
      </c>
      <c r="S822" s="9">
        <f>Table1[[#This Row], [TOTAL TIME]]-Table1[[#This Row], [TOTAL TIME TAKEN]]</f>
        <v>5.7437500000000199</v>
      </c>
      <c r="T822" t="str">
        <f>IF(Table1[[#This Row], [TIME DIFFERENCE]]&gt;=0,"PASS","FAIL")</f>
        <v>PASS</v>
      </c>
      <c r="U822" s="9">
        <f>Table1[[#This Row], [TRC]]+Table1[[#This Row], [DRC]]+Table1[[#This Row], [WRC]]+Table1[[#This Row], [ERC]]+Table1[[#This Row], [EQRC]]</f>
        <v>8111371.6562499991</v>
      </c>
      <c r="V822" s="9">
        <f>Table1[[#This Row], [TOTAL COST]]+_xlfn.XLOOKUP(Table1[[#This Row], [TEAM]],Sheet1!$A$12:$A$17,Sheet1!$I$12:$I$17)</f>
        <v>8415511.65625</v>
      </c>
      <c r="W822" s="9">
        <f>Table1[[#This Row], [LOOT]]-Table1[[#This Row], [TOTAL COST]]</f>
        <v>9638628.34375</v>
      </c>
      <c r="X822" s="9">
        <f>IF(Table1[[#This Row], [PASS/FAIL]]="FAIL",0,Table1[[#This Row], [PROFIT]])</f>
        <v>9638628.34375</v>
      </c>
    </row>
    <row r="823" spans="1:24" ht="19.5" customHeight="1" x14ac:dyDescent="0.45">
      <c r="A823" t="s">
        <v>13</v>
      </c>
      <c r="B823" s="14">
        <f>_xlfn.XLOOKUP(Table1[[#This Row], [TEAM]],Sheet1!$A$12:$A$17,Sheet1!$F$12:$F$17)</f>
        <v>3</v>
      </c>
      <c r="C823" s="14">
        <f>_xlfn.XLOOKUP(Table1[[#This Row], [TEAM]],Sheet1!$A$12:$A$17,Sheet1!$G$12:$G$17)</f>
        <v>5930000</v>
      </c>
      <c r="D823" t="s">
        <v>34</v>
      </c>
      <c r="E823" s="4">
        <f>_xlfn.XLOOKUP(Table1[[#This Row], [ROOM]],Sheet1!$A$47:$A$66,Sheet1!$B$47:$B$66)</f>
        <v>456</v>
      </c>
      <c r="F823" t="s">
        <v>58</v>
      </c>
      <c r="G823" s="4">
        <f>_xlfn.XLOOKUP(Table1[[#This Row], [DISGUISE]],Sheet1!$A$21:$A$23,Sheet1!$B$21:$B$23)*Table1[[#This Row], [NUM OF MEM]]*(1+_xlfn.XLOOKUP(Table1[[#This Row], [DISGUISE]],Sheet1!$A$21:$A$23,Sheet1!$C$21:$C$23))</f>
        <v>38400</v>
      </c>
      <c r="H823" s="13" t="s">
        <v>66</v>
      </c>
      <c r="I823" s="4">
        <f>_xlfn.XLOOKUP(Table1[[#This Row], [WEAPON]],Sheet1!$A$27:$A$29,Sheet1!$B$27:$B$29)*Table1[[#This Row], [NUM OF MEM]]*(1+_xlfn.XLOOKUP(Table1[[#This Row], [WEAPON]],Sheet1!$A$27:$A$29,Sheet1!$C$27:$C$29))</f>
        <v>108000</v>
      </c>
      <c r="J823" t="s">
        <v>64</v>
      </c>
      <c r="K823" s="9">
        <f>Table1[[#This Row], [NUM OF MEM]]*Table1[[#This Row], [TOTAL TIME TAKEN]]*_xlfn.XLOOKUP(Table1[[#This Row], [EXIT]],Sheet1!$A$70:$A$71,Sheet1!$B$70:$B$71)*(1+_xlfn.XLOOKUP(Table1[[#This Row], [EXIT]],Sheet1!$A$70:$A$71,Sheet1!$C$70:$C$71))</f>
        <v>1677952.7999999996</v>
      </c>
      <c r="L823" s="13" t="s">
        <v>65</v>
      </c>
      <c r="M823" s="4">
        <f>IF(Table1[[#This Row], [EQUIPMENT]]="YES",Sheet1!$C$44*(1+Sheet1!$D$44),0)</f>
        <v>307500</v>
      </c>
      <c r="N823" s="4">
        <f>_xlfn.XLOOKUP(Table1[[#This Row], [ROOM]],Sheet1!$A$47:$A$66,Sheet1!$F$47:$F$66)</f>
        <v>17700000</v>
      </c>
      <c r="O823" s="9">
        <f>_xlfn.XLOOKUP(_xlfn.CONCAT(Table1[[#This Row], [TEAM]],Table1[[#This Row], [ROOM]]),'ROOM TIME'!$H$2:$H$121,'ROOM TIME'!$J$2:$J$121)</f>
        <v>38.573888888888881</v>
      </c>
      <c r="P823" s="9">
        <f>(INDEX(Sheet1!$X$48:$Z$67,MATCH(Table1[[#This Row], [ROOM]],Sheet1!$P$48:$P$67,0),MATCH(Table1[[#This Row], [WEAPON]],Sheet1!$X$47:$Z$47,0)))/Table1[[#This Row], [NUM OF MEM]]</f>
        <v>4.583333333333333</v>
      </c>
      <c r="Q823" s="9">
        <f>Table1[[#This Row], [ROOM TIME]]+Table1[[#This Row], [GUARD TIME]]</f>
        <v>43.157222222222217</v>
      </c>
      <c r="R823" s="4">
        <f>Sheet1!$K$3*_xlfn.XLOOKUP(Table1[[#This Row], [DISGUISE]],Sheet1!$A$21:$A$23,Sheet1!$D$21:$D$23)</f>
        <v>69</v>
      </c>
      <c r="S823" s="9">
        <f>Table1[[#This Row], [TOTAL TIME]]-Table1[[#This Row], [TOTAL TIME TAKEN]]</f>
        <v>25.842777777777783</v>
      </c>
      <c r="T823" t="str">
        <f>IF(Table1[[#This Row], [TIME DIFFERENCE]]&gt;=0,"PASS","FAIL")</f>
        <v>PASS</v>
      </c>
      <c r="U823" s="9">
        <f>Table1[[#This Row], [TRC]]+Table1[[#This Row], [DRC]]+Table1[[#This Row], [WRC]]+Table1[[#This Row], [ERC]]+Table1[[#This Row], [EQRC]]</f>
        <v>8061852.7999999998</v>
      </c>
      <c r="V823" s="9">
        <f>Table1[[#This Row], [TOTAL COST]]+_xlfn.XLOOKUP(Table1[[#This Row], [TEAM]],Sheet1!$A$12:$A$17,Sheet1!$I$12:$I$17)</f>
        <v>8358352.7999999998</v>
      </c>
      <c r="W823" s="9">
        <f>Table1[[#This Row], [LOOT]]-Table1[[#This Row], [TOTAL COST]]</f>
        <v>9638147.1999999993</v>
      </c>
      <c r="X823" s="9">
        <f>IF(Table1[[#This Row], [PASS/FAIL]]="FAIL",0,Table1[[#This Row], [PROFIT]])</f>
        <v>9638147.1999999993</v>
      </c>
    </row>
    <row r="824" spans="1:24" ht="19.5" customHeight="1" x14ac:dyDescent="0.45">
      <c r="A824" t="s">
        <v>16</v>
      </c>
      <c r="B824" s="14">
        <f>_xlfn.XLOOKUP(Table1[[#This Row], [TEAM]],Sheet1!$A$12:$A$17,Sheet1!$F$12:$F$17)</f>
        <v>2</v>
      </c>
      <c r="C824" s="14">
        <f>_xlfn.XLOOKUP(Table1[[#This Row], [TEAM]],Sheet1!$A$12:$A$17,Sheet1!$G$12:$G$17)</f>
        <v>6082800</v>
      </c>
      <c r="D824" t="s">
        <v>27</v>
      </c>
      <c r="E824" s="4">
        <f>_xlfn.XLOOKUP(Table1[[#This Row], [ROOM]],Sheet1!$A$47:$A$66,Sheet1!$B$47:$B$66)</f>
        <v>146</v>
      </c>
      <c r="F824" t="s">
        <v>62</v>
      </c>
      <c r="G824" s="4">
        <f>_xlfn.XLOOKUP(Table1[[#This Row], [DISGUISE]],Sheet1!$A$21:$A$23,Sheet1!$B$21:$B$23)*Table1[[#This Row], [NUM OF MEM]]*(1+_xlfn.XLOOKUP(Table1[[#This Row], [DISGUISE]],Sheet1!$A$21:$A$23,Sheet1!$C$21:$C$23))</f>
        <v>10400</v>
      </c>
      <c r="H824" s="13" t="s">
        <v>66</v>
      </c>
      <c r="I824" s="4">
        <f>_xlfn.XLOOKUP(Table1[[#This Row], [WEAPON]],Sheet1!$A$27:$A$29,Sheet1!$B$27:$B$29)*Table1[[#This Row], [NUM OF MEM]]*(1+_xlfn.XLOOKUP(Table1[[#This Row], [WEAPON]],Sheet1!$A$27:$A$29,Sheet1!$C$27:$C$29))</f>
        <v>72000</v>
      </c>
      <c r="J824" t="s">
        <v>64</v>
      </c>
      <c r="K824" s="9">
        <f>Table1[[#This Row], [NUM OF MEM]]*Table1[[#This Row], [TOTAL TIME TAKEN]]*_xlfn.XLOOKUP(Table1[[#This Row], [EXIT]],Sheet1!$A$70:$A$71,Sheet1!$B$70:$B$71)*(1+_xlfn.XLOOKUP(Table1[[#This Row], [EXIT]],Sheet1!$A$70:$A$71,Sheet1!$C$70:$C$71))</f>
        <v>1639601.9999999993</v>
      </c>
      <c r="L824" s="13" t="s">
        <v>65</v>
      </c>
      <c r="M824" s="4">
        <f>IF(Table1[[#This Row], [EQUIPMENT]]="YES",Sheet1!$C$44*(1+Sheet1!$D$44),0)</f>
        <v>307500</v>
      </c>
      <c r="N824" s="4">
        <f>_xlfn.XLOOKUP(Table1[[#This Row], [ROOM]],Sheet1!$A$47:$A$66,Sheet1!$F$47:$F$66)</f>
        <v>17750000</v>
      </c>
      <c r="O824" s="9">
        <f>_xlfn.XLOOKUP(_xlfn.CONCAT(Table1[[#This Row], [TEAM]],Table1[[#This Row], [ROOM]]),'ROOM TIME'!$H$2:$H$121,'ROOM TIME'!$J$2:$J$121)</f>
        <v>56.38124999999998</v>
      </c>
      <c r="P824" s="9">
        <f>(INDEX(Sheet1!$X$48:$Z$67,MATCH(Table1[[#This Row], [ROOM]],Sheet1!$P$48:$P$67,0),MATCH(Table1[[#This Row], [WEAPON]],Sheet1!$X$47:$Z$47,0)))/Table1[[#This Row], [NUM OF MEM]]</f>
        <v>6.875</v>
      </c>
      <c r="Q824" s="9">
        <f>Table1[[#This Row], [ROOM TIME]]+Table1[[#This Row], [GUARD TIME]]</f>
        <v>63.25624999999998</v>
      </c>
      <c r="R824" s="4">
        <f>Sheet1!$K$3*_xlfn.XLOOKUP(Table1[[#This Row], [DISGUISE]],Sheet1!$A$21:$A$23,Sheet1!$D$21:$D$23)</f>
        <v>66</v>
      </c>
      <c r="S824" s="9">
        <f>Table1[[#This Row], [TOTAL TIME]]-Table1[[#This Row], [TOTAL TIME TAKEN]]</f>
        <v>2.7437500000000199</v>
      </c>
      <c r="T824" t="str">
        <f>IF(Table1[[#This Row], [TIME DIFFERENCE]]&gt;=0,"PASS","FAIL")</f>
        <v>PASS</v>
      </c>
      <c r="U824" s="9">
        <f>Table1[[#This Row], [TRC]]+Table1[[#This Row], [DRC]]+Table1[[#This Row], [WRC]]+Table1[[#This Row], [ERC]]+Table1[[#This Row], [EQRC]]</f>
        <v>8112301.9999999991</v>
      </c>
      <c r="V824" s="4">
        <f>Table1[[#This Row], [TOTAL COST]]+_xlfn.XLOOKUP(Table1[[#This Row], [TEAM]],Sheet1!$A$12:$A$17,Sheet1!$I$12:$I$17)</f>
        <v>8416442</v>
      </c>
      <c r="W824" s="4">
        <f>Table1[[#This Row], [LOOT]]-Table1[[#This Row], [TOTAL COST]]</f>
        <v>9637698</v>
      </c>
      <c r="X824" s="4">
        <f>IF(Table1[[#This Row], [PASS/FAIL]]="FAIL",0,Table1[[#This Row], [PROFIT]])</f>
        <v>9637698</v>
      </c>
    </row>
    <row r="825" spans="1:24" ht="19.5" customHeight="1" x14ac:dyDescent="0.45">
      <c r="A825" t="s">
        <v>12</v>
      </c>
      <c r="B825" s="14">
        <f>_xlfn.XLOOKUP(Table1[[#This Row], [TEAM]],Sheet1!$A$12:$A$17,Sheet1!$F$12:$F$17)</f>
        <v>3</v>
      </c>
      <c r="C825" s="14">
        <f>_xlfn.XLOOKUP(Table1[[#This Row], [TEAM]],Sheet1!$A$12:$A$17,Sheet1!$G$12:$G$17)</f>
        <v>5988750</v>
      </c>
      <c r="D825" t="s">
        <v>34</v>
      </c>
      <c r="E825" s="4">
        <f>_xlfn.XLOOKUP(Table1[[#This Row], [ROOM]],Sheet1!$A$47:$A$66,Sheet1!$B$47:$B$66)</f>
        <v>456</v>
      </c>
      <c r="F825" t="s">
        <v>58</v>
      </c>
      <c r="G825" s="4">
        <f>_xlfn.XLOOKUP(Table1[[#This Row], [DISGUISE]],Sheet1!$A$21:$A$23,Sheet1!$B$21:$B$23)*Table1[[#This Row], [NUM OF MEM]]*(1+_xlfn.XLOOKUP(Table1[[#This Row], [DISGUISE]],Sheet1!$A$21:$A$23,Sheet1!$C$21:$C$23))</f>
        <v>38400</v>
      </c>
      <c r="H825" s="13" t="s">
        <v>59</v>
      </c>
      <c r="I825" s="4">
        <f>_xlfn.XLOOKUP(Table1[[#This Row], [WEAPON]],Sheet1!$A$27:$A$29,Sheet1!$B$27:$B$29)*Table1[[#This Row], [NUM OF MEM]]*(1+_xlfn.XLOOKUP(Table1[[#This Row], [WEAPON]],Sheet1!$A$27:$A$29,Sheet1!$C$27:$C$29))</f>
        <v>136500</v>
      </c>
      <c r="J825" t="s">
        <v>64</v>
      </c>
      <c r="K825" s="9">
        <f>Table1[[#This Row], [NUM OF MEM]]*Table1[[#This Row], [TOTAL TIME TAKEN]]*_xlfn.XLOOKUP(Table1[[#This Row], [EXIT]],Sheet1!$A$70:$A$71,Sheet1!$B$70:$B$71)*(1+_xlfn.XLOOKUP(Table1[[#This Row], [EXIT]],Sheet1!$A$70:$A$71,Sheet1!$C$70:$C$71))</f>
        <v>1593345.5999999994</v>
      </c>
      <c r="L825" s="13" t="s">
        <v>65</v>
      </c>
      <c r="M825" s="4">
        <f>IF(Table1[[#This Row], [EQUIPMENT]]="YES",Sheet1!$C$44*(1+Sheet1!$D$44),0)</f>
        <v>307500</v>
      </c>
      <c r="N825" s="4">
        <f>_xlfn.XLOOKUP(Table1[[#This Row], [ROOM]],Sheet1!$A$47:$A$66,Sheet1!$F$47:$F$66)</f>
        <v>17700000</v>
      </c>
      <c r="O825" s="9">
        <f>_xlfn.XLOOKUP(_xlfn.CONCAT(Table1[[#This Row], [TEAM]],Table1[[#This Row], [ROOM]]),'ROOM TIME'!$H$2:$H$121,'ROOM TIME'!$J$2:$J$121)</f>
        <v>36.764444444444429</v>
      </c>
      <c r="P825" s="9">
        <f>(INDEX(Sheet1!$X$48:$Z$67,MATCH(Table1[[#This Row], [ROOM]],Sheet1!$P$48:$P$67,0),MATCH(Table1[[#This Row], [WEAPON]],Sheet1!$X$47:$Z$47,0)))/Table1[[#This Row], [NUM OF MEM]]</f>
        <v>4.2166666666666659</v>
      </c>
      <c r="Q825" s="9">
        <f>Table1[[#This Row], [ROOM TIME]]+Table1[[#This Row], [GUARD TIME]]</f>
        <v>40.981111111111098</v>
      </c>
      <c r="R825" s="4">
        <f>Sheet1!$K$3*_xlfn.XLOOKUP(Table1[[#This Row], [DISGUISE]],Sheet1!$A$21:$A$23,Sheet1!$D$21:$D$23)</f>
        <v>69</v>
      </c>
      <c r="S825" s="9">
        <f>Table1[[#This Row], [TOTAL TIME]]-Table1[[#This Row], [TOTAL TIME TAKEN]]</f>
        <v>28.018888888888902</v>
      </c>
      <c r="T825" t="str">
        <f>IF(Table1[[#This Row], [TIME DIFFERENCE]]&gt;=0,"PASS","FAIL")</f>
        <v>PASS</v>
      </c>
      <c r="U825" s="9">
        <f>Table1[[#This Row], [TRC]]+Table1[[#This Row], [DRC]]+Table1[[#This Row], [WRC]]+Table1[[#This Row], [ERC]]+Table1[[#This Row], [EQRC]]</f>
        <v>8064495.5999999996</v>
      </c>
      <c r="V825" s="9">
        <f>Table1[[#This Row], [TOTAL COST]]+_xlfn.XLOOKUP(Table1[[#This Row], [TEAM]],Sheet1!$A$12:$A$17,Sheet1!$I$12:$I$17)</f>
        <v>8363933.0999999996</v>
      </c>
      <c r="W825" s="9">
        <f>Table1[[#This Row], [LOOT]]-Table1[[#This Row], [TOTAL COST]]</f>
        <v>9635504.4000000004</v>
      </c>
      <c r="X825" s="9">
        <f>IF(Table1[[#This Row], [PASS/FAIL]]="FAIL",0,Table1[[#This Row], [PROFIT]])</f>
        <v>9635504.4000000004</v>
      </c>
    </row>
    <row r="826" spans="1:24" ht="19.5" customHeight="1" x14ac:dyDescent="0.45">
      <c r="A826" t="s">
        <v>12</v>
      </c>
      <c r="B826" s="14">
        <f>_xlfn.XLOOKUP(Table1[[#This Row], [TEAM]],Sheet1!$A$12:$A$17,Sheet1!$F$12:$F$17)</f>
        <v>3</v>
      </c>
      <c r="C826" s="14">
        <f>_xlfn.XLOOKUP(Table1[[#This Row], [TEAM]],Sheet1!$A$12:$A$17,Sheet1!$G$12:$G$17)</f>
        <v>5988750</v>
      </c>
      <c r="D826" t="s">
        <v>21</v>
      </c>
      <c r="E826" s="4">
        <f>_xlfn.XLOOKUP(Table1[[#This Row], [ROOM]],Sheet1!$A$47:$A$66,Sheet1!$B$47:$B$66)</f>
        <v>234</v>
      </c>
      <c r="F826" t="s">
        <v>62</v>
      </c>
      <c r="G826" s="4">
        <f>_xlfn.XLOOKUP(Table1[[#This Row], [DISGUISE]],Sheet1!$A$21:$A$23,Sheet1!$B$21:$B$23)*Table1[[#This Row], [NUM OF MEM]]*(1+_xlfn.XLOOKUP(Table1[[#This Row], [DISGUISE]],Sheet1!$A$21:$A$23,Sheet1!$C$21:$C$23))</f>
        <v>15600</v>
      </c>
      <c r="H826" s="13" t="s">
        <v>59</v>
      </c>
      <c r="I826" s="4">
        <f>_xlfn.XLOOKUP(Table1[[#This Row], [WEAPON]],Sheet1!$A$27:$A$29,Sheet1!$B$27:$B$29)*Table1[[#This Row], [NUM OF MEM]]*(1+_xlfn.XLOOKUP(Table1[[#This Row], [WEAPON]],Sheet1!$A$27:$A$29,Sheet1!$C$27:$C$29))</f>
        <v>136500</v>
      </c>
      <c r="J826" t="s">
        <v>64</v>
      </c>
      <c r="K826" s="9">
        <f>Table1[[#This Row], [NUM OF MEM]]*Table1[[#This Row], [TOTAL TIME TAKEN]]*_xlfn.XLOOKUP(Table1[[#This Row], [EXIT]],Sheet1!$A$70:$A$71,Sheet1!$B$70:$B$71)*(1+_xlfn.XLOOKUP(Table1[[#This Row], [EXIT]],Sheet1!$A$70:$A$71,Sheet1!$C$70:$C$71))</f>
        <v>1816948.7999999993</v>
      </c>
      <c r="L826" s="13" t="s">
        <v>65</v>
      </c>
      <c r="M826" s="4">
        <f>IF(Table1[[#This Row], [EQUIPMENT]]="YES",Sheet1!$C$44*(1+Sheet1!$D$44),0)</f>
        <v>307500</v>
      </c>
      <c r="N826" s="4">
        <f>_xlfn.XLOOKUP(Table1[[#This Row], [ROOM]],Sheet1!$A$47:$A$66,Sheet1!$F$47:$F$66)</f>
        <v>17900000</v>
      </c>
      <c r="O826" s="9">
        <f>_xlfn.XLOOKUP(_xlfn.CONCAT(Table1[[#This Row], [TEAM]],Table1[[#This Row], [ROOM]]),'ROOM TIME'!$H$2:$H$121,'ROOM TIME'!$J$2:$J$121)</f>
        <v>41.748888888888878</v>
      </c>
      <c r="P826" s="9">
        <f>(INDEX(Sheet1!$X$48:$Z$67,MATCH(Table1[[#This Row], [ROOM]],Sheet1!$P$48:$P$67,0),MATCH(Table1[[#This Row], [WEAPON]],Sheet1!$X$47:$Z$47,0)))/Table1[[#This Row], [NUM OF MEM]]</f>
        <v>4.9833333333333334</v>
      </c>
      <c r="Q826" s="9">
        <f>Table1[[#This Row], [ROOM TIME]]+Table1[[#This Row], [GUARD TIME]]</f>
        <v>46.732222222222212</v>
      </c>
      <c r="R826" s="4">
        <f>Sheet1!$K$3*_xlfn.XLOOKUP(Table1[[#This Row], [DISGUISE]],Sheet1!$A$21:$A$23,Sheet1!$D$21:$D$23)</f>
        <v>66</v>
      </c>
      <c r="S826" s="9">
        <f>Table1[[#This Row], [TOTAL TIME]]-Table1[[#This Row], [TOTAL TIME TAKEN]]</f>
        <v>19.267777777777788</v>
      </c>
      <c r="T826" t="str">
        <f>IF(Table1[[#This Row], [TIME DIFFERENCE]]&gt;=0,"PASS","FAIL")</f>
        <v>PASS</v>
      </c>
      <c r="U826" s="9">
        <f>Table1[[#This Row], [TRC]]+Table1[[#This Row], [DRC]]+Table1[[#This Row], [WRC]]+Table1[[#This Row], [ERC]]+Table1[[#This Row], [EQRC]]</f>
        <v>8265298.7999999989</v>
      </c>
      <c r="V826" s="9">
        <f>Table1[[#This Row], [TOTAL COST]]+_xlfn.XLOOKUP(Table1[[#This Row], [TEAM]],Sheet1!$A$12:$A$17,Sheet1!$I$12:$I$17)</f>
        <v>8564736.2999999989</v>
      </c>
      <c r="W826" s="9">
        <f>Table1[[#This Row], [LOOT]]-Table1[[#This Row], [TOTAL COST]]</f>
        <v>9634701.2000000011</v>
      </c>
      <c r="X826" s="9">
        <f>IF(Table1[[#This Row], [PASS/FAIL]]="FAIL",0,Table1[[#This Row], [PROFIT]])</f>
        <v>9634701.2000000011</v>
      </c>
    </row>
    <row r="827" spans="1:24" ht="19.5" customHeight="1" x14ac:dyDescent="0.45">
      <c r="A827" t="s">
        <v>13</v>
      </c>
      <c r="B827" s="14">
        <f>_xlfn.XLOOKUP(Table1[[#This Row], [TEAM]],Sheet1!$A$12:$A$17,Sheet1!$F$12:$F$17)</f>
        <v>3</v>
      </c>
      <c r="C827" s="14">
        <f>_xlfn.XLOOKUP(Table1[[#This Row], [TEAM]],Sheet1!$A$12:$A$17,Sheet1!$G$12:$G$17)</f>
        <v>5930000</v>
      </c>
      <c r="D827" t="s">
        <v>21</v>
      </c>
      <c r="E827" s="4">
        <f>_xlfn.XLOOKUP(Table1[[#This Row], [ROOM]],Sheet1!$A$47:$A$66,Sheet1!$B$47:$B$66)</f>
        <v>234</v>
      </c>
      <c r="F827" t="s">
        <v>62</v>
      </c>
      <c r="G827" s="4">
        <f>_xlfn.XLOOKUP(Table1[[#This Row], [DISGUISE]],Sheet1!$A$21:$A$23,Sheet1!$B$21:$B$23)*Table1[[#This Row], [NUM OF MEM]]*(1+_xlfn.XLOOKUP(Table1[[#This Row], [DISGUISE]],Sheet1!$A$21:$A$23,Sheet1!$C$21:$C$23))</f>
        <v>15600</v>
      </c>
      <c r="H827" s="13" t="s">
        <v>66</v>
      </c>
      <c r="I827" s="4">
        <f>_xlfn.XLOOKUP(Table1[[#This Row], [WEAPON]],Sheet1!$A$27:$A$29,Sheet1!$B$27:$B$29)*Table1[[#This Row], [NUM OF MEM]]*(1+_xlfn.XLOOKUP(Table1[[#This Row], [WEAPON]],Sheet1!$A$27:$A$29,Sheet1!$C$27:$C$29))</f>
        <v>108000</v>
      </c>
      <c r="J827" t="s">
        <v>64</v>
      </c>
      <c r="K827" s="9">
        <f>Table1[[#This Row], [NUM OF MEM]]*Table1[[#This Row], [TOTAL TIME TAKEN]]*_xlfn.XLOOKUP(Table1[[#This Row], [EXIT]],Sheet1!$A$70:$A$71,Sheet1!$B$70:$B$71)*(1+_xlfn.XLOOKUP(Table1[[#This Row], [EXIT]],Sheet1!$A$70:$A$71,Sheet1!$C$70:$C$71))</f>
        <v>1904428.7999999998</v>
      </c>
      <c r="L827" s="13" t="s">
        <v>65</v>
      </c>
      <c r="M827" s="4">
        <f>IF(Table1[[#This Row], [EQUIPMENT]]="YES",Sheet1!$C$44*(1+Sheet1!$D$44),0)</f>
        <v>307500</v>
      </c>
      <c r="N827" s="4">
        <f>_xlfn.XLOOKUP(Table1[[#This Row], [ROOM]],Sheet1!$A$47:$A$66,Sheet1!$F$47:$F$66)</f>
        <v>17900000</v>
      </c>
      <c r="O827" s="9">
        <f>_xlfn.XLOOKUP(_xlfn.CONCAT(Table1[[#This Row], [TEAM]],Table1[[#This Row], [ROOM]]),'ROOM TIME'!$H$2:$H$121,'ROOM TIME'!$J$2:$J$121)</f>
        <v>43.565555555555555</v>
      </c>
      <c r="P827" s="9">
        <f>(INDEX(Sheet1!$X$48:$Z$67,MATCH(Table1[[#This Row], [ROOM]],Sheet1!$P$48:$P$67,0),MATCH(Table1[[#This Row], [WEAPON]],Sheet1!$X$47:$Z$47,0)))/Table1[[#This Row], [NUM OF MEM]]</f>
        <v>5.416666666666667</v>
      </c>
      <c r="Q827" s="9">
        <f>Table1[[#This Row], [ROOM TIME]]+Table1[[#This Row], [GUARD TIME]]</f>
        <v>48.982222222222219</v>
      </c>
      <c r="R827" s="4">
        <f>Sheet1!$K$3*_xlfn.XLOOKUP(Table1[[#This Row], [DISGUISE]],Sheet1!$A$21:$A$23,Sheet1!$D$21:$D$23)</f>
        <v>66</v>
      </c>
      <c r="S827" s="9">
        <f>Table1[[#This Row], [TOTAL TIME]]-Table1[[#This Row], [TOTAL TIME TAKEN]]</f>
        <v>17.017777777777781</v>
      </c>
      <c r="T827" t="str">
        <f>IF(Table1[[#This Row], [TIME DIFFERENCE]]&gt;=0,"PASS","FAIL")</f>
        <v>PASS</v>
      </c>
      <c r="U827" s="9">
        <f>Table1[[#This Row], [TRC]]+Table1[[#This Row], [DRC]]+Table1[[#This Row], [WRC]]+Table1[[#This Row], [ERC]]+Table1[[#This Row], [EQRC]]</f>
        <v>8265528.7999999998</v>
      </c>
      <c r="V827" s="9">
        <f>Table1[[#This Row], [TOTAL COST]]+_xlfn.XLOOKUP(Table1[[#This Row], [TEAM]],Sheet1!$A$12:$A$17,Sheet1!$I$12:$I$17)</f>
        <v>8562028.8000000007</v>
      </c>
      <c r="W827" s="9">
        <f>Table1[[#This Row], [LOOT]]-Table1[[#This Row], [TOTAL COST]]</f>
        <v>9634471.1999999993</v>
      </c>
      <c r="X827" s="9">
        <f>IF(Table1[[#This Row], [PASS/FAIL]]="FAIL",0,Table1[[#This Row], [PROFIT]])</f>
        <v>9634471.1999999993</v>
      </c>
    </row>
    <row r="828" spans="1:24" ht="19.5" customHeight="1" x14ac:dyDescent="0.45">
      <c r="A828" t="s">
        <v>16</v>
      </c>
      <c r="B828" s="14">
        <f>_xlfn.XLOOKUP(Table1[[#This Row], [TEAM]],Sheet1!$A$12:$A$17,Sheet1!$F$12:$F$17)</f>
        <v>2</v>
      </c>
      <c r="C828" s="14">
        <f>_xlfn.XLOOKUP(Table1[[#This Row], [TEAM]],Sheet1!$A$12:$A$17,Sheet1!$G$12:$G$17)</f>
        <v>6082800</v>
      </c>
      <c r="D828" t="s">
        <v>27</v>
      </c>
      <c r="E828" s="4">
        <f>_xlfn.XLOOKUP(Table1[[#This Row], [ROOM]],Sheet1!$A$47:$A$66,Sheet1!$B$47:$B$66)</f>
        <v>146</v>
      </c>
      <c r="F828" t="s">
        <v>58</v>
      </c>
      <c r="G828" s="4">
        <f>_xlfn.XLOOKUP(Table1[[#This Row], [DISGUISE]],Sheet1!$A$21:$A$23,Sheet1!$B$21:$B$23)*Table1[[#This Row], [NUM OF MEM]]*(1+_xlfn.XLOOKUP(Table1[[#This Row], [DISGUISE]],Sheet1!$A$21:$A$23,Sheet1!$C$21:$C$23))</f>
        <v>25600</v>
      </c>
      <c r="H828" s="13" t="s">
        <v>63</v>
      </c>
      <c r="I828" s="4">
        <f>_xlfn.XLOOKUP(Table1[[#This Row], [WEAPON]],Sheet1!$A$27:$A$29,Sheet1!$B$27:$B$29)*Table1[[#This Row], [NUM OF MEM]]*(1+_xlfn.XLOOKUP(Table1[[#This Row], [WEAPON]],Sheet1!$A$27:$A$29,Sheet1!$C$27:$C$29))</f>
        <v>46000</v>
      </c>
      <c r="J828" t="s">
        <v>64</v>
      </c>
      <c r="K828" s="9">
        <f>Table1[[#This Row], [NUM OF MEM]]*Table1[[#This Row], [TOTAL TIME TAKEN]]*_xlfn.XLOOKUP(Table1[[#This Row], [EXIT]],Sheet1!$A$70:$A$71,Sheet1!$B$70:$B$71)*(1+_xlfn.XLOOKUP(Table1[[#This Row], [EXIT]],Sheet1!$A$70:$A$71,Sheet1!$C$70:$C$71))</f>
        <v>1653857.9999999993</v>
      </c>
      <c r="L828" s="13" t="s">
        <v>65</v>
      </c>
      <c r="M828" s="4">
        <f>IF(Table1[[#This Row], [EQUIPMENT]]="YES",Sheet1!$C$44*(1+Sheet1!$D$44),0)</f>
        <v>307500</v>
      </c>
      <c r="N828" s="4">
        <f>_xlfn.XLOOKUP(Table1[[#This Row], [ROOM]],Sheet1!$A$47:$A$66,Sheet1!$F$47:$F$66)</f>
        <v>17750000</v>
      </c>
      <c r="O828" s="9">
        <f>_xlfn.XLOOKUP(_xlfn.CONCAT(Table1[[#This Row], [TEAM]],Table1[[#This Row], [ROOM]]),'ROOM TIME'!$H$2:$H$121,'ROOM TIME'!$J$2:$J$121)</f>
        <v>56.38124999999998</v>
      </c>
      <c r="P828" s="9">
        <f>(INDEX(Sheet1!$X$48:$Z$67,MATCH(Table1[[#This Row], [ROOM]],Sheet1!$P$48:$P$67,0),MATCH(Table1[[#This Row], [WEAPON]],Sheet1!$X$47:$Z$47,0)))/Table1[[#This Row], [NUM OF MEM]]</f>
        <v>7.4250000000000007</v>
      </c>
      <c r="Q828" s="9">
        <f>Table1[[#This Row], [ROOM TIME]]+Table1[[#This Row], [GUARD TIME]]</f>
        <v>63.806249999999977</v>
      </c>
      <c r="R828" s="4">
        <f>Sheet1!$K$3*_xlfn.XLOOKUP(Table1[[#This Row], [DISGUISE]],Sheet1!$A$21:$A$23,Sheet1!$D$21:$D$23)</f>
        <v>69</v>
      </c>
      <c r="S828" s="9">
        <f>Table1[[#This Row], [TOTAL TIME]]-Table1[[#This Row], [TOTAL TIME TAKEN]]</f>
        <v>5.1937500000000227</v>
      </c>
      <c r="T828" t="str">
        <f>IF(Table1[[#This Row], [TIME DIFFERENCE]]&gt;=0,"PASS","FAIL")</f>
        <v>PASS</v>
      </c>
      <c r="U828" s="9">
        <f>Table1[[#This Row], [TRC]]+Table1[[#This Row], [DRC]]+Table1[[#This Row], [WRC]]+Table1[[#This Row], [ERC]]+Table1[[#This Row], [EQRC]]</f>
        <v>8115757.9999999991</v>
      </c>
      <c r="V828" s="4">
        <f>Table1[[#This Row], [TOTAL COST]]+_xlfn.XLOOKUP(Table1[[#This Row], [TEAM]],Sheet1!$A$12:$A$17,Sheet1!$I$12:$I$17)</f>
        <v>8419898</v>
      </c>
      <c r="W828" s="4">
        <f>Table1[[#This Row], [LOOT]]-Table1[[#This Row], [TOTAL COST]]</f>
        <v>9634242</v>
      </c>
      <c r="X828" s="4">
        <f>IF(Table1[[#This Row], [PASS/FAIL]]="FAIL",0,Table1[[#This Row], [PROFIT]])</f>
        <v>9634242</v>
      </c>
    </row>
    <row r="829" spans="1:24" ht="19.5" customHeight="1" x14ac:dyDescent="0.45">
      <c r="A829" t="s">
        <v>9</v>
      </c>
      <c r="B829" s="14">
        <f>_xlfn.XLOOKUP(Table1[[#This Row], [TEAM]],Sheet1!$A$12:$A$17,Sheet1!$F$12:$F$17)</f>
        <v>3</v>
      </c>
      <c r="C829" s="14">
        <f>_xlfn.XLOOKUP(Table1[[#This Row], [TEAM]],Sheet1!$A$12:$A$17,Sheet1!$G$12:$G$17)</f>
        <v>6238750</v>
      </c>
      <c r="D829" t="s">
        <v>24</v>
      </c>
      <c r="E829" s="4">
        <f>_xlfn.XLOOKUP(Table1[[#This Row], [ROOM]],Sheet1!$A$47:$A$66,Sheet1!$B$47:$B$66)</f>
        <v>345</v>
      </c>
      <c r="F829" t="s">
        <v>62</v>
      </c>
      <c r="G829" s="4">
        <f>_xlfn.XLOOKUP(Table1[[#This Row], [DISGUISE]],Sheet1!$A$21:$A$23,Sheet1!$B$21:$B$23)*Table1[[#This Row], [NUM OF MEM]]*(1+_xlfn.XLOOKUP(Table1[[#This Row], [DISGUISE]],Sheet1!$A$21:$A$23,Sheet1!$C$21:$C$23))</f>
        <v>15600</v>
      </c>
      <c r="H829" s="13" t="s">
        <v>59</v>
      </c>
      <c r="I829" s="4">
        <f>_xlfn.XLOOKUP(Table1[[#This Row], [WEAPON]],Sheet1!$A$27:$A$29,Sheet1!$B$27:$B$29)*Table1[[#This Row], [NUM OF MEM]]*(1+_xlfn.XLOOKUP(Table1[[#This Row], [WEAPON]],Sheet1!$A$27:$A$29,Sheet1!$C$27:$C$29))</f>
        <v>136500</v>
      </c>
      <c r="J829" t="s">
        <v>60</v>
      </c>
      <c r="K829" s="9">
        <f>Table1[[#This Row], [NUM OF MEM]]*Table1[[#This Row], [TOTAL TIME TAKEN]]*_xlfn.XLOOKUP(Table1[[#This Row], [EXIT]],Sheet1!$A$70:$A$71,Sheet1!$B$70:$B$71)*(1+_xlfn.XLOOKUP(Table1[[#This Row], [EXIT]],Sheet1!$A$70:$A$71,Sheet1!$C$70:$C$71))</f>
        <v>1667412.2749999999</v>
      </c>
      <c r="L829" s="13" t="s">
        <v>65</v>
      </c>
      <c r="M829" s="4">
        <f>IF(Table1[[#This Row], [EQUIPMENT]]="YES",Sheet1!$C$44*(1+Sheet1!$D$44),0)</f>
        <v>307500</v>
      </c>
      <c r="N829" s="4">
        <f>_xlfn.XLOOKUP(Table1[[#This Row], [ROOM]],Sheet1!$A$47:$A$66,Sheet1!$F$47:$F$66)</f>
        <v>18000000</v>
      </c>
      <c r="O829" s="9">
        <f>_xlfn.XLOOKUP(_xlfn.CONCAT(Table1[[#This Row], [TEAM]],Table1[[#This Row], [ROOM]]),'ROOM TIME'!$H$2:$H$121,'ROOM TIME'!$J$2:$J$121)</f>
        <v>38.712222222222216</v>
      </c>
      <c r="P829" s="9">
        <f>(INDEX(Sheet1!$X$48:$Z$67,MATCH(Table1[[#This Row], [ROOM]],Sheet1!$P$48:$P$67,0),MATCH(Table1[[#This Row], [WEAPON]],Sheet1!$X$47:$Z$47,0)))/Table1[[#This Row], [NUM OF MEM]]</f>
        <v>4.5999999999999996</v>
      </c>
      <c r="Q829" s="9">
        <f>Table1[[#This Row], [ROOM TIME]]+Table1[[#This Row], [GUARD TIME]]</f>
        <v>43.312222222222218</v>
      </c>
      <c r="R829" s="4">
        <f>Sheet1!$K$3*_xlfn.XLOOKUP(Table1[[#This Row], [DISGUISE]],Sheet1!$A$21:$A$23,Sheet1!$D$21:$D$23)</f>
        <v>66</v>
      </c>
      <c r="S829" s="9">
        <f>Table1[[#This Row], [TOTAL TIME]]-Table1[[#This Row], [TOTAL TIME TAKEN]]</f>
        <v>22.687777777777782</v>
      </c>
      <c r="T829" t="str">
        <f>IF(Table1[[#This Row], [TIME DIFFERENCE]]&gt;=0,"PASS","FAIL")</f>
        <v>PASS</v>
      </c>
      <c r="U829" s="9">
        <f>Table1[[#This Row], [TRC]]+Table1[[#This Row], [DRC]]+Table1[[#This Row], [WRC]]+Table1[[#This Row], [ERC]]+Table1[[#This Row], [EQRC]]</f>
        <v>8365762.2750000004</v>
      </c>
      <c r="V829" s="9">
        <f>Table1[[#This Row], [TOTAL COST]]+_xlfn.XLOOKUP(Table1[[#This Row], [TEAM]],Sheet1!$A$12:$A$17,Sheet1!$I$12:$I$17)</f>
        <v>8677699.7750000004</v>
      </c>
      <c r="W829" s="9">
        <f>Table1[[#This Row], [LOOT]]-Table1[[#This Row], [TOTAL COST]]</f>
        <v>9634237.7249999996</v>
      </c>
      <c r="X829" s="9">
        <f>IF(Table1[[#This Row], [PASS/FAIL]]="FAIL",0,Table1[[#This Row], [PROFIT]])</f>
        <v>9634237.7249999996</v>
      </c>
    </row>
    <row r="830" spans="1:24" ht="19.5" customHeight="1" x14ac:dyDescent="0.45">
      <c r="A830" t="s">
        <v>13</v>
      </c>
      <c r="B830" s="14">
        <f>_xlfn.XLOOKUP(Table1[[#This Row], [TEAM]],Sheet1!$A$12:$A$17,Sheet1!$F$12:$F$17)</f>
        <v>3</v>
      </c>
      <c r="C830" s="14">
        <f>_xlfn.XLOOKUP(Table1[[#This Row], [TEAM]],Sheet1!$A$12:$A$17,Sheet1!$G$12:$G$17)</f>
        <v>5930000</v>
      </c>
      <c r="D830" t="s">
        <v>21</v>
      </c>
      <c r="E830" s="4">
        <f>_xlfn.XLOOKUP(Table1[[#This Row], [ROOM]],Sheet1!$A$47:$A$66,Sheet1!$B$47:$B$66)</f>
        <v>234</v>
      </c>
      <c r="F830" t="s">
        <v>58</v>
      </c>
      <c r="G830" s="4">
        <f>_xlfn.XLOOKUP(Table1[[#This Row], [DISGUISE]],Sheet1!$A$21:$A$23,Sheet1!$B$21:$B$23)*Table1[[#This Row], [NUM OF MEM]]*(1+_xlfn.XLOOKUP(Table1[[#This Row], [DISGUISE]],Sheet1!$A$21:$A$23,Sheet1!$C$21:$C$23))</f>
        <v>38400</v>
      </c>
      <c r="H830" s="13" t="s">
        <v>63</v>
      </c>
      <c r="I830" s="4">
        <f>_xlfn.XLOOKUP(Table1[[#This Row], [WEAPON]],Sheet1!$A$27:$A$29,Sheet1!$B$27:$B$29)*Table1[[#This Row], [NUM OF MEM]]*(1+_xlfn.XLOOKUP(Table1[[#This Row], [WEAPON]],Sheet1!$A$27:$A$29,Sheet1!$C$27:$C$29))</f>
        <v>69000</v>
      </c>
      <c r="J830" t="s">
        <v>64</v>
      </c>
      <c r="K830" s="9">
        <f>Table1[[#This Row], [NUM OF MEM]]*Table1[[#This Row], [TOTAL TIME TAKEN]]*_xlfn.XLOOKUP(Table1[[#This Row], [EXIT]],Sheet1!$A$70:$A$71,Sheet1!$B$70:$B$71)*(1+_xlfn.XLOOKUP(Table1[[#This Row], [EXIT]],Sheet1!$A$70:$A$71,Sheet1!$C$70:$C$71))</f>
        <v>1921276.7999999998</v>
      </c>
      <c r="L830" s="13" t="s">
        <v>65</v>
      </c>
      <c r="M830" s="4">
        <f>IF(Table1[[#This Row], [EQUIPMENT]]="YES",Sheet1!$C$44*(1+Sheet1!$D$44),0)</f>
        <v>307500</v>
      </c>
      <c r="N830" s="4">
        <f>_xlfn.XLOOKUP(Table1[[#This Row], [ROOM]],Sheet1!$A$47:$A$66,Sheet1!$F$47:$F$66)</f>
        <v>17900000</v>
      </c>
      <c r="O830" s="9">
        <f>_xlfn.XLOOKUP(_xlfn.CONCAT(Table1[[#This Row], [TEAM]],Table1[[#This Row], [ROOM]]),'ROOM TIME'!$H$2:$H$121,'ROOM TIME'!$J$2:$J$121)</f>
        <v>43.565555555555555</v>
      </c>
      <c r="P830" s="9">
        <f>(INDEX(Sheet1!$X$48:$Z$67,MATCH(Table1[[#This Row], [ROOM]],Sheet1!$P$48:$P$67,0),MATCH(Table1[[#This Row], [WEAPON]],Sheet1!$X$47:$Z$47,0)))/Table1[[#This Row], [NUM OF MEM]]</f>
        <v>5.8500000000000005</v>
      </c>
      <c r="Q830" s="9">
        <f>Table1[[#This Row], [ROOM TIME]]+Table1[[#This Row], [GUARD TIME]]</f>
        <v>49.415555555555557</v>
      </c>
      <c r="R830" s="4">
        <f>Sheet1!$K$3*_xlfn.XLOOKUP(Table1[[#This Row], [DISGUISE]],Sheet1!$A$21:$A$23,Sheet1!$D$21:$D$23)</f>
        <v>69</v>
      </c>
      <c r="S830" s="9">
        <f>Table1[[#This Row], [TOTAL TIME]]-Table1[[#This Row], [TOTAL TIME TAKEN]]</f>
        <v>19.584444444444443</v>
      </c>
      <c r="T830" t="str">
        <f>IF(Table1[[#This Row], [TIME DIFFERENCE]]&gt;=0,"PASS","FAIL")</f>
        <v>PASS</v>
      </c>
      <c r="U830" s="9">
        <f>Table1[[#This Row], [TRC]]+Table1[[#This Row], [DRC]]+Table1[[#This Row], [WRC]]+Table1[[#This Row], [ERC]]+Table1[[#This Row], [EQRC]]</f>
        <v>8266176.7999999998</v>
      </c>
      <c r="V830" s="9">
        <f>Table1[[#This Row], [TOTAL COST]]+_xlfn.XLOOKUP(Table1[[#This Row], [TEAM]],Sheet1!$A$12:$A$17,Sheet1!$I$12:$I$17)</f>
        <v>8562676.8000000007</v>
      </c>
      <c r="W830" s="9">
        <f>Table1[[#This Row], [LOOT]]-Table1[[#This Row], [TOTAL COST]]</f>
        <v>9633823.1999999993</v>
      </c>
      <c r="X830" s="9">
        <f>IF(Table1[[#This Row], [PASS/FAIL]]="FAIL",0,Table1[[#This Row], [PROFIT]])</f>
        <v>9633823.1999999993</v>
      </c>
    </row>
    <row r="831" spans="1:24" ht="19.5" customHeight="1" x14ac:dyDescent="0.45">
      <c r="A831" t="s">
        <v>16</v>
      </c>
      <c r="B831" s="14">
        <f>_xlfn.XLOOKUP(Table1[[#This Row], [TEAM]],Sheet1!$A$12:$A$17,Sheet1!$F$12:$F$17)</f>
        <v>2</v>
      </c>
      <c r="C831" s="14">
        <f>_xlfn.XLOOKUP(Table1[[#This Row], [TEAM]],Sheet1!$A$12:$A$17,Sheet1!$G$12:$G$17)</f>
        <v>6082800</v>
      </c>
      <c r="D831" t="s">
        <v>27</v>
      </c>
      <c r="E831" s="4">
        <f>_xlfn.XLOOKUP(Table1[[#This Row], [ROOM]],Sheet1!$A$47:$A$66,Sheet1!$B$47:$B$66)</f>
        <v>146</v>
      </c>
      <c r="F831" t="s">
        <v>58</v>
      </c>
      <c r="G831" s="4">
        <f>_xlfn.XLOOKUP(Table1[[#This Row], [DISGUISE]],Sheet1!$A$21:$A$23,Sheet1!$B$21:$B$23)*Table1[[#This Row], [NUM OF MEM]]*(1+_xlfn.XLOOKUP(Table1[[#This Row], [DISGUISE]],Sheet1!$A$21:$A$23,Sheet1!$C$21:$C$23))</f>
        <v>25600</v>
      </c>
      <c r="H831" s="13" t="s">
        <v>59</v>
      </c>
      <c r="I831" s="4">
        <f>_xlfn.XLOOKUP(Table1[[#This Row], [WEAPON]],Sheet1!$A$27:$A$29,Sheet1!$B$27:$B$29)*Table1[[#This Row], [NUM OF MEM]]*(1+_xlfn.XLOOKUP(Table1[[#This Row], [WEAPON]],Sheet1!$A$27:$A$29,Sheet1!$C$27:$C$29))</f>
        <v>91000</v>
      </c>
      <c r="J831" t="s">
        <v>60</v>
      </c>
      <c r="K831" s="9">
        <f>Table1[[#This Row], [NUM OF MEM]]*Table1[[#This Row], [TOTAL TIME TAKEN]]*_xlfn.XLOOKUP(Table1[[#This Row], [EXIT]],Sheet1!$A$70:$A$71,Sheet1!$B$70:$B$71)*(1+_xlfn.XLOOKUP(Table1[[#This Row], [EXIT]],Sheet1!$A$70:$A$71,Sheet1!$C$70:$C$71))</f>
        <v>1609355.9062499995</v>
      </c>
      <c r="L831" s="13" t="s">
        <v>65</v>
      </c>
      <c r="M831" s="4">
        <f>IF(Table1[[#This Row], [EQUIPMENT]]="YES",Sheet1!$C$44*(1+Sheet1!$D$44),0)</f>
        <v>307500</v>
      </c>
      <c r="N831" s="4">
        <f>_xlfn.XLOOKUP(Table1[[#This Row], [ROOM]],Sheet1!$A$47:$A$66,Sheet1!$F$47:$F$66)</f>
        <v>17750000</v>
      </c>
      <c r="O831" s="9">
        <f>_xlfn.XLOOKUP(_xlfn.CONCAT(Table1[[#This Row], [TEAM]],Table1[[#This Row], [ROOM]]),'ROOM TIME'!$H$2:$H$121,'ROOM TIME'!$J$2:$J$121)</f>
        <v>56.38124999999998</v>
      </c>
      <c r="P831" s="9">
        <f>(INDEX(Sheet1!$X$48:$Z$67,MATCH(Table1[[#This Row], [ROOM]],Sheet1!$P$48:$P$67,0),MATCH(Table1[[#This Row], [WEAPON]],Sheet1!$X$47:$Z$47,0)))/Table1[[#This Row], [NUM OF MEM]]</f>
        <v>6.3249999999999993</v>
      </c>
      <c r="Q831" s="9">
        <f>Table1[[#This Row], [ROOM TIME]]+Table1[[#This Row], [GUARD TIME]]</f>
        <v>62.706249999999983</v>
      </c>
      <c r="R831" s="4">
        <f>Sheet1!$K$3*_xlfn.XLOOKUP(Table1[[#This Row], [DISGUISE]],Sheet1!$A$21:$A$23,Sheet1!$D$21:$D$23)</f>
        <v>69</v>
      </c>
      <c r="S831" s="9">
        <f>Table1[[#This Row], [TOTAL TIME]]-Table1[[#This Row], [TOTAL TIME TAKEN]]</f>
        <v>6.2937500000000171</v>
      </c>
      <c r="T831" t="str">
        <f>IF(Table1[[#This Row], [TIME DIFFERENCE]]&gt;=0,"PASS","FAIL")</f>
        <v>PASS</v>
      </c>
      <c r="U831" s="9">
        <f>Table1[[#This Row], [TRC]]+Table1[[#This Row], [DRC]]+Table1[[#This Row], [WRC]]+Table1[[#This Row], [ERC]]+Table1[[#This Row], [EQRC]]</f>
        <v>8116255.90625</v>
      </c>
      <c r="V831" s="9">
        <f>Table1[[#This Row], [TOTAL COST]]+_xlfn.XLOOKUP(Table1[[#This Row], [TEAM]],Sheet1!$A$12:$A$17,Sheet1!$I$12:$I$17)</f>
        <v>8420395.90625</v>
      </c>
      <c r="W831" s="9">
        <f>Table1[[#This Row], [LOOT]]-Table1[[#This Row], [TOTAL COST]]</f>
        <v>9633744.09375</v>
      </c>
      <c r="X831" s="9">
        <f>IF(Table1[[#This Row], [PASS/FAIL]]="FAIL",0,Table1[[#This Row], [PROFIT]])</f>
        <v>9633744.09375</v>
      </c>
    </row>
    <row r="832" spans="1:24" ht="19.5" customHeight="1" x14ac:dyDescent="0.45">
      <c r="A832" t="s">
        <v>9</v>
      </c>
      <c r="B832" s="14">
        <f>_xlfn.XLOOKUP(Table1[[#This Row], [TEAM]],Sheet1!$A$12:$A$17,Sheet1!$F$12:$F$17)</f>
        <v>3</v>
      </c>
      <c r="C832" s="14">
        <f>_xlfn.XLOOKUP(Table1[[#This Row], [TEAM]],Sheet1!$A$12:$A$17,Sheet1!$G$12:$G$17)</f>
        <v>6238750</v>
      </c>
      <c r="D832" t="s">
        <v>18</v>
      </c>
      <c r="E832" s="4">
        <f>_xlfn.XLOOKUP(Table1[[#This Row], [ROOM]],Sheet1!$A$47:$A$66,Sheet1!$B$47:$B$66)</f>
        <v>134</v>
      </c>
      <c r="F832" t="s">
        <v>58</v>
      </c>
      <c r="G832" s="4">
        <f>_xlfn.XLOOKUP(Table1[[#This Row], [DISGUISE]],Sheet1!$A$21:$A$23,Sheet1!$B$21:$B$23)*Table1[[#This Row], [NUM OF MEM]]*(1+_xlfn.XLOOKUP(Table1[[#This Row], [DISGUISE]],Sheet1!$A$21:$A$23,Sheet1!$C$21:$C$23))</f>
        <v>38400</v>
      </c>
      <c r="H832" s="13" t="s">
        <v>59</v>
      </c>
      <c r="I832" s="4">
        <f>_xlfn.XLOOKUP(Table1[[#This Row], [WEAPON]],Sheet1!$A$27:$A$29,Sheet1!$B$27:$B$29)*Table1[[#This Row], [NUM OF MEM]]*(1+_xlfn.XLOOKUP(Table1[[#This Row], [WEAPON]],Sheet1!$A$27:$A$29,Sheet1!$C$27:$C$29))</f>
        <v>136500</v>
      </c>
      <c r="J832" t="s">
        <v>64</v>
      </c>
      <c r="K832" s="9">
        <f>Table1[[#This Row], [NUM OF MEM]]*Table1[[#This Row], [TOTAL TIME TAKEN]]*_xlfn.XLOOKUP(Table1[[#This Row], [EXIT]],Sheet1!$A$70:$A$71,Sheet1!$B$70:$B$71)*(1+_xlfn.XLOOKUP(Table1[[#This Row], [EXIT]],Sheet1!$A$70:$A$71,Sheet1!$C$70:$C$71))</f>
        <v>1695319.1999999997</v>
      </c>
      <c r="L832" s="13" t="s">
        <v>65</v>
      </c>
      <c r="M832" s="4">
        <f>IF(Table1[[#This Row], [EQUIPMENT]]="YES",Sheet1!$C$44*(1+Sheet1!$D$44),0)</f>
        <v>307500</v>
      </c>
      <c r="N832" s="4">
        <f>_xlfn.XLOOKUP(Table1[[#This Row], [ROOM]],Sheet1!$A$47:$A$66,Sheet1!$F$47:$F$66)</f>
        <v>18050000</v>
      </c>
      <c r="O832" s="9">
        <f>_xlfn.XLOOKUP(_xlfn.CONCAT(Table1[[#This Row], [TEAM]],Table1[[#This Row], [ROOM]]),'ROOM TIME'!$H$2:$H$121,'ROOM TIME'!$J$2:$J$121)</f>
        <v>39.003888888888881</v>
      </c>
      <c r="P832" s="9">
        <f>(INDEX(Sheet1!$X$48:$Z$67,MATCH(Table1[[#This Row], [ROOM]],Sheet1!$P$48:$P$67,0),MATCH(Table1[[#This Row], [WEAPON]],Sheet1!$X$47:$Z$47,0)))/Table1[[#This Row], [NUM OF MEM]]</f>
        <v>4.5999999999999996</v>
      </c>
      <c r="Q832" s="9">
        <f>Table1[[#This Row], [ROOM TIME]]+Table1[[#This Row], [GUARD TIME]]</f>
        <v>43.603888888888882</v>
      </c>
      <c r="R832" s="4">
        <f>Sheet1!$K$3*_xlfn.XLOOKUP(Table1[[#This Row], [DISGUISE]],Sheet1!$A$21:$A$23,Sheet1!$D$21:$D$23)</f>
        <v>69</v>
      </c>
      <c r="S832" s="9">
        <f>Table1[[#This Row], [TOTAL TIME]]-Table1[[#This Row], [TOTAL TIME TAKEN]]</f>
        <v>25.396111111111118</v>
      </c>
      <c r="T832" t="str">
        <f>IF(Table1[[#This Row], [TIME DIFFERENCE]]&gt;=0,"PASS","FAIL")</f>
        <v>PASS</v>
      </c>
      <c r="U832" s="9">
        <f>Table1[[#This Row], [TRC]]+Table1[[#This Row], [DRC]]+Table1[[#This Row], [WRC]]+Table1[[#This Row], [ERC]]+Table1[[#This Row], [EQRC]]</f>
        <v>8416469.1999999993</v>
      </c>
      <c r="V832" s="9">
        <f>Table1[[#This Row], [TOTAL COST]]+_xlfn.XLOOKUP(Table1[[#This Row], [TEAM]],Sheet1!$A$12:$A$17,Sheet1!$I$12:$I$17)</f>
        <v>8728406.6999999993</v>
      </c>
      <c r="W832" s="9">
        <f>Table1[[#This Row], [LOOT]]-Table1[[#This Row], [TOTAL COST]]</f>
        <v>9633530.8000000007</v>
      </c>
      <c r="X832" s="9">
        <f>IF(Table1[[#This Row], [PASS/FAIL]]="FAIL",0,Table1[[#This Row], [PROFIT]])</f>
        <v>9633530.8000000007</v>
      </c>
    </row>
    <row r="833" spans="1:24" ht="19.5" customHeight="1" x14ac:dyDescent="0.45">
      <c r="A833" t="s">
        <v>12</v>
      </c>
      <c r="B833" s="14">
        <f>_xlfn.XLOOKUP(Table1[[#This Row], [TEAM]],Sheet1!$A$12:$A$17,Sheet1!$F$12:$F$17)</f>
        <v>3</v>
      </c>
      <c r="C833" s="14">
        <f>_xlfn.XLOOKUP(Table1[[#This Row], [TEAM]],Sheet1!$A$12:$A$17,Sheet1!$G$12:$G$17)</f>
        <v>5988750</v>
      </c>
      <c r="D833" t="s">
        <v>28</v>
      </c>
      <c r="E833" s="4">
        <f>_xlfn.XLOOKUP(Table1[[#This Row], [ROOM]],Sheet1!$A$47:$A$66,Sheet1!$B$47:$B$66)</f>
        <v>156</v>
      </c>
      <c r="F833" t="s">
        <v>58</v>
      </c>
      <c r="G833" s="4">
        <f>_xlfn.XLOOKUP(Table1[[#This Row], [DISGUISE]],Sheet1!$A$21:$A$23,Sheet1!$B$21:$B$23)*Table1[[#This Row], [NUM OF MEM]]*(1+_xlfn.XLOOKUP(Table1[[#This Row], [DISGUISE]],Sheet1!$A$21:$A$23,Sheet1!$C$21:$C$23))</f>
        <v>38400</v>
      </c>
      <c r="H833" s="13" t="s">
        <v>63</v>
      </c>
      <c r="I833" s="4">
        <f>_xlfn.XLOOKUP(Table1[[#This Row], [WEAPON]],Sheet1!$A$27:$A$29,Sheet1!$B$27:$B$29)*Table1[[#This Row], [NUM OF MEM]]*(1+_xlfn.XLOOKUP(Table1[[#This Row], [WEAPON]],Sheet1!$A$27:$A$29,Sheet1!$C$27:$C$29))</f>
        <v>69000</v>
      </c>
      <c r="J833" t="s">
        <v>64</v>
      </c>
      <c r="K833" s="9">
        <f>Table1[[#This Row], [NUM OF MEM]]*Table1[[#This Row], [TOTAL TIME TAKEN]]*_xlfn.XLOOKUP(Table1[[#This Row], [EXIT]],Sheet1!$A$70:$A$71,Sheet1!$B$70:$B$71)*(1+_xlfn.XLOOKUP(Table1[[#This Row], [EXIT]],Sheet1!$A$70:$A$71,Sheet1!$C$70:$C$71))</f>
        <v>1612871.9999999993</v>
      </c>
      <c r="L833" s="13" t="s">
        <v>65</v>
      </c>
      <c r="M833" s="4">
        <f>IF(Table1[[#This Row], [EQUIPMENT]]="YES",Sheet1!$C$44*(1+Sheet1!$D$44),0)</f>
        <v>307500</v>
      </c>
      <c r="N833" s="4">
        <f>_xlfn.XLOOKUP(Table1[[#This Row], [ROOM]],Sheet1!$A$47:$A$66,Sheet1!$F$47:$F$66)</f>
        <v>17650000</v>
      </c>
      <c r="O833" s="9">
        <f>_xlfn.XLOOKUP(_xlfn.CONCAT(Table1[[#This Row], [TEAM]],Table1[[#This Row], [ROOM]]),'ROOM TIME'!$H$2:$H$121,'ROOM TIME'!$J$2:$J$121)</f>
        <v>36.98333333333332</v>
      </c>
      <c r="P833" s="9">
        <f>(INDEX(Sheet1!$X$48:$Z$67,MATCH(Table1[[#This Row], [ROOM]],Sheet1!$P$48:$P$67,0),MATCH(Table1[[#This Row], [WEAPON]],Sheet1!$X$47:$Z$47,0)))/Table1[[#This Row], [NUM OF MEM]]</f>
        <v>4.5</v>
      </c>
      <c r="Q833" s="9">
        <f>Table1[[#This Row], [ROOM TIME]]+Table1[[#This Row], [GUARD TIME]]</f>
        <v>41.48333333333332</v>
      </c>
      <c r="R833" s="4">
        <f>Sheet1!$K$3*_xlfn.XLOOKUP(Table1[[#This Row], [DISGUISE]],Sheet1!$A$21:$A$23,Sheet1!$D$21:$D$23)</f>
        <v>69</v>
      </c>
      <c r="S833" s="9">
        <f>Table1[[#This Row], [TOTAL TIME]]-Table1[[#This Row], [TOTAL TIME TAKEN]]</f>
        <v>27.51666666666668</v>
      </c>
      <c r="T833" t="str">
        <f>IF(Table1[[#This Row], [TIME DIFFERENCE]]&gt;=0,"PASS","FAIL")</f>
        <v>PASS</v>
      </c>
      <c r="U833" s="9">
        <f>Table1[[#This Row], [TRC]]+Table1[[#This Row], [DRC]]+Table1[[#This Row], [WRC]]+Table1[[#This Row], [ERC]]+Table1[[#This Row], [EQRC]]</f>
        <v>8016521.9999999991</v>
      </c>
      <c r="V833" s="9">
        <f>Table1[[#This Row], [TOTAL COST]]+_xlfn.XLOOKUP(Table1[[#This Row], [TEAM]],Sheet1!$A$12:$A$17,Sheet1!$I$12:$I$17)</f>
        <v>8315959.4999999991</v>
      </c>
      <c r="W833" s="4">
        <f>Table1[[#This Row], [LOOT]]-Table1[[#This Row], [TOTAL COST]]</f>
        <v>9633478</v>
      </c>
      <c r="X833" s="4">
        <f>IF(Table1[[#This Row], [PASS/FAIL]]="FAIL",0,Table1[[#This Row], [PROFIT]])</f>
        <v>9633478</v>
      </c>
    </row>
    <row r="834" spans="1:24" ht="19.5" customHeight="1" x14ac:dyDescent="0.45">
      <c r="A834" t="s">
        <v>16</v>
      </c>
      <c r="B834" s="14">
        <f>_xlfn.XLOOKUP(Table1[[#This Row], [TEAM]],Sheet1!$A$12:$A$17,Sheet1!$F$12:$F$17)</f>
        <v>2</v>
      </c>
      <c r="C834" s="14">
        <f>_xlfn.XLOOKUP(Table1[[#This Row], [TEAM]],Sheet1!$A$12:$A$17,Sheet1!$G$12:$G$17)</f>
        <v>6082800</v>
      </c>
      <c r="D834" t="s">
        <v>27</v>
      </c>
      <c r="E834" s="4">
        <f>_xlfn.XLOOKUP(Table1[[#This Row], [ROOM]],Sheet1!$A$47:$A$66,Sheet1!$B$47:$B$66)</f>
        <v>146</v>
      </c>
      <c r="F834" t="s">
        <v>62</v>
      </c>
      <c r="G834" s="4">
        <f>_xlfn.XLOOKUP(Table1[[#This Row], [DISGUISE]],Sheet1!$A$21:$A$23,Sheet1!$B$21:$B$23)*Table1[[#This Row], [NUM OF MEM]]*(1+_xlfn.XLOOKUP(Table1[[#This Row], [DISGUISE]],Sheet1!$A$21:$A$23,Sheet1!$C$21:$C$23))</f>
        <v>10400</v>
      </c>
      <c r="H834" s="13" t="s">
        <v>59</v>
      </c>
      <c r="I834" s="4">
        <f>_xlfn.XLOOKUP(Table1[[#This Row], [WEAPON]],Sheet1!$A$27:$A$29,Sheet1!$B$27:$B$29)*Table1[[#This Row], [NUM OF MEM]]*(1+_xlfn.XLOOKUP(Table1[[#This Row], [WEAPON]],Sheet1!$A$27:$A$29,Sheet1!$C$27:$C$29))</f>
        <v>91000</v>
      </c>
      <c r="J834" t="s">
        <v>64</v>
      </c>
      <c r="K834" s="9">
        <f>Table1[[#This Row], [NUM OF MEM]]*Table1[[#This Row], [TOTAL TIME TAKEN]]*_xlfn.XLOOKUP(Table1[[#This Row], [EXIT]],Sheet1!$A$70:$A$71,Sheet1!$B$70:$B$71)*(1+_xlfn.XLOOKUP(Table1[[#This Row], [EXIT]],Sheet1!$A$70:$A$71,Sheet1!$C$70:$C$71))</f>
        <v>1625345.9999999993</v>
      </c>
      <c r="L834" s="13" t="s">
        <v>65</v>
      </c>
      <c r="M834" s="4">
        <f>IF(Table1[[#This Row], [EQUIPMENT]]="YES",Sheet1!$C$44*(1+Sheet1!$D$44),0)</f>
        <v>307500</v>
      </c>
      <c r="N834" s="4">
        <f>_xlfn.XLOOKUP(Table1[[#This Row], [ROOM]],Sheet1!$A$47:$A$66,Sheet1!$F$47:$F$66)</f>
        <v>17750000</v>
      </c>
      <c r="O834" s="9">
        <f>_xlfn.XLOOKUP(_xlfn.CONCAT(Table1[[#This Row], [TEAM]],Table1[[#This Row], [ROOM]]),'ROOM TIME'!$H$2:$H$121,'ROOM TIME'!$J$2:$J$121)</f>
        <v>56.38124999999998</v>
      </c>
      <c r="P834" s="9">
        <f>(INDEX(Sheet1!$X$48:$Z$67,MATCH(Table1[[#This Row], [ROOM]],Sheet1!$P$48:$P$67,0),MATCH(Table1[[#This Row], [WEAPON]],Sheet1!$X$47:$Z$47,0)))/Table1[[#This Row], [NUM OF MEM]]</f>
        <v>6.3249999999999993</v>
      </c>
      <c r="Q834" s="9">
        <f>Table1[[#This Row], [ROOM TIME]]+Table1[[#This Row], [GUARD TIME]]</f>
        <v>62.706249999999983</v>
      </c>
      <c r="R834" s="4">
        <f>Sheet1!$K$3*_xlfn.XLOOKUP(Table1[[#This Row], [DISGUISE]],Sheet1!$A$21:$A$23,Sheet1!$D$21:$D$23)</f>
        <v>66</v>
      </c>
      <c r="S834" s="9">
        <f>Table1[[#This Row], [TOTAL TIME]]-Table1[[#This Row], [TOTAL TIME TAKEN]]</f>
        <v>3.2937500000000171</v>
      </c>
      <c r="T834" t="str">
        <f>IF(Table1[[#This Row], [TIME DIFFERENCE]]&gt;=0,"PASS","FAIL")</f>
        <v>PASS</v>
      </c>
      <c r="U834" s="9">
        <f>Table1[[#This Row], [TRC]]+Table1[[#This Row], [DRC]]+Table1[[#This Row], [WRC]]+Table1[[#This Row], [ERC]]+Table1[[#This Row], [EQRC]]</f>
        <v>8117045.9999999991</v>
      </c>
      <c r="V834" s="4">
        <f>Table1[[#This Row], [TOTAL COST]]+_xlfn.XLOOKUP(Table1[[#This Row], [TEAM]],Sheet1!$A$12:$A$17,Sheet1!$I$12:$I$17)</f>
        <v>8421186</v>
      </c>
      <c r="W834" s="4">
        <f>Table1[[#This Row], [LOOT]]-Table1[[#This Row], [TOTAL COST]]</f>
        <v>9632954</v>
      </c>
      <c r="X834" s="4">
        <f>IF(Table1[[#This Row], [PASS/FAIL]]="FAIL",0,Table1[[#This Row], [PROFIT]])</f>
        <v>9632954</v>
      </c>
    </row>
    <row r="835" spans="1:24" ht="19.5" customHeight="1" x14ac:dyDescent="0.45">
      <c r="A835" t="s">
        <v>9</v>
      </c>
      <c r="B835" s="14">
        <f>_xlfn.XLOOKUP(Table1[[#This Row], [TEAM]],Sheet1!$A$12:$A$17,Sheet1!$F$12:$F$17)</f>
        <v>3</v>
      </c>
      <c r="C835" s="14">
        <f>_xlfn.XLOOKUP(Table1[[#This Row], [TEAM]],Sheet1!$A$12:$A$17,Sheet1!$G$12:$G$17)</f>
        <v>6238750</v>
      </c>
      <c r="D835" t="s">
        <v>24</v>
      </c>
      <c r="E835" s="4">
        <f>_xlfn.XLOOKUP(Table1[[#This Row], [ROOM]],Sheet1!$A$47:$A$66,Sheet1!$B$47:$B$66)</f>
        <v>345</v>
      </c>
      <c r="F835" t="s">
        <v>58</v>
      </c>
      <c r="G835" s="4">
        <f>_xlfn.XLOOKUP(Table1[[#This Row], [DISGUISE]],Sheet1!$A$21:$A$23,Sheet1!$B$21:$B$23)*Table1[[#This Row], [NUM OF MEM]]*(1+_xlfn.XLOOKUP(Table1[[#This Row], [DISGUISE]],Sheet1!$A$21:$A$23,Sheet1!$C$21:$C$23))</f>
        <v>38400</v>
      </c>
      <c r="H835" s="13" t="s">
        <v>63</v>
      </c>
      <c r="I835" s="4">
        <f>_xlfn.XLOOKUP(Table1[[#This Row], [WEAPON]],Sheet1!$A$27:$A$29,Sheet1!$B$27:$B$29)*Table1[[#This Row], [NUM OF MEM]]*(1+_xlfn.XLOOKUP(Table1[[#This Row], [WEAPON]],Sheet1!$A$27:$A$29,Sheet1!$C$27:$C$29))</f>
        <v>69000</v>
      </c>
      <c r="J835" t="s">
        <v>64</v>
      </c>
      <c r="K835" s="9">
        <f>Table1[[#This Row], [NUM OF MEM]]*Table1[[#This Row], [TOTAL TIME TAKEN]]*_xlfn.XLOOKUP(Table1[[#This Row], [EXIT]],Sheet1!$A$70:$A$71,Sheet1!$B$70:$B$71)*(1+_xlfn.XLOOKUP(Table1[[#This Row], [EXIT]],Sheet1!$A$70:$A$71,Sheet1!$C$70:$C$71))</f>
        <v>1715083.1999999997</v>
      </c>
      <c r="L835" s="13" t="s">
        <v>65</v>
      </c>
      <c r="M835" s="4">
        <f>IF(Table1[[#This Row], [EQUIPMENT]]="YES",Sheet1!$C$44*(1+Sheet1!$D$44),0)</f>
        <v>307500</v>
      </c>
      <c r="N835" s="4">
        <f>_xlfn.XLOOKUP(Table1[[#This Row], [ROOM]],Sheet1!$A$47:$A$66,Sheet1!$F$47:$F$66)</f>
        <v>18000000</v>
      </c>
      <c r="O835" s="9">
        <f>_xlfn.XLOOKUP(_xlfn.CONCAT(Table1[[#This Row], [TEAM]],Table1[[#This Row], [ROOM]]),'ROOM TIME'!$H$2:$H$121,'ROOM TIME'!$J$2:$J$121)</f>
        <v>38.712222222222216</v>
      </c>
      <c r="P835" s="9">
        <f>(INDEX(Sheet1!$X$48:$Z$67,MATCH(Table1[[#This Row], [ROOM]],Sheet1!$P$48:$P$67,0),MATCH(Table1[[#This Row], [WEAPON]],Sheet1!$X$47:$Z$47,0)))/Table1[[#This Row], [NUM OF MEM]]</f>
        <v>5.4000000000000012</v>
      </c>
      <c r="Q835" s="9">
        <f>Table1[[#This Row], [ROOM TIME]]+Table1[[#This Row], [GUARD TIME]]</f>
        <v>44.112222222222215</v>
      </c>
      <c r="R835" s="4">
        <f>Sheet1!$K$3*_xlfn.XLOOKUP(Table1[[#This Row], [DISGUISE]],Sheet1!$A$21:$A$23,Sheet1!$D$21:$D$23)</f>
        <v>69</v>
      </c>
      <c r="S835" s="9">
        <f>Table1[[#This Row], [TOTAL TIME]]-Table1[[#This Row], [TOTAL TIME TAKEN]]</f>
        <v>24.887777777777785</v>
      </c>
      <c r="T835" t="str">
        <f>IF(Table1[[#This Row], [TIME DIFFERENCE]]&gt;=0,"PASS","FAIL")</f>
        <v>PASS</v>
      </c>
      <c r="U835" s="9">
        <f>Table1[[#This Row], [TRC]]+Table1[[#This Row], [DRC]]+Table1[[#This Row], [WRC]]+Table1[[#This Row], [ERC]]+Table1[[#This Row], [EQRC]]</f>
        <v>8368733.1999999993</v>
      </c>
      <c r="V835" s="9">
        <f>Table1[[#This Row], [TOTAL COST]]+_xlfn.XLOOKUP(Table1[[#This Row], [TEAM]],Sheet1!$A$12:$A$17,Sheet1!$I$12:$I$17)</f>
        <v>8680670.6999999993</v>
      </c>
      <c r="W835" s="9">
        <f>Table1[[#This Row], [LOOT]]-Table1[[#This Row], [TOTAL COST]]</f>
        <v>9631266.8000000007</v>
      </c>
      <c r="X835" s="9">
        <f>IF(Table1[[#This Row], [PASS/FAIL]]="FAIL",0,Table1[[#This Row], [PROFIT]])</f>
        <v>9631266.8000000007</v>
      </c>
    </row>
    <row r="836" spans="1:24" ht="19.5" customHeight="1" x14ac:dyDescent="0.45">
      <c r="A836" t="s">
        <v>15</v>
      </c>
      <c r="B836" s="14">
        <f>_xlfn.XLOOKUP(Table1[[#This Row], [TEAM]],Sheet1!$A$12:$A$17,Sheet1!$F$12:$F$17)</f>
        <v>2</v>
      </c>
      <c r="C836" s="14">
        <f>_xlfn.XLOOKUP(Table1[[#This Row], [TEAM]],Sheet1!$A$12:$A$17,Sheet1!$G$12:$G$17)</f>
        <v>5932950</v>
      </c>
      <c r="D836" t="s">
        <v>23</v>
      </c>
      <c r="E836" s="4">
        <f>_xlfn.XLOOKUP(Table1[[#This Row], [ROOM]],Sheet1!$A$47:$A$66,Sheet1!$B$47:$B$66)</f>
        <v>245</v>
      </c>
      <c r="F836" t="s">
        <v>58</v>
      </c>
      <c r="G836" s="4">
        <f>_xlfn.XLOOKUP(Table1[[#This Row], [DISGUISE]],Sheet1!$A$21:$A$23,Sheet1!$B$21:$B$23)*Table1[[#This Row], [NUM OF MEM]]*(1+_xlfn.XLOOKUP(Table1[[#This Row], [DISGUISE]],Sheet1!$A$21:$A$23,Sheet1!$C$21:$C$23))</f>
        <v>25600</v>
      </c>
      <c r="H836" s="13" t="s">
        <v>66</v>
      </c>
      <c r="I836" s="4">
        <f>_xlfn.XLOOKUP(Table1[[#This Row], [WEAPON]],Sheet1!$A$27:$A$29,Sheet1!$B$27:$B$29)*Table1[[#This Row], [NUM OF MEM]]*(1+_xlfn.XLOOKUP(Table1[[#This Row], [WEAPON]],Sheet1!$A$27:$A$29,Sheet1!$C$27:$C$29))</f>
        <v>72000</v>
      </c>
      <c r="J836" t="s">
        <v>64</v>
      </c>
      <c r="K836" s="9">
        <f>Table1[[#This Row], [NUM OF MEM]]*Table1[[#This Row], [TOTAL TIME TAKEN]]*_xlfn.XLOOKUP(Table1[[#This Row], [EXIT]],Sheet1!$A$70:$A$71,Sheet1!$B$70:$B$71)*(1+_xlfn.XLOOKUP(Table1[[#This Row], [EXIT]],Sheet1!$A$70:$A$71,Sheet1!$C$70:$C$71))</f>
        <v>1738551.5999999996</v>
      </c>
      <c r="L836" s="13" t="s">
        <v>61</v>
      </c>
      <c r="M836" s="4">
        <f>IF(Table1[[#This Row], [EQUIPMENT]]="YES",Sheet1!$C$44*(1+Sheet1!$D$44),0)</f>
        <v>0</v>
      </c>
      <c r="N836" s="4">
        <f>_xlfn.XLOOKUP(Table1[[#This Row], [ROOM]],Sheet1!$A$47:$A$66,Sheet1!$F$47:$F$66)</f>
        <v>17400000</v>
      </c>
      <c r="O836" s="9">
        <f>_xlfn.XLOOKUP(_xlfn.CONCAT(Table1[[#This Row], [TEAM]],Table1[[#This Row], [ROOM]]),'ROOM TIME'!$H$2:$H$121,'ROOM TIME'!$J$2:$J$121)</f>
        <v>60.198749999999983</v>
      </c>
      <c r="P836" s="9">
        <f>(INDEX(Sheet1!$X$48:$Z$67,MATCH(Table1[[#This Row], [ROOM]],Sheet1!$P$48:$P$67,0),MATCH(Table1[[#This Row], [WEAPON]],Sheet1!$X$47:$Z$47,0)))/Table1[[#This Row], [NUM OF MEM]]</f>
        <v>6.875</v>
      </c>
      <c r="Q836" s="9">
        <f>Table1[[#This Row], [ROOM TIME]]+Table1[[#This Row], [GUARD TIME]]</f>
        <v>67.07374999999999</v>
      </c>
      <c r="R836" s="4">
        <f>Sheet1!$K$3*_xlfn.XLOOKUP(Table1[[#This Row], [DISGUISE]],Sheet1!$A$21:$A$23,Sheet1!$D$21:$D$23)</f>
        <v>69</v>
      </c>
      <c r="S836" s="9">
        <f>Table1[[#This Row], [TOTAL TIME]]-Table1[[#This Row], [TOTAL TIME TAKEN]]</f>
        <v>1.9262500000000102</v>
      </c>
      <c r="T836" t="str">
        <f>IF(Table1[[#This Row], [TIME DIFFERENCE]]&gt;=0,"PASS","FAIL")</f>
        <v>PASS</v>
      </c>
      <c r="U836" s="9">
        <f>Table1[[#This Row], [TRC]]+Table1[[#This Row], [DRC]]+Table1[[#This Row], [WRC]]+Table1[[#This Row], [ERC]]+Table1[[#This Row], [EQRC]]</f>
        <v>7769101.5999999996</v>
      </c>
      <c r="V836" s="9">
        <f>Table1[[#This Row], [TOTAL COST]]+_xlfn.XLOOKUP(Table1[[#This Row], [TEAM]],Sheet1!$A$12:$A$17,Sheet1!$I$12:$I$17)</f>
        <v>8065749.0999999996</v>
      </c>
      <c r="W836" s="9">
        <f>Table1[[#This Row], [LOOT]]-Table1[[#This Row], [TOTAL COST]]</f>
        <v>9630898.4000000004</v>
      </c>
      <c r="X836" s="9">
        <f>IF(Table1[[#This Row], [PASS/FAIL]]="FAIL",0,Table1[[#This Row], [PROFIT]])</f>
        <v>9630898.4000000004</v>
      </c>
    </row>
    <row r="837" spans="1:24" ht="19.5" customHeight="1" x14ac:dyDescent="0.45">
      <c r="A837" t="s">
        <v>12</v>
      </c>
      <c r="B837" s="14">
        <f>_xlfn.XLOOKUP(Table1[[#This Row], [TEAM]],Sheet1!$A$12:$A$17,Sheet1!$F$12:$F$17)</f>
        <v>3</v>
      </c>
      <c r="C837" s="14">
        <f>_xlfn.XLOOKUP(Table1[[#This Row], [TEAM]],Sheet1!$A$12:$A$17,Sheet1!$G$12:$G$17)</f>
        <v>5988750</v>
      </c>
      <c r="D837" t="s">
        <v>11</v>
      </c>
      <c r="E837" s="4">
        <f>_xlfn.XLOOKUP(Table1[[#This Row], [ROOM]],Sheet1!$A$47:$A$66,Sheet1!$B$47:$B$66)</f>
        <v>124</v>
      </c>
      <c r="F837" t="s">
        <v>62</v>
      </c>
      <c r="G837" s="4">
        <f>_xlfn.XLOOKUP(Table1[[#This Row], [DISGUISE]],Sheet1!$A$21:$A$23,Sheet1!$B$21:$B$23)*Table1[[#This Row], [NUM OF MEM]]*(1+_xlfn.XLOOKUP(Table1[[#This Row], [DISGUISE]],Sheet1!$A$21:$A$23,Sheet1!$C$21:$C$23))</f>
        <v>15600</v>
      </c>
      <c r="H837" s="13" t="s">
        <v>63</v>
      </c>
      <c r="I837" s="4">
        <f>_xlfn.XLOOKUP(Table1[[#This Row], [WEAPON]],Sheet1!$A$27:$A$29,Sheet1!$B$27:$B$29)*Table1[[#This Row], [NUM OF MEM]]*(1+_xlfn.XLOOKUP(Table1[[#This Row], [WEAPON]],Sheet1!$A$27:$A$29,Sheet1!$C$27:$C$29))</f>
        <v>69000</v>
      </c>
      <c r="J837" t="s">
        <v>60</v>
      </c>
      <c r="K837" s="9">
        <f>Table1[[#This Row], [NUM OF MEM]]*Table1[[#This Row], [TOTAL TIME TAKEN]]*_xlfn.XLOOKUP(Table1[[#This Row], [EXIT]],Sheet1!$A$70:$A$71,Sheet1!$B$70:$B$71)*(1+_xlfn.XLOOKUP(Table1[[#This Row], [EXIT]],Sheet1!$A$70:$A$71,Sheet1!$C$70:$C$71))</f>
        <v>1745904.3999999997</v>
      </c>
      <c r="L837" s="13" t="s">
        <v>61</v>
      </c>
      <c r="M837" s="4">
        <f>IF(Table1[[#This Row], [EQUIPMENT]]="YES",Sheet1!$C$44*(1+Sheet1!$D$44),0)</f>
        <v>0</v>
      </c>
      <c r="N837" s="4">
        <f>_xlfn.XLOOKUP(Table1[[#This Row], [ROOM]],Sheet1!$A$47:$A$66,Sheet1!$F$47:$F$66)</f>
        <v>17450000</v>
      </c>
      <c r="O837" s="9">
        <f>_xlfn.XLOOKUP(_xlfn.CONCAT(Table1[[#This Row], [TEAM]],Table1[[#This Row], [ROOM]]),'ROOM TIME'!$H$2:$H$121,'ROOM TIME'!$J$2:$J$121)</f>
        <v>40.401111111111099</v>
      </c>
      <c r="P837" s="9">
        <f>(INDEX(Sheet1!$X$48:$Z$67,MATCH(Table1[[#This Row], [ROOM]],Sheet1!$P$48:$P$67,0),MATCH(Table1[[#This Row], [WEAPON]],Sheet1!$X$47:$Z$47,0)))/Table1[[#This Row], [NUM OF MEM]]</f>
        <v>4.95</v>
      </c>
      <c r="Q837" s="9">
        <f>Table1[[#This Row], [ROOM TIME]]+Table1[[#This Row], [GUARD TIME]]</f>
        <v>45.351111111111102</v>
      </c>
      <c r="R837" s="4">
        <f>Sheet1!$K$3*_xlfn.XLOOKUP(Table1[[#This Row], [DISGUISE]],Sheet1!$A$21:$A$23,Sheet1!$D$21:$D$23)</f>
        <v>66</v>
      </c>
      <c r="S837" s="9">
        <f>Table1[[#This Row], [TOTAL TIME]]-Table1[[#This Row], [TOTAL TIME TAKEN]]</f>
        <v>20.648888888888898</v>
      </c>
      <c r="T837" t="str">
        <f>IF(Table1[[#This Row], [TIME DIFFERENCE]]&gt;=0,"PASS","FAIL")</f>
        <v>PASS</v>
      </c>
      <c r="U837" s="9">
        <f>Table1[[#This Row], [TRC]]+Table1[[#This Row], [DRC]]+Table1[[#This Row], [WRC]]+Table1[[#This Row], [ERC]]+Table1[[#This Row], [EQRC]]</f>
        <v>7819254.3999999994</v>
      </c>
      <c r="V837" s="9">
        <f>Table1[[#This Row], [TOTAL COST]]+_xlfn.XLOOKUP(Table1[[#This Row], [TEAM]],Sheet1!$A$12:$A$17,Sheet1!$I$12:$I$17)</f>
        <v>8118691.8999999994</v>
      </c>
      <c r="W837" s="9">
        <f>Table1[[#This Row], [LOOT]]-Table1[[#This Row], [TOTAL COST]]</f>
        <v>9630745.6000000015</v>
      </c>
      <c r="X837" s="9">
        <f>IF(Table1[[#This Row], [PASS/FAIL]]="FAIL",0,Table1[[#This Row], [PROFIT]])</f>
        <v>9630745.6000000015</v>
      </c>
    </row>
    <row r="838" spans="1:24" ht="19.5" customHeight="1" x14ac:dyDescent="0.45">
      <c r="A838" t="s">
        <v>9</v>
      </c>
      <c r="B838" s="14">
        <f>_xlfn.XLOOKUP(Table1[[#This Row], [TEAM]],Sheet1!$A$12:$A$17,Sheet1!$F$12:$F$17)</f>
        <v>3</v>
      </c>
      <c r="C838" s="14">
        <f>_xlfn.XLOOKUP(Table1[[#This Row], [TEAM]],Sheet1!$A$12:$A$17,Sheet1!$G$12:$G$17)</f>
        <v>6238750</v>
      </c>
      <c r="D838" t="s">
        <v>24</v>
      </c>
      <c r="E838" s="4">
        <f>_xlfn.XLOOKUP(Table1[[#This Row], [ROOM]],Sheet1!$A$47:$A$66,Sheet1!$B$47:$B$66)</f>
        <v>345</v>
      </c>
      <c r="F838" t="s">
        <v>62</v>
      </c>
      <c r="G838" s="4">
        <f>_xlfn.XLOOKUP(Table1[[#This Row], [DISGUISE]],Sheet1!$A$21:$A$23,Sheet1!$B$21:$B$23)*Table1[[#This Row], [NUM OF MEM]]*(1+_xlfn.XLOOKUP(Table1[[#This Row], [DISGUISE]],Sheet1!$A$21:$A$23,Sheet1!$C$21:$C$23))</f>
        <v>15600</v>
      </c>
      <c r="H838" s="13" t="s">
        <v>66</v>
      </c>
      <c r="I838" s="4">
        <f>_xlfn.XLOOKUP(Table1[[#This Row], [WEAPON]],Sheet1!$A$27:$A$29,Sheet1!$B$27:$B$29)*Table1[[#This Row], [NUM OF MEM]]*(1+_xlfn.XLOOKUP(Table1[[#This Row], [WEAPON]],Sheet1!$A$27:$A$29,Sheet1!$C$27:$C$29))</f>
        <v>108000</v>
      </c>
      <c r="J838" t="s">
        <v>64</v>
      </c>
      <c r="K838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1699531.2</v>
      </c>
      <c r="L838" s="13" t="s">
        <v>65</v>
      </c>
      <c r="M838" s="4">
        <f>IF(Table1[[#This Row], [EQUIPMENT]]="YES",Sheet1!$C$44*(1+Sheet1!$D$44),0)</f>
        <v>307500</v>
      </c>
      <c r="N838" s="4">
        <f>_xlfn.XLOOKUP(Table1[[#This Row], [ROOM]],Sheet1!$A$47:$A$66,Sheet1!$F$47:$F$66)</f>
        <v>18000000</v>
      </c>
      <c r="O838" s="9">
        <f>_xlfn.XLOOKUP(_xlfn.CONCAT(Table1[[#This Row], [TEAM]],Table1[[#This Row], [ROOM]]),'ROOM TIME'!$H$2:$H$121,'ROOM TIME'!$J$2:$J$121)</f>
        <v>38.712222222222216</v>
      </c>
      <c r="P838" s="4">
        <f>(INDEX(Sheet1!$X$48:$Z$67,MATCH(Table1[[#This Row], [ROOM]],Sheet1!$P$48:$P$67,0),MATCH(Table1[[#This Row], [WEAPON]],Sheet1!$X$47:$Z$47,0)))/Table1[[#This Row], [NUM OF MEM]]</f>
        <v>5</v>
      </c>
      <c r="Q838" s="9">
        <f>Table1[[#This Row], [ROOM TIME]]+Table1[[#This Row], [GUARD TIME]]</f>
        <v>43.712222222222216</v>
      </c>
      <c r="R838" s="4">
        <f>Sheet1!$K$3*_xlfn.XLOOKUP(Table1[[#This Row], [DISGUISE]],Sheet1!$A$21:$A$23,Sheet1!$D$21:$D$23)</f>
        <v>66</v>
      </c>
      <c r="S838" s="9">
        <f>Table1[[#This Row], [TOTAL TIME]]-Table1[[#This Row], [TOTAL TIME TAKEN]]</f>
        <v>22.287777777777784</v>
      </c>
      <c r="T838" t="str">
        <f>IF(Table1[[#This Row], [TIME DIFFERENCE]]&gt;=0,"PASS","FAIL")</f>
        <v>PASS</v>
      </c>
      <c r="U838" s="9">
        <f>Table1[[#This Row], [TRC]]+Table1[[#This Row], [DRC]]+Table1[[#This Row], [WRC]]+Table1[[#This Row], [ERC]]+Table1[[#This Row], [EQRC]]</f>
        <v>8369381.2000000002</v>
      </c>
      <c r="V838" s="9">
        <f>Table1[[#This Row], [TOTAL COST]]+_xlfn.XLOOKUP(Table1[[#This Row], [TEAM]],Sheet1!$A$12:$A$17,Sheet1!$I$12:$I$17)</f>
        <v>8681318.6999999993</v>
      </c>
      <c r="W838" s="9">
        <f>Table1[[#This Row], [LOOT]]-Table1[[#This Row], [TOTAL COST]]</f>
        <v>9630618.8000000007</v>
      </c>
      <c r="X838" s="9">
        <f>IF(Table1[[#This Row], [PASS/FAIL]]="FAIL",0,Table1[[#This Row], [PROFIT]])</f>
        <v>9630618.8000000007</v>
      </c>
    </row>
    <row r="839" spans="1:24" ht="19.5" customHeight="1" x14ac:dyDescent="0.45">
      <c r="A839" t="s">
        <v>13</v>
      </c>
      <c r="B839" s="14">
        <f>_xlfn.XLOOKUP(Table1[[#This Row], [TEAM]],Sheet1!$A$12:$A$17,Sheet1!$F$12:$F$17)</f>
        <v>3</v>
      </c>
      <c r="C839" s="14">
        <f>_xlfn.XLOOKUP(Table1[[#This Row], [TEAM]],Sheet1!$A$12:$A$17,Sheet1!$G$12:$G$17)</f>
        <v>5930000</v>
      </c>
      <c r="D839" t="s">
        <v>21</v>
      </c>
      <c r="E839" s="4">
        <f>_xlfn.XLOOKUP(Table1[[#This Row], [ROOM]],Sheet1!$A$47:$A$66,Sheet1!$B$47:$B$66)</f>
        <v>234</v>
      </c>
      <c r="F839" t="s">
        <v>58</v>
      </c>
      <c r="G839" s="4">
        <f>_xlfn.XLOOKUP(Table1[[#This Row], [DISGUISE]],Sheet1!$A$21:$A$23,Sheet1!$B$21:$B$23)*Table1[[#This Row], [NUM OF MEM]]*(1+_xlfn.XLOOKUP(Table1[[#This Row], [DISGUISE]],Sheet1!$A$21:$A$23,Sheet1!$C$21:$C$23))</f>
        <v>38400</v>
      </c>
      <c r="H839" s="13" t="s">
        <v>66</v>
      </c>
      <c r="I839" s="4">
        <f>_xlfn.XLOOKUP(Table1[[#This Row], [WEAPON]],Sheet1!$A$27:$A$29,Sheet1!$B$27:$B$29)*Table1[[#This Row], [NUM OF MEM]]*(1+_xlfn.XLOOKUP(Table1[[#This Row], [WEAPON]],Sheet1!$A$27:$A$29,Sheet1!$C$27:$C$29))</f>
        <v>108000</v>
      </c>
      <c r="J839" t="s">
        <v>60</v>
      </c>
      <c r="K839" s="9">
        <f>Table1[[#This Row], [NUM OF MEM]]*Table1[[#This Row], [TOTAL TIME TAKEN]]*_xlfn.XLOOKUP(Table1[[#This Row], [EXIT]],Sheet1!$A$70:$A$71,Sheet1!$B$70:$B$71)*(1+_xlfn.XLOOKUP(Table1[[#This Row], [EXIT]],Sheet1!$A$70:$A$71,Sheet1!$C$70:$C$71))</f>
        <v>1885693.0999999999</v>
      </c>
      <c r="L839" s="13" t="s">
        <v>65</v>
      </c>
      <c r="M839" s="4">
        <f>IF(Table1[[#This Row], [EQUIPMENT]]="YES",Sheet1!$C$44*(1+Sheet1!$D$44),0)</f>
        <v>307500</v>
      </c>
      <c r="N839" s="4">
        <f>_xlfn.XLOOKUP(Table1[[#This Row], [ROOM]],Sheet1!$A$47:$A$66,Sheet1!$F$47:$F$66)</f>
        <v>17900000</v>
      </c>
      <c r="O839" s="9">
        <f>_xlfn.XLOOKUP(_xlfn.CONCAT(Table1[[#This Row], [TEAM]],Table1[[#This Row], [ROOM]]),'ROOM TIME'!$H$2:$H$121,'ROOM TIME'!$J$2:$J$121)</f>
        <v>43.565555555555555</v>
      </c>
      <c r="P839" s="9">
        <f>(INDEX(Sheet1!$X$48:$Z$67,MATCH(Table1[[#This Row], [ROOM]],Sheet1!$P$48:$P$67,0),MATCH(Table1[[#This Row], [WEAPON]],Sheet1!$X$47:$Z$47,0)))/Table1[[#This Row], [NUM OF MEM]]</f>
        <v>5.416666666666667</v>
      </c>
      <c r="Q839" s="9">
        <f>Table1[[#This Row], [ROOM TIME]]+Table1[[#This Row], [GUARD TIME]]</f>
        <v>48.982222222222219</v>
      </c>
      <c r="R839" s="4">
        <f>Sheet1!$K$3*_xlfn.XLOOKUP(Table1[[#This Row], [DISGUISE]],Sheet1!$A$21:$A$23,Sheet1!$D$21:$D$23)</f>
        <v>69</v>
      </c>
      <c r="S839" s="9">
        <f>Table1[[#This Row], [TOTAL TIME]]-Table1[[#This Row], [TOTAL TIME TAKEN]]</f>
        <v>20.017777777777781</v>
      </c>
      <c r="T839" t="str">
        <f>IF(Table1[[#This Row], [TIME DIFFERENCE]]&gt;=0,"PASS","FAIL")</f>
        <v>PASS</v>
      </c>
      <c r="U839" s="9">
        <f>Table1[[#This Row], [TRC]]+Table1[[#This Row], [DRC]]+Table1[[#This Row], [WRC]]+Table1[[#This Row], [ERC]]+Table1[[#This Row], [EQRC]]</f>
        <v>8269593.0999999996</v>
      </c>
      <c r="V839" s="9">
        <f>Table1[[#This Row], [TOTAL COST]]+_xlfn.XLOOKUP(Table1[[#This Row], [TEAM]],Sheet1!$A$12:$A$17,Sheet1!$I$12:$I$17)</f>
        <v>8566093.0999999996</v>
      </c>
      <c r="W839" s="9">
        <f>Table1[[#This Row], [LOOT]]-Table1[[#This Row], [TOTAL COST]]</f>
        <v>9630406.9000000004</v>
      </c>
      <c r="X839" s="9">
        <f>IF(Table1[[#This Row], [PASS/FAIL]]="FAIL",0,Table1[[#This Row], [PROFIT]])</f>
        <v>9630406.9000000004</v>
      </c>
    </row>
    <row r="840" spans="1:24" ht="19.5" customHeight="1" x14ac:dyDescent="0.45">
      <c r="A840" t="s">
        <v>12</v>
      </c>
      <c r="B840" s="14">
        <f>_xlfn.XLOOKUP(Table1[[#This Row], [TEAM]],Sheet1!$A$12:$A$17,Sheet1!$F$12:$F$17)</f>
        <v>3</v>
      </c>
      <c r="C840" s="14">
        <f>_xlfn.XLOOKUP(Table1[[#This Row], [TEAM]],Sheet1!$A$12:$A$17,Sheet1!$G$12:$G$17)</f>
        <v>5988750</v>
      </c>
      <c r="D840" t="s">
        <v>28</v>
      </c>
      <c r="E840" s="4">
        <f>_xlfn.XLOOKUP(Table1[[#This Row], [ROOM]],Sheet1!$A$47:$A$66,Sheet1!$B$47:$B$66)</f>
        <v>156</v>
      </c>
      <c r="F840" t="s">
        <v>62</v>
      </c>
      <c r="G840" s="4">
        <f>_xlfn.XLOOKUP(Table1[[#This Row], [DISGUISE]],Sheet1!$A$21:$A$23,Sheet1!$B$21:$B$23)*Table1[[#This Row], [NUM OF MEM]]*(1+_xlfn.XLOOKUP(Table1[[#This Row], [DISGUISE]],Sheet1!$A$21:$A$23,Sheet1!$C$21:$C$23))</f>
        <v>15600</v>
      </c>
      <c r="H840" s="13" t="s">
        <v>59</v>
      </c>
      <c r="I840" s="4">
        <f>_xlfn.XLOOKUP(Table1[[#This Row], [WEAPON]],Sheet1!$A$27:$A$29,Sheet1!$B$27:$B$29)*Table1[[#This Row], [NUM OF MEM]]*(1+_xlfn.XLOOKUP(Table1[[#This Row], [WEAPON]],Sheet1!$A$27:$A$29,Sheet1!$C$27:$C$29))</f>
        <v>136500</v>
      </c>
      <c r="J840" t="s">
        <v>60</v>
      </c>
      <c r="K840" s="9">
        <f>Table1[[#This Row], [NUM OF MEM]]*Table1[[#This Row], [TOTAL TIME TAKEN]]*_xlfn.XLOOKUP(Table1[[#This Row], [EXIT]],Sheet1!$A$70:$A$71,Sheet1!$B$70:$B$71)*(1+_xlfn.XLOOKUP(Table1[[#This Row], [EXIT]],Sheet1!$A$70:$A$71,Sheet1!$C$70:$C$71))</f>
        <v>1571339.6249999993</v>
      </c>
      <c r="L840" s="13" t="s">
        <v>65</v>
      </c>
      <c r="M840" s="4">
        <f>IF(Table1[[#This Row], [EQUIPMENT]]="YES",Sheet1!$C$44*(1+Sheet1!$D$44),0)</f>
        <v>307500</v>
      </c>
      <c r="N840" s="4">
        <f>_xlfn.XLOOKUP(Table1[[#This Row], [ROOM]],Sheet1!$A$47:$A$66,Sheet1!$F$47:$F$66)</f>
        <v>17650000</v>
      </c>
      <c r="O840" s="9">
        <f>_xlfn.XLOOKUP(_xlfn.CONCAT(Table1[[#This Row], [TEAM]],Table1[[#This Row], [ROOM]]),'ROOM TIME'!$H$2:$H$121,'ROOM TIME'!$J$2:$J$121)</f>
        <v>36.98333333333332</v>
      </c>
      <c r="P840" s="9">
        <f>(INDEX(Sheet1!$X$48:$Z$67,MATCH(Table1[[#This Row], [ROOM]],Sheet1!$P$48:$P$67,0),MATCH(Table1[[#This Row], [WEAPON]],Sheet1!$X$47:$Z$47,0)))/Table1[[#This Row], [NUM OF MEM]]</f>
        <v>3.8333333333333335</v>
      </c>
      <c r="Q840" s="9">
        <f>Table1[[#This Row], [ROOM TIME]]+Table1[[#This Row], [GUARD TIME]]</f>
        <v>40.816666666666656</v>
      </c>
      <c r="R840" s="4">
        <f>Sheet1!$K$3*_xlfn.XLOOKUP(Table1[[#This Row], [DISGUISE]],Sheet1!$A$21:$A$23,Sheet1!$D$21:$D$23)</f>
        <v>66</v>
      </c>
      <c r="S840" s="9">
        <f>Table1[[#This Row], [TOTAL TIME]]-Table1[[#This Row], [TOTAL TIME TAKEN]]</f>
        <v>25.183333333333344</v>
      </c>
      <c r="T840" t="str">
        <f>IF(Table1[[#This Row], [TIME DIFFERENCE]]&gt;=0,"PASS","FAIL")</f>
        <v>PASS</v>
      </c>
      <c r="U840" s="9">
        <f>Table1[[#This Row], [TRC]]+Table1[[#This Row], [DRC]]+Table1[[#This Row], [WRC]]+Table1[[#This Row], [ERC]]+Table1[[#This Row], [EQRC]]</f>
        <v>8019689.6249999991</v>
      </c>
      <c r="V840" s="9">
        <f>Table1[[#This Row], [TOTAL COST]]+_xlfn.XLOOKUP(Table1[[#This Row], [TEAM]],Sheet1!$A$12:$A$17,Sheet1!$I$12:$I$17)</f>
        <v>8319127.1249999991</v>
      </c>
      <c r="W840" s="9">
        <f>Table1[[#This Row], [LOOT]]-Table1[[#This Row], [TOTAL COST]]</f>
        <v>9630310.375</v>
      </c>
      <c r="X840" s="9">
        <f>IF(Table1[[#This Row], [PASS/FAIL]]="FAIL",0,Table1[[#This Row], [PROFIT]])</f>
        <v>9630310.375</v>
      </c>
    </row>
    <row r="841" spans="1:24" ht="19.5" customHeight="1" x14ac:dyDescent="0.45">
      <c r="A841" t="s">
        <v>12</v>
      </c>
      <c r="B841" s="14">
        <f>_xlfn.XLOOKUP(Table1[[#This Row], [TEAM]],Sheet1!$A$12:$A$17,Sheet1!$F$12:$F$17)</f>
        <v>3</v>
      </c>
      <c r="C841" s="14">
        <f>_xlfn.XLOOKUP(Table1[[#This Row], [TEAM]],Sheet1!$A$12:$A$17,Sheet1!$G$12:$G$17)</f>
        <v>5988750</v>
      </c>
      <c r="D841" t="s">
        <v>28</v>
      </c>
      <c r="E841" s="4">
        <f>_xlfn.XLOOKUP(Table1[[#This Row], [ROOM]],Sheet1!$A$47:$A$66,Sheet1!$B$47:$B$66)</f>
        <v>156</v>
      </c>
      <c r="F841" t="s">
        <v>62</v>
      </c>
      <c r="G841" s="4">
        <f>_xlfn.XLOOKUP(Table1[[#This Row], [DISGUISE]],Sheet1!$A$21:$A$23,Sheet1!$B$21:$B$23)*Table1[[#This Row], [NUM OF MEM]]*(1+_xlfn.XLOOKUP(Table1[[#This Row], [DISGUISE]],Sheet1!$A$21:$A$23,Sheet1!$C$21:$C$23))</f>
        <v>15600</v>
      </c>
      <c r="H841" s="13" t="s">
        <v>66</v>
      </c>
      <c r="I841" s="4">
        <f>_xlfn.XLOOKUP(Table1[[#This Row], [WEAPON]],Sheet1!$A$27:$A$29,Sheet1!$B$27:$B$29)*Table1[[#This Row], [NUM OF MEM]]*(1+_xlfn.XLOOKUP(Table1[[#This Row], [WEAPON]],Sheet1!$A$27:$A$29,Sheet1!$C$27:$C$29))</f>
        <v>108000</v>
      </c>
      <c r="J841" t="s">
        <v>64</v>
      </c>
      <c r="K841" s="9">
        <f>Table1[[#This Row], [NUM OF MEM]]*Table1[[#This Row], [TOTAL TIME TAKEN]]*_xlfn.XLOOKUP(Table1[[#This Row], [EXIT]],Sheet1!$A$70:$A$71,Sheet1!$B$70:$B$71)*(1+_xlfn.XLOOKUP(Table1[[#This Row], [EXIT]],Sheet1!$A$70:$A$71,Sheet1!$C$70:$C$71))</f>
        <v>1599911.9999999993</v>
      </c>
      <c r="L841" s="13" t="s">
        <v>65</v>
      </c>
      <c r="M841" s="4">
        <f>IF(Table1[[#This Row], [EQUIPMENT]]="YES",Sheet1!$C$44*(1+Sheet1!$D$44),0)</f>
        <v>307500</v>
      </c>
      <c r="N841" s="4">
        <f>_xlfn.XLOOKUP(Table1[[#This Row], [ROOM]],Sheet1!$A$47:$A$66,Sheet1!$F$47:$F$66)</f>
        <v>17650000</v>
      </c>
      <c r="O841" s="9">
        <f>_xlfn.XLOOKUP(_xlfn.CONCAT(Table1[[#This Row], [TEAM]],Table1[[#This Row], [ROOM]]),'ROOM TIME'!$H$2:$H$121,'ROOM TIME'!$J$2:$J$121)</f>
        <v>36.98333333333332</v>
      </c>
      <c r="P841" s="9">
        <f>(INDEX(Sheet1!$X$48:$Z$67,MATCH(Table1[[#This Row], [ROOM]],Sheet1!$P$48:$P$67,0),MATCH(Table1[[#This Row], [WEAPON]],Sheet1!$X$47:$Z$47,0)))/Table1[[#This Row], [NUM OF MEM]]</f>
        <v>4.166666666666667</v>
      </c>
      <c r="Q841" s="9">
        <f>Table1[[#This Row], [ROOM TIME]]+Table1[[#This Row], [GUARD TIME]]</f>
        <v>41.149999999999984</v>
      </c>
      <c r="R841" s="4">
        <f>Sheet1!$K$3*_xlfn.XLOOKUP(Table1[[#This Row], [DISGUISE]],Sheet1!$A$21:$A$23,Sheet1!$D$21:$D$23)</f>
        <v>66</v>
      </c>
      <c r="S841" s="9">
        <f>Table1[[#This Row], [TOTAL TIME]]-Table1[[#This Row], [TOTAL TIME TAKEN]]</f>
        <v>24.850000000000016</v>
      </c>
      <c r="T841" t="str">
        <f>IF(Table1[[#This Row], [TIME DIFFERENCE]]&gt;=0,"PASS","FAIL")</f>
        <v>PASS</v>
      </c>
      <c r="U841" s="9">
        <f>Table1[[#This Row], [TRC]]+Table1[[#This Row], [DRC]]+Table1[[#This Row], [WRC]]+Table1[[#This Row], [ERC]]+Table1[[#This Row], [EQRC]]</f>
        <v>8019761.9999999991</v>
      </c>
      <c r="V841" s="9">
        <f>Table1[[#This Row], [TOTAL COST]]+_xlfn.XLOOKUP(Table1[[#This Row], [TEAM]],Sheet1!$A$12:$A$17,Sheet1!$I$12:$I$17)</f>
        <v>8319199.4999999991</v>
      </c>
      <c r="W841" s="4">
        <f>Table1[[#This Row], [LOOT]]-Table1[[#This Row], [TOTAL COST]]</f>
        <v>9630238</v>
      </c>
      <c r="X841" s="4">
        <f>IF(Table1[[#This Row], [PASS/FAIL]]="FAIL",0,Table1[[#This Row], [PROFIT]])</f>
        <v>9630238</v>
      </c>
    </row>
    <row r="842" spans="1:24" ht="19.5" customHeight="1" x14ac:dyDescent="0.45">
      <c r="A842" t="s">
        <v>16</v>
      </c>
      <c r="B842" s="14">
        <f>_xlfn.XLOOKUP(Table1[[#This Row], [TEAM]],Sheet1!$A$12:$A$17,Sheet1!$F$12:$F$17)</f>
        <v>2</v>
      </c>
      <c r="C842" s="14">
        <f>_xlfn.XLOOKUP(Table1[[#This Row], [TEAM]],Sheet1!$A$12:$A$17,Sheet1!$G$12:$G$17)</f>
        <v>6082800</v>
      </c>
      <c r="D842" t="s">
        <v>34</v>
      </c>
      <c r="E842" s="4">
        <f>_xlfn.XLOOKUP(Table1[[#This Row], [ROOM]],Sheet1!$A$47:$A$66,Sheet1!$B$47:$B$66)</f>
        <v>456</v>
      </c>
      <c r="F842" t="s">
        <v>62</v>
      </c>
      <c r="G842" s="4">
        <f>_xlfn.XLOOKUP(Table1[[#This Row], [DISGUISE]],Sheet1!$A$21:$A$23,Sheet1!$B$21:$B$23)*Table1[[#This Row], [NUM OF MEM]]*(1+_xlfn.XLOOKUP(Table1[[#This Row], [DISGUISE]],Sheet1!$A$21:$A$23,Sheet1!$C$21:$C$23))</f>
        <v>10400</v>
      </c>
      <c r="H842" s="13" t="s">
        <v>63</v>
      </c>
      <c r="I842" s="4">
        <f>_xlfn.XLOOKUP(Table1[[#This Row], [WEAPON]],Sheet1!$A$27:$A$29,Sheet1!$B$27:$B$29)*Table1[[#This Row], [NUM OF MEM]]*(1+_xlfn.XLOOKUP(Table1[[#This Row], [WEAPON]],Sheet1!$A$27:$A$29,Sheet1!$C$27:$C$29))</f>
        <v>46000</v>
      </c>
      <c r="J842" t="s">
        <v>60</v>
      </c>
      <c r="K842" s="9">
        <f>Table1[[#This Row], [NUM OF MEM]]*Table1[[#This Row], [TOTAL TIME TAKEN]]*_xlfn.XLOOKUP(Table1[[#This Row], [EXIT]],Sheet1!$A$70:$A$71,Sheet1!$B$70:$B$71)*(1+_xlfn.XLOOKUP(Table1[[#This Row], [EXIT]],Sheet1!$A$70:$A$71,Sheet1!$C$70:$C$71))</f>
        <v>1623182.9249999996</v>
      </c>
      <c r="L842" s="13" t="s">
        <v>65</v>
      </c>
      <c r="M842" s="4">
        <f>IF(Table1[[#This Row], [EQUIPMENT]]="YES",Sheet1!$C$44*(1+Sheet1!$D$44),0)</f>
        <v>307500</v>
      </c>
      <c r="N842" s="4">
        <f>_xlfn.XLOOKUP(Table1[[#This Row], [ROOM]],Sheet1!$A$47:$A$66,Sheet1!$F$47:$F$66)</f>
        <v>17700000</v>
      </c>
      <c r="O842" s="9">
        <f>_xlfn.XLOOKUP(_xlfn.CONCAT(Table1[[#This Row], [TEAM]],Table1[[#This Row], [ROOM]]),'ROOM TIME'!$H$2:$H$121,'ROOM TIME'!$J$2:$J$121)</f>
        <v>55.819999999999986</v>
      </c>
      <c r="P842" s="9">
        <f>(INDEX(Sheet1!$X$48:$Z$67,MATCH(Table1[[#This Row], [ROOM]],Sheet1!$P$48:$P$67,0),MATCH(Table1[[#This Row], [WEAPON]],Sheet1!$X$47:$Z$47,0)))/Table1[[#This Row], [NUM OF MEM]]</f>
        <v>7.4250000000000007</v>
      </c>
      <c r="Q842" s="9">
        <f>Table1[[#This Row], [ROOM TIME]]+Table1[[#This Row], [GUARD TIME]]</f>
        <v>63.24499999999999</v>
      </c>
      <c r="R842" s="4">
        <f>Sheet1!$K$3*_xlfn.XLOOKUP(Table1[[#This Row], [DISGUISE]],Sheet1!$A$21:$A$23,Sheet1!$D$21:$D$23)</f>
        <v>66</v>
      </c>
      <c r="S842" s="9">
        <f>Table1[[#This Row], [TOTAL TIME]]-Table1[[#This Row], [TOTAL TIME TAKEN]]</f>
        <v>2.7550000000000097</v>
      </c>
      <c r="T842" t="str">
        <f>IF(Table1[[#This Row], [TIME DIFFERENCE]]&gt;=0,"PASS","FAIL")</f>
        <v>PASS</v>
      </c>
      <c r="U842" s="9">
        <f>Table1[[#This Row], [TRC]]+Table1[[#This Row], [DRC]]+Table1[[#This Row], [WRC]]+Table1[[#This Row], [ERC]]+Table1[[#This Row], [EQRC]]</f>
        <v>8069882.9249999998</v>
      </c>
      <c r="V842" s="9">
        <f>Table1[[#This Row], [TOTAL COST]]+_xlfn.XLOOKUP(Table1[[#This Row], [TEAM]],Sheet1!$A$12:$A$17,Sheet1!$I$12:$I$17)</f>
        <v>8374022.9249999998</v>
      </c>
      <c r="W842" s="9">
        <f>Table1[[#This Row], [LOOT]]-Table1[[#This Row], [TOTAL COST]]</f>
        <v>9630117.0749999993</v>
      </c>
      <c r="X842" s="9">
        <f>IF(Table1[[#This Row], [PASS/FAIL]]="FAIL",0,Table1[[#This Row], [PROFIT]])</f>
        <v>9630117.0749999993</v>
      </c>
    </row>
    <row r="843" spans="1:24" ht="19.5" customHeight="1" x14ac:dyDescent="0.45">
      <c r="A843" t="s">
        <v>12</v>
      </c>
      <c r="B843" s="14">
        <f>_xlfn.XLOOKUP(Table1[[#This Row], [TEAM]],Sheet1!$A$12:$A$17,Sheet1!$F$12:$F$17)</f>
        <v>3</v>
      </c>
      <c r="C843" s="14">
        <f>_xlfn.XLOOKUP(Table1[[#This Row], [TEAM]],Sheet1!$A$12:$A$17,Sheet1!$G$12:$G$17)</f>
        <v>5988750</v>
      </c>
      <c r="D843" t="s">
        <v>21</v>
      </c>
      <c r="E843" s="4">
        <f>_xlfn.XLOOKUP(Table1[[#This Row], [ROOM]],Sheet1!$A$47:$A$66,Sheet1!$B$47:$B$66)</f>
        <v>234</v>
      </c>
      <c r="F843" t="s">
        <v>58</v>
      </c>
      <c r="G843" s="4">
        <f>_xlfn.XLOOKUP(Table1[[#This Row], [DISGUISE]],Sheet1!$A$21:$A$23,Sheet1!$B$21:$B$23)*Table1[[#This Row], [NUM OF MEM]]*(1+_xlfn.XLOOKUP(Table1[[#This Row], [DISGUISE]],Sheet1!$A$21:$A$23,Sheet1!$C$21:$C$23))</f>
        <v>38400</v>
      </c>
      <c r="H843" s="13" t="s">
        <v>59</v>
      </c>
      <c r="I843" s="4">
        <f>_xlfn.XLOOKUP(Table1[[#This Row], [WEAPON]],Sheet1!$A$27:$A$29,Sheet1!$B$27:$B$29)*Table1[[#This Row], [NUM OF MEM]]*(1+_xlfn.XLOOKUP(Table1[[#This Row], [WEAPON]],Sheet1!$A$27:$A$29,Sheet1!$C$27:$C$29))</f>
        <v>136500</v>
      </c>
      <c r="J843" t="s">
        <v>60</v>
      </c>
      <c r="K843" s="9">
        <f>Table1[[#This Row], [NUM OF MEM]]*Table1[[#This Row], [TOTAL TIME TAKEN]]*_xlfn.XLOOKUP(Table1[[#This Row], [EXIT]],Sheet1!$A$70:$A$71,Sheet1!$B$70:$B$71)*(1+_xlfn.XLOOKUP(Table1[[#This Row], [EXIT]],Sheet1!$A$70:$A$71,Sheet1!$C$70:$C$71))</f>
        <v>1799073.7249999996</v>
      </c>
      <c r="L843" s="13" t="s">
        <v>65</v>
      </c>
      <c r="M843" s="4">
        <f>IF(Table1[[#This Row], [EQUIPMENT]]="YES",Sheet1!$C$44*(1+Sheet1!$D$44),0)</f>
        <v>307500</v>
      </c>
      <c r="N843" s="4">
        <f>_xlfn.XLOOKUP(Table1[[#This Row], [ROOM]],Sheet1!$A$47:$A$66,Sheet1!$F$47:$F$66)</f>
        <v>17900000</v>
      </c>
      <c r="O843" s="9">
        <f>_xlfn.XLOOKUP(_xlfn.CONCAT(Table1[[#This Row], [TEAM]],Table1[[#This Row], [ROOM]]),'ROOM TIME'!$H$2:$H$121,'ROOM TIME'!$J$2:$J$121)</f>
        <v>41.748888888888878</v>
      </c>
      <c r="P843" s="9">
        <f>(INDEX(Sheet1!$X$48:$Z$67,MATCH(Table1[[#This Row], [ROOM]],Sheet1!$P$48:$P$67,0),MATCH(Table1[[#This Row], [WEAPON]],Sheet1!$X$47:$Z$47,0)))/Table1[[#This Row], [NUM OF MEM]]</f>
        <v>4.9833333333333334</v>
      </c>
      <c r="Q843" s="9">
        <f>Table1[[#This Row], [ROOM TIME]]+Table1[[#This Row], [GUARD TIME]]</f>
        <v>46.732222222222212</v>
      </c>
      <c r="R843" s="4">
        <f>Sheet1!$K$3*_xlfn.XLOOKUP(Table1[[#This Row], [DISGUISE]],Sheet1!$A$21:$A$23,Sheet1!$D$21:$D$23)</f>
        <v>69</v>
      </c>
      <c r="S843" s="9">
        <f>Table1[[#This Row], [TOTAL TIME]]-Table1[[#This Row], [TOTAL TIME TAKEN]]</f>
        <v>22.267777777777788</v>
      </c>
      <c r="T843" t="str">
        <f>IF(Table1[[#This Row], [TIME DIFFERENCE]]&gt;=0,"PASS","FAIL")</f>
        <v>PASS</v>
      </c>
      <c r="U843" s="9">
        <f>Table1[[#This Row], [TRC]]+Table1[[#This Row], [DRC]]+Table1[[#This Row], [WRC]]+Table1[[#This Row], [ERC]]+Table1[[#This Row], [EQRC]]</f>
        <v>8270223.7249999996</v>
      </c>
      <c r="V843" s="9">
        <f>Table1[[#This Row], [TOTAL COST]]+_xlfn.XLOOKUP(Table1[[#This Row], [TEAM]],Sheet1!$A$12:$A$17,Sheet1!$I$12:$I$17)</f>
        <v>8569661.2249999996</v>
      </c>
      <c r="W843" s="9">
        <f>Table1[[#This Row], [LOOT]]-Table1[[#This Row], [TOTAL COST]]</f>
        <v>9629776.2750000004</v>
      </c>
      <c r="X843" s="9">
        <f>IF(Table1[[#This Row], [PASS/FAIL]]="FAIL",0,Table1[[#This Row], [PROFIT]])</f>
        <v>9629776.2750000004</v>
      </c>
    </row>
    <row r="844" spans="1:24" ht="19.5" customHeight="1" x14ac:dyDescent="0.45">
      <c r="A844" t="s">
        <v>15</v>
      </c>
      <c r="B844" s="14">
        <f>_xlfn.XLOOKUP(Table1[[#This Row], [TEAM]],Sheet1!$A$12:$A$17,Sheet1!$F$12:$F$17)</f>
        <v>2</v>
      </c>
      <c r="C844" s="14">
        <f>_xlfn.XLOOKUP(Table1[[#This Row], [TEAM]],Sheet1!$A$12:$A$17,Sheet1!$G$12:$G$17)</f>
        <v>5932950</v>
      </c>
      <c r="D844" t="s">
        <v>30</v>
      </c>
      <c r="E844" s="4">
        <f>_xlfn.XLOOKUP(Table1[[#This Row], [ROOM]],Sheet1!$A$47:$A$66,Sheet1!$B$47:$B$66)</f>
        <v>246</v>
      </c>
      <c r="F844" t="s">
        <v>62</v>
      </c>
      <c r="G844" s="4">
        <f>_xlfn.XLOOKUP(Table1[[#This Row], [DISGUISE]],Sheet1!$A$21:$A$23,Sheet1!$B$21:$B$23)*Table1[[#This Row], [NUM OF MEM]]*(1+_xlfn.XLOOKUP(Table1[[#This Row], [DISGUISE]],Sheet1!$A$21:$A$23,Sheet1!$C$21:$C$23))</f>
        <v>10400</v>
      </c>
      <c r="H844" s="13" t="s">
        <v>63</v>
      </c>
      <c r="I844" s="4">
        <f>_xlfn.XLOOKUP(Table1[[#This Row], [WEAPON]],Sheet1!$A$27:$A$29,Sheet1!$B$27:$B$29)*Table1[[#This Row], [NUM OF MEM]]*(1+_xlfn.XLOOKUP(Table1[[#This Row], [WEAPON]],Sheet1!$A$27:$A$29,Sheet1!$C$27:$C$29))</f>
        <v>46000</v>
      </c>
      <c r="J844" t="s">
        <v>60</v>
      </c>
      <c r="K844" s="9">
        <f>Table1[[#This Row], [NUM OF MEM]]*Table1[[#This Row], [TOTAL TIME TAKEN]]*_xlfn.XLOOKUP(Table1[[#This Row], [EXIT]],Sheet1!$A$70:$A$71,Sheet1!$B$70:$B$71)*(1+_xlfn.XLOOKUP(Table1[[#This Row], [EXIT]],Sheet1!$A$70:$A$71,Sheet1!$C$70:$C$71))</f>
        <v>1673967.54375</v>
      </c>
      <c r="L844" s="13" t="s">
        <v>65</v>
      </c>
      <c r="M844" s="4">
        <f>IF(Table1[[#This Row], [EQUIPMENT]]="YES",Sheet1!$C$44*(1+Sheet1!$D$44),0)</f>
        <v>307500</v>
      </c>
      <c r="N844" s="4">
        <f>_xlfn.XLOOKUP(Table1[[#This Row], [ROOM]],Sheet1!$A$47:$A$66,Sheet1!$F$47:$F$66)</f>
        <v>17600000</v>
      </c>
      <c r="O844" s="9">
        <f>_xlfn.XLOOKUP(_xlfn.CONCAT(Table1[[#This Row], [TEAM]],Table1[[#This Row], [ROOM]]),'ROOM TIME'!$H$2:$H$121,'ROOM TIME'!$J$2:$J$121)</f>
        <v>57.123749999999987</v>
      </c>
      <c r="P844" s="9">
        <f>(INDEX(Sheet1!$X$48:$Z$67,MATCH(Table1[[#This Row], [ROOM]],Sheet1!$P$48:$P$67,0),MATCH(Table1[[#This Row], [WEAPON]],Sheet1!$X$47:$Z$47,0)))/Table1[[#This Row], [NUM OF MEM]]</f>
        <v>8.1000000000000014</v>
      </c>
      <c r="Q844" s="9">
        <f>Table1[[#This Row], [ROOM TIME]]+Table1[[#This Row], [GUARD TIME]]</f>
        <v>65.223749999999995</v>
      </c>
      <c r="R844" s="4">
        <f>Sheet1!$K$3*_xlfn.XLOOKUP(Table1[[#This Row], [DISGUISE]],Sheet1!$A$21:$A$23,Sheet1!$D$21:$D$23)</f>
        <v>66</v>
      </c>
      <c r="S844" s="9">
        <f>Table1[[#This Row], [TOTAL TIME]]-Table1[[#This Row], [TOTAL TIME TAKEN]]</f>
        <v>0.77625000000000455</v>
      </c>
      <c r="T844" t="str">
        <f>IF(Table1[[#This Row], [TIME DIFFERENCE]]&gt;=0,"PASS","FAIL")</f>
        <v>PASS</v>
      </c>
      <c r="U844" s="9">
        <f>Table1[[#This Row], [TRC]]+Table1[[#This Row], [DRC]]+Table1[[#This Row], [WRC]]+Table1[[#This Row], [ERC]]+Table1[[#This Row], [EQRC]]</f>
        <v>7970817.5437500002</v>
      </c>
      <c r="V844" s="9">
        <f>Table1[[#This Row], [TOTAL COST]]+_xlfn.XLOOKUP(Table1[[#This Row], [TEAM]],Sheet1!$A$12:$A$17,Sheet1!$I$12:$I$17)</f>
        <v>8267465.0437500002</v>
      </c>
      <c r="W844" s="9">
        <f>Table1[[#This Row], [LOOT]]-Table1[[#This Row], [TOTAL COST]]</f>
        <v>9629182.4562500007</v>
      </c>
      <c r="X844" s="9">
        <f>IF(Table1[[#This Row], [PASS/FAIL]]="FAIL",0,Table1[[#This Row], [PROFIT]])</f>
        <v>9629182.4562500007</v>
      </c>
    </row>
    <row r="845" spans="1:24" ht="19.5" customHeight="1" x14ac:dyDescent="0.45">
      <c r="A845" t="s">
        <v>14</v>
      </c>
      <c r="B845" s="14">
        <f>_xlfn.XLOOKUP(Table1[[#This Row], [TEAM]],Sheet1!$A$12:$A$17,Sheet1!$F$12:$F$17)</f>
        <v>2</v>
      </c>
      <c r="C845" s="14">
        <f>_xlfn.XLOOKUP(Table1[[#This Row], [TEAM]],Sheet1!$A$12:$A$17,Sheet1!$G$12:$G$17)</f>
        <v>5949600</v>
      </c>
      <c r="D845" t="s">
        <v>23</v>
      </c>
      <c r="E845" s="4">
        <f>_xlfn.XLOOKUP(Table1[[#This Row], [ROOM]],Sheet1!$A$47:$A$66,Sheet1!$B$47:$B$66)</f>
        <v>245</v>
      </c>
      <c r="F845" t="s">
        <v>58</v>
      </c>
      <c r="G845" s="4">
        <f>_xlfn.XLOOKUP(Table1[[#This Row], [DISGUISE]],Sheet1!$A$21:$A$23,Sheet1!$B$21:$B$23)*Table1[[#This Row], [NUM OF MEM]]*(1+_xlfn.XLOOKUP(Table1[[#This Row], [DISGUISE]],Sheet1!$A$21:$A$23,Sheet1!$C$21:$C$23))</f>
        <v>25600</v>
      </c>
      <c r="H845" s="13" t="s">
        <v>66</v>
      </c>
      <c r="I845" s="4">
        <f>_xlfn.XLOOKUP(Table1[[#This Row], [WEAPON]],Sheet1!$A$27:$A$29,Sheet1!$B$27:$B$29)*Table1[[#This Row], [NUM OF MEM]]*(1+_xlfn.XLOOKUP(Table1[[#This Row], [WEAPON]],Sheet1!$A$27:$A$29,Sheet1!$C$27:$C$29))</f>
        <v>72000</v>
      </c>
      <c r="J845" t="s">
        <v>60</v>
      </c>
      <c r="K845" s="9">
        <f>Table1[[#This Row], [NUM OF MEM]]*Table1[[#This Row], [TOTAL TIME TAKEN]]*_xlfn.XLOOKUP(Table1[[#This Row], [EXIT]],Sheet1!$A$70:$A$71,Sheet1!$B$70:$B$71)*(1+_xlfn.XLOOKUP(Table1[[#This Row], [EXIT]],Sheet1!$A$70:$A$71,Sheet1!$C$70:$C$71))</f>
        <v>1724495.5124999997</v>
      </c>
      <c r="L845" s="13" t="s">
        <v>61</v>
      </c>
      <c r="M845" s="4">
        <f>IF(Table1[[#This Row], [EQUIPMENT]]="YES",Sheet1!$C$44*(1+Sheet1!$D$44),0)</f>
        <v>0</v>
      </c>
      <c r="N845" s="4">
        <f>_xlfn.XLOOKUP(Table1[[#This Row], [ROOM]],Sheet1!$A$47:$A$66,Sheet1!$F$47:$F$66)</f>
        <v>17400000</v>
      </c>
      <c r="O845" s="9">
        <f>_xlfn.XLOOKUP(_xlfn.CONCAT(Table1[[#This Row], [TEAM]],Table1[[#This Row], [ROOM]]),'ROOM TIME'!$H$2:$H$121,'ROOM TIME'!$J$2:$J$121)</f>
        <v>60.317499999999981</v>
      </c>
      <c r="P845" s="9">
        <f>(INDEX(Sheet1!$X$48:$Z$67,MATCH(Table1[[#This Row], [ROOM]],Sheet1!$P$48:$P$67,0),MATCH(Table1[[#This Row], [WEAPON]],Sheet1!$X$47:$Z$47,0)))/Table1[[#This Row], [NUM OF MEM]]</f>
        <v>6.875</v>
      </c>
      <c r="Q845" s="9">
        <f>Table1[[#This Row], [ROOM TIME]]+Table1[[#This Row], [GUARD TIME]]</f>
        <v>67.192499999999981</v>
      </c>
      <c r="R845" s="4">
        <f>Sheet1!$K$3*_xlfn.XLOOKUP(Table1[[#This Row], [DISGUISE]],Sheet1!$A$21:$A$23,Sheet1!$D$21:$D$23)</f>
        <v>69</v>
      </c>
      <c r="S845" s="9">
        <f>Table1[[#This Row], [TOTAL TIME]]-Table1[[#This Row], [TOTAL TIME TAKEN]]</f>
        <v>1.8075000000000188</v>
      </c>
      <c r="T845" t="str">
        <f>IF(Table1[[#This Row], [TIME DIFFERENCE]]&gt;=0,"PASS","FAIL")</f>
        <v>PASS</v>
      </c>
      <c r="U845" s="9">
        <f>Table1[[#This Row], [TRC]]+Table1[[#This Row], [DRC]]+Table1[[#This Row], [WRC]]+Table1[[#This Row], [ERC]]+Table1[[#This Row], [EQRC]]</f>
        <v>7771695.5124999993</v>
      </c>
      <c r="V845" s="9">
        <f>Table1[[#This Row], [TOTAL COST]]+_xlfn.XLOOKUP(Table1[[#This Row], [TEAM]],Sheet1!$A$12:$A$17,Sheet1!$I$12:$I$17)</f>
        <v>8069175.5124999993</v>
      </c>
      <c r="W845" s="9">
        <f>Table1[[#This Row], [LOOT]]-Table1[[#This Row], [TOTAL COST]]</f>
        <v>9628304.4875000007</v>
      </c>
      <c r="X845" s="9">
        <f>IF(Table1[[#This Row], [PASS/FAIL]]="FAIL",0,Table1[[#This Row], [PROFIT]])</f>
        <v>9628304.4875000007</v>
      </c>
    </row>
    <row r="846" spans="1:24" ht="19.5" customHeight="1" x14ac:dyDescent="0.45">
      <c r="A846" t="s">
        <v>14</v>
      </c>
      <c r="B846" s="14">
        <f>_xlfn.XLOOKUP(Table1[[#This Row], [TEAM]],Sheet1!$A$12:$A$17,Sheet1!$F$12:$F$17)</f>
        <v>2</v>
      </c>
      <c r="C846" s="14">
        <f>_xlfn.XLOOKUP(Table1[[#This Row], [TEAM]],Sheet1!$A$12:$A$17,Sheet1!$G$12:$G$17)</f>
        <v>5949600</v>
      </c>
      <c r="D846" t="s">
        <v>30</v>
      </c>
      <c r="E846" s="4">
        <f>_xlfn.XLOOKUP(Table1[[#This Row], [ROOM]],Sheet1!$A$47:$A$66,Sheet1!$B$47:$B$66)</f>
        <v>246</v>
      </c>
      <c r="F846" t="s">
        <v>62</v>
      </c>
      <c r="G846" s="4">
        <f>_xlfn.XLOOKUP(Table1[[#This Row], [DISGUISE]],Sheet1!$A$21:$A$23,Sheet1!$B$21:$B$23)*Table1[[#This Row], [NUM OF MEM]]*(1+_xlfn.XLOOKUP(Table1[[#This Row], [DISGUISE]],Sheet1!$A$21:$A$23,Sheet1!$C$21:$C$23))</f>
        <v>10400</v>
      </c>
      <c r="H846" s="13" t="s">
        <v>63</v>
      </c>
      <c r="I846" s="4">
        <f>_xlfn.XLOOKUP(Table1[[#This Row], [WEAPON]],Sheet1!$A$27:$A$29,Sheet1!$B$27:$B$29)*Table1[[#This Row], [NUM OF MEM]]*(1+_xlfn.XLOOKUP(Table1[[#This Row], [WEAPON]],Sheet1!$A$27:$A$29,Sheet1!$C$27:$C$29))</f>
        <v>46000</v>
      </c>
      <c r="J846" t="s">
        <v>60</v>
      </c>
      <c r="K846" s="9">
        <f>Table1[[#This Row], [NUM OF MEM]]*Table1[[#This Row], [TOTAL TIME TAKEN]]*_xlfn.XLOOKUP(Table1[[#This Row], [EXIT]],Sheet1!$A$70:$A$71,Sheet1!$B$70:$B$71)*(1+_xlfn.XLOOKUP(Table1[[#This Row], [EXIT]],Sheet1!$A$70:$A$71,Sheet1!$C$70:$C$71))</f>
        <v>1658279.8124999995</v>
      </c>
      <c r="L846" s="13" t="s">
        <v>65</v>
      </c>
      <c r="M846" s="4">
        <f>IF(Table1[[#This Row], [EQUIPMENT]]="YES",Sheet1!$C$44*(1+Sheet1!$D$44),0)</f>
        <v>307500</v>
      </c>
      <c r="N846" s="4">
        <f>_xlfn.XLOOKUP(Table1[[#This Row], [ROOM]],Sheet1!$A$47:$A$66,Sheet1!$F$47:$F$66)</f>
        <v>17600000</v>
      </c>
      <c r="O846" s="9">
        <f>_xlfn.XLOOKUP(_xlfn.CONCAT(Table1[[#This Row], [TEAM]],Table1[[#This Row], [ROOM]]),'ROOM TIME'!$H$2:$H$121,'ROOM TIME'!$J$2:$J$121)</f>
        <v>56.512499999999982</v>
      </c>
      <c r="P846" s="9">
        <f>(INDEX(Sheet1!$X$48:$Z$67,MATCH(Table1[[#This Row], [ROOM]],Sheet1!$P$48:$P$67,0),MATCH(Table1[[#This Row], [WEAPON]],Sheet1!$X$47:$Z$47,0)))/Table1[[#This Row], [NUM OF MEM]]</f>
        <v>8.1000000000000014</v>
      </c>
      <c r="Q846" s="9">
        <f>Table1[[#This Row], [ROOM TIME]]+Table1[[#This Row], [GUARD TIME]]</f>
        <v>64.612499999999983</v>
      </c>
      <c r="R846" s="4">
        <f>Sheet1!$K$3*_xlfn.XLOOKUP(Table1[[#This Row], [DISGUISE]],Sheet1!$A$21:$A$23,Sheet1!$D$21:$D$23)</f>
        <v>66</v>
      </c>
      <c r="S846" s="9">
        <f>Table1[[#This Row], [TOTAL TIME]]-Table1[[#This Row], [TOTAL TIME TAKEN]]</f>
        <v>1.3875000000000171</v>
      </c>
      <c r="T846" t="str">
        <f>IF(Table1[[#This Row], [TIME DIFFERENCE]]&gt;=0,"PASS","FAIL")</f>
        <v>PASS</v>
      </c>
      <c r="U846" s="9">
        <f>Table1[[#This Row], [TRC]]+Table1[[#This Row], [DRC]]+Table1[[#This Row], [WRC]]+Table1[[#This Row], [ERC]]+Table1[[#This Row], [EQRC]]</f>
        <v>7971779.8125</v>
      </c>
      <c r="V846" s="9">
        <f>Table1[[#This Row], [TOTAL COST]]+_xlfn.XLOOKUP(Table1[[#This Row], [TEAM]],Sheet1!$A$12:$A$17,Sheet1!$I$12:$I$17)</f>
        <v>8269259.8125</v>
      </c>
      <c r="W846" s="9">
        <f>Table1[[#This Row], [LOOT]]-Table1[[#This Row], [TOTAL COST]]</f>
        <v>9628220.1875</v>
      </c>
      <c r="X846" s="9">
        <f>IF(Table1[[#This Row], [PASS/FAIL]]="FAIL",0,Table1[[#This Row], [PROFIT]])</f>
        <v>9628220.1875</v>
      </c>
    </row>
    <row r="847" spans="1:24" ht="19.5" customHeight="1" x14ac:dyDescent="0.45">
      <c r="A847" t="s">
        <v>12</v>
      </c>
      <c r="B847" s="14">
        <f>_xlfn.XLOOKUP(Table1[[#This Row], [TEAM]],Sheet1!$A$12:$A$17,Sheet1!$F$12:$F$17)</f>
        <v>3</v>
      </c>
      <c r="C847" s="14">
        <f>_xlfn.XLOOKUP(Table1[[#This Row], [TEAM]],Sheet1!$A$12:$A$17,Sheet1!$G$12:$G$17)</f>
        <v>5988750</v>
      </c>
      <c r="D847" t="s">
        <v>10</v>
      </c>
      <c r="E847" s="4">
        <f>_xlfn.XLOOKUP(Table1[[#This Row], [ROOM]],Sheet1!$A$47:$A$66,Sheet1!$B$47:$B$66)</f>
        <v>123</v>
      </c>
      <c r="F847" t="s">
        <v>62</v>
      </c>
      <c r="G847" s="4">
        <f>_xlfn.XLOOKUP(Table1[[#This Row], [DISGUISE]],Sheet1!$A$21:$A$23,Sheet1!$B$21:$B$23)*Table1[[#This Row], [NUM OF MEM]]*(1+_xlfn.XLOOKUP(Table1[[#This Row], [DISGUISE]],Sheet1!$A$21:$A$23,Sheet1!$C$21:$C$23))</f>
        <v>15600</v>
      </c>
      <c r="H847" s="13" t="s">
        <v>63</v>
      </c>
      <c r="I847" s="4">
        <f>_xlfn.XLOOKUP(Table1[[#This Row], [WEAPON]],Sheet1!$A$27:$A$29,Sheet1!$B$27:$B$29)*Table1[[#This Row], [NUM OF MEM]]*(1+_xlfn.XLOOKUP(Table1[[#This Row], [WEAPON]],Sheet1!$A$27:$A$29,Sheet1!$C$27:$C$29))</f>
        <v>69000</v>
      </c>
      <c r="J847" t="s">
        <v>64</v>
      </c>
      <c r="K847" s="9">
        <f>Table1[[#This Row], [NUM OF MEM]]*Table1[[#This Row], [TOTAL TIME TAKEN]]*_xlfn.XLOOKUP(Table1[[#This Row], [EXIT]],Sheet1!$A$70:$A$71,Sheet1!$B$70:$B$71)*(1+_xlfn.XLOOKUP(Table1[[#This Row], [EXIT]],Sheet1!$A$70:$A$71,Sheet1!$C$70:$C$71))</f>
        <v>1841659.1999999995</v>
      </c>
      <c r="L847" s="13" t="s">
        <v>65</v>
      </c>
      <c r="M847" s="4">
        <f>IF(Table1[[#This Row], [EQUIPMENT]]="YES",Sheet1!$C$44*(1+Sheet1!$D$44),0)</f>
        <v>307500</v>
      </c>
      <c r="N847" s="4">
        <f>_xlfn.XLOOKUP(Table1[[#This Row], [ROOM]],Sheet1!$A$47:$A$66,Sheet1!$F$47:$F$66)</f>
        <v>17850000</v>
      </c>
      <c r="O847" s="9">
        <f>_xlfn.XLOOKUP(_xlfn.CONCAT(Table1[[#This Row], [TEAM]],Table1[[#This Row], [ROOM]]),'ROOM TIME'!$H$2:$H$121,'ROOM TIME'!$J$2:$J$121)</f>
        <v>41.967777777777762</v>
      </c>
      <c r="P847" s="9">
        <f>(INDEX(Sheet1!$X$48:$Z$67,MATCH(Table1[[#This Row], [ROOM]],Sheet1!$P$48:$P$67,0),MATCH(Table1[[#This Row], [WEAPON]],Sheet1!$X$47:$Z$47,0)))/Table1[[#This Row], [NUM OF MEM]]</f>
        <v>5.4000000000000012</v>
      </c>
      <c r="Q847" s="9">
        <f>Table1[[#This Row], [ROOM TIME]]+Table1[[#This Row], [GUARD TIME]]</f>
        <v>47.367777777777761</v>
      </c>
      <c r="R847" s="4">
        <f>Sheet1!$K$3*_xlfn.XLOOKUP(Table1[[#This Row], [DISGUISE]],Sheet1!$A$21:$A$23,Sheet1!$D$21:$D$23)</f>
        <v>66</v>
      </c>
      <c r="S847" s="9">
        <f>Table1[[#This Row], [TOTAL TIME]]-Table1[[#This Row], [TOTAL TIME TAKEN]]</f>
        <v>18.632222222222239</v>
      </c>
      <c r="T847" t="str">
        <f>IF(Table1[[#This Row], [TIME DIFFERENCE]]&gt;=0,"PASS","FAIL")</f>
        <v>PASS</v>
      </c>
      <c r="U847" s="9">
        <f>Table1[[#This Row], [TRC]]+Table1[[#This Row], [DRC]]+Table1[[#This Row], [WRC]]+Table1[[#This Row], [ERC]]+Table1[[#This Row], [EQRC]]</f>
        <v>8222509.1999999993</v>
      </c>
      <c r="V847" s="9">
        <f>Table1[[#This Row], [TOTAL COST]]+_xlfn.XLOOKUP(Table1[[#This Row], [TEAM]],Sheet1!$A$12:$A$17,Sheet1!$I$12:$I$17)</f>
        <v>8521946.6999999993</v>
      </c>
      <c r="W847" s="9">
        <f>Table1[[#This Row], [LOOT]]-Table1[[#This Row], [TOTAL COST]]</f>
        <v>9627490.8000000007</v>
      </c>
      <c r="X847" s="9">
        <f>IF(Table1[[#This Row], [PASS/FAIL]]="FAIL",0,Table1[[#This Row], [PROFIT]])</f>
        <v>9627490.8000000007</v>
      </c>
    </row>
    <row r="848" spans="1:24" ht="19.5" customHeight="1" x14ac:dyDescent="0.45">
      <c r="A848" t="s">
        <v>13</v>
      </c>
      <c r="B848" s="14">
        <f>_xlfn.XLOOKUP(Table1[[#This Row], [TEAM]],Sheet1!$A$12:$A$17,Sheet1!$F$12:$F$17)</f>
        <v>3</v>
      </c>
      <c r="C848" s="14">
        <f>_xlfn.XLOOKUP(Table1[[#This Row], [TEAM]],Sheet1!$A$12:$A$17,Sheet1!$G$12:$G$17)</f>
        <v>5930000</v>
      </c>
      <c r="D848" t="s">
        <v>28</v>
      </c>
      <c r="E848" s="4">
        <f>_xlfn.XLOOKUP(Table1[[#This Row], [ROOM]],Sheet1!$A$47:$A$66,Sheet1!$B$47:$B$66)</f>
        <v>156</v>
      </c>
      <c r="F848" t="s">
        <v>58</v>
      </c>
      <c r="G848" s="4">
        <f>_xlfn.XLOOKUP(Table1[[#This Row], [DISGUISE]],Sheet1!$A$21:$A$23,Sheet1!$B$21:$B$23)*Table1[[#This Row], [NUM OF MEM]]*(1+_xlfn.XLOOKUP(Table1[[#This Row], [DISGUISE]],Sheet1!$A$21:$A$23,Sheet1!$C$21:$C$23))</f>
        <v>38400</v>
      </c>
      <c r="H848" s="13" t="s">
        <v>63</v>
      </c>
      <c r="I848" s="4">
        <f>_xlfn.XLOOKUP(Table1[[#This Row], [WEAPON]],Sheet1!$A$27:$A$29,Sheet1!$B$27:$B$29)*Table1[[#This Row], [NUM OF MEM]]*(1+_xlfn.XLOOKUP(Table1[[#This Row], [WEAPON]],Sheet1!$A$27:$A$29,Sheet1!$C$27:$C$29))</f>
        <v>69000</v>
      </c>
      <c r="J848" t="s">
        <v>64</v>
      </c>
      <c r="K848" s="9">
        <f>Table1[[#This Row], [NUM OF MEM]]*Table1[[#This Row], [TOTAL TIME TAKEN]]*_xlfn.XLOOKUP(Table1[[#This Row], [EXIT]],Sheet1!$A$70:$A$71,Sheet1!$B$70:$B$71)*(1+_xlfn.XLOOKUP(Table1[[#This Row], [EXIT]],Sheet1!$A$70:$A$71,Sheet1!$C$70:$C$71))</f>
        <v>1678168.7999999996</v>
      </c>
      <c r="L848" s="13" t="s">
        <v>65</v>
      </c>
      <c r="M848" s="4">
        <f>IF(Table1[[#This Row], [EQUIPMENT]]="YES",Sheet1!$C$44*(1+Sheet1!$D$44),0)</f>
        <v>307500</v>
      </c>
      <c r="N848" s="4">
        <f>_xlfn.XLOOKUP(Table1[[#This Row], [ROOM]],Sheet1!$A$47:$A$66,Sheet1!$F$47:$F$66)</f>
        <v>17650000</v>
      </c>
      <c r="O848" s="9">
        <f>_xlfn.XLOOKUP(_xlfn.CONCAT(Table1[[#This Row], [TEAM]],Table1[[#This Row], [ROOM]]),'ROOM TIME'!$H$2:$H$121,'ROOM TIME'!$J$2:$J$121)</f>
        <v>38.662777777777769</v>
      </c>
      <c r="P848" s="9">
        <f>(INDEX(Sheet1!$X$48:$Z$67,MATCH(Table1[[#This Row], [ROOM]],Sheet1!$P$48:$P$67,0),MATCH(Table1[[#This Row], [WEAPON]],Sheet1!$X$47:$Z$47,0)))/Table1[[#This Row], [NUM OF MEM]]</f>
        <v>4.5</v>
      </c>
      <c r="Q848" s="9">
        <f>Table1[[#This Row], [ROOM TIME]]+Table1[[#This Row], [GUARD TIME]]</f>
        <v>43.162777777777769</v>
      </c>
      <c r="R848" s="4">
        <f>Sheet1!$K$3*_xlfn.XLOOKUP(Table1[[#This Row], [DISGUISE]],Sheet1!$A$21:$A$23,Sheet1!$D$21:$D$23)</f>
        <v>69</v>
      </c>
      <c r="S848" s="9">
        <f>Table1[[#This Row], [TOTAL TIME]]-Table1[[#This Row], [TOTAL TIME TAKEN]]</f>
        <v>25.837222222222231</v>
      </c>
      <c r="T848" t="str">
        <f>IF(Table1[[#This Row], [TIME DIFFERENCE]]&gt;=0,"PASS","FAIL")</f>
        <v>PASS</v>
      </c>
      <c r="U848" s="9">
        <f>Table1[[#This Row], [TRC]]+Table1[[#This Row], [DRC]]+Table1[[#This Row], [WRC]]+Table1[[#This Row], [ERC]]+Table1[[#This Row], [EQRC]]</f>
        <v>8023068.7999999998</v>
      </c>
      <c r="V848" s="9">
        <f>Table1[[#This Row], [TOTAL COST]]+_xlfn.XLOOKUP(Table1[[#This Row], [TEAM]],Sheet1!$A$12:$A$17,Sheet1!$I$12:$I$17)</f>
        <v>8319568.7999999998</v>
      </c>
      <c r="W848" s="9">
        <f>Table1[[#This Row], [LOOT]]-Table1[[#This Row], [TOTAL COST]]</f>
        <v>9626931.1999999993</v>
      </c>
      <c r="X848" s="9">
        <f>IF(Table1[[#This Row], [PASS/FAIL]]="FAIL",0,Table1[[#This Row], [PROFIT]])</f>
        <v>9626931.1999999993</v>
      </c>
    </row>
    <row r="849" spans="1:24" ht="19.5" customHeight="1" x14ac:dyDescent="0.45">
      <c r="A849" t="s">
        <v>15</v>
      </c>
      <c r="B849" s="14">
        <f>_xlfn.XLOOKUP(Table1[[#This Row], [TEAM]],Sheet1!$A$12:$A$17,Sheet1!$F$12:$F$17)</f>
        <v>2</v>
      </c>
      <c r="C849" s="14">
        <f>_xlfn.XLOOKUP(Table1[[#This Row], [TEAM]],Sheet1!$A$12:$A$17,Sheet1!$G$12:$G$17)</f>
        <v>5932950</v>
      </c>
      <c r="D849" t="s">
        <v>23</v>
      </c>
      <c r="E849" s="4">
        <f>_xlfn.XLOOKUP(Table1[[#This Row], [ROOM]],Sheet1!$A$47:$A$66,Sheet1!$B$47:$B$66)</f>
        <v>245</v>
      </c>
      <c r="F849" t="s">
        <v>58</v>
      </c>
      <c r="G849" s="4">
        <f>_xlfn.XLOOKUP(Table1[[#This Row], [DISGUISE]],Sheet1!$A$21:$A$23,Sheet1!$B$21:$B$23)*Table1[[#This Row], [NUM OF MEM]]*(1+_xlfn.XLOOKUP(Table1[[#This Row], [DISGUISE]],Sheet1!$A$21:$A$23,Sheet1!$C$21:$C$23))</f>
        <v>25600</v>
      </c>
      <c r="H849" s="13" t="s">
        <v>59</v>
      </c>
      <c r="I849" s="4">
        <f>_xlfn.XLOOKUP(Table1[[#This Row], [WEAPON]],Sheet1!$A$27:$A$29,Sheet1!$B$27:$B$29)*Table1[[#This Row], [NUM OF MEM]]*(1+_xlfn.XLOOKUP(Table1[[#This Row], [WEAPON]],Sheet1!$A$27:$A$29,Sheet1!$C$27:$C$29))</f>
        <v>91000</v>
      </c>
      <c r="J849" t="s">
        <v>64</v>
      </c>
      <c r="K849" s="9">
        <f>Table1[[#This Row], [NUM OF MEM]]*Table1[[#This Row], [TOTAL TIME TAKEN]]*_xlfn.XLOOKUP(Table1[[#This Row], [EXIT]],Sheet1!$A$70:$A$71,Sheet1!$B$70:$B$71)*(1+_xlfn.XLOOKUP(Table1[[#This Row], [EXIT]],Sheet1!$A$70:$A$71,Sheet1!$C$70:$C$71))</f>
        <v>1724295.5999999994</v>
      </c>
      <c r="L849" s="13" t="s">
        <v>61</v>
      </c>
      <c r="M849" s="4">
        <f>IF(Table1[[#This Row], [EQUIPMENT]]="YES",Sheet1!$C$44*(1+Sheet1!$D$44),0)</f>
        <v>0</v>
      </c>
      <c r="N849" s="4">
        <f>_xlfn.XLOOKUP(Table1[[#This Row], [ROOM]],Sheet1!$A$47:$A$66,Sheet1!$F$47:$F$66)</f>
        <v>17400000</v>
      </c>
      <c r="O849" s="9">
        <f>_xlfn.XLOOKUP(_xlfn.CONCAT(Table1[[#This Row], [TEAM]],Table1[[#This Row], [ROOM]]),'ROOM TIME'!$H$2:$H$121,'ROOM TIME'!$J$2:$J$121)</f>
        <v>60.198749999999983</v>
      </c>
      <c r="P849" s="9">
        <f>(INDEX(Sheet1!$X$48:$Z$67,MATCH(Table1[[#This Row], [ROOM]],Sheet1!$P$48:$P$67,0),MATCH(Table1[[#This Row], [WEAPON]],Sheet1!$X$47:$Z$47,0)))/Table1[[#This Row], [NUM OF MEM]]</f>
        <v>6.3249999999999993</v>
      </c>
      <c r="Q849" s="9">
        <f>Table1[[#This Row], [ROOM TIME]]+Table1[[#This Row], [GUARD TIME]]</f>
        <v>66.523749999999978</v>
      </c>
      <c r="R849" s="4">
        <f>Sheet1!$K$3*_xlfn.XLOOKUP(Table1[[#This Row], [DISGUISE]],Sheet1!$A$21:$A$23,Sheet1!$D$21:$D$23)</f>
        <v>69</v>
      </c>
      <c r="S849" s="9">
        <f>Table1[[#This Row], [TOTAL TIME]]-Table1[[#This Row], [TOTAL TIME TAKEN]]</f>
        <v>2.4762500000000216</v>
      </c>
      <c r="T849" t="str">
        <f>IF(Table1[[#This Row], [TIME DIFFERENCE]]&gt;=0,"PASS","FAIL")</f>
        <v>PASS</v>
      </c>
      <c r="U849" s="9">
        <f>Table1[[#This Row], [TRC]]+Table1[[#This Row], [DRC]]+Table1[[#This Row], [WRC]]+Table1[[#This Row], [ERC]]+Table1[[#This Row], [EQRC]]</f>
        <v>7773845.5999999996</v>
      </c>
      <c r="V849" s="9">
        <f>Table1[[#This Row], [TOTAL COST]]+_xlfn.XLOOKUP(Table1[[#This Row], [TEAM]],Sheet1!$A$12:$A$17,Sheet1!$I$12:$I$17)</f>
        <v>8070493.0999999996</v>
      </c>
      <c r="W849" s="9">
        <f>Table1[[#This Row], [LOOT]]-Table1[[#This Row], [TOTAL COST]]</f>
        <v>9626154.4000000004</v>
      </c>
      <c r="X849" s="9">
        <f>IF(Table1[[#This Row], [PASS/FAIL]]="FAIL",0,Table1[[#This Row], [PROFIT]])</f>
        <v>9626154.4000000004</v>
      </c>
    </row>
    <row r="850" spans="1:24" ht="19.5" customHeight="1" x14ac:dyDescent="0.45">
      <c r="A850" t="s">
        <v>9</v>
      </c>
      <c r="B850" s="14">
        <f>_xlfn.XLOOKUP(Table1[[#This Row], [TEAM]],Sheet1!$A$12:$A$17,Sheet1!$F$12:$F$17)</f>
        <v>3</v>
      </c>
      <c r="C850" s="14">
        <f>_xlfn.XLOOKUP(Table1[[#This Row], [TEAM]],Sheet1!$A$12:$A$17,Sheet1!$G$12:$G$17)</f>
        <v>6238750</v>
      </c>
      <c r="D850" t="s">
        <v>24</v>
      </c>
      <c r="E850" s="4">
        <f>_xlfn.XLOOKUP(Table1[[#This Row], [ROOM]],Sheet1!$A$47:$A$66,Sheet1!$B$47:$B$66)</f>
        <v>345</v>
      </c>
      <c r="F850" t="s">
        <v>58</v>
      </c>
      <c r="G850" s="4">
        <f>_xlfn.XLOOKUP(Table1[[#This Row], [DISGUISE]],Sheet1!$A$21:$A$23,Sheet1!$B$21:$B$23)*Table1[[#This Row], [NUM OF MEM]]*(1+_xlfn.XLOOKUP(Table1[[#This Row], [DISGUISE]],Sheet1!$A$21:$A$23,Sheet1!$C$21:$C$23))</f>
        <v>38400</v>
      </c>
      <c r="H850" s="13" t="s">
        <v>66</v>
      </c>
      <c r="I850" s="4">
        <f>_xlfn.XLOOKUP(Table1[[#This Row], [WEAPON]],Sheet1!$A$27:$A$29,Sheet1!$B$27:$B$29)*Table1[[#This Row], [NUM OF MEM]]*(1+_xlfn.XLOOKUP(Table1[[#This Row], [WEAPON]],Sheet1!$A$27:$A$29,Sheet1!$C$27:$C$29))</f>
        <v>108000</v>
      </c>
      <c r="J850" t="s">
        <v>60</v>
      </c>
      <c r="K850" s="9">
        <f>Table1[[#This Row], [NUM OF MEM]]*Table1[[#This Row], [TOTAL TIME TAKEN]]*_xlfn.XLOOKUP(Table1[[#This Row], [EXIT]],Sheet1!$A$70:$A$71,Sheet1!$B$70:$B$71)*(1+_xlfn.XLOOKUP(Table1[[#This Row], [EXIT]],Sheet1!$A$70:$A$71,Sheet1!$C$70:$C$71))</f>
        <v>1682811.2749999999</v>
      </c>
      <c r="L850" s="13" t="s">
        <v>65</v>
      </c>
      <c r="M850" s="4">
        <f>IF(Table1[[#This Row], [EQUIPMENT]]="YES",Sheet1!$C$44*(1+Sheet1!$D$44),0)</f>
        <v>307500</v>
      </c>
      <c r="N850" s="4">
        <f>_xlfn.XLOOKUP(Table1[[#This Row], [ROOM]],Sheet1!$A$47:$A$66,Sheet1!$F$47:$F$66)</f>
        <v>18000000</v>
      </c>
      <c r="O850" s="9">
        <f>_xlfn.XLOOKUP(_xlfn.CONCAT(Table1[[#This Row], [TEAM]],Table1[[#This Row], [ROOM]]),'ROOM TIME'!$H$2:$H$121,'ROOM TIME'!$J$2:$J$121)</f>
        <v>38.712222222222216</v>
      </c>
      <c r="P850" s="4">
        <f>(INDEX(Sheet1!$X$48:$Z$67,MATCH(Table1[[#This Row], [ROOM]],Sheet1!$P$48:$P$67,0),MATCH(Table1[[#This Row], [WEAPON]],Sheet1!$X$47:$Z$47,0)))/Table1[[#This Row], [NUM OF MEM]]</f>
        <v>5</v>
      </c>
      <c r="Q850" s="9">
        <f>Table1[[#This Row], [ROOM TIME]]+Table1[[#This Row], [GUARD TIME]]</f>
        <v>43.712222222222216</v>
      </c>
      <c r="R850" s="4">
        <f>Sheet1!$K$3*_xlfn.XLOOKUP(Table1[[#This Row], [DISGUISE]],Sheet1!$A$21:$A$23,Sheet1!$D$21:$D$23)</f>
        <v>69</v>
      </c>
      <c r="S850" s="9">
        <f>Table1[[#This Row], [TOTAL TIME]]-Table1[[#This Row], [TOTAL TIME TAKEN]]</f>
        <v>25.287777777777784</v>
      </c>
      <c r="T850" t="str">
        <f>IF(Table1[[#This Row], [TIME DIFFERENCE]]&gt;=0,"PASS","FAIL")</f>
        <v>PASS</v>
      </c>
      <c r="U850" s="9">
        <f>Table1[[#This Row], [TRC]]+Table1[[#This Row], [DRC]]+Table1[[#This Row], [WRC]]+Table1[[#This Row], [ERC]]+Table1[[#This Row], [EQRC]]</f>
        <v>8375461.2750000004</v>
      </c>
      <c r="V850" s="9">
        <f>Table1[[#This Row], [TOTAL COST]]+_xlfn.XLOOKUP(Table1[[#This Row], [TEAM]],Sheet1!$A$12:$A$17,Sheet1!$I$12:$I$17)</f>
        <v>8687398.7750000004</v>
      </c>
      <c r="W850" s="9">
        <f>Table1[[#This Row], [LOOT]]-Table1[[#This Row], [TOTAL COST]]</f>
        <v>9624538.7249999996</v>
      </c>
      <c r="X850" s="9">
        <f>IF(Table1[[#This Row], [PASS/FAIL]]="FAIL",0,Table1[[#This Row], [PROFIT]])</f>
        <v>9624538.7249999996</v>
      </c>
    </row>
    <row r="851" spans="1:24" ht="19.5" customHeight="1" x14ac:dyDescent="0.45">
      <c r="A851" t="s">
        <v>13</v>
      </c>
      <c r="B851" s="14">
        <f>_xlfn.XLOOKUP(Table1[[#This Row], [TEAM]],Sheet1!$A$12:$A$17,Sheet1!$F$12:$F$17)</f>
        <v>3</v>
      </c>
      <c r="C851" s="14">
        <f>_xlfn.XLOOKUP(Table1[[#This Row], [TEAM]],Sheet1!$A$12:$A$17,Sheet1!$G$12:$G$17)</f>
        <v>5930000</v>
      </c>
      <c r="D851" t="s">
        <v>28</v>
      </c>
      <c r="E851" s="4">
        <f>_xlfn.XLOOKUP(Table1[[#This Row], [ROOM]],Sheet1!$A$47:$A$66,Sheet1!$B$47:$B$66)</f>
        <v>156</v>
      </c>
      <c r="F851" t="s">
        <v>62</v>
      </c>
      <c r="G851" s="4">
        <f>_xlfn.XLOOKUP(Table1[[#This Row], [DISGUISE]],Sheet1!$A$21:$A$23,Sheet1!$B$21:$B$23)*Table1[[#This Row], [NUM OF MEM]]*(1+_xlfn.XLOOKUP(Table1[[#This Row], [DISGUISE]],Sheet1!$A$21:$A$23,Sheet1!$C$21:$C$23))</f>
        <v>15600</v>
      </c>
      <c r="H851" s="13" t="s">
        <v>59</v>
      </c>
      <c r="I851" s="4">
        <f>_xlfn.XLOOKUP(Table1[[#This Row], [WEAPON]],Sheet1!$A$27:$A$29,Sheet1!$B$27:$B$29)*Table1[[#This Row], [NUM OF MEM]]*(1+_xlfn.XLOOKUP(Table1[[#This Row], [WEAPON]],Sheet1!$A$27:$A$29,Sheet1!$C$27:$C$29))</f>
        <v>136500</v>
      </c>
      <c r="J851" t="s">
        <v>60</v>
      </c>
      <c r="K851" s="9">
        <f>Table1[[#This Row], [NUM OF MEM]]*Table1[[#This Row], [TOTAL TIME TAKEN]]*_xlfn.XLOOKUP(Table1[[#This Row], [EXIT]],Sheet1!$A$70:$A$71,Sheet1!$B$70:$B$71)*(1+_xlfn.XLOOKUP(Table1[[#This Row], [EXIT]],Sheet1!$A$70:$A$71,Sheet1!$C$70:$C$71))</f>
        <v>1635994.0374999996</v>
      </c>
      <c r="L851" s="13" t="s">
        <v>65</v>
      </c>
      <c r="M851" s="4">
        <f>IF(Table1[[#This Row], [EQUIPMENT]]="YES",Sheet1!$C$44*(1+Sheet1!$D$44),0)</f>
        <v>307500</v>
      </c>
      <c r="N851" s="4">
        <f>_xlfn.XLOOKUP(Table1[[#This Row], [ROOM]],Sheet1!$A$47:$A$66,Sheet1!$F$47:$F$66)</f>
        <v>17650000</v>
      </c>
      <c r="O851" s="9">
        <f>_xlfn.XLOOKUP(_xlfn.CONCAT(Table1[[#This Row], [TEAM]],Table1[[#This Row], [ROOM]]),'ROOM TIME'!$H$2:$H$121,'ROOM TIME'!$J$2:$J$121)</f>
        <v>38.662777777777769</v>
      </c>
      <c r="P851" s="9">
        <f>(INDEX(Sheet1!$X$48:$Z$67,MATCH(Table1[[#This Row], [ROOM]],Sheet1!$P$48:$P$67,0),MATCH(Table1[[#This Row], [WEAPON]],Sheet1!$X$47:$Z$47,0)))/Table1[[#This Row], [NUM OF MEM]]</f>
        <v>3.8333333333333335</v>
      </c>
      <c r="Q851" s="9">
        <f>Table1[[#This Row], [ROOM TIME]]+Table1[[#This Row], [GUARD TIME]]</f>
        <v>42.496111111111105</v>
      </c>
      <c r="R851" s="4">
        <f>Sheet1!$K$3*_xlfn.XLOOKUP(Table1[[#This Row], [DISGUISE]],Sheet1!$A$21:$A$23,Sheet1!$D$21:$D$23)</f>
        <v>66</v>
      </c>
      <c r="S851" s="9">
        <f>Table1[[#This Row], [TOTAL TIME]]-Table1[[#This Row], [TOTAL TIME TAKEN]]</f>
        <v>23.503888888888895</v>
      </c>
      <c r="T851" t="str">
        <f>IF(Table1[[#This Row], [TIME DIFFERENCE]]&gt;=0,"PASS","FAIL")</f>
        <v>PASS</v>
      </c>
      <c r="U851" s="9">
        <f>Table1[[#This Row], [TRC]]+Table1[[#This Row], [DRC]]+Table1[[#This Row], [WRC]]+Table1[[#This Row], [ERC]]+Table1[[#This Row], [EQRC]]</f>
        <v>8025594.0374999996</v>
      </c>
      <c r="V851" s="9">
        <f>Table1[[#This Row], [TOTAL COST]]+_xlfn.XLOOKUP(Table1[[#This Row], [TEAM]],Sheet1!$A$12:$A$17,Sheet1!$I$12:$I$17)</f>
        <v>8322094.0374999996</v>
      </c>
      <c r="W851" s="9">
        <f>Table1[[#This Row], [LOOT]]-Table1[[#This Row], [TOTAL COST]]</f>
        <v>9624405.9625000004</v>
      </c>
      <c r="X851" s="9">
        <f>IF(Table1[[#This Row], [PASS/FAIL]]="FAIL",0,Table1[[#This Row], [PROFIT]])</f>
        <v>9624405.9625000004</v>
      </c>
    </row>
    <row r="852" spans="1:24" ht="19.5" customHeight="1" x14ac:dyDescent="0.45">
      <c r="A852" t="s">
        <v>9</v>
      </c>
      <c r="B852" s="14">
        <f>_xlfn.XLOOKUP(Table1[[#This Row], [TEAM]],Sheet1!$A$12:$A$17,Sheet1!$F$12:$F$17)</f>
        <v>3</v>
      </c>
      <c r="C852" s="14">
        <f>_xlfn.XLOOKUP(Table1[[#This Row], [TEAM]],Sheet1!$A$12:$A$17,Sheet1!$G$12:$G$17)</f>
        <v>6238750</v>
      </c>
      <c r="D852" t="s">
        <v>19</v>
      </c>
      <c r="E852" s="4">
        <f>_xlfn.XLOOKUP(Table1[[#This Row], [ROOM]],Sheet1!$A$47:$A$66,Sheet1!$B$47:$B$66)</f>
        <v>135</v>
      </c>
      <c r="F852" t="s">
        <v>62</v>
      </c>
      <c r="G852" s="4">
        <f>_xlfn.XLOOKUP(Table1[[#This Row], [DISGUISE]],Sheet1!$A$21:$A$23,Sheet1!$B$21:$B$23)*Table1[[#This Row], [NUM OF MEM]]*(1+_xlfn.XLOOKUP(Table1[[#This Row], [DISGUISE]],Sheet1!$A$21:$A$23,Sheet1!$C$21:$C$23))</f>
        <v>15600</v>
      </c>
      <c r="H852" s="13" t="s">
        <v>63</v>
      </c>
      <c r="I852" s="4">
        <f>_xlfn.XLOOKUP(Table1[[#This Row], [WEAPON]],Sheet1!$A$27:$A$29,Sheet1!$B$27:$B$29)*Table1[[#This Row], [NUM OF MEM]]*(1+_xlfn.XLOOKUP(Table1[[#This Row], [WEAPON]],Sheet1!$A$27:$A$29,Sheet1!$C$27:$C$29))</f>
        <v>69000</v>
      </c>
      <c r="J852" t="s">
        <v>64</v>
      </c>
      <c r="K852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1695146.3999999997</v>
      </c>
      <c r="L852" s="13" t="s">
        <v>65</v>
      </c>
      <c r="M852" s="4">
        <f>IF(Table1[[#This Row], [EQUIPMENT]]="YES",Sheet1!$C$44*(1+Sheet1!$D$44),0)</f>
        <v>307500</v>
      </c>
      <c r="N852" s="4">
        <f>_xlfn.XLOOKUP(Table1[[#This Row], [ROOM]],Sheet1!$A$47:$A$66,Sheet1!$F$47:$F$66)</f>
        <v>17950000</v>
      </c>
      <c r="O852" s="9">
        <f>_xlfn.XLOOKUP(_xlfn.CONCAT(Table1[[#This Row], [TEAM]],Table1[[#This Row], [ROOM]]),'ROOM TIME'!$H$2:$H$121,'ROOM TIME'!$J$2:$J$121)</f>
        <v>38.649444444444434</v>
      </c>
      <c r="P852" s="9">
        <f>(INDEX(Sheet1!$X$48:$Z$67,MATCH(Table1[[#This Row], [ROOM]],Sheet1!$P$48:$P$67,0),MATCH(Table1[[#This Row], [WEAPON]],Sheet1!$X$47:$Z$47,0)))/Table1[[#This Row], [NUM OF MEM]]</f>
        <v>4.95</v>
      </c>
      <c r="Q852" s="9">
        <f>Table1[[#This Row], [ROOM TIME]]+Table1[[#This Row], [GUARD TIME]]</f>
        <v>43.599444444444437</v>
      </c>
      <c r="R852" s="4">
        <f>Sheet1!$K$3*_xlfn.XLOOKUP(Table1[[#This Row], [DISGUISE]],Sheet1!$A$21:$A$23,Sheet1!$D$21:$D$23)</f>
        <v>66</v>
      </c>
      <c r="S852" s="9">
        <f>Table1[[#This Row], [TOTAL TIME]]-Table1[[#This Row], [TOTAL TIME TAKEN]]</f>
        <v>22.400555555555563</v>
      </c>
      <c r="T852" t="str">
        <f>IF(Table1[[#This Row], [TIME DIFFERENCE]]&gt;=0,"PASS","FAIL")</f>
        <v>PASS</v>
      </c>
      <c r="U852" s="9">
        <f>Table1[[#This Row], [TRC]]+Table1[[#This Row], [DRC]]+Table1[[#This Row], [WRC]]+Table1[[#This Row], [ERC]]+Table1[[#This Row], [EQRC]]</f>
        <v>8325996.3999999994</v>
      </c>
      <c r="V852" s="9">
        <f>Table1[[#This Row], [TOTAL COST]]+_xlfn.XLOOKUP(Table1[[#This Row], [TEAM]],Sheet1!$A$12:$A$17,Sheet1!$I$12:$I$17)</f>
        <v>8637933.8999999985</v>
      </c>
      <c r="W852" s="9">
        <f>Table1[[#This Row], [LOOT]]-Table1[[#This Row], [TOTAL COST]]</f>
        <v>9624003.6000000015</v>
      </c>
      <c r="X852" s="9">
        <f>IF(Table1[[#This Row], [PASS/FAIL]]="FAIL",0,Table1[[#This Row], [PROFIT]])</f>
        <v>9624003.6000000015</v>
      </c>
    </row>
    <row r="853" spans="1:24" ht="19.5" customHeight="1" x14ac:dyDescent="0.45">
      <c r="A853" t="s">
        <v>13</v>
      </c>
      <c r="B853" s="14">
        <f>_xlfn.XLOOKUP(Table1[[#This Row], [TEAM]],Sheet1!$A$12:$A$17,Sheet1!$F$12:$F$17)</f>
        <v>3</v>
      </c>
      <c r="C853" s="14">
        <f>_xlfn.XLOOKUP(Table1[[#This Row], [TEAM]],Sheet1!$A$12:$A$17,Sheet1!$G$12:$G$17)</f>
        <v>5930000</v>
      </c>
      <c r="D853" t="s">
        <v>34</v>
      </c>
      <c r="E853" s="4">
        <f>_xlfn.XLOOKUP(Table1[[#This Row], [ROOM]],Sheet1!$A$47:$A$66,Sheet1!$B$47:$B$66)</f>
        <v>456</v>
      </c>
      <c r="F853" t="s">
        <v>58</v>
      </c>
      <c r="G853" s="4">
        <f>_xlfn.XLOOKUP(Table1[[#This Row], [DISGUISE]],Sheet1!$A$21:$A$23,Sheet1!$B$21:$B$23)*Table1[[#This Row], [NUM OF MEM]]*(1+_xlfn.XLOOKUP(Table1[[#This Row], [DISGUISE]],Sheet1!$A$21:$A$23,Sheet1!$C$21:$C$23))</f>
        <v>38400</v>
      </c>
      <c r="H853" s="13" t="s">
        <v>59</v>
      </c>
      <c r="I853" s="4">
        <f>_xlfn.XLOOKUP(Table1[[#This Row], [WEAPON]],Sheet1!$A$27:$A$29,Sheet1!$B$27:$B$29)*Table1[[#This Row], [NUM OF MEM]]*(1+_xlfn.XLOOKUP(Table1[[#This Row], [WEAPON]],Sheet1!$A$27:$A$29,Sheet1!$C$27:$C$29))</f>
        <v>136500</v>
      </c>
      <c r="J853" t="s">
        <v>64</v>
      </c>
      <c r="K853" s="9">
        <f>Table1[[#This Row], [NUM OF MEM]]*Table1[[#This Row], [TOTAL TIME TAKEN]]*_xlfn.XLOOKUP(Table1[[#This Row], [EXIT]],Sheet1!$A$70:$A$71,Sheet1!$B$70:$B$71)*(1+_xlfn.XLOOKUP(Table1[[#This Row], [EXIT]],Sheet1!$A$70:$A$71,Sheet1!$C$70:$C$71))</f>
        <v>1663696.7999999996</v>
      </c>
      <c r="L853" s="13" t="s">
        <v>65</v>
      </c>
      <c r="M853" s="4">
        <f>IF(Table1[[#This Row], [EQUIPMENT]]="YES",Sheet1!$C$44*(1+Sheet1!$D$44),0)</f>
        <v>307500</v>
      </c>
      <c r="N853" s="4">
        <f>_xlfn.XLOOKUP(Table1[[#This Row], [ROOM]],Sheet1!$A$47:$A$66,Sheet1!$F$47:$F$66)</f>
        <v>17700000</v>
      </c>
      <c r="O853" s="9">
        <f>_xlfn.XLOOKUP(_xlfn.CONCAT(Table1[[#This Row], [TEAM]],Table1[[#This Row], [ROOM]]),'ROOM TIME'!$H$2:$H$121,'ROOM TIME'!$J$2:$J$121)</f>
        <v>38.573888888888881</v>
      </c>
      <c r="P853" s="9">
        <f>(INDEX(Sheet1!$X$48:$Z$67,MATCH(Table1[[#This Row], [ROOM]],Sheet1!$P$48:$P$67,0),MATCH(Table1[[#This Row], [WEAPON]],Sheet1!$X$47:$Z$47,0)))/Table1[[#This Row], [NUM OF MEM]]</f>
        <v>4.2166666666666659</v>
      </c>
      <c r="Q853" s="9">
        <f>Table1[[#This Row], [ROOM TIME]]+Table1[[#This Row], [GUARD TIME]]</f>
        <v>42.790555555555549</v>
      </c>
      <c r="R853" s="4">
        <f>Sheet1!$K$3*_xlfn.XLOOKUP(Table1[[#This Row], [DISGUISE]],Sheet1!$A$21:$A$23,Sheet1!$D$21:$D$23)</f>
        <v>69</v>
      </c>
      <c r="S853" s="9">
        <f>Table1[[#This Row], [TOTAL TIME]]-Table1[[#This Row], [TOTAL TIME TAKEN]]</f>
        <v>26.209444444444451</v>
      </c>
      <c r="T853" t="str">
        <f>IF(Table1[[#This Row], [TIME DIFFERENCE]]&gt;=0,"PASS","FAIL")</f>
        <v>PASS</v>
      </c>
      <c r="U853" s="9">
        <f>Table1[[#This Row], [TRC]]+Table1[[#This Row], [DRC]]+Table1[[#This Row], [WRC]]+Table1[[#This Row], [ERC]]+Table1[[#This Row], [EQRC]]</f>
        <v>8076096.7999999998</v>
      </c>
      <c r="V853" s="9">
        <f>Table1[[#This Row], [TOTAL COST]]+_xlfn.XLOOKUP(Table1[[#This Row], [TEAM]],Sheet1!$A$12:$A$17,Sheet1!$I$12:$I$17)</f>
        <v>8372596.7999999998</v>
      </c>
      <c r="W853" s="9">
        <f>Table1[[#This Row], [LOOT]]-Table1[[#This Row], [TOTAL COST]]</f>
        <v>9623903.1999999993</v>
      </c>
      <c r="X853" s="9">
        <f>IF(Table1[[#This Row], [PASS/FAIL]]="FAIL",0,Table1[[#This Row], [PROFIT]])</f>
        <v>9623903.1999999993</v>
      </c>
    </row>
    <row r="854" spans="1:24" ht="19.5" customHeight="1" x14ac:dyDescent="0.45">
      <c r="A854" t="s">
        <v>13</v>
      </c>
      <c r="B854" s="14">
        <f>_xlfn.XLOOKUP(Table1[[#This Row], [TEAM]],Sheet1!$A$12:$A$17,Sheet1!$F$12:$F$17)</f>
        <v>3</v>
      </c>
      <c r="C854" s="14">
        <f>_xlfn.XLOOKUP(Table1[[#This Row], [TEAM]],Sheet1!$A$12:$A$17,Sheet1!$G$12:$G$17)</f>
        <v>5930000</v>
      </c>
      <c r="D854" t="s">
        <v>28</v>
      </c>
      <c r="E854" s="4">
        <f>_xlfn.XLOOKUP(Table1[[#This Row], [ROOM]],Sheet1!$A$47:$A$66,Sheet1!$B$47:$B$66)</f>
        <v>156</v>
      </c>
      <c r="F854" t="s">
        <v>62</v>
      </c>
      <c r="G854" s="4">
        <f>_xlfn.XLOOKUP(Table1[[#This Row], [DISGUISE]],Sheet1!$A$21:$A$23,Sheet1!$B$21:$B$23)*Table1[[#This Row], [NUM OF MEM]]*(1+_xlfn.XLOOKUP(Table1[[#This Row], [DISGUISE]],Sheet1!$A$21:$A$23,Sheet1!$C$21:$C$23))</f>
        <v>15600</v>
      </c>
      <c r="H854" s="13" t="s">
        <v>66</v>
      </c>
      <c r="I854" s="4">
        <f>_xlfn.XLOOKUP(Table1[[#This Row], [WEAPON]],Sheet1!$A$27:$A$29,Sheet1!$B$27:$B$29)*Table1[[#This Row], [NUM OF MEM]]*(1+_xlfn.XLOOKUP(Table1[[#This Row], [WEAPON]],Sheet1!$A$27:$A$29,Sheet1!$C$27:$C$29))</f>
        <v>108000</v>
      </c>
      <c r="J854" t="s">
        <v>64</v>
      </c>
      <c r="K854" s="9">
        <f>Table1[[#This Row], [NUM OF MEM]]*Table1[[#This Row], [TOTAL TIME TAKEN]]*_xlfn.XLOOKUP(Table1[[#This Row], [EXIT]],Sheet1!$A$70:$A$71,Sheet1!$B$70:$B$71)*(1+_xlfn.XLOOKUP(Table1[[#This Row], [EXIT]],Sheet1!$A$70:$A$71,Sheet1!$C$70:$C$71))</f>
        <v>1665208.7999999993</v>
      </c>
      <c r="L854" s="13" t="s">
        <v>65</v>
      </c>
      <c r="M854" s="4">
        <f>IF(Table1[[#This Row], [EQUIPMENT]]="YES",Sheet1!$C$44*(1+Sheet1!$D$44),0)</f>
        <v>307500</v>
      </c>
      <c r="N854" s="4">
        <f>_xlfn.XLOOKUP(Table1[[#This Row], [ROOM]],Sheet1!$A$47:$A$66,Sheet1!$F$47:$F$66)</f>
        <v>17650000</v>
      </c>
      <c r="O854" s="9">
        <f>_xlfn.XLOOKUP(_xlfn.CONCAT(Table1[[#This Row], [TEAM]],Table1[[#This Row], [ROOM]]),'ROOM TIME'!$H$2:$H$121,'ROOM TIME'!$J$2:$J$121)</f>
        <v>38.662777777777769</v>
      </c>
      <c r="P854" s="9">
        <f>(INDEX(Sheet1!$X$48:$Z$67,MATCH(Table1[[#This Row], [ROOM]],Sheet1!$P$48:$P$67,0),MATCH(Table1[[#This Row], [WEAPON]],Sheet1!$X$47:$Z$47,0)))/Table1[[#This Row], [NUM OF MEM]]</f>
        <v>4.166666666666667</v>
      </c>
      <c r="Q854" s="9">
        <f>Table1[[#This Row], [ROOM TIME]]+Table1[[#This Row], [GUARD TIME]]</f>
        <v>42.829444444444434</v>
      </c>
      <c r="R854" s="4">
        <f>Sheet1!$K$3*_xlfn.XLOOKUP(Table1[[#This Row], [DISGUISE]],Sheet1!$A$21:$A$23,Sheet1!$D$21:$D$23)</f>
        <v>66</v>
      </c>
      <c r="S854" s="9">
        <f>Table1[[#This Row], [TOTAL TIME]]-Table1[[#This Row], [TOTAL TIME TAKEN]]</f>
        <v>23.170555555555566</v>
      </c>
      <c r="T854" t="str">
        <f>IF(Table1[[#This Row], [TIME DIFFERENCE]]&gt;=0,"PASS","FAIL")</f>
        <v>PASS</v>
      </c>
      <c r="U854" s="9">
        <f>Table1[[#This Row], [TRC]]+Table1[[#This Row], [DRC]]+Table1[[#This Row], [WRC]]+Table1[[#This Row], [ERC]]+Table1[[#This Row], [EQRC]]</f>
        <v>8026308.7999999989</v>
      </c>
      <c r="V854" s="9">
        <f>Table1[[#This Row], [TOTAL COST]]+_xlfn.XLOOKUP(Table1[[#This Row], [TEAM]],Sheet1!$A$12:$A$17,Sheet1!$I$12:$I$17)</f>
        <v>8322808.7999999989</v>
      </c>
      <c r="W854" s="9">
        <f>Table1[[#This Row], [LOOT]]-Table1[[#This Row], [TOTAL COST]]</f>
        <v>9623691.2000000011</v>
      </c>
      <c r="X854" s="9">
        <f>IF(Table1[[#This Row], [PASS/FAIL]]="FAIL",0,Table1[[#This Row], [PROFIT]])</f>
        <v>9623691.2000000011</v>
      </c>
    </row>
    <row r="855" spans="1:24" ht="19.5" customHeight="1" x14ac:dyDescent="0.45">
      <c r="A855" t="s">
        <v>12</v>
      </c>
      <c r="B855" s="14">
        <f>_xlfn.XLOOKUP(Table1[[#This Row], [TEAM]],Sheet1!$A$12:$A$17,Sheet1!$F$12:$F$17)</f>
        <v>3</v>
      </c>
      <c r="C855" s="14">
        <f>_xlfn.XLOOKUP(Table1[[#This Row], [TEAM]],Sheet1!$A$12:$A$17,Sheet1!$G$12:$G$17)</f>
        <v>5988750</v>
      </c>
      <c r="D855" t="s">
        <v>21</v>
      </c>
      <c r="E855" s="4">
        <f>_xlfn.XLOOKUP(Table1[[#This Row], [ROOM]],Sheet1!$A$47:$A$66,Sheet1!$B$47:$B$66)</f>
        <v>234</v>
      </c>
      <c r="F855" t="s">
        <v>58</v>
      </c>
      <c r="G855" s="4">
        <f>_xlfn.XLOOKUP(Table1[[#This Row], [DISGUISE]],Sheet1!$A$21:$A$23,Sheet1!$B$21:$B$23)*Table1[[#This Row], [NUM OF MEM]]*(1+_xlfn.XLOOKUP(Table1[[#This Row], [DISGUISE]],Sheet1!$A$21:$A$23,Sheet1!$C$21:$C$23))</f>
        <v>38400</v>
      </c>
      <c r="H855" s="13" t="s">
        <v>66</v>
      </c>
      <c r="I855" s="4">
        <f>_xlfn.XLOOKUP(Table1[[#This Row], [WEAPON]],Sheet1!$A$27:$A$29,Sheet1!$B$27:$B$29)*Table1[[#This Row], [NUM OF MEM]]*(1+_xlfn.XLOOKUP(Table1[[#This Row], [WEAPON]],Sheet1!$A$27:$A$29,Sheet1!$C$27:$C$29))</f>
        <v>108000</v>
      </c>
      <c r="J855" t="s">
        <v>64</v>
      </c>
      <c r="K855" s="9">
        <f>Table1[[#This Row], [NUM OF MEM]]*Table1[[#This Row], [TOTAL TIME TAKEN]]*_xlfn.XLOOKUP(Table1[[#This Row], [EXIT]],Sheet1!$A$70:$A$71,Sheet1!$B$70:$B$71)*(1+_xlfn.XLOOKUP(Table1[[#This Row], [EXIT]],Sheet1!$A$70:$A$71,Sheet1!$C$70:$C$71))</f>
        <v>1833796.7999999993</v>
      </c>
      <c r="L855" s="13" t="s">
        <v>65</v>
      </c>
      <c r="M855" s="4">
        <f>IF(Table1[[#This Row], [EQUIPMENT]]="YES",Sheet1!$C$44*(1+Sheet1!$D$44),0)</f>
        <v>307500</v>
      </c>
      <c r="N855" s="4">
        <f>_xlfn.XLOOKUP(Table1[[#This Row], [ROOM]],Sheet1!$A$47:$A$66,Sheet1!$F$47:$F$66)</f>
        <v>17900000</v>
      </c>
      <c r="O855" s="9">
        <f>_xlfn.XLOOKUP(_xlfn.CONCAT(Table1[[#This Row], [TEAM]],Table1[[#This Row], [ROOM]]),'ROOM TIME'!$H$2:$H$121,'ROOM TIME'!$J$2:$J$121)</f>
        <v>41.748888888888878</v>
      </c>
      <c r="P855" s="9">
        <f>(INDEX(Sheet1!$X$48:$Z$67,MATCH(Table1[[#This Row], [ROOM]],Sheet1!$P$48:$P$67,0),MATCH(Table1[[#This Row], [WEAPON]],Sheet1!$X$47:$Z$47,0)))/Table1[[#This Row], [NUM OF MEM]]</f>
        <v>5.416666666666667</v>
      </c>
      <c r="Q855" s="9">
        <f>Table1[[#This Row], [ROOM TIME]]+Table1[[#This Row], [GUARD TIME]]</f>
        <v>47.165555555555542</v>
      </c>
      <c r="R855" s="4">
        <f>Sheet1!$K$3*_xlfn.XLOOKUP(Table1[[#This Row], [DISGUISE]],Sheet1!$A$21:$A$23,Sheet1!$D$21:$D$23)</f>
        <v>69</v>
      </c>
      <c r="S855" s="9">
        <f>Table1[[#This Row], [TOTAL TIME]]-Table1[[#This Row], [TOTAL TIME TAKEN]]</f>
        <v>21.834444444444458</v>
      </c>
      <c r="T855" t="str">
        <f>IF(Table1[[#This Row], [TIME DIFFERENCE]]&gt;=0,"PASS","FAIL")</f>
        <v>PASS</v>
      </c>
      <c r="U855" s="9">
        <f>Table1[[#This Row], [TRC]]+Table1[[#This Row], [DRC]]+Table1[[#This Row], [WRC]]+Table1[[#This Row], [ERC]]+Table1[[#This Row], [EQRC]]</f>
        <v>8276446.7999999989</v>
      </c>
      <c r="V855" s="9">
        <f>Table1[[#This Row], [TOTAL COST]]+_xlfn.XLOOKUP(Table1[[#This Row], [TEAM]],Sheet1!$A$12:$A$17,Sheet1!$I$12:$I$17)</f>
        <v>8575884.2999999989</v>
      </c>
      <c r="W855" s="9">
        <f>Table1[[#This Row], [LOOT]]-Table1[[#This Row], [TOTAL COST]]</f>
        <v>9623553.2000000011</v>
      </c>
      <c r="X855" s="9">
        <f>IF(Table1[[#This Row], [PASS/FAIL]]="FAIL",0,Table1[[#This Row], [PROFIT]])</f>
        <v>9623553.2000000011</v>
      </c>
    </row>
    <row r="856" spans="1:24" ht="19.5" customHeight="1" x14ac:dyDescent="0.45">
      <c r="A856" t="s">
        <v>14</v>
      </c>
      <c r="B856" s="14">
        <f>_xlfn.XLOOKUP(Table1[[#This Row], [TEAM]],Sheet1!$A$12:$A$17,Sheet1!$F$12:$F$17)</f>
        <v>2</v>
      </c>
      <c r="C856" s="14">
        <f>_xlfn.XLOOKUP(Table1[[#This Row], [TEAM]],Sheet1!$A$12:$A$17,Sheet1!$G$12:$G$17)</f>
        <v>5949600</v>
      </c>
      <c r="D856" t="s">
        <v>23</v>
      </c>
      <c r="E856" s="4">
        <f>_xlfn.XLOOKUP(Table1[[#This Row], [ROOM]],Sheet1!$A$47:$A$66,Sheet1!$B$47:$B$66)</f>
        <v>245</v>
      </c>
      <c r="F856" t="s">
        <v>58</v>
      </c>
      <c r="G856" s="4">
        <f>_xlfn.XLOOKUP(Table1[[#This Row], [DISGUISE]],Sheet1!$A$21:$A$23,Sheet1!$B$21:$B$23)*Table1[[#This Row], [NUM OF MEM]]*(1+_xlfn.XLOOKUP(Table1[[#This Row], [DISGUISE]],Sheet1!$A$21:$A$23,Sheet1!$C$21:$C$23))</f>
        <v>25600</v>
      </c>
      <c r="H856" s="13" t="s">
        <v>59</v>
      </c>
      <c r="I856" s="4">
        <f>_xlfn.XLOOKUP(Table1[[#This Row], [WEAPON]],Sheet1!$A$27:$A$29,Sheet1!$B$27:$B$29)*Table1[[#This Row], [NUM OF MEM]]*(1+_xlfn.XLOOKUP(Table1[[#This Row], [WEAPON]],Sheet1!$A$27:$A$29,Sheet1!$C$27:$C$29))</f>
        <v>91000</v>
      </c>
      <c r="J856" t="s">
        <v>60</v>
      </c>
      <c r="K856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1710379.7624999997</v>
      </c>
      <c r="L856" s="13" t="s">
        <v>61</v>
      </c>
      <c r="M856" s="4">
        <f>IF(Table1[[#This Row], [EQUIPMENT]]="YES",Sheet1!$C$44*(1+Sheet1!$D$44),0)</f>
        <v>0</v>
      </c>
      <c r="N856" s="4">
        <f>_xlfn.XLOOKUP(Table1[[#This Row], [ROOM]],Sheet1!$A$47:$A$66,Sheet1!$F$47:$F$66)</f>
        <v>17400000</v>
      </c>
      <c r="O856" s="9">
        <f>_xlfn.XLOOKUP(_xlfn.CONCAT(Table1[[#This Row], [TEAM]],Table1[[#This Row], [ROOM]]),'ROOM TIME'!$H$2:$H$121,'ROOM TIME'!$J$2:$J$121)</f>
        <v>60.317499999999981</v>
      </c>
      <c r="P856" s="9">
        <f>(INDEX(Sheet1!$X$48:$Z$67,MATCH(Table1[[#This Row], [ROOM]],Sheet1!$P$48:$P$67,0),MATCH(Table1[[#This Row], [WEAPON]],Sheet1!$X$47:$Z$47,0)))/Table1[[#This Row], [NUM OF MEM]]</f>
        <v>6.3249999999999993</v>
      </c>
      <c r="Q856" s="9">
        <f>Table1[[#This Row], [ROOM TIME]]+Table1[[#This Row], [GUARD TIME]]</f>
        <v>66.642499999999984</v>
      </c>
      <c r="R856" s="4">
        <f>Sheet1!$K$3*_xlfn.XLOOKUP(Table1[[#This Row], [DISGUISE]],Sheet1!$A$21:$A$23,Sheet1!$D$21:$D$23)</f>
        <v>69</v>
      </c>
      <c r="S856" s="9">
        <f>Table1[[#This Row], [TOTAL TIME]]-Table1[[#This Row], [TOTAL TIME TAKEN]]</f>
        <v>2.3575000000000159</v>
      </c>
      <c r="T856" t="str">
        <f>IF(Table1[[#This Row], [TIME DIFFERENCE]]&gt;=0,"PASS","FAIL")</f>
        <v>PASS</v>
      </c>
      <c r="U856" s="9">
        <f>Table1[[#This Row], [TRC]]+Table1[[#This Row], [DRC]]+Table1[[#This Row], [WRC]]+Table1[[#This Row], [ERC]]+Table1[[#This Row], [EQRC]]</f>
        <v>7776579.7624999993</v>
      </c>
      <c r="V856" s="9">
        <f>Table1[[#This Row], [TOTAL COST]]+_xlfn.XLOOKUP(Table1[[#This Row], [TEAM]],Sheet1!$A$12:$A$17,Sheet1!$I$12:$I$17)</f>
        <v>8074059.7624999993</v>
      </c>
      <c r="W856" s="9">
        <f>Table1[[#This Row], [LOOT]]-Table1[[#This Row], [TOTAL COST]]</f>
        <v>9623420.2375000007</v>
      </c>
      <c r="X856" s="9">
        <f>IF(Table1[[#This Row], [PASS/FAIL]]="FAIL",0,Table1[[#This Row], [PROFIT]])</f>
        <v>9623420.2375000007</v>
      </c>
    </row>
    <row r="857" spans="1:24" ht="19.5" customHeight="1" x14ac:dyDescent="0.45">
      <c r="A857" t="s">
        <v>15</v>
      </c>
      <c r="B857" s="14">
        <f>_xlfn.XLOOKUP(Table1[[#This Row], [TEAM]],Sheet1!$A$12:$A$17,Sheet1!$F$12:$F$17)</f>
        <v>2</v>
      </c>
      <c r="C857" s="14">
        <f>_xlfn.XLOOKUP(Table1[[#This Row], [TEAM]],Sheet1!$A$12:$A$17,Sheet1!$G$12:$G$17)</f>
        <v>5932950</v>
      </c>
      <c r="D857" t="s">
        <v>17</v>
      </c>
      <c r="E857" s="4">
        <f>_xlfn.XLOOKUP(Table1[[#This Row], [ROOM]],Sheet1!$A$47:$A$66,Sheet1!$B$47:$B$66)</f>
        <v>125</v>
      </c>
      <c r="F857" t="s">
        <v>58</v>
      </c>
      <c r="G857" s="4">
        <f>_xlfn.XLOOKUP(Table1[[#This Row], [DISGUISE]],Sheet1!$A$21:$A$23,Sheet1!$B$21:$B$23)*Table1[[#This Row], [NUM OF MEM]]*(1+_xlfn.XLOOKUP(Table1[[#This Row], [DISGUISE]],Sheet1!$A$21:$A$23,Sheet1!$C$21:$C$23))</f>
        <v>25600</v>
      </c>
      <c r="H857" s="13" t="s">
        <v>63</v>
      </c>
      <c r="I857" s="4">
        <f>_xlfn.XLOOKUP(Table1[[#This Row], [WEAPON]],Sheet1!$A$27:$A$29,Sheet1!$B$27:$B$29)*Table1[[#This Row], [NUM OF MEM]]*(1+_xlfn.XLOOKUP(Table1[[#This Row], [WEAPON]],Sheet1!$A$27:$A$29,Sheet1!$C$27:$C$29))</f>
        <v>46000</v>
      </c>
      <c r="J857" t="s">
        <v>60</v>
      </c>
      <c r="K857" s="9">
        <f>Table1[[#This Row], [NUM OF MEM]]*Table1[[#This Row], [TOTAL TIME TAKEN]]*_xlfn.XLOOKUP(Table1[[#This Row], [EXIT]],Sheet1!$A$70:$A$71,Sheet1!$B$70:$B$71)*(1+_xlfn.XLOOKUP(Table1[[#This Row], [EXIT]],Sheet1!$A$70:$A$71,Sheet1!$C$70:$C$71))</f>
        <v>1722185.6624999996</v>
      </c>
      <c r="L857" s="13" t="s">
        <v>61</v>
      </c>
      <c r="M857" s="4">
        <f>IF(Table1[[#This Row], [EQUIPMENT]]="YES",Sheet1!$C$44*(1+Sheet1!$D$44),0)</f>
        <v>0</v>
      </c>
      <c r="N857" s="4">
        <f>_xlfn.XLOOKUP(Table1[[#This Row], [ROOM]],Sheet1!$A$47:$A$66,Sheet1!$F$47:$F$66)</f>
        <v>17350000</v>
      </c>
      <c r="O857" s="9">
        <f>_xlfn.XLOOKUP(_xlfn.CONCAT(Table1[[#This Row], [TEAM]],Table1[[#This Row], [ROOM]]),'ROOM TIME'!$H$2:$H$121,'ROOM TIME'!$J$2:$J$121)</f>
        <v>60.352499999999985</v>
      </c>
      <c r="P857" s="9">
        <f>(INDEX(Sheet1!$X$48:$Z$67,MATCH(Table1[[#This Row], [ROOM]],Sheet1!$P$48:$P$67,0),MATCH(Table1[[#This Row], [WEAPON]],Sheet1!$X$47:$Z$47,0)))/Table1[[#This Row], [NUM OF MEM]]</f>
        <v>6.75</v>
      </c>
      <c r="Q857" s="9">
        <f>Table1[[#This Row], [ROOM TIME]]+Table1[[#This Row], [GUARD TIME]]</f>
        <v>67.102499999999992</v>
      </c>
      <c r="R857" s="4">
        <f>Sheet1!$K$3*_xlfn.XLOOKUP(Table1[[#This Row], [DISGUISE]],Sheet1!$A$21:$A$23,Sheet1!$D$21:$D$23)</f>
        <v>69</v>
      </c>
      <c r="S857" s="9">
        <f>Table1[[#This Row], [TOTAL TIME]]-Table1[[#This Row], [TOTAL TIME TAKEN]]</f>
        <v>1.897500000000008</v>
      </c>
      <c r="T857" t="str">
        <f>IF(Table1[[#This Row], [TIME DIFFERENCE]]&gt;=0,"PASS","FAIL")</f>
        <v>PASS</v>
      </c>
      <c r="U857" s="9">
        <f>Table1[[#This Row], [TRC]]+Table1[[#This Row], [DRC]]+Table1[[#This Row], [WRC]]+Table1[[#This Row], [ERC]]+Table1[[#This Row], [EQRC]]</f>
        <v>7726735.6624999996</v>
      </c>
      <c r="V857" s="9">
        <f>Table1[[#This Row], [TOTAL COST]]+_xlfn.XLOOKUP(Table1[[#This Row], [TEAM]],Sheet1!$A$12:$A$17,Sheet1!$I$12:$I$17)</f>
        <v>8023383.1624999996</v>
      </c>
      <c r="W857" s="9">
        <f>Table1[[#This Row], [LOOT]]-Table1[[#This Row], [TOTAL COST]]</f>
        <v>9623264.3375000004</v>
      </c>
      <c r="X857" s="9">
        <f>IF(Table1[[#This Row], [PASS/FAIL]]="FAIL",0,Table1[[#This Row], [PROFIT]])</f>
        <v>9623264.3375000004</v>
      </c>
    </row>
    <row r="858" spans="1:24" ht="19.5" customHeight="1" x14ac:dyDescent="0.45">
      <c r="A858" t="s">
        <v>12</v>
      </c>
      <c r="B858" s="14">
        <f>_xlfn.XLOOKUP(Table1[[#This Row], [TEAM]],Sheet1!$A$12:$A$17,Sheet1!$F$12:$F$17)</f>
        <v>3</v>
      </c>
      <c r="C858" s="14">
        <f>_xlfn.XLOOKUP(Table1[[#This Row], [TEAM]],Sheet1!$A$12:$A$17,Sheet1!$G$12:$G$17)</f>
        <v>5988750</v>
      </c>
      <c r="D858" t="s">
        <v>28</v>
      </c>
      <c r="E858" s="4">
        <f>_xlfn.XLOOKUP(Table1[[#This Row], [ROOM]],Sheet1!$A$47:$A$66,Sheet1!$B$47:$B$66)</f>
        <v>156</v>
      </c>
      <c r="F858" t="s">
        <v>58</v>
      </c>
      <c r="G858" s="4">
        <f>_xlfn.XLOOKUP(Table1[[#This Row], [DISGUISE]],Sheet1!$A$21:$A$23,Sheet1!$B$21:$B$23)*Table1[[#This Row], [NUM OF MEM]]*(1+_xlfn.XLOOKUP(Table1[[#This Row], [DISGUISE]],Sheet1!$A$21:$A$23,Sheet1!$C$21:$C$23))</f>
        <v>38400</v>
      </c>
      <c r="H858" s="13" t="s">
        <v>66</v>
      </c>
      <c r="I858" s="4">
        <f>_xlfn.XLOOKUP(Table1[[#This Row], [WEAPON]],Sheet1!$A$27:$A$29,Sheet1!$B$27:$B$29)*Table1[[#This Row], [NUM OF MEM]]*(1+_xlfn.XLOOKUP(Table1[[#This Row], [WEAPON]],Sheet1!$A$27:$A$29,Sheet1!$C$27:$C$29))</f>
        <v>108000</v>
      </c>
      <c r="J858" t="s">
        <v>60</v>
      </c>
      <c r="K858" s="9">
        <f>Table1[[#This Row], [NUM OF MEM]]*Table1[[#This Row], [TOTAL TIME TAKEN]]*_xlfn.XLOOKUP(Table1[[#This Row], [EXIT]],Sheet1!$A$70:$A$71,Sheet1!$B$70:$B$71)*(1+_xlfn.XLOOKUP(Table1[[#This Row], [EXIT]],Sheet1!$A$70:$A$71,Sheet1!$C$70:$C$71))</f>
        <v>1584172.1249999993</v>
      </c>
      <c r="L858" s="13" t="s">
        <v>65</v>
      </c>
      <c r="M858" s="4">
        <f>IF(Table1[[#This Row], [EQUIPMENT]]="YES",Sheet1!$C$44*(1+Sheet1!$D$44),0)</f>
        <v>307500</v>
      </c>
      <c r="N858" s="4">
        <f>_xlfn.XLOOKUP(Table1[[#This Row], [ROOM]],Sheet1!$A$47:$A$66,Sheet1!$F$47:$F$66)</f>
        <v>17650000</v>
      </c>
      <c r="O858" s="9">
        <f>_xlfn.XLOOKUP(_xlfn.CONCAT(Table1[[#This Row], [TEAM]],Table1[[#This Row], [ROOM]]),'ROOM TIME'!$H$2:$H$121,'ROOM TIME'!$J$2:$J$121)</f>
        <v>36.98333333333332</v>
      </c>
      <c r="P858" s="9">
        <f>(INDEX(Sheet1!$X$48:$Z$67,MATCH(Table1[[#This Row], [ROOM]],Sheet1!$P$48:$P$67,0),MATCH(Table1[[#This Row], [WEAPON]],Sheet1!$X$47:$Z$47,0)))/Table1[[#This Row], [NUM OF MEM]]</f>
        <v>4.166666666666667</v>
      </c>
      <c r="Q858" s="9">
        <f>Table1[[#This Row], [ROOM TIME]]+Table1[[#This Row], [GUARD TIME]]</f>
        <v>41.149999999999984</v>
      </c>
      <c r="R858" s="4">
        <f>Sheet1!$K$3*_xlfn.XLOOKUP(Table1[[#This Row], [DISGUISE]],Sheet1!$A$21:$A$23,Sheet1!$D$21:$D$23)</f>
        <v>69</v>
      </c>
      <c r="S858" s="9">
        <f>Table1[[#This Row], [TOTAL TIME]]-Table1[[#This Row], [TOTAL TIME TAKEN]]</f>
        <v>27.850000000000016</v>
      </c>
      <c r="T858" t="str">
        <f>IF(Table1[[#This Row], [TIME DIFFERENCE]]&gt;=0,"PASS","FAIL")</f>
        <v>PASS</v>
      </c>
      <c r="U858" s="9">
        <f>Table1[[#This Row], [TRC]]+Table1[[#This Row], [DRC]]+Table1[[#This Row], [WRC]]+Table1[[#This Row], [ERC]]+Table1[[#This Row], [EQRC]]</f>
        <v>8026822.1249999991</v>
      </c>
      <c r="V858" s="9">
        <f>Table1[[#This Row], [TOTAL COST]]+_xlfn.XLOOKUP(Table1[[#This Row], [TEAM]],Sheet1!$A$12:$A$17,Sheet1!$I$12:$I$17)</f>
        <v>8326259.6249999991</v>
      </c>
      <c r="W858" s="9">
        <f>Table1[[#This Row], [LOOT]]-Table1[[#This Row], [TOTAL COST]]</f>
        <v>9623177.875</v>
      </c>
      <c r="X858" s="9">
        <f>IF(Table1[[#This Row], [PASS/FAIL]]="FAIL",0,Table1[[#This Row], [PROFIT]])</f>
        <v>9623177.875</v>
      </c>
    </row>
    <row r="859" spans="1:24" ht="19.5" customHeight="1" x14ac:dyDescent="0.45">
      <c r="A859" t="s">
        <v>14</v>
      </c>
      <c r="B859" s="14">
        <f>_xlfn.XLOOKUP(Table1[[#This Row], [TEAM]],Sheet1!$A$12:$A$17,Sheet1!$F$12:$F$17)</f>
        <v>2</v>
      </c>
      <c r="C859" s="14">
        <f>_xlfn.XLOOKUP(Table1[[#This Row], [TEAM]],Sheet1!$A$12:$A$17,Sheet1!$G$12:$G$17)</f>
        <v>5949600</v>
      </c>
      <c r="D859" t="s">
        <v>23</v>
      </c>
      <c r="E859" s="4">
        <f>_xlfn.XLOOKUP(Table1[[#This Row], [ROOM]],Sheet1!$A$47:$A$66,Sheet1!$B$47:$B$66)</f>
        <v>245</v>
      </c>
      <c r="F859" t="s">
        <v>58</v>
      </c>
      <c r="G859" s="4">
        <f>_xlfn.XLOOKUP(Table1[[#This Row], [DISGUISE]],Sheet1!$A$21:$A$23,Sheet1!$B$21:$B$23)*Table1[[#This Row], [NUM OF MEM]]*(1+_xlfn.XLOOKUP(Table1[[#This Row], [DISGUISE]],Sheet1!$A$21:$A$23,Sheet1!$C$21:$C$23))</f>
        <v>25600</v>
      </c>
      <c r="H859" s="13" t="s">
        <v>63</v>
      </c>
      <c r="I859" s="4">
        <f>_xlfn.XLOOKUP(Table1[[#This Row], [WEAPON]],Sheet1!$A$27:$A$29,Sheet1!$B$27:$B$29)*Table1[[#This Row], [NUM OF MEM]]*(1+_xlfn.XLOOKUP(Table1[[#This Row], [WEAPON]],Sheet1!$A$27:$A$29,Sheet1!$C$27:$C$29))</f>
        <v>46000</v>
      </c>
      <c r="J859" t="s">
        <v>64</v>
      </c>
      <c r="K859" s="9">
        <f>Table1[[#This Row], [NUM OF MEM]]*Table1[[#This Row], [TOTAL TIME TAKEN]]*_xlfn.XLOOKUP(Table1[[#This Row], [EXIT]],Sheet1!$A$70:$A$71,Sheet1!$B$70:$B$71)*(1+_xlfn.XLOOKUP(Table1[[#This Row], [EXIT]],Sheet1!$A$70:$A$71,Sheet1!$C$70:$C$71))</f>
        <v>1755885.5999999994</v>
      </c>
      <c r="L859" s="13" t="s">
        <v>61</v>
      </c>
      <c r="M859" s="4">
        <f>IF(Table1[[#This Row], [EQUIPMENT]]="YES",Sheet1!$C$44*(1+Sheet1!$D$44),0)</f>
        <v>0</v>
      </c>
      <c r="N859" s="4">
        <f>_xlfn.XLOOKUP(Table1[[#This Row], [ROOM]],Sheet1!$A$47:$A$66,Sheet1!$F$47:$F$66)</f>
        <v>17400000</v>
      </c>
      <c r="O859" s="9">
        <f>_xlfn.XLOOKUP(_xlfn.CONCAT(Table1[[#This Row], [TEAM]],Table1[[#This Row], [ROOM]]),'ROOM TIME'!$H$2:$H$121,'ROOM TIME'!$J$2:$J$121)</f>
        <v>60.317499999999981</v>
      </c>
      <c r="P859" s="9">
        <f>(INDEX(Sheet1!$X$48:$Z$67,MATCH(Table1[[#This Row], [ROOM]],Sheet1!$P$48:$P$67,0),MATCH(Table1[[#This Row], [WEAPON]],Sheet1!$X$47:$Z$47,0)))/Table1[[#This Row], [NUM OF MEM]]</f>
        <v>7.4250000000000007</v>
      </c>
      <c r="Q859" s="9">
        <f>Table1[[#This Row], [ROOM TIME]]+Table1[[#This Row], [GUARD TIME]]</f>
        <v>67.742499999999978</v>
      </c>
      <c r="R859" s="4">
        <f>Sheet1!$K$3*_xlfn.XLOOKUP(Table1[[#This Row], [DISGUISE]],Sheet1!$A$21:$A$23,Sheet1!$D$21:$D$23)</f>
        <v>69</v>
      </c>
      <c r="S859" s="9">
        <f>Table1[[#This Row], [TOTAL TIME]]-Table1[[#This Row], [TOTAL TIME TAKEN]]</f>
        <v>1.2575000000000216</v>
      </c>
      <c r="T859" t="str">
        <f>IF(Table1[[#This Row], [TIME DIFFERENCE]]&gt;=0,"PASS","FAIL")</f>
        <v>PASS</v>
      </c>
      <c r="U859" s="9">
        <f>Table1[[#This Row], [TRC]]+Table1[[#This Row], [DRC]]+Table1[[#This Row], [WRC]]+Table1[[#This Row], [ERC]]+Table1[[#This Row], [EQRC]]</f>
        <v>7777085.5999999996</v>
      </c>
      <c r="V859" s="9">
        <f>Table1[[#This Row], [TOTAL COST]]+_xlfn.XLOOKUP(Table1[[#This Row], [TEAM]],Sheet1!$A$12:$A$17,Sheet1!$I$12:$I$17)</f>
        <v>8074565.5999999996</v>
      </c>
      <c r="W859" s="9">
        <f>Table1[[#This Row], [LOOT]]-Table1[[#This Row], [TOTAL COST]]</f>
        <v>9622914.4000000004</v>
      </c>
      <c r="X859" s="9">
        <f>IF(Table1[[#This Row], [PASS/FAIL]]="FAIL",0,Table1[[#This Row], [PROFIT]])</f>
        <v>9622914.4000000004</v>
      </c>
    </row>
    <row r="860" spans="1:24" ht="19.5" customHeight="1" x14ac:dyDescent="0.45">
      <c r="A860" t="s">
        <v>13</v>
      </c>
      <c r="B860" s="14">
        <f>_xlfn.XLOOKUP(Table1[[#This Row], [TEAM]],Sheet1!$A$12:$A$17,Sheet1!$F$12:$F$17)</f>
        <v>3</v>
      </c>
      <c r="C860" s="14">
        <f>_xlfn.XLOOKUP(Table1[[#This Row], [TEAM]],Sheet1!$A$12:$A$17,Sheet1!$G$12:$G$17)</f>
        <v>5930000</v>
      </c>
      <c r="D860" t="s">
        <v>21</v>
      </c>
      <c r="E860" s="4">
        <f>_xlfn.XLOOKUP(Table1[[#This Row], [ROOM]],Sheet1!$A$47:$A$66,Sheet1!$B$47:$B$66)</f>
        <v>234</v>
      </c>
      <c r="F860" t="s">
        <v>62</v>
      </c>
      <c r="G860" s="4">
        <f>_xlfn.XLOOKUP(Table1[[#This Row], [DISGUISE]],Sheet1!$A$21:$A$23,Sheet1!$B$21:$B$23)*Table1[[#This Row], [NUM OF MEM]]*(1+_xlfn.XLOOKUP(Table1[[#This Row], [DISGUISE]],Sheet1!$A$21:$A$23,Sheet1!$C$21:$C$23))</f>
        <v>15600</v>
      </c>
      <c r="H860" s="13" t="s">
        <v>59</v>
      </c>
      <c r="I860" s="4">
        <f>_xlfn.XLOOKUP(Table1[[#This Row], [WEAPON]],Sheet1!$A$27:$A$29,Sheet1!$B$27:$B$29)*Table1[[#This Row], [NUM OF MEM]]*(1+_xlfn.XLOOKUP(Table1[[#This Row], [WEAPON]],Sheet1!$A$27:$A$29,Sheet1!$C$27:$C$29))</f>
        <v>136500</v>
      </c>
      <c r="J860" t="s">
        <v>64</v>
      </c>
      <c r="K860" s="9">
        <f>Table1[[#This Row], [NUM OF MEM]]*Table1[[#This Row], [TOTAL TIME TAKEN]]*_xlfn.XLOOKUP(Table1[[#This Row], [EXIT]],Sheet1!$A$70:$A$71,Sheet1!$B$70:$B$71)*(1+_xlfn.XLOOKUP(Table1[[#This Row], [EXIT]],Sheet1!$A$70:$A$71,Sheet1!$C$70:$C$71))</f>
        <v>1887580.7999999998</v>
      </c>
      <c r="L860" s="13" t="s">
        <v>65</v>
      </c>
      <c r="M860" s="4">
        <f>IF(Table1[[#This Row], [EQUIPMENT]]="YES",Sheet1!$C$44*(1+Sheet1!$D$44),0)</f>
        <v>307500</v>
      </c>
      <c r="N860" s="4">
        <f>_xlfn.XLOOKUP(Table1[[#This Row], [ROOM]],Sheet1!$A$47:$A$66,Sheet1!$F$47:$F$66)</f>
        <v>17900000</v>
      </c>
      <c r="O860" s="9">
        <f>_xlfn.XLOOKUP(_xlfn.CONCAT(Table1[[#This Row], [TEAM]],Table1[[#This Row], [ROOM]]),'ROOM TIME'!$H$2:$H$121,'ROOM TIME'!$J$2:$J$121)</f>
        <v>43.565555555555555</v>
      </c>
      <c r="P860" s="9">
        <f>(INDEX(Sheet1!$X$48:$Z$67,MATCH(Table1[[#This Row], [ROOM]],Sheet1!$P$48:$P$67,0),MATCH(Table1[[#This Row], [WEAPON]],Sheet1!$X$47:$Z$47,0)))/Table1[[#This Row], [NUM OF MEM]]</f>
        <v>4.9833333333333334</v>
      </c>
      <c r="Q860" s="9">
        <f>Table1[[#This Row], [ROOM TIME]]+Table1[[#This Row], [GUARD TIME]]</f>
        <v>48.548888888888889</v>
      </c>
      <c r="R860" s="4">
        <f>Sheet1!$K$3*_xlfn.XLOOKUP(Table1[[#This Row], [DISGUISE]],Sheet1!$A$21:$A$23,Sheet1!$D$21:$D$23)</f>
        <v>66</v>
      </c>
      <c r="S860" s="9">
        <f>Table1[[#This Row], [TOTAL TIME]]-Table1[[#This Row], [TOTAL TIME TAKEN]]</f>
        <v>17.451111111111111</v>
      </c>
      <c r="T860" t="str">
        <f>IF(Table1[[#This Row], [TIME DIFFERENCE]]&gt;=0,"PASS","FAIL")</f>
        <v>PASS</v>
      </c>
      <c r="U860" s="9">
        <f>Table1[[#This Row], [TRC]]+Table1[[#This Row], [DRC]]+Table1[[#This Row], [WRC]]+Table1[[#This Row], [ERC]]+Table1[[#This Row], [EQRC]]</f>
        <v>8277180.7999999998</v>
      </c>
      <c r="V860" s="9">
        <f>Table1[[#This Row], [TOTAL COST]]+_xlfn.XLOOKUP(Table1[[#This Row], [TEAM]],Sheet1!$A$12:$A$17,Sheet1!$I$12:$I$17)</f>
        <v>8573680.8000000007</v>
      </c>
      <c r="W860" s="9">
        <f>Table1[[#This Row], [LOOT]]-Table1[[#This Row], [TOTAL COST]]</f>
        <v>9622819.1999999993</v>
      </c>
      <c r="X860" s="9">
        <f>IF(Table1[[#This Row], [PASS/FAIL]]="FAIL",0,Table1[[#This Row], [PROFIT]])</f>
        <v>9622819.1999999993</v>
      </c>
    </row>
    <row r="861" spans="1:24" ht="19.5" customHeight="1" x14ac:dyDescent="0.45">
      <c r="A861" t="s">
        <v>12</v>
      </c>
      <c r="B861" s="14">
        <f>_xlfn.XLOOKUP(Table1[[#This Row], [TEAM]],Sheet1!$A$12:$A$17,Sheet1!$F$12:$F$17)</f>
        <v>3</v>
      </c>
      <c r="C861" s="14">
        <f>_xlfn.XLOOKUP(Table1[[#This Row], [TEAM]],Sheet1!$A$12:$A$17,Sheet1!$G$12:$G$17)</f>
        <v>5988750</v>
      </c>
      <c r="D861" t="s">
        <v>10</v>
      </c>
      <c r="E861" s="4">
        <f>_xlfn.XLOOKUP(Table1[[#This Row], [ROOM]],Sheet1!$A$47:$A$66,Sheet1!$B$47:$B$66)</f>
        <v>123</v>
      </c>
      <c r="F861" t="s">
        <v>58</v>
      </c>
      <c r="G861" s="4">
        <f>_xlfn.XLOOKUP(Table1[[#This Row], [DISGUISE]],Sheet1!$A$21:$A$23,Sheet1!$B$21:$B$23)*Table1[[#This Row], [NUM OF MEM]]*(1+_xlfn.XLOOKUP(Table1[[#This Row], [DISGUISE]],Sheet1!$A$21:$A$23,Sheet1!$C$21:$C$23))</f>
        <v>38400</v>
      </c>
      <c r="H861" s="13" t="s">
        <v>63</v>
      </c>
      <c r="I861" s="4">
        <f>_xlfn.XLOOKUP(Table1[[#This Row], [WEAPON]],Sheet1!$A$27:$A$29,Sheet1!$B$27:$B$29)*Table1[[#This Row], [NUM OF MEM]]*(1+_xlfn.XLOOKUP(Table1[[#This Row], [WEAPON]],Sheet1!$A$27:$A$29,Sheet1!$C$27:$C$29))</f>
        <v>69000</v>
      </c>
      <c r="J861" t="s">
        <v>60</v>
      </c>
      <c r="K861" s="9">
        <f>Table1[[#This Row], [NUM OF MEM]]*Table1[[#This Row], [TOTAL TIME TAKEN]]*_xlfn.XLOOKUP(Table1[[#This Row], [EXIT]],Sheet1!$A$70:$A$71,Sheet1!$B$70:$B$71)*(1+_xlfn.XLOOKUP(Table1[[#This Row], [EXIT]],Sheet1!$A$70:$A$71,Sheet1!$C$70:$C$71))</f>
        <v>1823541.0249999997</v>
      </c>
      <c r="L861" s="13" t="s">
        <v>65</v>
      </c>
      <c r="M861" s="4">
        <f>IF(Table1[[#This Row], [EQUIPMENT]]="YES",Sheet1!$C$44*(1+Sheet1!$D$44),0)</f>
        <v>307500</v>
      </c>
      <c r="N861" s="4">
        <f>_xlfn.XLOOKUP(Table1[[#This Row], [ROOM]],Sheet1!$A$47:$A$66,Sheet1!$F$47:$F$66)</f>
        <v>17850000</v>
      </c>
      <c r="O861" s="9">
        <f>_xlfn.XLOOKUP(_xlfn.CONCAT(Table1[[#This Row], [TEAM]],Table1[[#This Row], [ROOM]]),'ROOM TIME'!$H$2:$H$121,'ROOM TIME'!$J$2:$J$121)</f>
        <v>41.967777777777762</v>
      </c>
      <c r="P861" s="9">
        <f>(INDEX(Sheet1!$X$48:$Z$67,MATCH(Table1[[#This Row], [ROOM]],Sheet1!$P$48:$P$67,0),MATCH(Table1[[#This Row], [WEAPON]],Sheet1!$X$47:$Z$47,0)))/Table1[[#This Row], [NUM OF MEM]]</f>
        <v>5.4000000000000012</v>
      </c>
      <c r="Q861" s="9">
        <f>Table1[[#This Row], [ROOM TIME]]+Table1[[#This Row], [GUARD TIME]]</f>
        <v>47.367777777777761</v>
      </c>
      <c r="R861" s="4">
        <f>Sheet1!$K$3*_xlfn.XLOOKUP(Table1[[#This Row], [DISGUISE]],Sheet1!$A$21:$A$23,Sheet1!$D$21:$D$23)</f>
        <v>69</v>
      </c>
      <c r="S861" s="9">
        <f>Table1[[#This Row], [TOTAL TIME]]-Table1[[#This Row], [TOTAL TIME TAKEN]]</f>
        <v>21.632222222222239</v>
      </c>
      <c r="T861" t="str">
        <f>IF(Table1[[#This Row], [TIME DIFFERENCE]]&gt;=0,"PASS","FAIL")</f>
        <v>PASS</v>
      </c>
      <c r="U861" s="9">
        <f>Table1[[#This Row], [TRC]]+Table1[[#This Row], [DRC]]+Table1[[#This Row], [WRC]]+Table1[[#This Row], [ERC]]+Table1[[#This Row], [EQRC]]</f>
        <v>8227191.0249999994</v>
      </c>
      <c r="V861" s="9">
        <f>Table1[[#This Row], [TOTAL COST]]+_xlfn.XLOOKUP(Table1[[#This Row], [TEAM]],Sheet1!$A$12:$A$17,Sheet1!$I$12:$I$17)</f>
        <v>8526628.5249999985</v>
      </c>
      <c r="W861" s="9">
        <f>Table1[[#This Row], [LOOT]]-Table1[[#This Row], [TOTAL COST]]</f>
        <v>9622808.9750000015</v>
      </c>
      <c r="X861" s="9">
        <f>IF(Table1[[#This Row], [PASS/FAIL]]="FAIL",0,Table1[[#This Row], [PROFIT]])</f>
        <v>9622808.9750000015</v>
      </c>
    </row>
    <row r="862" spans="1:24" ht="19.5" customHeight="1" x14ac:dyDescent="0.45">
      <c r="A862" t="s">
        <v>16</v>
      </c>
      <c r="B862" s="14">
        <f>_xlfn.XLOOKUP(Table1[[#This Row], [TEAM]],Sheet1!$A$12:$A$17,Sheet1!$F$12:$F$17)</f>
        <v>2</v>
      </c>
      <c r="C862" s="14">
        <f>_xlfn.XLOOKUP(Table1[[#This Row], [TEAM]],Sheet1!$A$12:$A$17,Sheet1!$G$12:$G$17)</f>
        <v>6082800</v>
      </c>
      <c r="D862" t="s">
        <v>27</v>
      </c>
      <c r="E862" s="4">
        <f>_xlfn.XLOOKUP(Table1[[#This Row], [ROOM]],Sheet1!$A$47:$A$66,Sheet1!$B$47:$B$66)</f>
        <v>146</v>
      </c>
      <c r="F862" t="s">
        <v>58</v>
      </c>
      <c r="G862" s="4">
        <f>_xlfn.XLOOKUP(Table1[[#This Row], [DISGUISE]],Sheet1!$A$21:$A$23,Sheet1!$B$21:$B$23)*Table1[[#This Row], [NUM OF MEM]]*(1+_xlfn.XLOOKUP(Table1[[#This Row], [DISGUISE]],Sheet1!$A$21:$A$23,Sheet1!$C$21:$C$23))</f>
        <v>25600</v>
      </c>
      <c r="H862" s="13" t="s">
        <v>66</v>
      </c>
      <c r="I862" s="4">
        <f>_xlfn.XLOOKUP(Table1[[#This Row], [WEAPON]],Sheet1!$A$27:$A$29,Sheet1!$B$27:$B$29)*Table1[[#This Row], [NUM OF MEM]]*(1+_xlfn.XLOOKUP(Table1[[#This Row], [WEAPON]],Sheet1!$A$27:$A$29,Sheet1!$C$27:$C$29))</f>
        <v>72000</v>
      </c>
      <c r="J862" t="s">
        <v>64</v>
      </c>
      <c r="K862" s="9">
        <f>Table1[[#This Row], [NUM OF MEM]]*Table1[[#This Row], [TOTAL TIME TAKEN]]*_xlfn.XLOOKUP(Table1[[#This Row], [EXIT]],Sheet1!$A$70:$A$71,Sheet1!$B$70:$B$71)*(1+_xlfn.XLOOKUP(Table1[[#This Row], [EXIT]],Sheet1!$A$70:$A$71,Sheet1!$C$70:$C$71))</f>
        <v>1639601.9999999993</v>
      </c>
      <c r="L862" s="13" t="s">
        <v>65</v>
      </c>
      <c r="M862" s="4">
        <f>IF(Table1[[#This Row], [EQUIPMENT]]="YES",Sheet1!$C$44*(1+Sheet1!$D$44),0)</f>
        <v>307500</v>
      </c>
      <c r="N862" s="4">
        <f>_xlfn.XLOOKUP(Table1[[#This Row], [ROOM]],Sheet1!$A$47:$A$66,Sheet1!$F$47:$F$66)</f>
        <v>17750000</v>
      </c>
      <c r="O862" s="9">
        <f>_xlfn.XLOOKUP(_xlfn.CONCAT(Table1[[#This Row], [TEAM]],Table1[[#This Row], [ROOM]]),'ROOM TIME'!$H$2:$H$121,'ROOM TIME'!$J$2:$J$121)</f>
        <v>56.38124999999998</v>
      </c>
      <c r="P862" s="9">
        <f>(INDEX(Sheet1!$X$48:$Z$67,MATCH(Table1[[#This Row], [ROOM]],Sheet1!$P$48:$P$67,0),MATCH(Table1[[#This Row], [WEAPON]],Sheet1!$X$47:$Z$47,0)))/Table1[[#This Row], [NUM OF MEM]]</f>
        <v>6.875</v>
      </c>
      <c r="Q862" s="9">
        <f>Table1[[#This Row], [ROOM TIME]]+Table1[[#This Row], [GUARD TIME]]</f>
        <v>63.25624999999998</v>
      </c>
      <c r="R862" s="4">
        <f>Sheet1!$K$3*_xlfn.XLOOKUP(Table1[[#This Row], [DISGUISE]],Sheet1!$A$21:$A$23,Sheet1!$D$21:$D$23)</f>
        <v>69</v>
      </c>
      <c r="S862" s="9">
        <f>Table1[[#This Row], [TOTAL TIME]]-Table1[[#This Row], [TOTAL TIME TAKEN]]</f>
        <v>5.7437500000000199</v>
      </c>
      <c r="T862" t="str">
        <f>IF(Table1[[#This Row], [TIME DIFFERENCE]]&gt;=0,"PASS","FAIL")</f>
        <v>PASS</v>
      </c>
      <c r="U862" s="9">
        <f>Table1[[#This Row], [TRC]]+Table1[[#This Row], [DRC]]+Table1[[#This Row], [WRC]]+Table1[[#This Row], [ERC]]+Table1[[#This Row], [EQRC]]</f>
        <v>8127501.9999999991</v>
      </c>
      <c r="V862" s="4">
        <f>Table1[[#This Row], [TOTAL COST]]+_xlfn.XLOOKUP(Table1[[#This Row], [TEAM]],Sheet1!$A$12:$A$17,Sheet1!$I$12:$I$17)</f>
        <v>8431642</v>
      </c>
      <c r="W862" s="4">
        <f>Table1[[#This Row], [LOOT]]-Table1[[#This Row], [TOTAL COST]]</f>
        <v>9622498</v>
      </c>
      <c r="X862" s="4">
        <f>IF(Table1[[#This Row], [PASS/FAIL]]="FAIL",0,Table1[[#This Row], [PROFIT]])</f>
        <v>9622498</v>
      </c>
    </row>
    <row r="863" spans="1:24" ht="19.5" customHeight="1" x14ac:dyDescent="0.45">
      <c r="A863" t="s">
        <v>12</v>
      </c>
      <c r="B863" s="14">
        <f>_xlfn.XLOOKUP(Table1[[#This Row], [TEAM]],Sheet1!$A$12:$A$17,Sheet1!$F$12:$F$17)</f>
        <v>3</v>
      </c>
      <c r="C863" s="14">
        <f>_xlfn.XLOOKUP(Table1[[#This Row], [TEAM]],Sheet1!$A$12:$A$17,Sheet1!$G$12:$G$17)</f>
        <v>5988750</v>
      </c>
      <c r="D863" t="s">
        <v>10</v>
      </c>
      <c r="E863" s="4">
        <f>_xlfn.XLOOKUP(Table1[[#This Row], [ROOM]],Sheet1!$A$47:$A$66,Sheet1!$B$47:$B$66)</f>
        <v>123</v>
      </c>
      <c r="F863" t="s">
        <v>62</v>
      </c>
      <c r="G863" s="4">
        <f>_xlfn.XLOOKUP(Table1[[#This Row], [DISGUISE]],Sheet1!$A$21:$A$23,Sheet1!$B$21:$B$23)*Table1[[#This Row], [NUM OF MEM]]*(1+_xlfn.XLOOKUP(Table1[[#This Row], [DISGUISE]],Sheet1!$A$21:$A$23,Sheet1!$C$21:$C$23))</f>
        <v>15600</v>
      </c>
      <c r="H863" s="13" t="s">
        <v>66</v>
      </c>
      <c r="I863" s="4">
        <f>_xlfn.XLOOKUP(Table1[[#This Row], [WEAPON]],Sheet1!$A$27:$A$29,Sheet1!$B$27:$B$29)*Table1[[#This Row], [NUM OF MEM]]*(1+_xlfn.XLOOKUP(Table1[[#This Row], [WEAPON]],Sheet1!$A$27:$A$29,Sheet1!$C$27:$C$29))</f>
        <v>108000</v>
      </c>
      <c r="J863" t="s">
        <v>60</v>
      </c>
      <c r="K863" s="9">
        <f>Table1[[#This Row], [NUM OF MEM]]*Table1[[#This Row], [TOTAL TIME TAKEN]]*_xlfn.XLOOKUP(Table1[[#This Row], [EXIT]],Sheet1!$A$70:$A$71,Sheet1!$B$70:$B$71)*(1+_xlfn.XLOOKUP(Table1[[#This Row], [EXIT]],Sheet1!$A$70:$A$71,Sheet1!$C$70:$C$71))</f>
        <v>1808142.0249999992</v>
      </c>
      <c r="L863" s="13" t="s">
        <v>65</v>
      </c>
      <c r="M863" s="4">
        <f>IF(Table1[[#This Row], [EQUIPMENT]]="YES",Sheet1!$C$44*(1+Sheet1!$D$44),0)</f>
        <v>307500</v>
      </c>
      <c r="N863" s="4">
        <f>_xlfn.XLOOKUP(Table1[[#This Row], [ROOM]],Sheet1!$A$47:$A$66,Sheet1!$F$47:$F$66)</f>
        <v>17850000</v>
      </c>
      <c r="O863" s="9">
        <f>_xlfn.XLOOKUP(_xlfn.CONCAT(Table1[[#This Row], [TEAM]],Table1[[#This Row], [ROOM]]),'ROOM TIME'!$H$2:$H$121,'ROOM TIME'!$J$2:$J$121)</f>
        <v>41.967777777777762</v>
      </c>
      <c r="P863" s="4">
        <f>(INDEX(Sheet1!$X$48:$Z$67,MATCH(Table1[[#This Row], [ROOM]],Sheet1!$P$48:$P$67,0),MATCH(Table1[[#This Row], [WEAPON]],Sheet1!$X$47:$Z$47,0)))/Table1[[#This Row], [NUM OF MEM]]</f>
        <v>5</v>
      </c>
      <c r="Q863" s="9">
        <f>Table1[[#This Row], [ROOM TIME]]+Table1[[#This Row], [GUARD TIME]]</f>
        <v>46.967777777777762</v>
      </c>
      <c r="R863" s="4">
        <f>Sheet1!$K$3*_xlfn.XLOOKUP(Table1[[#This Row], [DISGUISE]],Sheet1!$A$21:$A$23,Sheet1!$D$21:$D$23)</f>
        <v>66</v>
      </c>
      <c r="S863" s="9">
        <f>Table1[[#This Row], [TOTAL TIME]]-Table1[[#This Row], [TOTAL TIME TAKEN]]</f>
        <v>19.032222222222238</v>
      </c>
      <c r="T863" t="str">
        <f>IF(Table1[[#This Row], [TIME DIFFERENCE]]&gt;=0,"PASS","FAIL")</f>
        <v>PASS</v>
      </c>
      <c r="U863" s="9">
        <f>Table1[[#This Row], [TRC]]+Table1[[#This Row], [DRC]]+Table1[[#This Row], [WRC]]+Table1[[#This Row], [ERC]]+Table1[[#This Row], [EQRC]]</f>
        <v>8227992.0249999994</v>
      </c>
      <c r="V863" s="9">
        <f>Table1[[#This Row], [TOTAL COST]]+_xlfn.XLOOKUP(Table1[[#This Row], [TEAM]],Sheet1!$A$12:$A$17,Sheet1!$I$12:$I$17)</f>
        <v>8527429.5249999985</v>
      </c>
      <c r="W863" s="9">
        <f>Table1[[#This Row], [LOOT]]-Table1[[#This Row], [TOTAL COST]]</f>
        <v>9622007.9750000015</v>
      </c>
      <c r="X863" s="9">
        <f>IF(Table1[[#This Row], [PASS/FAIL]]="FAIL",0,Table1[[#This Row], [PROFIT]])</f>
        <v>9622007.9750000015</v>
      </c>
    </row>
    <row r="864" spans="1:24" ht="19.5" customHeight="1" x14ac:dyDescent="0.45">
      <c r="A864" t="s">
        <v>13</v>
      </c>
      <c r="B864" s="14">
        <f>_xlfn.XLOOKUP(Table1[[#This Row], [TEAM]],Sheet1!$A$12:$A$17,Sheet1!$F$12:$F$17)</f>
        <v>3</v>
      </c>
      <c r="C864" s="14">
        <f>_xlfn.XLOOKUP(Table1[[#This Row], [TEAM]],Sheet1!$A$12:$A$17,Sheet1!$G$12:$G$17)</f>
        <v>5930000</v>
      </c>
      <c r="D864" t="s">
        <v>10</v>
      </c>
      <c r="E864" s="4">
        <f>_xlfn.XLOOKUP(Table1[[#This Row], [ROOM]],Sheet1!$A$47:$A$66,Sheet1!$B$47:$B$66)</f>
        <v>123</v>
      </c>
      <c r="F864" t="s">
        <v>62</v>
      </c>
      <c r="G864" s="4">
        <f>_xlfn.XLOOKUP(Table1[[#This Row], [DISGUISE]],Sheet1!$A$21:$A$23,Sheet1!$B$21:$B$23)*Table1[[#This Row], [NUM OF MEM]]*(1+_xlfn.XLOOKUP(Table1[[#This Row], [DISGUISE]],Sheet1!$A$21:$A$23,Sheet1!$C$21:$C$23))</f>
        <v>15600</v>
      </c>
      <c r="H864" s="13" t="s">
        <v>63</v>
      </c>
      <c r="I864" s="4">
        <f>_xlfn.XLOOKUP(Table1[[#This Row], [WEAPON]],Sheet1!$A$27:$A$29,Sheet1!$B$27:$B$29)*Table1[[#This Row], [NUM OF MEM]]*(1+_xlfn.XLOOKUP(Table1[[#This Row], [WEAPON]],Sheet1!$A$27:$A$29,Sheet1!$C$27:$C$29))</f>
        <v>69000</v>
      </c>
      <c r="J864" t="s">
        <v>64</v>
      </c>
      <c r="K864" s="9">
        <f>Table1[[#This Row], [NUM OF MEM]]*Table1[[#This Row], [TOTAL TIME TAKEN]]*_xlfn.XLOOKUP(Table1[[#This Row], [EXIT]],Sheet1!$A$70:$A$71,Sheet1!$B$70:$B$71)*(1+_xlfn.XLOOKUP(Table1[[#This Row], [EXIT]],Sheet1!$A$70:$A$71,Sheet1!$C$70:$C$71))</f>
        <v>1907236.7999999993</v>
      </c>
      <c r="L864" s="13" t="s">
        <v>65</v>
      </c>
      <c r="M864" s="4">
        <f>IF(Table1[[#This Row], [EQUIPMENT]]="YES",Sheet1!$C$44*(1+Sheet1!$D$44),0)</f>
        <v>307500</v>
      </c>
      <c r="N864" s="4">
        <f>_xlfn.XLOOKUP(Table1[[#This Row], [ROOM]],Sheet1!$A$47:$A$66,Sheet1!$F$47:$F$66)</f>
        <v>17850000</v>
      </c>
      <c r="O864" s="9">
        <f>_xlfn.XLOOKUP(_xlfn.CONCAT(Table1[[#This Row], [TEAM]],Table1[[#This Row], [ROOM]]),'ROOM TIME'!$H$2:$H$121,'ROOM TIME'!$J$2:$J$121)</f>
        <v>43.654444444444437</v>
      </c>
      <c r="P864" s="9">
        <f>(INDEX(Sheet1!$X$48:$Z$67,MATCH(Table1[[#This Row], [ROOM]],Sheet1!$P$48:$P$67,0),MATCH(Table1[[#This Row], [WEAPON]],Sheet1!$X$47:$Z$47,0)))/Table1[[#This Row], [NUM OF MEM]]</f>
        <v>5.4000000000000012</v>
      </c>
      <c r="Q864" s="9">
        <f>Table1[[#This Row], [ROOM TIME]]+Table1[[#This Row], [GUARD TIME]]</f>
        <v>49.054444444444435</v>
      </c>
      <c r="R864" s="4">
        <f>Sheet1!$K$3*_xlfn.XLOOKUP(Table1[[#This Row], [DISGUISE]],Sheet1!$A$21:$A$23,Sheet1!$D$21:$D$23)</f>
        <v>66</v>
      </c>
      <c r="S864" s="9">
        <f>Table1[[#This Row], [TOTAL TIME]]-Table1[[#This Row], [TOTAL TIME TAKEN]]</f>
        <v>16.945555555555565</v>
      </c>
      <c r="T864" t="str">
        <f>IF(Table1[[#This Row], [TIME DIFFERENCE]]&gt;=0,"PASS","FAIL")</f>
        <v>PASS</v>
      </c>
      <c r="U864" s="9">
        <f>Table1[[#This Row], [TRC]]+Table1[[#This Row], [DRC]]+Table1[[#This Row], [WRC]]+Table1[[#This Row], [ERC]]+Table1[[#This Row], [EQRC]]</f>
        <v>8229336.7999999989</v>
      </c>
      <c r="V864" s="9">
        <f>Table1[[#This Row], [TOTAL COST]]+_xlfn.XLOOKUP(Table1[[#This Row], [TEAM]],Sheet1!$A$12:$A$17,Sheet1!$I$12:$I$17)</f>
        <v>8525836.7999999989</v>
      </c>
      <c r="W864" s="9">
        <f>Table1[[#This Row], [LOOT]]-Table1[[#This Row], [TOTAL COST]]</f>
        <v>9620663.2000000011</v>
      </c>
      <c r="X864" s="9">
        <f>IF(Table1[[#This Row], [PASS/FAIL]]="FAIL",0,Table1[[#This Row], [PROFIT]])</f>
        <v>9620663.2000000011</v>
      </c>
    </row>
    <row r="865" spans="1:24" ht="19.5" customHeight="1" x14ac:dyDescent="0.45">
      <c r="A865" t="s">
        <v>13</v>
      </c>
      <c r="B865" s="14">
        <f>_xlfn.XLOOKUP(Table1[[#This Row], [TEAM]],Sheet1!$A$12:$A$17,Sheet1!$F$12:$F$17)</f>
        <v>3</v>
      </c>
      <c r="C865" s="14">
        <f>_xlfn.XLOOKUP(Table1[[#This Row], [TEAM]],Sheet1!$A$12:$A$17,Sheet1!$G$12:$G$17)</f>
        <v>5930000</v>
      </c>
      <c r="D865" t="s">
        <v>21</v>
      </c>
      <c r="E865" s="4">
        <f>_xlfn.XLOOKUP(Table1[[#This Row], [ROOM]],Sheet1!$A$47:$A$66,Sheet1!$B$47:$B$66)</f>
        <v>234</v>
      </c>
      <c r="F865" t="s">
        <v>58</v>
      </c>
      <c r="G865" s="4">
        <f>_xlfn.XLOOKUP(Table1[[#This Row], [DISGUISE]],Sheet1!$A$21:$A$23,Sheet1!$B$21:$B$23)*Table1[[#This Row], [NUM OF MEM]]*(1+_xlfn.XLOOKUP(Table1[[#This Row], [DISGUISE]],Sheet1!$A$21:$A$23,Sheet1!$C$21:$C$23))</f>
        <v>38400</v>
      </c>
      <c r="H865" s="13" t="s">
        <v>59</v>
      </c>
      <c r="I865" s="4">
        <f>_xlfn.XLOOKUP(Table1[[#This Row], [WEAPON]],Sheet1!$A$27:$A$29,Sheet1!$B$27:$B$29)*Table1[[#This Row], [NUM OF MEM]]*(1+_xlfn.XLOOKUP(Table1[[#This Row], [WEAPON]],Sheet1!$A$27:$A$29,Sheet1!$C$27:$C$29))</f>
        <v>136500</v>
      </c>
      <c r="J865" t="s">
        <v>60</v>
      </c>
      <c r="K865" s="9">
        <f>Table1[[#This Row], [NUM OF MEM]]*Table1[[#This Row], [TOTAL TIME TAKEN]]*_xlfn.XLOOKUP(Table1[[#This Row], [EXIT]],Sheet1!$A$70:$A$71,Sheet1!$B$70:$B$71)*(1+_xlfn.XLOOKUP(Table1[[#This Row], [EXIT]],Sheet1!$A$70:$A$71,Sheet1!$C$70:$C$71))</f>
        <v>1869010.8499999999</v>
      </c>
      <c r="L865" s="13" t="s">
        <v>65</v>
      </c>
      <c r="M865" s="4">
        <f>IF(Table1[[#This Row], [EQUIPMENT]]="YES",Sheet1!$C$44*(1+Sheet1!$D$44),0)</f>
        <v>307500</v>
      </c>
      <c r="N865" s="4">
        <f>_xlfn.XLOOKUP(Table1[[#This Row], [ROOM]],Sheet1!$A$47:$A$66,Sheet1!$F$47:$F$66)</f>
        <v>17900000</v>
      </c>
      <c r="O865" s="9">
        <f>_xlfn.XLOOKUP(_xlfn.CONCAT(Table1[[#This Row], [TEAM]],Table1[[#This Row], [ROOM]]),'ROOM TIME'!$H$2:$H$121,'ROOM TIME'!$J$2:$J$121)</f>
        <v>43.565555555555555</v>
      </c>
      <c r="P865" s="9">
        <f>(INDEX(Sheet1!$X$48:$Z$67,MATCH(Table1[[#This Row], [ROOM]],Sheet1!$P$48:$P$67,0),MATCH(Table1[[#This Row], [WEAPON]],Sheet1!$X$47:$Z$47,0)))/Table1[[#This Row], [NUM OF MEM]]</f>
        <v>4.9833333333333334</v>
      </c>
      <c r="Q865" s="9">
        <f>Table1[[#This Row], [ROOM TIME]]+Table1[[#This Row], [GUARD TIME]]</f>
        <v>48.548888888888889</v>
      </c>
      <c r="R865" s="4">
        <f>Sheet1!$K$3*_xlfn.XLOOKUP(Table1[[#This Row], [DISGUISE]],Sheet1!$A$21:$A$23,Sheet1!$D$21:$D$23)</f>
        <v>69</v>
      </c>
      <c r="S865" s="9">
        <f>Table1[[#This Row], [TOTAL TIME]]-Table1[[#This Row], [TOTAL TIME TAKEN]]</f>
        <v>20.451111111111111</v>
      </c>
      <c r="T865" t="str">
        <f>IF(Table1[[#This Row], [TIME DIFFERENCE]]&gt;=0,"PASS","FAIL")</f>
        <v>PASS</v>
      </c>
      <c r="U865" s="9">
        <f>Table1[[#This Row], [TRC]]+Table1[[#This Row], [DRC]]+Table1[[#This Row], [WRC]]+Table1[[#This Row], [ERC]]+Table1[[#This Row], [EQRC]]</f>
        <v>8281410.8499999996</v>
      </c>
      <c r="V865" s="9">
        <f>Table1[[#This Row], [TOTAL COST]]+_xlfn.XLOOKUP(Table1[[#This Row], [TEAM]],Sheet1!$A$12:$A$17,Sheet1!$I$12:$I$17)</f>
        <v>8577910.8499999996</v>
      </c>
      <c r="W865" s="9">
        <f>Table1[[#This Row], [LOOT]]-Table1[[#This Row], [TOTAL COST]]</f>
        <v>9618589.1500000004</v>
      </c>
      <c r="X865" s="9">
        <f>IF(Table1[[#This Row], [PASS/FAIL]]="FAIL",0,Table1[[#This Row], [PROFIT]])</f>
        <v>9618589.1500000004</v>
      </c>
    </row>
    <row r="866" spans="1:24" ht="19.5" customHeight="1" x14ac:dyDescent="0.45">
      <c r="A866" t="s">
        <v>15</v>
      </c>
      <c r="B866" s="14">
        <f>_xlfn.XLOOKUP(Table1[[#This Row], [TEAM]],Sheet1!$A$12:$A$17,Sheet1!$F$12:$F$17)</f>
        <v>2</v>
      </c>
      <c r="C866" s="14">
        <f>_xlfn.XLOOKUP(Table1[[#This Row], [TEAM]],Sheet1!$A$12:$A$17,Sheet1!$G$12:$G$17)</f>
        <v>5932950</v>
      </c>
      <c r="D866" t="s">
        <v>30</v>
      </c>
      <c r="E866" s="4">
        <f>_xlfn.XLOOKUP(Table1[[#This Row], [ROOM]],Sheet1!$A$47:$A$66,Sheet1!$B$47:$B$66)</f>
        <v>246</v>
      </c>
      <c r="F866" t="s">
        <v>62</v>
      </c>
      <c r="G866" s="4">
        <f>_xlfn.XLOOKUP(Table1[[#This Row], [DISGUISE]],Sheet1!$A$21:$A$23,Sheet1!$B$21:$B$23)*Table1[[#This Row], [NUM OF MEM]]*(1+_xlfn.XLOOKUP(Table1[[#This Row], [DISGUISE]],Sheet1!$A$21:$A$23,Sheet1!$C$21:$C$23))</f>
        <v>10400</v>
      </c>
      <c r="H866" s="13" t="s">
        <v>66</v>
      </c>
      <c r="I866" s="4">
        <f>_xlfn.XLOOKUP(Table1[[#This Row], [WEAPON]],Sheet1!$A$27:$A$29,Sheet1!$B$27:$B$29)*Table1[[#This Row], [NUM OF MEM]]*(1+_xlfn.XLOOKUP(Table1[[#This Row], [WEAPON]],Sheet1!$A$27:$A$29,Sheet1!$C$27:$C$29))</f>
        <v>72000</v>
      </c>
      <c r="J866" t="s">
        <v>60</v>
      </c>
      <c r="K866" s="9">
        <f>Table1[[#This Row], [NUM OF MEM]]*Table1[[#This Row], [TOTAL TIME TAKEN]]*_xlfn.XLOOKUP(Table1[[#This Row], [EXIT]],Sheet1!$A$70:$A$71,Sheet1!$B$70:$B$71)*(1+_xlfn.XLOOKUP(Table1[[#This Row], [EXIT]],Sheet1!$A$70:$A$71,Sheet1!$C$70:$C$71))</f>
        <v>1658568.5437499997</v>
      </c>
      <c r="L866" s="13" t="s">
        <v>65</v>
      </c>
      <c r="M866" s="4">
        <f>IF(Table1[[#This Row], [EQUIPMENT]]="YES",Sheet1!$C$44*(1+Sheet1!$D$44),0)</f>
        <v>307500</v>
      </c>
      <c r="N866" s="4">
        <f>_xlfn.XLOOKUP(Table1[[#This Row], [ROOM]],Sheet1!$A$47:$A$66,Sheet1!$F$47:$F$66)</f>
        <v>17600000</v>
      </c>
      <c r="O866" s="9">
        <f>_xlfn.XLOOKUP(_xlfn.CONCAT(Table1[[#This Row], [TEAM]],Table1[[#This Row], [ROOM]]),'ROOM TIME'!$H$2:$H$121,'ROOM TIME'!$J$2:$J$121)</f>
        <v>57.123749999999987</v>
      </c>
      <c r="P866" s="9">
        <f>(INDEX(Sheet1!$X$48:$Z$67,MATCH(Table1[[#This Row], [ROOM]],Sheet1!$P$48:$P$67,0),MATCH(Table1[[#This Row], [WEAPON]],Sheet1!$X$47:$Z$47,0)))/Table1[[#This Row], [NUM OF MEM]]</f>
        <v>7.5</v>
      </c>
      <c r="Q866" s="9">
        <f>Table1[[#This Row], [ROOM TIME]]+Table1[[#This Row], [GUARD TIME]]</f>
        <v>64.623749999999987</v>
      </c>
      <c r="R866" s="4">
        <f>Sheet1!$K$3*_xlfn.XLOOKUP(Table1[[#This Row], [DISGUISE]],Sheet1!$A$21:$A$23,Sheet1!$D$21:$D$23)</f>
        <v>66</v>
      </c>
      <c r="S866" s="9">
        <f>Table1[[#This Row], [TOTAL TIME]]-Table1[[#This Row], [TOTAL TIME TAKEN]]</f>
        <v>1.3762500000000131</v>
      </c>
      <c r="T866" t="str">
        <f>IF(Table1[[#This Row], [TIME DIFFERENCE]]&gt;=0,"PASS","FAIL")</f>
        <v>PASS</v>
      </c>
      <c r="U866" s="9">
        <f>Table1[[#This Row], [TRC]]+Table1[[#This Row], [DRC]]+Table1[[#This Row], [WRC]]+Table1[[#This Row], [ERC]]+Table1[[#This Row], [EQRC]]</f>
        <v>7981418.5437499993</v>
      </c>
      <c r="V866" s="9">
        <f>Table1[[#This Row], [TOTAL COST]]+_xlfn.XLOOKUP(Table1[[#This Row], [TEAM]],Sheet1!$A$12:$A$17,Sheet1!$I$12:$I$17)</f>
        <v>8278066.0437499993</v>
      </c>
      <c r="W866" s="9">
        <f>Table1[[#This Row], [LOOT]]-Table1[[#This Row], [TOTAL COST]]</f>
        <v>9618581.4562500007</v>
      </c>
      <c r="X866" s="9">
        <f>IF(Table1[[#This Row], [PASS/FAIL]]="FAIL",0,Table1[[#This Row], [PROFIT]])</f>
        <v>9618581.4562500007</v>
      </c>
    </row>
    <row r="867" spans="1:24" ht="19.5" customHeight="1" x14ac:dyDescent="0.45">
      <c r="A867" t="s">
        <v>16</v>
      </c>
      <c r="B867" s="14">
        <f>_xlfn.XLOOKUP(Table1[[#This Row], [TEAM]],Sheet1!$A$12:$A$17,Sheet1!$F$12:$F$17)</f>
        <v>2</v>
      </c>
      <c r="C867" s="14">
        <f>_xlfn.XLOOKUP(Table1[[#This Row], [TEAM]],Sheet1!$A$12:$A$17,Sheet1!$G$12:$G$17)</f>
        <v>6082800</v>
      </c>
      <c r="D867" t="s">
        <v>34</v>
      </c>
      <c r="E867" s="4">
        <f>_xlfn.XLOOKUP(Table1[[#This Row], [ROOM]],Sheet1!$A$47:$A$66,Sheet1!$B$47:$B$66)</f>
        <v>456</v>
      </c>
      <c r="F867" t="s">
        <v>62</v>
      </c>
      <c r="G867" s="4">
        <f>_xlfn.XLOOKUP(Table1[[#This Row], [DISGUISE]],Sheet1!$A$21:$A$23,Sheet1!$B$21:$B$23)*Table1[[#This Row], [NUM OF MEM]]*(1+_xlfn.XLOOKUP(Table1[[#This Row], [DISGUISE]],Sheet1!$A$21:$A$23,Sheet1!$C$21:$C$23))</f>
        <v>10400</v>
      </c>
      <c r="H867" s="13" t="s">
        <v>66</v>
      </c>
      <c r="I867" s="4">
        <f>_xlfn.XLOOKUP(Table1[[#This Row], [WEAPON]],Sheet1!$A$27:$A$29,Sheet1!$B$27:$B$29)*Table1[[#This Row], [NUM OF MEM]]*(1+_xlfn.XLOOKUP(Table1[[#This Row], [WEAPON]],Sheet1!$A$27:$A$29,Sheet1!$C$27:$C$29))</f>
        <v>72000</v>
      </c>
      <c r="J867" t="s">
        <v>60</v>
      </c>
      <c r="K867" s="9">
        <f>Table1[[#This Row], [NUM OF MEM]]*Table1[[#This Row], [TOTAL TIME TAKEN]]*_xlfn.XLOOKUP(Table1[[#This Row], [EXIT]],Sheet1!$A$70:$A$71,Sheet1!$B$70:$B$71)*(1+_xlfn.XLOOKUP(Table1[[#This Row], [EXIT]],Sheet1!$A$70:$A$71,Sheet1!$C$70:$C$71))</f>
        <v>1609067.1749999996</v>
      </c>
      <c r="L867" s="13" t="s">
        <v>65</v>
      </c>
      <c r="M867" s="4">
        <f>IF(Table1[[#This Row], [EQUIPMENT]]="YES",Sheet1!$C$44*(1+Sheet1!$D$44),0)</f>
        <v>307500</v>
      </c>
      <c r="N867" s="4">
        <f>_xlfn.XLOOKUP(Table1[[#This Row], [ROOM]],Sheet1!$A$47:$A$66,Sheet1!$F$47:$F$66)</f>
        <v>17700000</v>
      </c>
      <c r="O867" s="9">
        <f>_xlfn.XLOOKUP(_xlfn.CONCAT(Table1[[#This Row], [TEAM]],Table1[[#This Row], [ROOM]]),'ROOM TIME'!$H$2:$H$121,'ROOM TIME'!$J$2:$J$121)</f>
        <v>55.819999999999986</v>
      </c>
      <c r="P867" s="9">
        <f>(INDEX(Sheet1!$X$48:$Z$67,MATCH(Table1[[#This Row], [ROOM]],Sheet1!$P$48:$P$67,0),MATCH(Table1[[#This Row], [WEAPON]],Sheet1!$X$47:$Z$47,0)))/Table1[[#This Row], [NUM OF MEM]]</f>
        <v>6.875</v>
      </c>
      <c r="Q867" s="9">
        <f>Table1[[#This Row], [ROOM TIME]]+Table1[[#This Row], [GUARD TIME]]</f>
        <v>62.694999999999986</v>
      </c>
      <c r="R867" s="4">
        <f>Sheet1!$K$3*_xlfn.XLOOKUP(Table1[[#This Row], [DISGUISE]],Sheet1!$A$21:$A$23,Sheet1!$D$21:$D$23)</f>
        <v>66</v>
      </c>
      <c r="S867" s="9">
        <f>Table1[[#This Row], [TOTAL TIME]]-Table1[[#This Row], [TOTAL TIME TAKEN]]</f>
        <v>3.3050000000000139</v>
      </c>
      <c r="T867" t="str">
        <f>IF(Table1[[#This Row], [TIME DIFFERENCE]]&gt;=0,"PASS","FAIL")</f>
        <v>PASS</v>
      </c>
      <c r="U867" s="9">
        <f>Table1[[#This Row], [TRC]]+Table1[[#This Row], [DRC]]+Table1[[#This Row], [WRC]]+Table1[[#This Row], [ERC]]+Table1[[#This Row], [EQRC]]</f>
        <v>8081767.1749999998</v>
      </c>
      <c r="V867" s="9">
        <f>Table1[[#This Row], [TOTAL COST]]+_xlfn.XLOOKUP(Table1[[#This Row], [TEAM]],Sheet1!$A$12:$A$17,Sheet1!$I$12:$I$17)</f>
        <v>8385907.1749999998</v>
      </c>
      <c r="W867" s="9">
        <f>Table1[[#This Row], [LOOT]]-Table1[[#This Row], [TOTAL COST]]</f>
        <v>9618232.8249999993</v>
      </c>
      <c r="X867" s="9">
        <f>IF(Table1[[#This Row], [PASS/FAIL]]="FAIL",0,Table1[[#This Row], [PROFIT]])</f>
        <v>9618232.8249999993</v>
      </c>
    </row>
    <row r="868" spans="1:24" ht="19.5" customHeight="1" x14ac:dyDescent="0.45">
      <c r="A868" t="s">
        <v>9</v>
      </c>
      <c r="B868" s="14">
        <f>_xlfn.XLOOKUP(Table1[[#This Row], [TEAM]],Sheet1!$A$12:$A$17,Sheet1!$F$12:$F$17)</f>
        <v>3</v>
      </c>
      <c r="C868" s="14">
        <f>_xlfn.XLOOKUP(Table1[[#This Row], [TEAM]],Sheet1!$A$12:$A$17,Sheet1!$G$12:$G$17)</f>
        <v>6238750</v>
      </c>
      <c r="D868" t="s">
        <v>19</v>
      </c>
      <c r="E868" s="4">
        <f>_xlfn.XLOOKUP(Table1[[#This Row], [ROOM]],Sheet1!$A$47:$A$66,Sheet1!$B$47:$B$66)</f>
        <v>135</v>
      </c>
      <c r="F868" t="s">
        <v>58</v>
      </c>
      <c r="G868" s="4">
        <f>_xlfn.XLOOKUP(Table1[[#This Row], [DISGUISE]],Sheet1!$A$21:$A$23,Sheet1!$B$21:$B$23)*Table1[[#This Row], [NUM OF MEM]]*(1+_xlfn.XLOOKUP(Table1[[#This Row], [DISGUISE]],Sheet1!$A$21:$A$23,Sheet1!$C$21:$C$23))</f>
        <v>38400</v>
      </c>
      <c r="H868" s="13" t="s">
        <v>63</v>
      </c>
      <c r="I868" s="4">
        <f>_xlfn.XLOOKUP(Table1[[#This Row], [WEAPON]],Sheet1!$A$27:$A$29,Sheet1!$B$27:$B$29)*Table1[[#This Row], [NUM OF MEM]]*(1+_xlfn.XLOOKUP(Table1[[#This Row], [WEAPON]],Sheet1!$A$27:$A$29,Sheet1!$C$27:$C$29))</f>
        <v>69000</v>
      </c>
      <c r="J868" t="s">
        <v>60</v>
      </c>
      <c r="K868" s="9">
        <f>Table1[[#This Row], [NUM OF MEM]]*Table1[[#This Row], [TOTAL TIME TAKEN]]*_xlfn.XLOOKUP(Table1[[#This Row], [EXIT]],Sheet1!$A$70:$A$71,Sheet1!$B$70:$B$71)*(1+_xlfn.XLOOKUP(Table1[[#This Row], [EXIT]],Sheet1!$A$70:$A$71,Sheet1!$C$70:$C$71))</f>
        <v>1678469.6124999996</v>
      </c>
      <c r="L868" s="13" t="s">
        <v>65</v>
      </c>
      <c r="M868" s="4">
        <f>IF(Table1[[#This Row], [EQUIPMENT]]="YES",Sheet1!$C$44*(1+Sheet1!$D$44),0)</f>
        <v>307500</v>
      </c>
      <c r="N868" s="4">
        <f>_xlfn.XLOOKUP(Table1[[#This Row], [ROOM]],Sheet1!$A$47:$A$66,Sheet1!$F$47:$F$66)</f>
        <v>17950000</v>
      </c>
      <c r="O868" s="9">
        <f>_xlfn.XLOOKUP(_xlfn.CONCAT(Table1[[#This Row], [TEAM]],Table1[[#This Row], [ROOM]]),'ROOM TIME'!$H$2:$H$121,'ROOM TIME'!$J$2:$J$121)</f>
        <v>38.649444444444434</v>
      </c>
      <c r="P868" s="9">
        <f>(INDEX(Sheet1!$X$48:$Z$67,MATCH(Table1[[#This Row], [ROOM]],Sheet1!$P$48:$P$67,0),MATCH(Table1[[#This Row], [WEAPON]],Sheet1!$X$47:$Z$47,0)))/Table1[[#This Row], [NUM OF MEM]]</f>
        <v>4.95</v>
      </c>
      <c r="Q868" s="9">
        <f>Table1[[#This Row], [ROOM TIME]]+Table1[[#This Row], [GUARD TIME]]</f>
        <v>43.599444444444437</v>
      </c>
      <c r="R868" s="4">
        <f>Sheet1!$K$3*_xlfn.XLOOKUP(Table1[[#This Row], [DISGUISE]],Sheet1!$A$21:$A$23,Sheet1!$D$21:$D$23)</f>
        <v>69</v>
      </c>
      <c r="S868" s="9">
        <f>Table1[[#This Row], [TOTAL TIME]]-Table1[[#This Row], [TOTAL TIME TAKEN]]</f>
        <v>25.400555555555563</v>
      </c>
      <c r="T868" t="str">
        <f>IF(Table1[[#This Row], [TIME DIFFERENCE]]&gt;=0,"PASS","FAIL")</f>
        <v>PASS</v>
      </c>
      <c r="U868" s="9">
        <f>Table1[[#This Row], [TRC]]+Table1[[#This Row], [DRC]]+Table1[[#This Row], [WRC]]+Table1[[#This Row], [ERC]]+Table1[[#This Row], [EQRC]]</f>
        <v>8332119.6124999998</v>
      </c>
      <c r="V868" s="9">
        <f>Table1[[#This Row], [TOTAL COST]]+_xlfn.XLOOKUP(Table1[[#This Row], [TEAM]],Sheet1!$A$12:$A$17,Sheet1!$I$12:$I$17)</f>
        <v>8644057.1125000007</v>
      </c>
      <c r="W868" s="9">
        <f>Table1[[#This Row], [LOOT]]-Table1[[#This Row], [TOTAL COST]]</f>
        <v>9617880.3874999993</v>
      </c>
      <c r="X868" s="9">
        <f>IF(Table1[[#This Row], [PASS/FAIL]]="FAIL",0,Table1[[#This Row], [PROFIT]])</f>
        <v>9617880.3874999993</v>
      </c>
    </row>
    <row r="869" spans="1:24" ht="19.5" customHeight="1" x14ac:dyDescent="0.45">
      <c r="A869" t="s">
        <v>16</v>
      </c>
      <c r="B869" s="14">
        <f>_xlfn.XLOOKUP(Table1[[#This Row], [TEAM]],Sheet1!$A$12:$A$17,Sheet1!$F$12:$F$17)</f>
        <v>2</v>
      </c>
      <c r="C869" s="14">
        <f>_xlfn.XLOOKUP(Table1[[#This Row], [TEAM]],Sheet1!$A$12:$A$17,Sheet1!$G$12:$G$17)</f>
        <v>6082800</v>
      </c>
      <c r="D869" t="s">
        <v>27</v>
      </c>
      <c r="E869" s="4">
        <f>_xlfn.XLOOKUP(Table1[[#This Row], [ROOM]],Sheet1!$A$47:$A$66,Sheet1!$B$47:$B$66)</f>
        <v>146</v>
      </c>
      <c r="F869" t="s">
        <v>58</v>
      </c>
      <c r="G869" s="4">
        <f>_xlfn.XLOOKUP(Table1[[#This Row], [DISGUISE]],Sheet1!$A$21:$A$23,Sheet1!$B$21:$B$23)*Table1[[#This Row], [NUM OF MEM]]*(1+_xlfn.XLOOKUP(Table1[[#This Row], [DISGUISE]],Sheet1!$A$21:$A$23,Sheet1!$C$21:$C$23))</f>
        <v>25600</v>
      </c>
      <c r="H869" s="13" t="s">
        <v>59</v>
      </c>
      <c r="I869" s="4">
        <f>_xlfn.XLOOKUP(Table1[[#This Row], [WEAPON]],Sheet1!$A$27:$A$29,Sheet1!$B$27:$B$29)*Table1[[#This Row], [NUM OF MEM]]*(1+_xlfn.XLOOKUP(Table1[[#This Row], [WEAPON]],Sheet1!$A$27:$A$29,Sheet1!$C$27:$C$29))</f>
        <v>91000</v>
      </c>
      <c r="J869" t="s">
        <v>64</v>
      </c>
      <c r="K869" s="9">
        <f>Table1[[#This Row], [NUM OF MEM]]*Table1[[#This Row], [TOTAL TIME TAKEN]]*_xlfn.XLOOKUP(Table1[[#This Row], [EXIT]],Sheet1!$A$70:$A$71,Sheet1!$B$70:$B$71)*(1+_xlfn.XLOOKUP(Table1[[#This Row], [EXIT]],Sheet1!$A$70:$A$71,Sheet1!$C$70:$C$71))</f>
        <v>1625345.9999999993</v>
      </c>
      <c r="L869" s="13" t="s">
        <v>65</v>
      </c>
      <c r="M869" s="4">
        <f>IF(Table1[[#This Row], [EQUIPMENT]]="YES",Sheet1!$C$44*(1+Sheet1!$D$44),0)</f>
        <v>307500</v>
      </c>
      <c r="N869" s="4">
        <f>_xlfn.XLOOKUP(Table1[[#This Row], [ROOM]],Sheet1!$A$47:$A$66,Sheet1!$F$47:$F$66)</f>
        <v>17750000</v>
      </c>
      <c r="O869" s="9">
        <f>_xlfn.XLOOKUP(_xlfn.CONCAT(Table1[[#This Row], [TEAM]],Table1[[#This Row], [ROOM]]),'ROOM TIME'!$H$2:$H$121,'ROOM TIME'!$J$2:$J$121)</f>
        <v>56.38124999999998</v>
      </c>
      <c r="P869" s="9">
        <f>(INDEX(Sheet1!$X$48:$Z$67,MATCH(Table1[[#This Row], [ROOM]],Sheet1!$P$48:$P$67,0),MATCH(Table1[[#This Row], [WEAPON]],Sheet1!$X$47:$Z$47,0)))/Table1[[#This Row], [NUM OF MEM]]</f>
        <v>6.3249999999999993</v>
      </c>
      <c r="Q869" s="9">
        <f>Table1[[#This Row], [ROOM TIME]]+Table1[[#This Row], [GUARD TIME]]</f>
        <v>62.706249999999983</v>
      </c>
      <c r="R869" s="4">
        <f>Sheet1!$K$3*_xlfn.XLOOKUP(Table1[[#This Row], [DISGUISE]],Sheet1!$A$21:$A$23,Sheet1!$D$21:$D$23)</f>
        <v>69</v>
      </c>
      <c r="S869" s="9">
        <f>Table1[[#This Row], [TOTAL TIME]]-Table1[[#This Row], [TOTAL TIME TAKEN]]</f>
        <v>6.2937500000000171</v>
      </c>
      <c r="T869" t="str">
        <f>IF(Table1[[#This Row], [TIME DIFFERENCE]]&gt;=0,"PASS","FAIL")</f>
        <v>PASS</v>
      </c>
      <c r="U869" s="9">
        <f>Table1[[#This Row], [TRC]]+Table1[[#This Row], [DRC]]+Table1[[#This Row], [WRC]]+Table1[[#This Row], [ERC]]+Table1[[#This Row], [EQRC]]</f>
        <v>8132245.9999999991</v>
      </c>
      <c r="V869" s="4">
        <f>Table1[[#This Row], [TOTAL COST]]+_xlfn.XLOOKUP(Table1[[#This Row], [TEAM]],Sheet1!$A$12:$A$17,Sheet1!$I$12:$I$17)</f>
        <v>8436386</v>
      </c>
      <c r="W869" s="4">
        <f>Table1[[#This Row], [LOOT]]-Table1[[#This Row], [TOTAL COST]]</f>
        <v>9617754</v>
      </c>
      <c r="X869" s="4">
        <f>IF(Table1[[#This Row], [PASS/FAIL]]="FAIL",0,Table1[[#This Row], [PROFIT]])</f>
        <v>9617754</v>
      </c>
    </row>
    <row r="870" spans="1:24" ht="19.5" customHeight="1" x14ac:dyDescent="0.45">
      <c r="A870" t="s">
        <v>9</v>
      </c>
      <c r="B870" s="14">
        <f>_xlfn.XLOOKUP(Table1[[#This Row], [TEAM]],Sheet1!$A$12:$A$17,Sheet1!$F$12:$F$17)</f>
        <v>3</v>
      </c>
      <c r="C870" s="14">
        <f>_xlfn.XLOOKUP(Table1[[#This Row], [TEAM]],Sheet1!$A$12:$A$17,Sheet1!$G$12:$G$17)</f>
        <v>6238750</v>
      </c>
      <c r="D870" t="s">
        <v>24</v>
      </c>
      <c r="E870" s="4">
        <f>_xlfn.XLOOKUP(Table1[[#This Row], [ROOM]],Sheet1!$A$47:$A$66,Sheet1!$B$47:$B$66)</f>
        <v>345</v>
      </c>
      <c r="F870" t="s">
        <v>62</v>
      </c>
      <c r="G870" s="4">
        <f>_xlfn.XLOOKUP(Table1[[#This Row], [DISGUISE]],Sheet1!$A$21:$A$23,Sheet1!$B$21:$B$23)*Table1[[#This Row], [NUM OF MEM]]*(1+_xlfn.XLOOKUP(Table1[[#This Row], [DISGUISE]],Sheet1!$A$21:$A$23,Sheet1!$C$21:$C$23))</f>
        <v>15600</v>
      </c>
      <c r="H870" s="13" t="s">
        <v>59</v>
      </c>
      <c r="I870" s="4">
        <f>_xlfn.XLOOKUP(Table1[[#This Row], [WEAPON]],Sheet1!$A$27:$A$29,Sheet1!$B$27:$B$29)*Table1[[#This Row], [NUM OF MEM]]*(1+_xlfn.XLOOKUP(Table1[[#This Row], [WEAPON]],Sheet1!$A$27:$A$29,Sheet1!$C$27:$C$29))</f>
        <v>136500</v>
      </c>
      <c r="J870" t="s">
        <v>64</v>
      </c>
      <c r="K870" s="9">
        <f>Table1[[#This Row], [NUM OF MEM]]*Table1[[#This Row], [TOTAL TIME TAKEN]]*_xlfn.XLOOKUP(Table1[[#This Row], [EXIT]],Sheet1!$A$70:$A$71,Sheet1!$B$70:$B$71)*(1+_xlfn.XLOOKUP(Table1[[#This Row], [EXIT]],Sheet1!$A$70:$A$71,Sheet1!$C$70:$C$71))</f>
        <v>1683979.2</v>
      </c>
      <c r="L870" s="13" t="s">
        <v>65</v>
      </c>
      <c r="M870" s="4">
        <f>IF(Table1[[#This Row], [EQUIPMENT]]="YES",Sheet1!$C$44*(1+Sheet1!$D$44),0)</f>
        <v>307500</v>
      </c>
      <c r="N870" s="4">
        <f>_xlfn.XLOOKUP(Table1[[#This Row], [ROOM]],Sheet1!$A$47:$A$66,Sheet1!$F$47:$F$66)</f>
        <v>18000000</v>
      </c>
      <c r="O870" s="9">
        <f>_xlfn.XLOOKUP(_xlfn.CONCAT(Table1[[#This Row], [TEAM]],Table1[[#This Row], [ROOM]]),'ROOM TIME'!$H$2:$H$121,'ROOM TIME'!$J$2:$J$121)</f>
        <v>38.712222222222216</v>
      </c>
      <c r="P870" s="9">
        <f>(INDEX(Sheet1!$X$48:$Z$67,MATCH(Table1[[#This Row], [ROOM]],Sheet1!$P$48:$P$67,0),MATCH(Table1[[#This Row], [WEAPON]],Sheet1!$X$47:$Z$47,0)))/Table1[[#This Row], [NUM OF MEM]]</f>
        <v>4.5999999999999996</v>
      </c>
      <c r="Q870" s="9">
        <f>Table1[[#This Row], [ROOM TIME]]+Table1[[#This Row], [GUARD TIME]]</f>
        <v>43.312222222222218</v>
      </c>
      <c r="R870" s="4">
        <f>Sheet1!$K$3*_xlfn.XLOOKUP(Table1[[#This Row], [DISGUISE]],Sheet1!$A$21:$A$23,Sheet1!$D$21:$D$23)</f>
        <v>66</v>
      </c>
      <c r="S870" s="9">
        <f>Table1[[#This Row], [TOTAL TIME]]-Table1[[#This Row], [TOTAL TIME TAKEN]]</f>
        <v>22.687777777777782</v>
      </c>
      <c r="T870" t="str">
        <f>IF(Table1[[#This Row], [TIME DIFFERENCE]]&gt;=0,"PASS","FAIL")</f>
        <v>PASS</v>
      </c>
      <c r="U870" s="9">
        <f>Table1[[#This Row], [TRC]]+Table1[[#This Row], [DRC]]+Table1[[#This Row], [WRC]]+Table1[[#This Row], [ERC]]+Table1[[#This Row], [EQRC]]</f>
        <v>8382329.2000000002</v>
      </c>
      <c r="V870" s="9">
        <f>Table1[[#This Row], [TOTAL COST]]+_xlfn.XLOOKUP(Table1[[#This Row], [TEAM]],Sheet1!$A$12:$A$17,Sheet1!$I$12:$I$17)</f>
        <v>8694266.6999999993</v>
      </c>
      <c r="W870" s="9">
        <f>Table1[[#This Row], [LOOT]]-Table1[[#This Row], [TOTAL COST]]</f>
        <v>9617670.8000000007</v>
      </c>
      <c r="X870" s="9">
        <f>IF(Table1[[#This Row], [PASS/FAIL]]="FAIL",0,Table1[[#This Row], [PROFIT]])</f>
        <v>9617670.8000000007</v>
      </c>
    </row>
    <row r="871" spans="1:24" ht="19.5" customHeight="1" x14ac:dyDescent="0.45">
      <c r="A871" t="s">
        <v>14</v>
      </c>
      <c r="B871" s="14">
        <f>_xlfn.XLOOKUP(Table1[[#This Row], [TEAM]],Sheet1!$A$12:$A$17,Sheet1!$F$12:$F$17)</f>
        <v>2</v>
      </c>
      <c r="C871" s="14">
        <f>_xlfn.XLOOKUP(Table1[[#This Row], [TEAM]],Sheet1!$A$12:$A$17,Sheet1!$G$12:$G$17)</f>
        <v>5949600</v>
      </c>
      <c r="D871" t="s">
        <v>30</v>
      </c>
      <c r="E871" s="4">
        <f>_xlfn.XLOOKUP(Table1[[#This Row], [ROOM]],Sheet1!$A$47:$A$66,Sheet1!$B$47:$B$66)</f>
        <v>246</v>
      </c>
      <c r="F871" t="s">
        <v>62</v>
      </c>
      <c r="G871" s="4">
        <f>_xlfn.XLOOKUP(Table1[[#This Row], [DISGUISE]],Sheet1!$A$21:$A$23,Sheet1!$B$21:$B$23)*Table1[[#This Row], [NUM OF MEM]]*(1+_xlfn.XLOOKUP(Table1[[#This Row], [DISGUISE]],Sheet1!$A$21:$A$23,Sheet1!$C$21:$C$23))</f>
        <v>10400</v>
      </c>
      <c r="H871" s="13" t="s">
        <v>66</v>
      </c>
      <c r="I871" s="4">
        <f>_xlfn.XLOOKUP(Table1[[#This Row], [WEAPON]],Sheet1!$A$27:$A$29,Sheet1!$B$27:$B$29)*Table1[[#This Row], [NUM OF MEM]]*(1+_xlfn.XLOOKUP(Table1[[#This Row], [WEAPON]],Sheet1!$A$27:$A$29,Sheet1!$C$27:$C$29))</f>
        <v>72000</v>
      </c>
      <c r="J871" t="s">
        <v>60</v>
      </c>
      <c r="K871" s="9">
        <f>Table1[[#This Row], [NUM OF MEM]]*Table1[[#This Row], [TOTAL TIME TAKEN]]*_xlfn.XLOOKUP(Table1[[#This Row], [EXIT]],Sheet1!$A$70:$A$71,Sheet1!$B$70:$B$71)*(1+_xlfn.XLOOKUP(Table1[[#This Row], [EXIT]],Sheet1!$A$70:$A$71,Sheet1!$C$70:$C$71))</f>
        <v>1642880.8124999995</v>
      </c>
      <c r="L871" s="13" t="s">
        <v>65</v>
      </c>
      <c r="M871" s="4">
        <f>IF(Table1[[#This Row], [EQUIPMENT]]="YES",Sheet1!$C$44*(1+Sheet1!$D$44),0)</f>
        <v>307500</v>
      </c>
      <c r="N871" s="4">
        <f>_xlfn.XLOOKUP(Table1[[#This Row], [ROOM]],Sheet1!$A$47:$A$66,Sheet1!$F$47:$F$66)</f>
        <v>17600000</v>
      </c>
      <c r="O871" s="9">
        <f>_xlfn.XLOOKUP(_xlfn.CONCAT(Table1[[#This Row], [TEAM]],Table1[[#This Row], [ROOM]]),'ROOM TIME'!$H$2:$H$121,'ROOM TIME'!$J$2:$J$121)</f>
        <v>56.512499999999982</v>
      </c>
      <c r="P871" s="9">
        <f>(INDEX(Sheet1!$X$48:$Z$67,MATCH(Table1[[#This Row], [ROOM]],Sheet1!$P$48:$P$67,0),MATCH(Table1[[#This Row], [WEAPON]],Sheet1!$X$47:$Z$47,0)))/Table1[[#This Row], [NUM OF MEM]]</f>
        <v>7.5</v>
      </c>
      <c r="Q871" s="9">
        <f>Table1[[#This Row], [ROOM TIME]]+Table1[[#This Row], [GUARD TIME]]</f>
        <v>64.012499999999989</v>
      </c>
      <c r="R871" s="4">
        <f>Sheet1!$K$3*_xlfn.XLOOKUP(Table1[[#This Row], [DISGUISE]],Sheet1!$A$21:$A$23,Sheet1!$D$21:$D$23)</f>
        <v>66</v>
      </c>
      <c r="S871" s="9">
        <f>Table1[[#This Row], [TOTAL TIME]]-Table1[[#This Row], [TOTAL TIME TAKEN]]</f>
        <v>1.9875000000000114</v>
      </c>
      <c r="T871" t="str">
        <f>IF(Table1[[#This Row], [TIME DIFFERENCE]]&gt;=0,"PASS","FAIL")</f>
        <v>PASS</v>
      </c>
      <c r="U871" s="9">
        <f>Table1[[#This Row], [TRC]]+Table1[[#This Row], [DRC]]+Table1[[#This Row], [WRC]]+Table1[[#This Row], [ERC]]+Table1[[#This Row], [EQRC]]</f>
        <v>7982380.8125</v>
      </c>
      <c r="V871" s="9">
        <f>Table1[[#This Row], [TOTAL COST]]+_xlfn.XLOOKUP(Table1[[#This Row], [TEAM]],Sheet1!$A$12:$A$17,Sheet1!$I$12:$I$17)</f>
        <v>8279860.8125</v>
      </c>
      <c r="W871" s="9">
        <f>Table1[[#This Row], [LOOT]]-Table1[[#This Row], [TOTAL COST]]</f>
        <v>9617619.1875</v>
      </c>
      <c r="X871" s="9">
        <f>IF(Table1[[#This Row], [PASS/FAIL]]="FAIL",0,Table1[[#This Row], [PROFIT]])</f>
        <v>9617619.1875</v>
      </c>
    </row>
    <row r="872" spans="1:24" ht="19.5" customHeight="1" x14ac:dyDescent="0.45">
      <c r="A872" t="s">
        <v>13</v>
      </c>
      <c r="B872" s="14">
        <f>_xlfn.XLOOKUP(Table1[[#This Row], [TEAM]],Sheet1!$A$12:$A$17,Sheet1!$F$12:$F$17)</f>
        <v>3</v>
      </c>
      <c r="C872" s="14">
        <f>_xlfn.XLOOKUP(Table1[[#This Row], [TEAM]],Sheet1!$A$12:$A$17,Sheet1!$G$12:$G$17)</f>
        <v>5930000</v>
      </c>
      <c r="D872" t="s">
        <v>28</v>
      </c>
      <c r="E872" s="4">
        <f>_xlfn.XLOOKUP(Table1[[#This Row], [ROOM]],Sheet1!$A$47:$A$66,Sheet1!$B$47:$B$66)</f>
        <v>156</v>
      </c>
      <c r="F872" t="s">
        <v>58</v>
      </c>
      <c r="G872" s="4">
        <f>_xlfn.XLOOKUP(Table1[[#This Row], [DISGUISE]],Sheet1!$A$21:$A$23,Sheet1!$B$21:$B$23)*Table1[[#This Row], [NUM OF MEM]]*(1+_xlfn.XLOOKUP(Table1[[#This Row], [DISGUISE]],Sheet1!$A$21:$A$23,Sheet1!$C$21:$C$23))</f>
        <v>38400</v>
      </c>
      <c r="H872" s="13" t="s">
        <v>66</v>
      </c>
      <c r="I872" s="4">
        <f>_xlfn.XLOOKUP(Table1[[#This Row], [WEAPON]],Sheet1!$A$27:$A$29,Sheet1!$B$27:$B$29)*Table1[[#This Row], [NUM OF MEM]]*(1+_xlfn.XLOOKUP(Table1[[#This Row], [WEAPON]],Sheet1!$A$27:$A$29,Sheet1!$C$27:$C$29))</f>
        <v>108000</v>
      </c>
      <c r="J872" t="s">
        <v>60</v>
      </c>
      <c r="K872" s="9">
        <f>Table1[[#This Row], [NUM OF MEM]]*Table1[[#This Row], [TOTAL TIME TAKEN]]*_xlfn.XLOOKUP(Table1[[#This Row], [EXIT]],Sheet1!$A$70:$A$71,Sheet1!$B$70:$B$71)*(1+_xlfn.XLOOKUP(Table1[[#This Row], [EXIT]],Sheet1!$A$70:$A$71,Sheet1!$C$70:$C$71))</f>
        <v>1648826.5374999992</v>
      </c>
      <c r="L872" s="13" t="s">
        <v>65</v>
      </c>
      <c r="M872" s="4">
        <f>IF(Table1[[#This Row], [EQUIPMENT]]="YES",Sheet1!$C$44*(1+Sheet1!$D$44),0)</f>
        <v>307500</v>
      </c>
      <c r="N872" s="4">
        <f>_xlfn.XLOOKUP(Table1[[#This Row], [ROOM]],Sheet1!$A$47:$A$66,Sheet1!$F$47:$F$66)</f>
        <v>17650000</v>
      </c>
      <c r="O872" s="9">
        <f>_xlfn.XLOOKUP(_xlfn.CONCAT(Table1[[#This Row], [TEAM]],Table1[[#This Row], [ROOM]]),'ROOM TIME'!$H$2:$H$121,'ROOM TIME'!$J$2:$J$121)</f>
        <v>38.662777777777769</v>
      </c>
      <c r="P872" s="9">
        <f>(INDEX(Sheet1!$X$48:$Z$67,MATCH(Table1[[#This Row], [ROOM]],Sheet1!$P$48:$P$67,0),MATCH(Table1[[#This Row], [WEAPON]],Sheet1!$X$47:$Z$47,0)))/Table1[[#This Row], [NUM OF MEM]]</f>
        <v>4.166666666666667</v>
      </c>
      <c r="Q872" s="9">
        <f>Table1[[#This Row], [ROOM TIME]]+Table1[[#This Row], [GUARD TIME]]</f>
        <v>42.829444444444434</v>
      </c>
      <c r="R872" s="4">
        <f>Sheet1!$K$3*_xlfn.XLOOKUP(Table1[[#This Row], [DISGUISE]],Sheet1!$A$21:$A$23,Sheet1!$D$21:$D$23)</f>
        <v>69</v>
      </c>
      <c r="S872" s="9">
        <f>Table1[[#This Row], [TOTAL TIME]]-Table1[[#This Row], [TOTAL TIME TAKEN]]</f>
        <v>26.170555555555566</v>
      </c>
      <c r="T872" t="str">
        <f>IF(Table1[[#This Row], [TIME DIFFERENCE]]&gt;=0,"PASS","FAIL")</f>
        <v>PASS</v>
      </c>
      <c r="U872" s="9">
        <f>Table1[[#This Row], [TRC]]+Table1[[#This Row], [DRC]]+Table1[[#This Row], [WRC]]+Table1[[#This Row], [ERC]]+Table1[[#This Row], [EQRC]]</f>
        <v>8032726.5374999996</v>
      </c>
      <c r="V872" s="9">
        <f>Table1[[#This Row], [TOTAL COST]]+_xlfn.XLOOKUP(Table1[[#This Row], [TEAM]],Sheet1!$A$12:$A$17,Sheet1!$I$12:$I$17)</f>
        <v>8329226.5374999996</v>
      </c>
      <c r="W872" s="9">
        <f>Table1[[#This Row], [LOOT]]-Table1[[#This Row], [TOTAL COST]]</f>
        <v>9617273.4625000004</v>
      </c>
      <c r="X872" s="9">
        <f>IF(Table1[[#This Row], [PASS/FAIL]]="FAIL",0,Table1[[#This Row], [PROFIT]])</f>
        <v>9617273.4625000004</v>
      </c>
    </row>
    <row r="873" spans="1:24" ht="19.5" customHeight="1" x14ac:dyDescent="0.45">
      <c r="A873" t="s">
        <v>13</v>
      </c>
      <c r="B873" s="14">
        <f>_xlfn.XLOOKUP(Table1[[#This Row], [TEAM]],Sheet1!$A$12:$A$17,Sheet1!$F$12:$F$17)</f>
        <v>3</v>
      </c>
      <c r="C873" s="14">
        <f>_xlfn.XLOOKUP(Table1[[#This Row], [TEAM]],Sheet1!$A$12:$A$17,Sheet1!$G$12:$G$17)</f>
        <v>5930000</v>
      </c>
      <c r="D873" t="s">
        <v>10</v>
      </c>
      <c r="E873" s="4">
        <f>_xlfn.XLOOKUP(Table1[[#This Row], [ROOM]],Sheet1!$A$47:$A$66,Sheet1!$B$47:$B$66)</f>
        <v>123</v>
      </c>
      <c r="F873" t="s">
        <v>58</v>
      </c>
      <c r="G873" s="4">
        <f>_xlfn.XLOOKUP(Table1[[#This Row], [DISGUISE]],Sheet1!$A$21:$A$23,Sheet1!$B$21:$B$23)*Table1[[#This Row], [NUM OF MEM]]*(1+_xlfn.XLOOKUP(Table1[[#This Row], [DISGUISE]],Sheet1!$A$21:$A$23,Sheet1!$C$21:$C$23))</f>
        <v>38400</v>
      </c>
      <c r="H873" s="13" t="s">
        <v>63</v>
      </c>
      <c r="I873" s="4">
        <f>_xlfn.XLOOKUP(Table1[[#This Row], [WEAPON]],Sheet1!$A$27:$A$29,Sheet1!$B$27:$B$29)*Table1[[#This Row], [NUM OF MEM]]*(1+_xlfn.XLOOKUP(Table1[[#This Row], [WEAPON]],Sheet1!$A$27:$A$29,Sheet1!$C$27:$C$29))</f>
        <v>69000</v>
      </c>
      <c r="J873" t="s">
        <v>60</v>
      </c>
      <c r="K873" s="9">
        <f>Table1[[#This Row], [NUM OF MEM]]*Table1[[#This Row], [TOTAL TIME TAKEN]]*_xlfn.XLOOKUP(Table1[[#This Row], [EXIT]],Sheet1!$A$70:$A$71,Sheet1!$B$70:$B$71)*(1+_xlfn.XLOOKUP(Table1[[#This Row], [EXIT]],Sheet1!$A$70:$A$71,Sheet1!$C$70:$C$71))</f>
        <v>1888473.4749999996</v>
      </c>
      <c r="L873" s="13" t="s">
        <v>65</v>
      </c>
      <c r="M873" s="4">
        <f>IF(Table1[[#This Row], [EQUIPMENT]]="YES",Sheet1!$C$44*(1+Sheet1!$D$44),0)</f>
        <v>307500</v>
      </c>
      <c r="N873" s="4">
        <f>_xlfn.XLOOKUP(Table1[[#This Row], [ROOM]],Sheet1!$A$47:$A$66,Sheet1!$F$47:$F$66)</f>
        <v>17850000</v>
      </c>
      <c r="O873" s="9">
        <f>_xlfn.XLOOKUP(_xlfn.CONCAT(Table1[[#This Row], [TEAM]],Table1[[#This Row], [ROOM]]),'ROOM TIME'!$H$2:$H$121,'ROOM TIME'!$J$2:$J$121)</f>
        <v>43.654444444444437</v>
      </c>
      <c r="P873" s="9">
        <f>(INDEX(Sheet1!$X$48:$Z$67,MATCH(Table1[[#This Row], [ROOM]],Sheet1!$P$48:$P$67,0),MATCH(Table1[[#This Row], [WEAPON]],Sheet1!$X$47:$Z$47,0)))/Table1[[#This Row], [NUM OF MEM]]</f>
        <v>5.4000000000000012</v>
      </c>
      <c r="Q873" s="9">
        <f>Table1[[#This Row], [ROOM TIME]]+Table1[[#This Row], [GUARD TIME]]</f>
        <v>49.054444444444435</v>
      </c>
      <c r="R873" s="4">
        <f>Sheet1!$K$3*_xlfn.XLOOKUP(Table1[[#This Row], [DISGUISE]],Sheet1!$A$21:$A$23,Sheet1!$D$21:$D$23)</f>
        <v>69</v>
      </c>
      <c r="S873" s="9">
        <f>Table1[[#This Row], [TOTAL TIME]]-Table1[[#This Row], [TOTAL TIME TAKEN]]</f>
        <v>19.945555555555565</v>
      </c>
      <c r="T873" t="str">
        <f>IF(Table1[[#This Row], [TIME DIFFERENCE]]&gt;=0,"PASS","FAIL")</f>
        <v>PASS</v>
      </c>
      <c r="U873" s="9">
        <f>Table1[[#This Row], [TRC]]+Table1[[#This Row], [DRC]]+Table1[[#This Row], [WRC]]+Table1[[#This Row], [ERC]]+Table1[[#This Row], [EQRC]]</f>
        <v>8233373.4749999996</v>
      </c>
      <c r="V873" s="9">
        <f>Table1[[#This Row], [TOTAL COST]]+_xlfn.XLOOKUP(Table1[[#This Row], [TEAM]],Sheet1!$A$12:$A$17,Sheet1!$I$12:$I$17)</f>
        <v>8529873.4749999996</v>
      </c>
      <c r="W873" s="9">
        <f>Table1[[#This Row], [LOOT]]-Table1[[#This Row], [TOTAL COST]]</f>
        <v>9616626.5250000004</v>
      </c>
      <c r="X873" s="9">
        <f>IF(Table1[[#This Row], [PASS/FAIL]]="FAIL",0,Table1[[#This Row], [PROFIT]])</f>
        <v>9616626.5250000004</v>
      </c>
    </row>
    <row r="874" spans="1:24" ht="19.5" customHeight="1" x14ac:dyDescent="0.45">
      <c r="A874" t="s">
        <v>13</v>
      </c>
      <c r="B874" s="14">
        <f>_xlfn.XLOOKUP(Table1[[#This Row], [TEAM]],Sheet1!$A$12:$A$17,Sheet1!$F$12:$F$17)</f>
        <v>3</v>
      </c>
      <c r="C874" s="14">
        <f>_xlfn.XLOOKUP(Table1[[#This Row], [TEAM]],Sheet1!$A$12:$A$17,Sheet1!$G$12:$G$17)</f>
        <v>5930000</v>
      </c>
      <c r="D874" t="s">
        <v>10</v>
      </c>
      <c r="E874" s="4">
        <f>_xlfn.XLOOKUP(Table1[[#This Row], [ROOM]],Sheet1!$A$47:$A$66,Sheet1!$B$47:$B$66)</f>
        <v>123</v>
      </c>
      <c r="F874" t="s">
        <v>62</v>
      </c>
      <c r="G874" s="4">
        <f>_xlfn.XLOOKUP(Table1[[#This Row], [DISGUISE]],Sheet1!$A$21:$A$23,Sheet1!$B$21:$B$23)*Table1[[#This Row], [NUM OF MEM]]*(1+_xlfn.XLOOKUP(Table1[[#This Row], [DISGUISE]],Sheet1!$A$21:$A$23,Sheet1!$C$21:$C$23))</f>
        <v>15600</v>
      </c>
      <c r="H874" s="13" t="s">
        <v>66</v>
      </c>
      <c r="I874" s="4">
        <f>_xlfn.XLOOKUP(Table1[[#This Row], [WEAPON]],Sheet1!$A$27:$A$29,Sheet1!$B$27:$B$29)*Table1[[#This Row], [NUM OF MEM]]*(1+_xlfn.XLOOKUP(Table1[[#This Row], [WEAPON]],Sheet1!$A$27:$A$29,Sheet1!$C$27:$C$29))</f>
        <v>108000</v>
      </c>
      <c r="J874" t="s">
        <v>60</v>
      </c>
      <c r="K874" s="9">
        <f>Table1[[#This Row], [NUM OF MEM]]*Table1[[#This Row], [TOTAL TIME TAKEN]]*_xlfn.XLOOKUP(Table1[[#This Row], [EXIT]],Sheet1!$A$70:$A$71,Sheet1!$B$70:$B$71)*(1+_xlfn.XLOOKUP(Table1[[#This Row], [EXIT]],Sheet1!$A$70:$A$71,Sheet1!$C$70:$C$71))</f>
        <v>1873074.4749999996</v>
      </c>
      <c r="L874" s="13" t="s">
        <v>65</v>
      </c>
      <c r="M874" s="4">
        <f>IF(Table1[[#This Row], [EQUIPMENT]]="YES",Sheet1!$C$44*(1+Sheet1!$D$44),0)</f>
        <v>307500</v>
      </c>
      <c r="N874" s="4">
        <f>_xlfn.XLOOKUP(Table1[[#This Row], [ROOM]],Sheet1!$A$47:$A$66,Sheet1!$F$47:$F$66)</f>
        <v>17850000</v>
      </c>
      <c r="O874" s="9">
        <f>_xlfn.XLOOKUP(_xlfn.CONCAT(Table1[[#This Row], [TEAM]],Table1[[#This Row], [ROOM]]),'ROOM TIME'!$H$2:$H$121,'ROOM TIME'!$J$2:$J$121)</f>
        <v>43.654444444444437</v>
      </c>
      <c r="P874" s="4">
        <f>(INDEX(Sheet1!$X$48:$Z$67,MATCH(Table1[[#This Row], [ROOM]],Sheet1!$P$48:$P$67,0),MATCH(Table1[[#This Row], [WEAPON]],Sheet1!$X$47:$Z$47,0)))/Table1[[#This Row], [NUM OF MEM]]</f>
        <v>5</v>
      </c>
      <c r="Q874" s="9">
        <f>Table1[[#This Row], [ROOM TIME]]+Table1[[#This Row], [GUARD TIME]]</f>
        <v>48.654444444444437</v>
      </c>
      <c r="R874" s="4">
        <f>Sheet1!$K$3*_xlfn.XLOOKUP(Table1[[#This Row], [DISGUISE]],Sheet1!$A$21:$A$23,Sheet1!$D$21:$D$23)</f>
        <v>66</v>
      </c>
      <c r="S874" s="9">
        <f>Table1[[#This Row], [TOTAL TIME]]-Table1[[#This Row], [TOTAL TIME TAKEN]]</f>
        <v>17.345555555555563</v>
      </c>
      <c r="T874" t="str">
        <f>IF(Table1[[#This Row], [TIME DIFFERENCE]]&gt;=0,"PASS","FAIL")</f>
        <v>PASS</v>
      </c>
      <c r="U874" s="9">
        <f>Table1[[#This Row], [TRC]]+Table1[[#This Row], [DRC]]+Table1[[#This Row], [WRC]]+Table1[[#This Row], [ERC]]+Table1[[#This Row], [EQRC]]</f>
        <v>8234174.4749999996</v>
      </c>
      <c r="V874" s="9">
        <f>Table1[[#This Row], [TOTAL COST]]+_xlfn.XLOOKUP(Table1[[#This Row], [TEAM]],Sheet1!$A$12:$A$17,Sheet1!$I$12:$I$17)</f>
        <v>8530674.4749999996</v>
      </c>
      <c r="W874" s="9">
        <f>Table1[[#This Row], [LOOT]]-Table1[[#This Row], [TOTAL COST]]</f>
        <v>9615825.5250000004</v>
      </c>
      <c r="X874" s="9">
        <f>IF(Table1[[#This Row], [PASS/FAIL]]="FAIL",0,Table1[[#This Row], [PROFIT]])</f>
        <v>9615825.5250000004</v>
      </c>
    </row>
    <row r="875" spans="1:24" ht="19.5" customHeight="1" x14ac:dyDescent="0.45">
      <c r="A875" t="s">
        <v>9</v>
      </c>
      <c r="B875" s="14">
        <f>_xlfn.XLOOKUP(Table1[[#This Row], [TEAM]],Sheet1!$A$12:$A$17,Sheet1!$F$12:$F$17)</f>
        <v>3</v>
      </c>
      <c r="C875" s="14">
        <f>_xlfn.XLOOKUP(Table1[[#This Row], [TEAM]],Sheet1!$A$12:$A$17,Sheet1!$G$12:$G$17)</f>
        <v>6238750</v>
      </c>
      <c r="D875" t="s">
        <v>19</v>
      </c>
      <c r="E875" s="4">
        <f>_xlfn.XLOOKUP(Table1[[#This Row], [ROOM]],Sheet1!$A$47:$A$66,Sheet1!$B$47:$B$66)</f>
        <v>135</v>
      </c>
      <c r="F875" t="s">
        <v>62</v>
      </c>
      <c r="G875" s="4">
        <f>_xlfn.XLOOKUP(Table1[[#This Row], [DISGUISE]],Sheet1!$A$21:$A$23,Sheet1!$B$21:$B$23)*Table1[[#This Row], [NUM OF MEM]]*(1+_xlfn.XLOOKUP(Table1[[#This Row], [DISGUISE]],Sheet1!$A$21:$A$23,Sheet1!$C$21:$C$23))</f>
        <v>15600</v>
      </c>
      <c r="H875" s="13" t="s">
        <v>66</v>
      </c>
      <c r="I875" s="4">
        <f>_xlfn.XLOOKUP(Table1[[#This Row], [WEAPON]],Sheet1!$A$27:$A$29,Sheet1!$B$27:$B$29)*Table1[[#This Row], [NUM OF MEM]]*(1+_xlfn.XLOOKUP(Table1[[#This Row], [WEAPON]],Sheet1!$A$27:$A$29,Sheet1!$C$27:$C$29))</f>
        <v>108000</v>
      </c>
      <c r="J875" t="s">
        <v>60</v>
      </c>
      <c r="K875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1664353.8625</v>
      </c>
      <c r="L875" s="13" t="s">
        <v>65</v>
      </c>
      <c r="M875" s="4">
        <f>IF(Table1[[#This Row], [EQUIPMENT]]="YES",Sheet1!$C$44*(1+Sheet1!$D$44),0)</f>
        <v>307500</v>
      </c>
      <c r="N875" s="4">
        <f>_xlfn.XLOOKUP(Table1[[#This Row], [ROOM]],Sheet1!$A$47:$A$66,Sheet1!$F$47:$F$66)</f>
        <v>17950000</v>
      </c>
      <c r="O875" s="9">
        <f>_xlfn.XLOOKUP(_xlfn.CONCAT(Table1[[#This Row], [TEAM]],Table1[[#This Row], [ROOM]]),'ROOM TIME'!$H$2:$H$121,'ROOM TIME'!$J$2:$J$121)</f>
        <v>38.649444444444434</v>
      </c>
      <c r="P875" s="9">
        <f>(INDEX(Sheet1!$X$48:$Z$67,MATCH(Table1[[#This Row], [ROOM]],Sheet1!$P$48:$P$67,0),MATCH(Table1[[#This Row], [WEAPON]],Sheet1!$X$47:$Z$47,0)))/Table1[[#This Row], [NUM OF MEM]]</f>
        <v>4.583333333333333</v>
      </c>
      <c r="Q875" s="9">
        <f>Table1[[#This Row], [ROOM TIME]]+Table1[[#This Row], [GUARD TIME]]</f>
        <v>43.23277777777777</v>
      </c>
      <c r="R875" s="4">
        <f>Sheet1!$K$3*_xlfn.XLOOKUP(Table1[[#This Row], [DISGUISE]],Sheet1!$A$21:$A$23,Sheet1!$D$21:$D$23)</f>
        <v>66</v>
      </c>
      <c r="S875" s="9">
        <f>Table1[[#This Row], [TOTAL TIME]]-Table1[[#This Row], [TOTAL TIME TAKEN]]</f>
        <v>22.76722222222223</v>
      </c>
      <c r="T875" t="str">
        <f>IF(Table1[[#This Row], [TIME DIFFERENCE]]&gt;=0,"PASS","FAIL")</f>
        <v>PASS</v>
      </c>
      <c r="U875" s="9">
        <f>Table1[[#This Row], [TRC]]+Table1[[#This Row], [DRC]]+Table1[[#This Row], [WRC]]+Table1[[#This Row], [ERC]]+Table1[[#This Row], [EQRC]]</f>
        <v>8334203.8624999998</v>
      </c>
      <c r="V875" s="9">
        <f>Table1[[#This Row], [TOTAL COST]]+_xlfn.XLOOKUP(Table1[[#This Row], [TEAM]],Sheet1!$A$12:$A$17,Sheet1!$I$12:$I$17)</f>
        <v>8646141.3625000007</v>
      </c>
      <c r="W875" s="9">
        <f>Table1[[#This Row], [LOOT]]-Table1[[#This Row], [TOTAL COST]]</f>
        <v>9615796.1374999993</v>
      </c>
      <c r="X875" s="9">
        <f>IF(Table1[[#This Row], [PASS/FAIL]]="FAIL",0,Table1[[#This Row], [PROFIT]])</f>
        <v>9615796.1374999993</v>
      </c>
    </row>
    <row r="876" spans="1:24" ht="19.5" customHeight="1" x14ac:dyDescent="0.45">
      <c r="A876" t="s">
        <v>15</v>
      </c>
      <c r="B876" s="14">
        <f>_xlfn.XLOOKUP(Table1[[#This Row], [TEAM]],Sheet1!$A$12:$A$17,Sheet1!$F$12:$F$17)</f>
        <v>2</v>
      </c>
      <c r="C876" s="14">
        <f>_xlfn.XLOOKUP(Table1[[#This Row], [TEAM]],Sheet1!$A$12:$A$17,Sheet1!$G$12:$G$17)</f>
        <v>5932950</v>
      </c>
      <c r="D876" t="s">
        <v>30</v>
      </c>
      <c r="E876" s="4">
        <f>_xlfn.XLOOKUP(Table1[[#This Row], [ROOM]],Sheet1!$A$47:$A$66,Sheet1!$B$47:$B$66)</f>
        <v>246</v>
      </c>
      <c r="F876" t="s">
        <v>62</v>
      </c>
      <c r="G876" s="4">
        <f>_xlfn.XLOOKUP(Table1[[#This Row], [DISGUISE]],Sheet1!$A$21:$A$23,Sheet1!$B$21:$B$23)*Table1[[#This Row], [NUM OF MEM]]*(1+_xlfn.XLOOKUP(Table1[[#This Row], [DISGUISE]],Sheet1!$A$21:$A$23,Sheet1!$C$21:$C$23))</f>
        <v>10400</v>
      </c>
      <c r="H876" s="13" t="s">
        <v>59</v>
      </c>
      <c r="I876" s="4">
        <f>_xlfn.XLOOKUP(Table1[[#This Row], [WEAPON]],Sheet1!$A$27:$A$29,Sheet1!$B$27:$B$29)*Table1[[#This Row], [NUM OF MEM]]*(1+_xlfn.XLOOKUP(Table1[[#This Row], [WEAPON]],Sheet1!$A$27:$A$29,Sheet1!$C$27:$C$29))</f>
        <v>91000</v>
      </c>
      <c r="J876" t="s">
        <v>60</v>
      </c>
      <c r="K876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1643169.5437499997</v>
      </c>
      <c r="L876" s="13" t="s">
        <v>65</v>
      </c>
      <c r="M876" s="4">
        <f>IF(Table1[[#This Row], [EQUIPMENT]]="YES",Sheet1!$C$44*(1+Sheet1!$D$44),0)</f>
        <v>307500</v>
      </c>
      <c r="N876" s="4">
        <f>_xlfn.XLOOKUP(Table1[[#This Row], [ROOM]],Sheet1!$A$47:$A$66,Sheet1!$F$47:$F$66)</f>
        <v>17600000</v>
      </c>
      <c r="O876" s="9">
        <f>_xlfn.XLOOKUP(_xlfn.CONCAT(Table1[[#This Row], [TEAM]],Table1[[#This Row], [ROOM]]),'ROOM TIME'!$H$2:$H$121,'ROOM TIME'!$J$2:$J$121)</f>
        <v>57.123749999999987</v>
      </c>
      <c r="P876" s="9">
        <f>(INDEX(Sheet1!$X$48:$Z$67,MATCH(Table1[[#This Row], [ROOM]],Sheet1!$P$48:$P$67,0),MATCH(Table1[[#This Row], [WEAPON]],Sheet1!$X$47:$Z$47,0)))/Table1[[#This Row], [NUM OF MEM]]</f>
        <v>6.8999999999999995</v>
      </c>
      <c r="Q876" s="9">
        <f>Table1[[#This Row], [ROOM TIME]]+Table1[[#This Row], [GUARD TIME]]</f>
        <v>64.023749999999993</v>
      </c>
      <c r="R876" s="4">
        <f>Sheet1!$K$3*_xlfn.XLOOKUP(Table1[[#This Row], [DISGUISE]],Sheet1!$A$21:$A$23,Sheet1!$D$21:$D$23)</f>
        <v>66</v>
      </c>
      <c r="S876" s="9">
        <f>Table1[[#This Row], [TOTAL TIME]]-Table1[[#This Row], [TOTAL TIME TAKEN]]</f>
        <v>1.9762500000000074</v>
      </c>
      <c r="T876" t="str">
        <f>IF(Table1[[#This Row], [TIME DIFFERENCE]]&gt;=0,"PASS","FAIL")</f>
        <v>PASS</v>
      </c>
      <c r="U876" s="9">
        <f>Table1[[#This Row], [TRC]]+Table1[[#This Row], [DRC]]+Table1[[#This Row], [WRC]]+Table1[[#This Row], [ERC]]+Table1[[#This Row], [EQRC]]</f>
        <v>7985019.5437499993</v>
      </c>
      <c r="V876" s="9">
        <f>Table1[[#This Row], [TOTAL COST]]+_xlfn.XLOOKUP(Table1[[#This Row], [TEAM]],Sheet1!$A$12:$A$17,Sheet1!$I$12:$I$17)</f>
        <v>8281667.0437499993</v>
      </c>
      <c r="W876" s="9">
        <f>Table1[[#This Row], [LOOT]]-Table1[[#This Row], [TOTAL COST]]</f>
        <v>9614980.4562500007</v>
      </c>
      <c r="X876" s="9">
        <f>IF(Table1[[#This Row], [PASS/FAIL]]="FAIL",0,Table1[[#This Row], [PROFIT]])</f>
        <v>9614980.4562500007</v>
      </c>
    </row>
    <row r="877" spans="1:24" ht="19.5" customHeight="1" x14ac:dyDescent="0.45">
      <c r="A877" t="s">
        <v>16</v>
      </c>
      <c r="B877" s="14">
        <f>_xlfn.XLOOKUP(Table1[[#This Row], [TEAM]],Sheet1!$A$12:$A$17,Sheet1!$F$12:$F$17)</f>
        <v>2</v>
      </c>
      <c r="C877" s="14">
        <f>_xlfn.XLOOKUP(Table1[[#This Row], [TEAM]],Sheet1!$A$12:$A$17,Sheet1!$G$12:$G$17)</f>
        <v>6082800</v>
      </c>
      <c r="D877" t="s">
        <v>34</v>
      </c>
      <c r="E877" s="4">
        <f>_xlfn.XLOOKUP(Table1[[#This Row], [ROOM]],Sheet1!$A$47:$A$66,Sheet1!$B$47:$B$66)</f>
        <v>456</v>
      </c>
      <c r="F877" t="s">
        <v>58</v>
      </c>
      <c r="G877" s="4">
        <f>_xlfn.XLOOKUP(Table1[[#This Row], [DISGUISE]],Sheet1!$A$21:$A$23,Sheet1!$B$21:$B$23)*Table1[[#This Row], [NUM OF MEM]]*(1+_xlfn.XLOOKUP(Table1[[#This Row], [DISGUISE]],Sheet1!$A$21:$A$23,Sheet1!$C$21:$C$23))</f>
        <v>25600</v>
      </c>
      <c r="H877" s="13" t="s">
        <v>63</v>
      </c>
      <c r="I877" s="4">
        <f>_xlfn.XLOOKUP(Table1[[#This Row], [WEAPON]],Sheet1!$A$27:$A$29,Sheet1!$B$27:$B$29)*Table1[[#This Row], [NUM OF MEM]]*(1+_xlfn.XLOOKUP(Table1[[#This Row], [WEAPON]],Sheet1!$A$27:$A$29,Sheet1!$C$27:$C$29))</f>
        <v>46000</v>
      </c>
      <c r="J877" t="s">
        <v>60</v>
      </c>
      <c r="K877" s="9">
        <f>Table1[[#This Row], [NUM OF MEM]]*Table1[[#This Row], [TOTAL TIME TAKEN]]*_xlfn.XLOOKUP(Table1[[#This Row], [EXIT]],Sheet1!$A$70:$A$71,Sheet1!$B$70:$B$71)*(1+_xlfn.XLOOKUP(Table1[[#This Row], [EXIT]],Sheet1!$A$70:$A$71,Sheet1!$C$70:$C$71))</f>
        <v>1623182.9249999996</v>
      </c>
      <c r="L877" s="13" t="s">
        <v>65</v>
      </c>
      <c r="M877" s="4">
        <f>IF(Table1[[#This Row], [EQUIPMENT]]="YES",Sheet1!$C$44*(1+Sheet1!$D$44),0)</f>
        <v>307500</v>
      </c>
      <c r="N877" s="4">
        <f>_xlfn.XLOOKUP(Table1[[#This Row], [ROOM]],Sheet1!$A$47:$A$66,Sheet1!$F$47:$F$66)</f>
        <v>17700000</v>
      </c>
      <c r="O877" s="9">
        <f>_xlfn.XLOOKUP(_xlfn.CONCAT(Table1[[#This Row], [TEAM]],Table1[[#This Row], [ROOM]]),'ROOM TIME'!$H$2:$H$121,'ROOM TIME'!$J$2:$J$121)</f>
        <v>55.819999999999986</v>
      </c>
      <c r="P877" s="9">
        <f>(INDEX(Sheet1!$X$48:$Z$67,MATCH(Table1[[#This Row], [ROOM]],Sheet1!$P$48:$P$67,0),MATCH(Table1[[#This Row], [WEAPON]],Sheet1!$X$47:$Z$47,0)))/Table1[[#This Row], [NUM OF MEM]]</f>
        <v>7.4250000000000007</v>
      </c>
      <c r="Q877" s="9">
        <f>Table1[[#This Row], [ROOM TIME]]+Table1[[#This Row], [GUARD TIME]]</f>
        <v>63.24499999999999</v>
      </c>
      <c r="R877" s="4">
        <f>Sheet1!$K$3*_xlfn.XLOOKUP(Table1[[#This Row], [DISGUISE]],Sheet1!$A$21:$A$23,Sheet1!$D$21:$D$23)</f>
        <v>69</v>
      </c>
      <c r="S877" s="9">
        <f>Table1[[#This Row], [TOTAL TIME]]-Table1[[#This Row], [TOTAL TIME TAKEN]]</f>
        <v>5.7550000000000097</v>
      </c>
      <c r="T877" t="str">
        <f>IF(Table1[[#This Row], [TIME DIFFERENCE]]&gt;=0,"PASS","FAIL")</f>
        <v>PASS</v>
      </c>
      <c r="U877" s="9">
        <f>Table1[[#This Row], [TRC]]+Table1[[#This Row], [DRC]]+Table1[[#This Row], [WRC]]+Table1[[#This Row], [ERC]]+Table1[[#This Row], [EQRC]]</f>
        <v>8085082.9249999998</v>
      </c>
      <c r="V877" s="9">
        <f>Table1[[#This Row], [TOTAL COST]]+_xlfn.XLOOKUP(Table1[[#This Row], [TEAM]],Sheet1!$A$12:$A$17,Sheet1!$I$12:$I$17)</f>
        <v>8389222.9250000007</v>
      </c>
      <c r="W877" s="9">
        <f>Table1[[#This Row], [LOOT]]-Table1[[#This Row], [TOTAL COST]]</f>
        <v>9614917.0749999993</v>
      </c>
      <c r="X877" s="9">
        <f>IF(Table1[[#This Row], [PASS/FAIL]]="FAIL",0,Table1[[#This Row], [PROFIT]])</f>
        <v>9614917.0749999993</v>
      </c>
    </row>
    <row r="878" spans="1:24" ht="19.5" customHeight="1" x14ac:dyDescent="0.45">
      <c r="A878" t="s">
        <v>12</v>
      </c>
      <c r="B878" s="14">
        <f>_xlfn.XLOOKUP(Table1[[#This Row], [TEAM]],Sheet1!$A$12:$A$17,Sheet1!$F$12:$F$17)</f>
        <v>3</v>
      </c>
      <c r="C878" s="14">
        <f>_xlfn.XLOOKUP(Table1[[#This Row], [TEAM]],Sheet1!$A$12:$A$17,Sheet1!$G$12:$G$17)</f>
        <v>5988750</v>
      </c>
      <c r="D878" t="s">
        <v>28</v>
      </c>
      <c r="E878" s="4">
        <f>_xlfn.XLOOKUP(Table1[[#This Row], [ROOM]],Sheet1!$A$47:$A$66,Sheet1!$B$47:$B$66)</f>
        <v>156</v>
      </c>
      <c r="F878" t="s">
        <v>62</v>
      </c>
      <c r="G878" s="4">
        <f>_xlfn.XLOOKUP(Table1[[#This Row], [DISGUISE]],Sheet1!$A$21:$A$23,Sheet1!$B$21:$B$23)*Table1[[#This Row], [NUM OF MEM]]*(1+_xlfn.XLOOKUP(Table1[[#This Row], [DISGUISE]],Sheet1!$A$21:$A$23,Sheet1!$C$21:$C$23))</f>
        <v>15600</v>
      </c>
      <c r="H878" s="13" t="s">
        <v>59</v>
      </c>
      <c r="I878" s="4">
        <f>_xlfn.XLOOKUP(Table1[[#This Row], [WEAPON]],Sheet1!$A$27:$A$29,Sheet1!$B$27:$B$29)*Table1[[#This Row], [NUM OF MEM]]*(1+_xlfn.XLOOKUP(Table1[[#This Row], [WEAPON]],Sheet1!$A$27:$A$29,Sheet1!$C$27:$C$29))</f>
        <v>136500</v>
      </c>
      <c r="J878" t="s">
        <v>64</v>
      </c>
      <c r="K878" s="9">
        <f>Table1[[#This Row], [NUM OF MEM]]*Table1[[#This Row], [TOTAL TIME TAKEN]]*_xlfn.XLOOKUP(Table1[[#This Row], [EXIT]],Sheet1!$A$70:$A$71,Sheet1!$B$70:$B$71)*(1+_xlfn.XLOOKUP(Table1[[#This Row], [EXIT]],Sheet1!$A$70:$A$71,Sheet1!$C$70:$C$71))</f>
        <v>1586951.9999999993</v>
      </c>
      <c r="L878" s="13" t="s">
        <v>65</v>
      </c>
      <c r="M878" s="4">
        <f>IF(Table1[[#This Row], [EQUIPMENT]]="YES",Sheet1!$C$44*(1+Sheet1!$D$44),0)</f>
        <v>307500</v>
      </c>
      <c r="N878" s="4">
        <f>_xlfn.XLOOKUP(Table1[[#This Row], [ROOM]],Sheet1!$A$47:$A$66,Sheet1!$F$47:$F$66)</f>
        <v>17650000</v>
      </c>
      <c r="O878" s="9">
        <f>_xlfn.XLOOKUP(_xlfn.CONCAT(Table1[[#This Row], [TEAM]],Table1[[#This Row], [ROOM]]),'ROOM TIME'!$H$2:$H$121,'ROOM TIME'!$J$2:$J$121)</f>
        <v>36.98333333333332</v>
      </c>
      <c r="P878" s="9">
        <f>(INDEX(Sheet1!$X$48:$Z$67,MATCH(Table1[[#This Row], [ROOM]],Sheet1!$P$48:$P$67,0),MATCH(Table1[[#This Row], [WEAPON]],Sheet1!$X$47:$Z$47,0)))/Table1[[#This Row], [NUM OF MEM]]</f>
        <v>3.8333333333333335</v>
      </c>
      <c r="Q878" s="9">
        <f>Table1[[#This Row], [ROOM TIME]]+Table1[[#This Row], [GUARD TIME]]</f>
        <v>40.816666666666656</v>
      </c>
      <c r="R878" s="4">
        <f>Sheet1!$K$3*_xlfn.XLOOKUP(Table1[[#This Row], [DISGUISE]],Sheet1!$A$21:$A$23,Sheet1!$D$21:$D$23)</f>
        <v>66</v>
      </c>
      <c r="S878" s="9">
        <f>Table1[[#This Row], [TOTAL TIME]]-Table1[[#This Row], [TOTAL TIME TAKEN]]</f>
        <v>25.183333333333344</v>
      </c>
      <c r="T878" t="str">
        <f>IF(Table1[[#This Row], [TIME DIFFERENCE]]&gt;=0,"PASS","FAIL")</f>
        <v>PASS</v>
      </c>
      <c r="U878" s="9">
        <f>Table1[[#This Row], [TRC]]+Table1[[#This Row], [DRC]]+Table1[[#This Row], [WRC]]+Table1[[#This Row], [ERC]]+Table1[[#This Row], [EQRC]]</f>
        <v>8035301.9999999991</v>
      </c>
      <c r="V878" s="9">
        <f>Table1[[#This Row], [TOTAL COST]]+_xlfn.XLOOKUP(Table1[[#This Row], [TEAM]],Sheet1!$A$12:$A$17,Sheet1!$I$12:$I$17)</f>
        <v>8334739.4999999991</v>
      </c>
      <c r="W878" s="4">
        <f>Table1[[#This Row], [LOOT]]-Table1[[#This Row], [TOTAL COST]]</f>
        <v>9614698</v>
      </c>
      <c r="X878" s="4">
        <f>IF(Table1[[#This Row], [PASS/FAIL]]="FAIL",0,Table1[[#This Row], [PROFIT]])</f>
        <v>9614698</v>
      </c>
    </row>
    <row r="879" spans="1:24" ht="19.5" customHeight="1" x14ac:dyDescent="0.45">
      <c r="A879" t="s">
        <v>12</v>
      </c>
      <c r="B879" s="14">
        <f>_xlfn.XLOOKUP(Table1[[#This Row], [TEAM]],Sheet1!$A$12:$A$17,Sheet1!$F$12:$F$17)</f>
        <v>3</v>
      </c>
      <c r="C879" s="14">
        <f>_xlfn.XLOOKUP(Table1[[#This Row], [TEAM]],Sheet1!$A$12:$A$17,Sheet1!$G$12:$G$17)</f>
        <v>5988750</v>
      </c>
      <c r="D879" t="s">
        <v>22</v>
      </c>
      <c r="E879" s="4">
        <f>_xlfn.XLOOKUP(Table1[[#This Row], [ROOM]],Sheet1!$A$47:$A$66,Sheet1!$B$47:$B$66)</f>
        <v>235</v>
      </c>
      <c r="F879" t="s">
        <v>62</v>
      </c>
      <c r="G879" s="4">
        <f>_xlfn.XLOOKUP(Table1[[#This Row], [DISGUISE]],Sheet1!$A$21:$A$23,Sheet1!$B$21:$B$23)*Table1[[#This Row], [NUM OF MEM]]*(1+_xlfn.XLOOKUP(Table1[[#This Row], [DISGUISE]],Sheet1!$A$21:$A$23,Sheet1!$C$21:$C$23))</f>
        <v>15600</v>
      </c>
      <c r="H879" s="13" t="s">
        <v>63</v>
      </c>
      <c r="I879" s="4">
        <f>_xlfn.XLOOKUP(Table1[[#This Row], [WEAPON]],Sheet1!$A$27:$A$29,Sheet1!$B$27:$B$29)*Table1[[#This Row], [NUM OF MEM]]*(1+_xlfn.XLOOKUP(Table1[[#This Row], [WEAPON]],Sheet1!$A$27:$A$29,Sheet1!$C$27:$C$29))</f>
        <v>69000</v>
      </c>
      <c r="J879" t="s">
        <v>60</v>
      </c>
      <c r="K879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1804762.7999999989</v>
      </c>
      <c r="L879" s="13" t="s">
        <v>65</v>
      </c>
      <c r="M879" s="4">
        <f>IF(Table1[[#This Row], [EQUIPMENT]]="YES",Sheet1!$C$44*(1+Sheet1!$D$44),0)</f>
        <v>307500</v>
      </c>
      <c r="N879" s="4">
        <f>_xlfn.XLOOKUP(Table1[[#This Row], [ROOM]],Sheet1!$A$47:$A$66,Sheet1!$F$47:$F$66)</f>
        <v>17800000</v>
      </c>
      <c r="O879" s="9">
        <f>_xlfn.XLOOKUP(_xlfn.CONCAT(Table1[[#This Row], [TEAM]],Table1[[#This Row], [ROOM]]),'ROOM TIME'!$H$2:$H$121,'ROOM TIME'!$J$2:$J$121)</f>
        <v>41.479999999999983</v>
      </c>
      <c r="P879" s="9">
        <f>(INDEX(Sheet1!$X$48:$Z$67,MATCH(Table1[[#This Row], [ROOM]],Sheet1!$P$48:$P$67,0),MATCH(Table1[[#This Row], [WEAPON]],Sheet1!$X$47:$Z$47,0)))/Table1[[#This Row], [NUM OF MEM]]</f>
        <v>5.4000000000000012</v>
      </c>
      <c r="Q879" s="9">
        <f>Table1[[#This Row], [ROOM TIME]]+Table1[[#This Row], [GUARD TIME]]</f>
        <v>46.879999999999981</v>
      </c>
      <c r="R879" s="4">
        <f>Sheet1!$K$3*_xlfn.XLOOKUP(Table1[[#This Row], [DISGUISE]],Sheet1!$A$21:$A$23,Sheet1!$D$21:$D$23)</f>
        <v>66</v>
      </c>
      <c r="S879" s="9">
        <f>Table1[[#This Row], [TOTAL TIME]]-Table1[[#This Row], [TOTAL TIME TAKEN]]</f>
        <v>19.120000000000019</v>
      </c>
      <c r="T879" t="str">
        <f>IF(Table1[[#This Row], [TIME DIFFERENCE]]&gt;=0,"PASS","FAIL")</f>
        <v>PASS</v>
      </c>
      <c r="U879" s="9">
        <f>Table1[[#This Row], [TRC]]+Table1[[#This Row], [DRC]]+Table1[[#This Row], [WRC]]+Table1[[#This Row], [ERC]]+Table1[[#This Row], [EQRC]]</f>
        <v>8185612.7999999989</v>
      </c>
      <c r="V879" s="9">
        <f>Table1[[#This Row], [TOTAL COST]]+_xlfn.XLOOKUP(Table1[[#This Row], [TEAM]],Sheet1!$A$12:$A$17,Sheet1!$I$12:$I$17)</f>
        <v>8485050.2999999989</v>
      </c>
      <c r="W879" s="9">
        <f>Table1[[#This Row], [LOOT]]-Table1[[#This Row], [TOTAL COST]]</f>
        <v>9614387.2000000011</v>
      </c>
      <c r="X879" s="9">
        <f>IF(Table1[[#This Row], [PASS/FAIL]]="FAIL",0,Table1[[#This Row], [PROFIT]])</f>
        <v>9614387.2000000011</v>
      </c>
    </row>
    <row r="880" spans="1:24" ht="19.5" customHeight="1" x14ac:dyDescent="0.45">
      <c r="A880" t="s">
        <v>14</v>
      </c>
      <c r="B880" s="14">
        <f>_xlfn.XLOOKUP(Table1[[#This Row], [TEAM]],Sheet1!$A$12:$A$17,Sheet1!$F$12:$F$17)</f>
        <v>2</v>
      </c>
      <c r="C880" s="14">
        <f>_xlfn.XLOOKUP(Table1[[#This Row], [TEAM]],Sheet1!$A$12:$A$17,Sheet1!$G$12:$G$17)</f>
        <v>5949600</v>
      </c>
      <c r="D880" t="s">
        <v>30</v>
      </c>
      <c r="E880" s="4">
        <f>_xlfn.XLOOKUP(Table1[[#This Row], [ROOM]],Sheet1!$A$47:$A$66,Sheet1!$B$47:$B$66)</f>
        <v>246</v>
      </c>
      <c r="F880" t="s">
        <v>62</v>
      </c>
      <c r="G880" s="4">
        <f>_xlfn.XLOOKUP(Table1[[#This Row], [DISGUISE]],Sheet1!$A$21:$A$23,Sheet1!$B$21:$B$23)*Table1[[#This Row], [NUM OF MEM]]*(1+_xlfn.XLOOKUP(Table1[[#This Row], [DISGUISE]],Sheet1!$A$21:$A$23,Sheet1!$C$21:$C$23))</f>
        <v>10400</v>
      </c>
      <c r="H880" s="13" t="s">
        <v>59</v>
      </c>
      <c r="I880" s="4">
        <f>_xlfn.XLOOKUP(Table1[[#This Row], [WEAPON]],Sheet1!$A$27:$A$29,Sheet1!$B$27:$B$29)*Table1[[#This Row], [NUM OF MEM]]*(1+_xlfn.XLOOKUP(Table1[[#This Row], [WEAPON]],Sheet1!$A$27:$A$29,Sheet1!$C$27:$C$29))</f>
        <v>91000</v>
      </c>
      <c r="J880" t="s">
        <v>60</v>
      </c>
      <c r="K880" s="9">
        <f>Table1[[#This Row], [NUM OF MEM]]*Table1[[#This Row], [TOTAL TIME TAKEN]]*_xlfn.XLOOKUP(Table1[[#This Row], [EXIT]],Sheet1!$A$70:$A$71,Sheet1!$B$70:$B$71)*(1+_xlfn.XLOOKUP(Table1[[#This Row], [EXIT]],Sheet1!$A$70:$A$71,Sheet1!$C$70:$C$71))</f>
        <v>1627481.8124999993</v>
      </c>
      <c r="L880" s="13" t="s">
        <v>65</v>
      </c>
      <c r="M880" s="4">
        <f>IF(Table1[[#This Row], [EQUIPMENT]]="YES",Sheet1!$C$44*(1+Sheet1!$D$44),0)</f>
        <v>307500</v>
      </c>
      <c r="N880" s="4">
        <f>_xlfn.XLOOKUP(Table1[[#This Row], [ROOM]],Sheet1!$A$47:$A$66,Sheet1!$F$47:$F$66)</f>
        <v>17600000</v>
      </c>
      <c r="O880" s="9">
        <f>_xlfn.XLOOKUP(_xlfn.CONCAT(Table1[[#This Row], [TEAM]],Table1[[#This Row], [ROOM]]),'ROOM TIME'!$H$2:$H$121,'ROOM TIME'!$J$2:$J$121)</f>
        <v>56.512499999999982</v>
      </c>
      <c r="P880" s="9">
        <f>(INDEX(Sheet1!$X$48:$Z$67,MATCH(Table1[[#This Row], [ROOM]],Sheet1!$P$48:$P$67,0),MATCH(Table1[[#This Row], [WEAPON]],Sheet1!$X$47:$Z$47,0)))/Table1[[#This Row], [NUM OF MEM]]</f>
        <v>6.8999999999999995</v>
      </c>
      <c r="Q880" s="9">
        <f>Table1[[#This Row], [ROOM TIME]]+Table1[[#This Row], [GUARD TIME]]</f>
        <v>63.41249999999998</v>
      </c>
      <c r="R880" s="4">
        <f>Sheet1!$K$3*_xlfn.XLOOKUP(Table1[[#This Row], [DISGUISE]],Sheet1!$A$21:$A$23,Sheet1!$D$21:$D$23)</f>
        <v>66</v>
      </c>
      <c r="S880" s="9">
        <f>Table1[[#This Row], [TOTAL TIME]]-Table1[[#This Row], [TOTAL TIME TAKEN]]</f>
        <v>2.5875000000000199</v>
      </c>
      <c r="T880" t="str">
        <f>IF(Table1[[#This Row], [TIME DIFFERENCE]]&gt;=0,"PASS","FAIL")</f>
        <v>PASS</v>
      </c>
      <c r="U880" s="9">
        <f>Table1[[#This Row], [TRC]]+Table1[[#This Row], [DRC]]+Table1[[#This Row], [WRC]]+Table1[[#This Row], [ERC]]+Table1[[#This Row], [EQRC]]</f>
        <v>7985981.8124999991</v>
      </c>
      <c r="V880" s="9">
        <f>Table1[[#This Row], [TOTAL COST]]+_xlfn.XLOOKUP(Table1[[#This Row], [TEAM]],Sheet1!$A$12:$A$17,Sheet1!$I$12:$I$17)</f>
        <v>8283461.8124999991</v>
      </c>
      <c r="W880" s="9">
        <f>Table1[[#This Row], [LOOT]]-Table1[[#This Row], [TOTAL COST]]</f>
        <v>9614018.1875</v>
      </c>
      <c r="X880" s="9">
        <f>IF(Table1[[#This Row], [PASS/FAIL]]="FAIL",0,Table1[[#This Row], [PROFIT]])</f>
        <v>9614018.1875</v>
      </c>
    </row>
    <row r="881" spans="1:24" ht="19.5" customHeight="1" x14ac:dyDescent="0.45">
      <c r="A881" t="s">
        <v>16</v>
      </c>
      <c r="B881" s="14">
        <f>_xlfn.XLOOKUP(Table1[[#This Row], [TEAM]],Sheet1!$A$12:$A$17,Sheet1!$F$12:$F$17)</f>
        <v>2</v>
      </c>
      <c r="C881" s="14">
        <f>_xlfn.XLOOKUP(Table1[[#This Row], [TEAM]],Sheet1!$A$12:$A$17,Sheet1!$G$12:$G$17)</f>
        <v>6082800</v>
      </c>
      <c r="D881" t="s">
        <v>34</v>
      </c>
      <c r="E881" s="4">
        <f>_xlfn.XLOOKUP(Table1[[#This Row], [ROOM]],Sheet1!$A$47:$A$66,Sheet1!$B$47:$B$66)</f>
        <v>456</v>
      </c>
      <c r="F881" t="s">
        <v>62</v>
      </c>
      <c r="G881" s="4">
        <f>_xlfn.XLOOKUP(Table1[[#This Row], [DISGUISE]],Sheet1!$A$21:$A$23,Sheet1!$B$21:$B$23)*Table1[[#This Row], [NUM OF MEM]]*(1+_xlfn.XLOOKUP(Table1[[#This Row], [DISGUISE]],Sheet1!$A$21:$A$23,Sheet1!$C$21:$C$23))</f>
        <v>10400</v>
      </c>
      <c r="H881" s="13" t="s">
        <v>63</v>
      </c>
      <c r="I881" s="4">
        <f>_xlfn.XLOOKUP(Table1[[#This Row], [WEAPON]],Sheet1!$A$27:$A$29,Sheet1!$B$27:$B$29)*Table1[[#This Row], [NUM OF MEM]]*(1+_xlfn.XLOOKUP(Table1[[#This Row], [WEAPON]],Sheet1!$A$27:$A$29,Sheet1!$C$27:$C$29))</f>
        <v>46000</v>
      </c>
      <c r="J881" t="s">
        <v>64</v>
      </c>
      <c r="K881" s="9">
        <f>Table1[[#This Row], [NUM OF MEM]]*Table1[[#This Row], [TOTAL TIME TAKEN]]*_xlfn.XLOOKUP(Table1[[#This Row], [EXIT]],Sheet1!$A$70:$A$71,Sheet1!$B$70:$B$71)*(1+_xlfn.XLOOKUP(Table1[[#This Row], [EXIT]],Sheet1!$A$70:$A$71,Sheet1!$C$70:$C$71))</f>
        <v>1639310.3999999997</v>
      </c>
      <c r="L881" s="13" t="s">
        <v>65</v>
      </c>
      <c r="M881" s="4">
        <f>IF(Table1[[#This Row], [EQUIPMENT]]="YES",Sheet1!$C$44*(1+Sheet1!$D$44),0)</f>
        <v>307500</v>
      </c>
      <c r="N881" s="4">
        <f>_xlfn.XLOOKUP(Table1[[#This Row], [ROOM]],Sheet1!$A$47:$A$66,Sheet1!$F$47:$F$66)</f>
        <v>17700000</v>
      </c>
      <c r="O881" s="9">
        <f>_xlfn.XLOOKUP(_xlfn.CONCAT(Table1[[#This Row], [TEAM]],Table1[[#This Row], [ROOM]]),'ROOM TIME'!$H$2:$H$121,'ROOM TIME'!$J$2:$J$121)</f>
        <v>55.819999999999986</v>
      </c>
      <c r="P881" s="9">
        <f>(INDEX(Sheet1!$X$48:$Z$67,MATCH(Table1[[#This Row], [ROOM]],Sheet1!$P$48:$P$67,0),MATCH(Table1[[#This Row], [WEAPON]],Sheet1!$X$47:$Z$47,0)))/Table1[[#This Row], [NUM OF MEM]]</f>
        <v>7.4250000000000007</v>
      </c>
      <c r="Q881" s="9">
        <f>Table1[[#This Row], [ROOM TIME]]+Table1[[#This Row], [GUARD TIME]]</f>
        <v>63.24499999999999</v>
      </c>
      <c r="R881" s="4">
        <f>Sheet1!$K$3*_xlfn.XLOOKUP(Table1[[#This Row], [DISGUISE]],Sheet1!$A$21:$A$23,Sheet1!$D$21:$D$23)</f>
        <v>66</v>
      </c>
      <c r="S881" s="9">
        <f>Table1[[#This Row], [TOTAL TIME]]-Table1[[#This Row], [TOTAL TIME TAKEN]]</f>
        <v>2.7550000000000097</v>
      </c>
      <c r="T881" t="str">
        <f>IF(Table1[[#This Row], [TIME DIFFERENCE]]&gt;=0,"PASS","FAIL")</f>
        <v>PASS</v>
      </c>
      <c r="U881" s="9">
        <f>Table1[[#This Row], [TRC]]+Table1[[#This Row], [DRC]]+Table1[[#This Row], [WRC]]+Table1[[#This Row], [ERC]]+Table1[[#This Row], [EQRC]]</f>
        <v>8086010.3999999994</v>
      </c>
      <c r="V881" s="9">
        <f>Table1[[#This Row], [TOTAL COST]]+_xlfn.XLOOKUP(Table1[[#This Row], [TEAM]],Sheet1!$A$12:$A$17,Sheet1!$I$12:$I$17)</f>
        <v>8390150.3999999985</v>
      </c>
      <c r="W881" s="9">
        <f>Table1[[#This Row], [LOOT]]-Table1[[#This Row], [TOTAL COST]]</f>
        <v>9613989.6000000015</v>
      </c>
      <c r="X881" s="9">
        <f>IF(Table1[[#This Row], [PASS/FAIL]]="FAIL",0,Table1[[#This Row], [PROFIT]])</f>
        <v>9613989.6000000015</v>
      </c>
    </row>
    <row r="882" spans="1:24" ht="19.5" customHeight="1" x14ac:dyDescent="0.45">
      <c r="A882" t="s">
        <v>15</v>
      </c>
      <c r="B882" s="14">
        <f>_xlfn.XLOOKUP(Table1[[#This Row], [TEAM]],Sheet1!$A$12:$A$17,Sheet1!$F$12:$F$17)</f>
        <v>2</v>
      </c>
      <c r="C882" s="14">
        <f>_xlfn.XLOOKUP(Table1[[#This Row], [TEAM]],Sheet1!$A$12:$A$17,Sheet1!$G$12:$G$17)</f>
        <v>5932950</v>
      </c>
      <c r="D882" t="s">
        <v>30</v>
      </c>
      <c r="E882" s="4">
        <f>_xlfn.XLOOKUP(Table1[[#This Row], [ROOM]],Sheet1!$A$47:$A$66,Sheet1!$B$47:$B$66)</f>
        <v>246</v>
      </c>
      <c r="F882" t="s">
        <v>58</v>
      </c>
      <c r="G882" s="4">
        <f>_xlfn.XLOOKUP(Table1[[#This Row], [DISGUISE]],Sheet1!$A$21:$A$23,Sheet1!$B$21:$B$23)*Table1[[#This Row], [NUM OF MEM]]*(1+_xlfn.XLOOKUP(Table1[[#This Row], [DISGUISE]],Sheet1!$A$21:$A$23,Sheet1!$C$21:$C$23))</f>
        <v>25600</v>
      </c>
      <c r="H882" s="13" t="s">
        <v>63</v>
      </c>
      <c r="I882" s="4">
        <f>_xlfn.XLOOKUP(Table1[[#This Row], [WEAPON]],Sheet1!$A$27:$A$29,Sheet1!$B$27:$B$29)*Table1[[#This Row], [NUM OF MEM]]*(1+_xlfn.XLOOKUP(Table1[[#This Row], [WEAPON]],Sheet1!$A$27:$A$29,Sheet1!$C$27:$C$29))</f>
        <v>46000</v>
      </c>
      <c r="J882" t="s">
        <v>60</v>
      </c>
      <c r="K882" s="9">
        <f>Table1[[#This Row], [NUM OF MEM]]*Table1[[#This Row], [TOTAL TIME TAKEN]]*_xlfn.XLOOKUP(Table1[[#This Row], [EXIT]],Sheet1!$A$70:$A$71,Sheet1!$B$70:$B$71)*(1+_xlfn.XLOOKUP(Table1[[#This Row], [EXIT]],Sheet1!$A$70:$A$71,Sheet1!$C$70:$C$71))</f>
        <v>1673967.54375</v>
      </c>
      <c r="L882" s="13" t="s">
        <v>65</v>
      </c>
      <c r="M882" s="4">
        <f>IF(Table1[[#This Row], [EQUIPMENT]]="YES",Sheet1!$C$44*(1+Sheet1!$D$44),0)</f>
        <v>307500</v>
      </c>
      <c r="N882" s="4">
        <f>_xlfn.XLOOKUP(Table1[[#This Row], [ROOM]],Sheet1!$A$47:$A$66,Sheet1!$F$47:$F$66)</f>
        <v>17600000</v>
      </c>
      <c r="O882" s="9">
        <f>_xlfn.XLOOKUP(_xlfn.CONCAT(Table1[[#This Row], [TEAM]],Table1[[#This Row], [ROOM]]),'ROOM TIME'!$H$2:$H$121,'ROOM TIME'!$J$2:$J$121)</f>
        <v>57.123749999999987</v>
      </c>
      <c r="P882" s="9">
        <f>(INDEX(Sheet1!$X$48:$Z$67,MATCH(Table1[[#This Row], [ROOM]],Sheet1!$P$48:$P$67,0),MATCH(Table1[[#This Row], [WEAPON]],Sheet1!$X$47:$Z$47,0)))/Table1[[#This Row], [NUM OF MEM]]</f>
        <v>8.1000000000000014</v>
      </c>
      <c r="Q882" s="9">
        <f>Table1[[#This Row], [ROOM TIME]]+Table1[[#This Row], [GUARD TIME]]</f>
        <v>65.223749999999995</v>
      </c>
      <c r="R882" s="4">
        <f>Sheet1!$K$3*_xlfn.XLOOKUP(Table1[[#This Row], [DISGUISE]],Sheet1!$A$21:$A$23,Sheet1!$D$21:$D$23)</f>
        <v>69</v>
      </c>
      <c r="S882" s="9">
        <f>Table1[[#This Row], [TOTAL TIME]]-Table1[[#This Row], [TOTAL TIME TAKEN]]</f>
        <v>3.7762500000000045</v>
      </c>
      <c r="T882" t="str">
        <f>IF(Table1[[#This Row], [TIME DIFFERENCE]]&gt;=0,"PASS","FAIL")</f>
        <v>PASS</v>
      </c>
      <c r="U882" s="9">
        <f>Table1[[#This Row], [TRC]]+Table1[[#This Row], [DRC]]+Table1[[#This Row], [WRC]]+Table1[[#This Row], [ERC]]+Table1[[#This Row], [EQRC]]</f>
        <v>7986017.5437500002</v>
      </c>
      <c r="V882" s="9">
        <f>Table1[[#This Row], [TOTAL COST]]+_xlfn.XLOOKUP(Table1[[#This Row], [TEAM]],Sheet1!$A$12:$A$17,Sheet1!$I$12:$I$17)</f>
        <v>8282665.0437500002</v>
      </c>
      <c r="W882" s="9">
        <f>Table1[[#This Row], [LOOT]]-Table1[[#This Row], [TOTAL COST]]</f>
        <v>9613982.4562500007</v>
      </c>
      <c r="X882" s="9">
        <f>IF(Table1[[#This Row], [PASS/FAIL]]="FAIL",0,Table1[[#This Row], [PROFIT]])</f>
        <v>9613982.4562500007</v>
      </c>
    </row>
    <row r="883" spans="1:24" ht="19.5" customHeight="1" x14ac:dyDescent="0.45">
      <c r="A883" t="s">
        <v>12</v>
      </c>
      <c r="B883" s="14">
        <f>_xlfn.XLOOKUP(Table1[[#This Row], [TEAM]],Sheet1!$A$12:$A$17,Sheet1!$F$12:$F$17)</f>
        <v>3</v>
      </c>
      <c r="C883" s="14">
        <f>_xlfn.XLOOKUP(Table1[[#This Row], [TEAM]],Sheet1!$A$12:$A$17,Sheet1!$G$12:$G$17)</f>
        <v>5988750</v>
      </c>
      <c r="D883" t="s">
        <v>11</v>
      </c>
      <c r="E883" s="4">
        <f>_xlfn.XLOOKUP(Table1[[#This Row], [ROOM]],Sheet1!$A$47:$A$66,Sheet1!$B$47:$B$66)</f>
        <v>124</v>
      </c>
      <c r="F883" t="s">
        <v>62</v>
      </c>
      <c r="G883" s="4">
        <f>_xlfn.XLOOKUP(Table1[[#This Row], [DISGUISE]],Sheet1!$A$21:$A$23,Sheet1!$B$21:$B$23)*Table1[[#This Row], [NUM OF MEM]]*(1+_xlfn.XLOOKUP(Table1[[#This Row], [DISGUISE]],Sheet1!$A$21:$A$23,Sheet1!$C$21:$C$23))</f>
        <v>15600</v>
      </c>
      <c r="H883" s="13" t="s">
        <v>63</v>
      </c>
      <c r="I883" s="4">
        <f>_xlfn.XLOOKUP(Table1[[#This Row], [WEAPON]],Sheet1!$A$27:$A$29,Sheet1!$B$27:$B$29)*Table1[[#This Row], [NUM OF MEM]]*(1+_xlfn.XLOOKUP(Table1[[#This Row], [WEAPON]],Sheet1!$A$27:$A$29,Sheet1!$C$27:$C$29))</f>
        <v>69000</v>
      </c>
      <c r="J883" t="s">
        <v>64</v>
      </c>
      <c r="K883" s="9">
        <f>Table1[[#This Row], [NUM OF MEM]]*Table1[[#This Row], [TOTAL TIME TAKEN]]*_xlfn.XLOOKUP(Table1[[#This Row], [EXIT]],Sheet1!$A$70:$A$71,Sheet1!$B$70:$B$71)*(1+_xlfn.XLOOKUP(Table1[[#This Row], [EXIT]],Sheet1!$A$70:$A$71,Sheet1!$C$70:$C$71))</f>
        <v>1763251.1999999997</v>
      </c>
      <c r="L883" s="13" t="s">
        <v>61</v>
      </c>
      <c r="M883" s="4">
        <f>IF(Table1[[#This Row], [EQUIPMENT]]="YES",Sheet1!$C$44*(1+Sheet1!$D$44),0)</f>
        <v>0</v>
      </c>
      <c r="N883" s="4">
        <f>_xlfn.XLOOKUP(Table1[[#This Row], [ROOM]],Sheet1!$A$47:$A$66,Sheet1!$F$47:$F$66)</f>
        <v>17450000</v>
      </c>
      <c r="O883" s="9">
        <f>_xlfn.XLOOKUP(_xlfn.CONCAT(Table1[[#This Row], [TEAM]],Table1[[#This Row], [ROOM]]),'ROOM TIME'!$H$2:$H$121,'ROOM TIME'!$J$2:$J$121)</f>
        <v>40.401111111111099</v>
      </c>
      <c r="P883" s="9">
        <f>(INDEX(Sheet1!$X$48:$Z$67,MATCH(Table1[[#This Row], [ROOM]],Sheet1!$P$48:$P$67,0),MATCH(Table1[[#This Row], [WEAPON]],Sheet1!$X$47:$Z$47,0)))/Table1[[#This Row], [NUM OF MEM]]</f>
        <v>4.95</v>
      </c>
      <c r="Q883" s="9">
        <f>Table1[[#This Row], [ROOM TIME]]+Table1[[#This Row], [GUARD TIME]]</f>
        <v>45.351111111111102</v>
      </c>
      <c r="R883" s="4">
        <f>Sheet1!$K$3*_xlfn.XLOOKUP(Table1[[#This Row], [DISGUISE]],Sheet1!$A$21:$A$23,Sheet1!$D$21:$D$23)</f>
        <v>66</v>
      </c>
      <c r="S883" s="9">
        <f>Table1[[#This Row], [TOTAL TIME]]-Table1[[#This Row], [TOTAL TIME TAKEN]]</f>
        <v>20.648888888888898</v>
      </c>
      <c r="T883" t="str">
        <f>IF(Table1[[#This Row], [TIME DIFFERENCE]]&gt;=0,"PASS","FAIL")</f>
        <v>PASS</v>
      </c>
      <c r="U883" s="9">
        <f>Table1[[#This Row], [TRC]]+Table1[[#This Row], [DRC]]+Table1[[#This Row], [WRC]]+Table1[[#This Row], [ERC]]+Table1[[#This Row], [EQRC]]</f>
        <v>7836601.1999999993</v>
      </c>
      <c r="V883" s="9">
        <f>Table1[[#This Row], [TOTAL COST]]+_xlfn.XLOOKUP(Table1[[#This Row], [TEAM]],Sheet1!$A$12:$A$17,Sheet1!$I$12:$I$17)</f>
        <v>8136038.6999999993</v>
      </c>
      <c r="W883" s="9">
        <f>Table1[[#This Row], [LOOT]]-Table1[[#This Row], [TOTAL COST]]</f>
        <v>9613398.8000000007</v>
      </c>
      <c r="X883" s="9">
        <f>IF(Table1[[#This Row], [PASS/FAIL]]="FAIL",0,Table1[[#This Row], [PROFIT]])</f>
        <v>9613398.8000000007</v>
      </c>
    </row>
    <row r="884" spans="1:24" ht="19.5" customHeight="1" x14ac:dyDescent="0.45">
      <c r="A884" t="s">
        <v>16</v>
      </c>
      <c r="B884" s="14">
        <f>_xlfn.XLOOKUP(Table1[[#This Row], [TEAM]],Sheet1!$A$12:$A$17,Sheet1!$F$12:$F$17)</f>
        <v>2</v>
      </c>
      <c r="C884" s="14">
        <f>_xlfn.XLOOKUP(Table1[[#This Row], [TEAM]],Sheet1!$A$12:$A$17,Sheet1!$G$12:$G$17)</f>
        <v>6082800</v>
      </c>
      <c r="D884" t="s">
        <v>34</v>
      </c>
      <c r="E884" s="4">
        <f>_xlfn.XLOOKUP(Table1[[#This Row], [ROOM]],Sheet1!$A$47:$A$66,Sheet1!$B$47:$B$66)</f>
        <v>456</v>
      </c>
      <c r="F884" t="s">
        <v>62</v>
      </c>
      <c r="G884" s="4">
        <f>_xlfn.XLOOKUP(Table1[[#This Row], [DISGUISE]],Sheet1!$A$21:$A$23,Sheet1!$B$21:$B$23)*Table1[[#This Row], [NUM OF MEM]]*(1+_xlfn.XLOOKUP(Table1[[#This Row], [DISGUISE]],Sheet1!$A$21:$A$23,Sheet1!$C$21:$C$23))</f>
        <v>10400</v>
      </c>
      <c r="H884" s="13" t="s">
        <v>59</v>
      </c>
      <c r="I884" s="4">
        <f>_xlfn.XLOOKUP(Table1[[#This Row], [WEAPON]],Sheet1!$A$27:$A$29,Sheet1!$B$27:$B$29)*Table1[[#This Row], [NUM OF MEM]]*(1+_xlfn.XLOOKUP(Table1[[#This Row], [WEAPON]],Sheet1!$A$27:$A$29,Sheet1!$C$27:$C$29))</f>
        <v>91000</v>
      </c>
      <c r="J884" t="s">
        <v>60</v>
      </c>
      <c r="K884" s="9">
        <f>Table1[[#This Row], [NUM OF MEM]]*Table1[[#This Row], [TOTAL TIME TAKEN]]*_xlfn.XLOOKUP(Table1[[#This Row], [EXIT]],Sheet1!$A$70:$A$71,Sheet1!$B$70:$B$71)*(1+_xlfn.XLOOKUP(Table1[[#This Row], [EXIT]],Sheet1!$A$70:$A$71,Sheet1!$C$70:$C$71))</f>
        <v>1594951.4249999996</v>
      </c>
      <c r="L884" s="13" t="s">
        <v>65</v>
      </c>
      <c r="M884" s="4">
        <f>IF(Table1[[#This Row], [EQUIPMENT]]="YES",Sheet1!$C$44*(1+Sheet1!$D$44),0)</f>
        <v>307500</v>
      </c>
      <c r="N884" s="4">
        <f>_xlfn.XLOOKUP(Table1[[#This Row], [ROOM]],Sheet1!$A$47:$A$66,Sheet1!$F$47:$F$66)</f>
        <v>17700000</v>
      </c>
      <c r="O884" s="9">
        <f>_xlfn.XLOOKUP(_xlfn.CONCAT(Table1[[#This Row], [TEAM]],Table1[[#This Row], [ROOM]]),'ROOM TIME'!$H$2:$H$121,'ROOM TIME'!$J$2:$J$121)</f>
        <v>55.819999999999986</v>
      </c>
      <c r="P884" s="9">
        <f>(INDEX(Sheet1!$X$48:$Z$67,MATCH(Table1[[#This Row], [ROOM]],Sheet1!$P$48:$P$67,0),MATCH(Table1[[#This Row], [WEAPON]],Sheet1!$X$47:$Z$47,0)))/Table1[[#This Row], [NUM OF MEM]]</f>
        <v>6.3249999999999993</v>
      </c>
      <c r="Q884" s="9">
        <f>Table1[[#This Row], [ROOM TIME]]+Table1[[#This Row], [GUARD TIME]]</f>
        <v>62.144999999999982</v>
      </c>
      <c r="R884" s="4">
        <f>Sheet1!$K$3*_xlfn.XLOOKUP(Table1[[#This Row], [DISGUISE]],Sheet1!$A$21:$A$23,Sheet1!$D$21:$D$23)</f>
        <v>66</v>
      </c>
      <c r="S884" s="9">
        <f>Table1[[#This Row], [TOTAL TIME]]-Table1[[#This Row], [TOTAL TIME TAKEN]]</f>
        <v>3.8550000000000182</v>
      </c>
      <c r="T884" t="str">
        <f>IF(Table1[[#This Row], [TIME DIFFERENCE]]&gt;=0,"PASS","FAIL")</f>
        <v>PASS</v>
      </c>
      <c r="U884" s="9">
        <f>Table1[[#This Row], [TRC]]+Table1[[#This Row], [DRC]]+Table1[[#This Row], [WRC]]+Table1[[#This Row], [ERC]]+Table1[[#This Row], [EQRC]]</f>
        <v>8086651.4249999998</v>
      </c>
      <c r="V884" s="9">
        <f>Table1[[#This Row], [TOTAL COST]]+_xlfn.XLOOKUP(Table1[[#This Row], [TEAM]],Sheet1!$A$12:$A$17,Sheet1!$I$12:$I$17)</f>
        <v>8390791.4250000007</v>
      </c>
      <c r="W884" s="9">
        <f>Table1[[#This Row], [LOOT]]-Table1[[#This Row], [TOTAL COST]]</f>
        <v>9613348.5749999993</v>
      </c>
      <c r="X884" s="9">
        <f>IF(Table1[[#This Row], [PASS/FAIL]]="FAIL",0,Table1[[#This Row], [PROFIT]])</f>
        <v>9613348.5749999993</v>
      </c>
    </row>
    <row r="885" spans="1:24" ht="19.5" customHeight="1" x14ac:dyDescent="0.45">
      <c r="A885" t="s">
        <v>14</v>
      </c>
      <c r="B885" s="14">
        <f>_xlfn.XLOOKUP(Table1[[#This Row], [TEAM]],Sheet1!$A$12:$A$17,Sheet1!$F$12:$F$17)</f>
        <v>2</v>
      </c>
      <c r="C885" s="14">
        <f>_xlfn.XLOOKUP(Table1[[#This Row], [TEAM]],Sheet1!$A$12:$A$17,Sheet1!$G$12:$G$17)</f>
        <v>5949600</v>
      </c>
      <c r="D885" t="s">
        <v>30</v>
      </c>
      <c r="E885" s="4">
        <f>_xlfn.XLOOKUP(Table1[[#This Row], [ROOM]],Sheet1!$A$47:$A$66,Sheet1!$B$47:$B$66)</f>
        <v>246</v>
      </c>
      <c r="F885" t="s">
        <v>58</v>
      </c>
      <c r="G885" s="4">
        <f>_xlfn.XLOOKUP(Table1[[#This Row], [DISGUISE]],Sheet1!$A$21:$A$23,Sheet1!$B$21:$B$23)*Table1[[#This Row], [NUM OF MEM]]*(1+_xlfn.XLOOKUP(Table1[[#This Row], [DISGUISE]],Sheet1!$A$21:$A$23,Sheet1!$C$21:$C$23))</f>
        <v>25600</v>
      </c>
      <c r="H885" s="13" t="s">
        <v>63</v>
      </c>
      <c r="I885" s="4">
        <f>_xlfn.XLOOKUP(Table1[[#This Row], [WEAPON]],Sheet1!$A$27:$A$29,Sheet1!$B$27:$B$29)*Table1[[#This Row], [NUM OF MEM]]*(1+_xlfn.XLOOKUP(Table1[[#This Row], [WEAPON]],Sheet1!$A$27:$A$29,Sheet1!$C$27:$C$29))</f>
        <v>46000</v>
      </c>
      <c r="J885" t="s">
        <v>60</v>
      </c>
      <c r="K885" s="9">
        <f>Table1[[#This Row], [NUM OF MEM]]*Table1[[#This Row], [TOTAL TIME TAKEN]]*_xlfn.XLOOKUP(Table1[[#This Row], [EXIT]],Sheet1!$A$70:$A$71,Sheet1!$B$70:$B$71)*(1+_xlfn.XLOOKUP(Table1[[#This Row], [EXIT]],Sheet1!$A$70:$A$71,Sheet1!$C$70:$C$71))</f>
        <v>1658279.8124999995</v>
      </c>
      <c r="L885" s="13" t="s">
        <v>65</v>
      </c>
      <c r="M885" s="4">
        <f>IF(Table1[[#This Row], [EQUIPMENT]]="YES",Sheet1!$C$44*(1+Sheet1!$D$44),0)</f>
        <v>307500</v>
      </c>
      <c r="N885" s="4">
        <f>_xlfn.XLOOKUP(Table1[[#This Row], [ROOM]],Sheet1!$A$47:$A$66,Sheet1!$F$47:$F$66)</f>
        <v>17600000</v>
      </c>
      <c r="O885" s="9">
        <f>_xlfn.XLOOKUP(_xlfn.CONCAT(Table1[[#This Row], [TEAM]],Table1[[#This Row], [ROOM]]),'ROOM TIME'!$H$2:$H$121,'ROOM TIME'!$J$2:$J$121)</f>
        <v>56.512499999999982</v>
      </c>
      <c r="P885" s="9">
        <f>(INDEX(Sheet1!$X$48:$Z$67,MATCH(Table1[[#This Row], [ROOM]],Sheet1!$P$48:$P$67,0),MATCH(Table1[[#This Row], [WEAPON]],Sheet1!$X$47:$Z$47,0)))/Table1[[#This Row], [NUM OF MEM]]</f>
        <v>8.1000000000000014</v>
      </c>
      <c r="Q885" s="9">
        <f>Table1[[#This Row], [ROOM TIME]]+Table1[[#This Row], [GUARD TIME]]</f>
        <v>64.612499999999983</v>
      </c>
      <c r="R885" s="4">
        <f>Sheet1!$K$3*_xlfn.XLOOKUP(Table1[[#This Row], [DISGUISE]],Sheet1!$A$21:$A$23,Sheet1!$D$21:$D$23)</f>
        <v>69</v>
      </c>
      <c r="S885" s="9">
        <f>Table1[[#This Row], [TOTAL TIME]]-Table1[[#This Row], [TOTAL TIME TAKEN]]</f>
        <v>4.3875000000000171</v>
      </c>
      <c r="T885" t="str">
        <f>IF(Table1[[#This Row], [TIME DIFFERENCE]]&gt;=0,"PASS","FAIL")</f>
        <v>PASS</v>
      </c>
      <c r="U885" s="9">
        <f>Table1[[#This Row], [TRC]]+Table1[[#This Row], [DRC]]+Table1[[#This Row], [WRC]]+Table1[[#This Row], [ERC]]+Table1[[#This Row], [EQRC]]</f>
        <v>7986979.8125</v>
      </c>
      <c r="V885" s="9">
        <f>Table1[[#This Row], [TOTAL COST]]+_xlfn.XLOOKUP(Table1[[#This Row], [TEAM]],Sheet1!$A$12:$A$17,Sheet1!$I$12:$I$17)</f>
        <v>8284459.8125</v>
      </c>
      <c r="W885" s="9">
        <f>Table1[[#This Row], [LOOT]]-Table1[[#This Row], [TOTAL COST]]</f>
        <v>9613020.1875</v>
      </c>
      <c r="X885" s="9">
        <f>IF(Table1[[#This Row], [PASS/FAIL]]="FAIL",0,Table1[[#This Row], [PROFIT]])</f>
        <v>9613020.1875</v>
      </c>
    </row>
    <row r="886" spans="1:24" ht="19.5" customHeight="1" x14ac:dyDescent="0.45">
      <c r="A886" t="s">
        <v>15</v>
      </c>
      <c r="B886" s="14">
        <f>_xlfn.XLOOKUP(Table1[[#This Row], [TEAM]],Sheet1!$A$12:$A$17,Sheet1!$F$12:$F$17)</f>
        <v>2</v>
      </c>
      <c r="C886" s="14">
        <f>_xlfn.XLOOKUP(Table1[[#This Row], [TEAM]],Sheet1!$A$12:$A$17,Sheet1!$G$12:$G$17)</f>
        <v>5932950</v>
      </c>
      <c r="D886" t="s">
        <v>30</v>
      </c>
      <c r="E886" s="4">
        <f>_xlfn.XLOOKUP(Table1[[#This Row], [ROOM]],Sheet1!$A$47:$A$66,Sheet1!$B$47:$B$66)</f>
        <v>246</v>
      </c>
      <c r="F886" t="s">
        <v>62</v>
      </c>
      <c r="G886" s="4">
        <f>_xlfn.XLOOKUP(Table1[[#This Row], [DISGUISE]],Sheet1!$A$21:$A$23,Sheet1!$B$21:$B$23)*Table1[[#This Row], [NUM OF MEM]]*(1+_xlfn.XLOOKUP(Table1[[#This Row], [DISGUISE]],Sheet1!$A$21:$A$23,Sheet1!$C$21:$C$23))</f>
        <v>10400</v>
      </c>
      <c r="H886" s="13" t="s">
        <v>63</v>
      </c>
      <c r="I886" s="4">
        <f>_xlfn.XLOOKUP(Table1[[#This Row], [WEAPON]],Sheet1!$A$27:$A$29,Sheet1!$B$27:$B$29)*Table1[[#This Row], [NUM OF MEM]]*(1+_xlfn.XLOOKUP(Table1[[#This Row], [WEAPON]],Sheet1!$A$27:$A$29,Sheet1!$C$27:$C$29))</f>
        <v>46000</v>
      </c>
      <c r="J886" t="s">
        <v>64</v>
      </c>
      <c r="K886" s="9">
        <f>Table1[[#This Row], [NUM OF MEM]]*Table1[[#This Row], [TOTAL TIME TAKEN]]*_xlfn.XLOOKUP(Table1[[#This Row], [EXIT]],Sheet1!$A$70:$A$71,Sheet1!$B$70:$B$71)*(1+_xlfn.XLOOKUP(Table1[[#This Row], [EXIT]],Sheet1!$A$70:$A$71,Sheet1!$C$70:$C$71))</f>
        <v>1690599.5999999999</v>
      </c>
      <c r="L886" s="13" t="s">
        <v>65</v>
      </c>
      <c r="M886" s="4">
        <f>IF(Table1[[#This Row], [EQUIPMENT]]="YES",Sheet1!$C$44*(1+Sheet1!$D$44),0)</f>
        <v>307500</v>
      </c>
      <c r="N886" s="4">
        <f>_xlfn.XLOOKUP(Table1[[#This Row], [ROOM]],Sheet1!$A$47:$A$66,Sheet1!$F$47:$F$66)</f>
        <v>17600000</v>
      </c>
      <c r="O886" s="9">
        <f>_xlfn.XLOOKUP(_xlfn.CONCAT(Table1[[#This Row], [TEAM]],Table1[[#This Row], [ROOM]]),'ROOM TIME'!$H$2:$H$121,'ROOM TIME'!$J$2:$J$121)</f>
        <v>57.123749999999987</v>
      </c>
      <c r="P886" s="9">
        <f>(INDEX(Sheet1!$X$48:$Z$67,MATCH(Table1[[#This Row], [ROOM]],Sheet1!$P$48:$P$67,0),MATCH(Table1[[#This Row], [WEAPON]],Sheet1!$X$47:$Z$47,0)))/Table1[[#This Row], [NUM OF MEM]]</f>
        <v>8.1000000000000014</v>
      </c>
      <c r="Q886" s="9">
        <f>Table1[[#This Row], [ROOM TIME]]+Table1[[#This Row], [GUARD TIME]]</f>
        <v>65.223749999999995</v>
      </c>
      <c r="R886" s="4">
        <f>Sheet1!$K$3*_xlfn.XLOOKUP(Table1[[#This Row], [DISGUISE]],Sheet1!$A$21:$A$23,Sheet1!$D$21:$D$23)</f>
        <v>66</v>
      </c>
      <c r="S886" s="9">
        <f>Table1[[#This Row], [TOTAL TIME]]-Table1[[#This Row], [TOTAL TIME TAKEN]]</f>
        <v>0.77625000000000455</v>
      </c>
      <c r="T886" t="str">
        <f>IF(Table1[[#This Row], [TIME DIFFERENCE]]&gt;=0,"PASS","FAIL")</f>
        <v>PASS</v>
      </c>
      <c r="U886" s="9">
        <f>Table1[[#This Row], [TRC]]+Table1[[#This Row], [DRC]]+Table1[[#This Row], [WRC]]+Table1[[#This Row], [ERC]]+Table1[[#This Row], [EQRC]]</f>
        <v>7987449.5999999996</v>
      </c>
      <c r="V886" s="9">
        <f>Table1[[#This Row], [TOTAL COST]]+_xlfn.XLOOKUP(Table1[[#This Row], [TEAM]],Sheet1!$A$12:$A$17,Sheet1!$I$12:$I$17)</f>
        <v>8284097.0999999996</v>
      </c>
      <c r="W886" s="9">
        <f>Table1[[#This Row], [LOOT]]-Table1[[#This Row], [TOTAL COST]]</f>
        <v>9612550.4000000004</v>
      </c>
      <c r="X886" s="9">
        <f>IF(Table1[[#This Row], [PASS/FAIL]]="FAIL",0,Table1[[#This Row], [PROFIT]])</f>
        <v>9612550.4000000004</v>
      </c>
    </row>
    <row r="887" spans="1:24" ht="19.5" customHeight="1" x14ac:dyDescent="0.45">
      <c r="A887" t="s">
        <v>12</v>
      </c>
      <c r="B887" s="14">
        <f>_xlfn.XLOOKUP(Table1[[#This Row], [TEAM]],Sheet1!$A$12:$A$17,Sheet1!$F$12:$F$17)</f>
        <v>3</v>
      </c>
      <c r="C887" s="14">
        <f>_xlfn.XLOOKUP(Table1[[#This Row], [TEAM]],Sheet1!$A$12:$A$17,Sheet1!$G$12:$G$17)</f>
        <v>5988750</v>
      </c>
      <c r="D887" t="s">
        <v>21</v>
      </c>
      <c r="E887" s="4">
        <f>_xlfn.XLOOKUP(Table1[[#This Row], [ROOM]],Sheet1!$A$47:$A$66,Sheet1!$B$47:$B$66)</f>
        <v>234</v>
      </c>
      <c r="F887" t="s">
        <v>58</v>
      </c>
      <c r="G887" s="4">
        <f>_xlfn.XLOOKUP(Table1[[#This Row], [DISGUISE]],Sheet1!$A$21:$A$23,Sheet1!$B$21:$B$23)*Table1[[#This Row], [NUM OF MEM]]*(1+_xlfn.XLOOKUP(Table1[[#This Row], [DISGUISE]],Sheet1!$A$21:$A$23,Sheet1!$C$21:$C$23))</f>
        <v>38400</v>
      </c>
      <c r="H887" s="13" t="s">
        <v>59</v>
      </c>
      <c r="I887" s="4">
        <f>_xlfn.XLOOKUP(Table1[[#This Row], [WEAPON]],Sheet1!$A$27:$A$29,Sheet1!$B$27:$B$29)*Table1[[#This Row], [NUM OF MEM]]*(1+_xlfn.XLOOKUP(Table1[[#This Row], [WEAPON]],Sheet1!$A$27:$A$29,Sheet1!$C$27:$C$29))</f>
        <v>136500</v>
      </c>
      <c r="J887" t="s">
        <v>64</v>
      </c>
      <c r="K887" s="9">
        <f>Table1[[#This Row], [NUM OF MEM]]*Table1[[#This Row], [TOTAL TIME TAKEN]]*_xlfn.XLOOKUP(Table1[[#This Row], [EXIT]],Sheet1!$A$70:$A$71,Sheet1!$B$70:$B$71)*(1+_xlfn.XLOOKUP(Table1[[#This Row], [EXIT]],Sheet1!$A$70:$A$71,Sheet1!$C$70:$C$71))</f>
        <v>1816948.7999999993</v>
      </c>
      <c r="L887" s="13" t="s">
        <v>65</v>
      </c>
      <c r="M887" s="4">
        <f>IF(Table1[[#This Row], [EQUIPMENT]]="YES",Sheet1!$C$44*(1+Sheet1!$D$44),0)</f>
        <v>307500</v>
      </c>
      <c r="N887" s="4">
        <f>_xlfn.XLOOKUP(Table1[[#This Row], [ROOM]],Sheet1!$A$47:$A$66,Sheet1!$F$47:$F$66)</f>
        <v>17900000</v>
      </c>
      <c r="O887" s="9">
        <f>_xlfn.XLOOKUP(_xlfn.CONCAT(Table1[[#This Row], [TEAM]],Table1[[#This Row], [ROOM]]),'ROOM TIME'!$H$2:$H$121,'ROOM TIME'!$J$2:$J$121)</f>
        <v>41.748888888888878</v>
      </c>
      <c r="P887" s="9">
        <f>(INDEX(Sheet1!$X$48:$Z$67,MATCH(Table1[[#This Row], [ROOM]],Sheet1!$P$48:$P$67,0),MATCH(Table1[[#This Row], [WEAPON]],Sheet1!$X$47:$Z$47,0)))/Table1[[#This Row], [NUM OF MEM]]</f>
        <v>4.9833333333333334</v>
      </c>
      <c r="Q887" s="9">
        <f>Table1[[#This Row], [ROOM TIME]]+Table1[[#This Row], [GUARD TIME]]</f>
        <v>46.732222222222212</v>
      </c>
      <c r="R887" s="4">
        <f>Sheet1!$K$3*_xlfn.XLOOKUP(Table1[[#This Row], [DISGUISE]],Sheet1!$A$21:$A$23,Sheet1!$D$21:$D$23)</f>
        <v>69</v>
      </c>
      <c r="S887" s="9">
        <f>Table1[[#This Row], [TOTAL TIME]]-Table1[[#This Row], [TOTAL TIME TAKEN]]</f>
        <v>22.267777777777788</v>
      </c>
      <c r="T887" t="str">
        <f>IF(Table1[[#This Row], [TIME DIFFERENCE]]&gt;=0,"PASS","FAIL")</f>
        <v>PASS</v>
      </c>
      <c r="U887" s="9">
        <f>Table1[[#This Row], [TRC]]+Table1[[#This Row], [DRC]]+Table1[[#This Row], [WRC]]+Table1[[#This Row], [ERC]]+Table1[[#This Row], [EQRC]]</f>
        <v>8288098.7999999989</v>
      </c>
      <c r="V887" s="9">
        <f>Table1[[#This Row], [TOTAL COST]]+_xlfn.XLOOKUP(Table1[[#This Row], [TEAM]],Sheet1!$A$12:$A$17,Sheet1!$I$12:$I$17)</f>
        <v>8587536.2999999989</v>
      </c>
      <c r="W887" s="9">
        <f>Table1[[#This Row], [LOOT]]-Table1[[#This Row], [TOTAL COST]]</f>
        <v>9611901.2000000011</v>
      </c>
      <c r="X887" s="9">
        <f>IF(Table1[[#This Row], [PASS/FAIL]]="FAIL",0,Table1[[#This Row], [PROFIT]])</f>
        <v>9611901.2000000011</v>
      </c>
    </row>
    <row r="888" spans="1:24" ht="19.5" customHeight="1" x14ac:dyDescent="0.45">
      <c r="A888" t="s">
        <v>14</v>
      </c>
      <c r="B888" s="14">
        <f>_xlfn.XLOOKUP(Table1[[#This Row], [TEAM]],Sheet1!$A$12:$A$17,Sheet1!$F$12:$F$17)</f>
        <v>2</v>
      </c>
      <c r="C888" s="14">
        <f>_xlfn.XLOOKUP(Table1[[#This Row], [TEAM]],Sheet1!$A$12:$A$17,Sheet1!$G$12:$G$17)</f>
        <v>5949600</v>
      </c>
      <c r="D888" t="s">
        <v>30</v>
      </c>
      <c r="E888" s="4">
        <f>_xlfn.XLOOKUP(Table1[[#This Row], [ROOM]],Sheet1!$A$47:$A$66,Sheet1!$B$47:$B$66)</f>
        <v>246</v>
      </c>
      <c r="F888" t="s">
        <v>62</v>
      </c>
      <c r="G888" s="4">
        <f>_xlfn.XLOOKUP(Table1[[#This Row], [DISGUISE]],Sheet1!$A$21:$A$23,Sheet1!$B$21:$B$23)*Table1[[#This Row], [NUM OF MEM]]*(1+_xlfn.XLOOKUP(Table1[[#This Row], [DISGUISE]],Sheet1!$A$21:$A$23,Sheet1!$C$21:$C$23))</f>
        <v>10400</v>
      </c>
      <c r="H888" s="13" t="s">
        <v>63</v>
      </c>
      <c r="I888" s="4">
        <f>_xlfn.XLOOKUP(Table1[[#This Row], [WEAPON]],Sheet1!$A$27:$A$29,Sheet1!$B$27:$B$29)*Table1[[#This Row], [NUM OF MEM]]*(1+_xlfn.XLOOKUP(Table1[[#This Row], [WEAPON]],Sheet1!$A$27:$A$29,Sheet1!$C$27:$C$29))</f>
        <v>46000</v>
      </c>
      <c r="J888" t="s">
        <v>64</v>
      </c>
      <c r="K888" s="9">
        <f>Table1[[#This Row], [NUM OF MEM]]*Table1[[#This Row], [TOTAL TIME TAKEN]]*_xlfn.XLOOKUP(Table1[[#This Row], [EXIT]],Sheet1!$A$70:$A$71,Sheet1!$B$70:$B$71)*(1+_xlfn.XLOOKUP(Table1[[#This Row], [EXIT]],Sheet1!$A$70:$A$71,Sheet1!$C$70:$C$71))</f>
        <v>1674755.9999999993</v>
      </c>
      <c r="L888" s="13" t="s">
        <v>65</v>
      </c>
      <c r="M888" s="4">
        <f>IF(Table1[[#This Row], [EQUIPMENT]]="YES",Sheet1!$C$44*(1+Sheet1!$D$44),0)</f>
        <v>307500</v>
      </c>
      <c r="N888" s="4">
        <f>_xlfn.XLOOKUP(Table1[[#This Row], [ROOM]],Sheet1!$A$47:$A$66,Sheet1!$F$47:$F$66)</f>
        <v>17600000</v>
      </c>
      <c r="O888" s="9">
        <f>_xlfn.XLOOKUP(_xlfn.CONCAT(Table1[[#This Row], [TEAM]],Table1[[#This Row], [ROOM]]),'ROOM TIME'!$H$2:$H$121,'ROOM TIME'!$J$2:$J$121)</f>
        <v>56.512499999999982</v>
      </c>
      <c r="P888" s="9">
        <f>(INDEX(Sheet1!$X$48:$Z$67,MATCH(Table1[[#This Row], [ROOM]],Sheet1!$P$48:$P$67,0),MATCH(Table1[[#This Row], [WEAPON]],Sheet1!$X$47:$Z$47,0)))/Table1[[#This Row], [NUM OF MEM]]</f>
        <v>8.1000000000000014</v>
      </c>
      <c r="Q888" s="9">
        <f>Table1[[#This Row], [ROOM TIME]]+Table1[[#This Row], [GUARD TIME]]</f>
        <v>64.612499999999983</v>
      </c>
      <c r="R888" s="4">
        <f>Sheet1!$K$3*_xlfn.XLOOKUP(Table1[[#This Row], [DISGUISE]],Sheet1!$A$21:$A$23,Sheet1!$D$21:$D$23)</f>
        <v>66</v>
      </c>
      <c r="S888" s="9">
        <f>Table1[[#This Row], [TOTAL TIME]]-Table1[[#This Row], [TOTAL TIME TAKEN]]</f>
        <v>1.3875000000000171</v>
      </c>
      <c r="T888" t="str">
        <f>IF(Table1[[#This Row], [TIME DIFFERENCE]]&gt;=0,"PASS","FAIL")</f>
        <v>PASS</v>
      </c>
      <c r="U888" s="9">
        <f>Table1[[#This Row], [TRC]]+Table1[[#This Row], [DRC]]+Table1[[#This Row], [WRC]]+Table1[[#This Row], [ERC]]+Table1[[#This Row], [EQRC]]</f>
        <v>7988255.9999999991</v>
      </c>
      <c r="V888" s="9">
        <f>Table1[[#This Row], [TOTAL COST]]+_xlfn.XLOOKUP(Table1[[#This Row], [TEAM]],Sheet1!$A$12:$A$17,Sheet1!$I$12:$I$17)</f>
        <v>8285735.9999999991</v>
      </c>
      <c r="W888" s="4">
        <f>Table1[[#This Row], [LOOT]]-Table1[[#This Row], [TOTAL COST]]</f>
        <v>9611744</v>
      </c>
      <c r="X888" s="4">
        <f>IF(Table1[[#This Row], [PASS/FAIL]]="FAIL",0,Table1[[#This Row], [PROFIT]])</f>
        <v>9611744</v>
      </c>
    </row>
    <row r="889" spans="1:24" ht="19.5" customHeight="1" x14ac:dyDescent="0.45">
      <c r="A889" t="s">
        <v>13</v>
      </c>
      <c r="B889" s="14">
        <f>_xlfn.XLOOKUP(Table1[[#This Row], [TEAM]],Sheet1!$A$12:$A$17,Sheet1!$F$12:$F$17)</f>
        <v>3</v>
      </c>
      <c r="C889" s="14">
        <f>_xlfn.XLOOKUP(Table1[[#This Row], [TEAM]],Sheet1!$A$12:$A$17,Sheet1!$G$12:$G$17)</f>
        <v>5930000</v>
      </c>
      <c r="D889" t="s">
        <v>21</v>
      </c>
      <c r="E889" s="4">
        <f>_xlfn.XLOOKUP(Table1[[#This Row], [ROOM]],Sheet1!$A$47:$A$66,Sheet1!$B$47:$B$66)</f>
        <v>234</v>
      </c>
      <c r="F889" t="s">
        <v>58</v>
      </c>
      <c r="G889" s="4">
        <f>_xlfn.XLOOKUP(Table1[[#This Row], [DISGUISE]],Sheet1!$A$21:$A$23,Sheet1!$B$21:$B$23)*Table1[[#This Row], [NUM OF MEM]]*(1+_xlfn.XLOOKUP(Table1[[#This Row], [DISGUISE]],Sheet1!$A$21:$A$23,Sheet1!$C$21:$C$23))</f>
        <v>38400</v>
      </c>
      <c r="H889" s="13" t="s">
        <v>66</v>
      </c>
      <c r="I889" s="4">
        <f>_xlfn.XLOOKUP(Table1[[#This Row], [WEAPON]],Sheet1!$A$27:$A$29,Sheet1!$B$27:$B$29)*Table1[[#This Row], [NUM OF MEM]]*(1+_xlfn.XLOOKUP(Table1[[#This Row], [WEAPON]],Sheet1!$A$27:$A$29,Sheet1!$C$27:$C$29))</f>
        <v>108000</v>
      </c>
      <c r="J889" t="s">
        <v>64</v>
      </c>
      <c r="K889" s="9">
        <f>Table1[[#This Row], [NUM OF MEM]]*Table1[[#This Row], [TOTAL TIME TAKEN]]*_xlfn.XLOOKUP(Table1[[#This Row], [EXIT]],Sheet1!$A$70:$A$71,Sheet1!$B$70:$B$71)*(1+_xlfn.XLOOKUP(Table1[[#This Row], [EXIT]],Sheet1!$A$70:$A$71,Sheet1!$C$70:$C$71))</f>
        <v>1904428.7999999998</v>
      </c>
      <c r="L889" s="13" t="s">
        <v>65</v>
      </c>
      <c r="M889" s="4">
        <f>IF(Table1[[#This Row], [EQUIPMENT]]="YES",Sheet1!$C$44*(1+Sheet1!$D$44),0)</f>
        <v>307500</v>
      </c>
      <c r="N889" s="4">
        <f>_xlfn.XLOOKUP(Table1[[#This Row], [ROOM]],Sheet1!$A$47:$A$66,Sheet1!$F$47:$F$66)</f>
        <v>17900000</v>
      </c>
      <c r="O889" s="9">
        <f>_xlfn.XLOOKUP(_xlfn.CONCAT(Table1[[#This Row], [TEAM]],Table1[[#This Row], [ROOM]]),'ROOM TIME'!$H$2:$H$121,'ROOM TIME'!$J$2:$J$121)</f>
        <v>43.565555555555555</v>
      </c>
      <c r="P889" s="9">
        <f>(INDEX(Sheet1!$X$48:$Z$67,MATCH(Table1[[#This Row], [ROOM]],Sheet1!$P$48:$P$67,0),MATCH(Table1[[#This Row], [WEAPON]],Sheet1!$X$47:$Z$47,0)))/Table1[[#This Row], [NUM OF MEM]]</f>
        <v>5.416666666666667</v>
      </c>
      <c r="Q889" s="9">
        <f>Table1[[#This Row], [ROOM TIME]]+Table1[[#This Row], [GUARD TIME]]</f>
        <v>48.982222222222219</v>
      </c>
      <c r="R889" s="4">
        <f>Sheet1!$K$3*_xlfn.XLOOKUP(Table1[[#This Row], [DISGUISE]],Sheet1!$A$21:$A$23,Sheet1!$D$21:$D$23)</f>
        <v>69</v>
      </c>
      <c r="S889" s="9">
        <f>Table1[[#This Row], [TOTAL TIME]]-Table1[[#This Row], [TOTAL TIME TAKEN]]</f>
        <v>20.017777777777781</v>
      </c>
      <c r="T889" t="str">
        <f>IF(Table1[[#This Row], [TIME DIFFERENCE]]&gt;=0,"PASS","FAIL")</f>
        <v>PASS</v>
      </c>
      <c r="U889" s="9">
        <f>Table1[[#This Row], [TRC]]+Table1[[#This Row], [DRC]]+Table1[[#This Row], [WRC]]+Table1[[#This Row], [ERC]]+Table1[[#This Row], [EQRC]]</f>
        <v>8288328.7999999998</v>
      </c>
      <c r="V889" s="9">
        <f>Table1[[#This Row], [TOTAL COST]]+_xlfn.XLOOKUP(Table1[[#This Row], [TEAM]],Sheet1!$A$12:$A$17,Sheet1!$I$12:$I$17)</f>
        <v>8584828.8000000007</v>
      </c>
      <c r="W889" s="9">
        <f>Table1[[#This Row], [LOOT]]-Table1[[#This Row], [TOTAL COST]]</f>
        <v>9611671.1999999993</v>
      </c>
      <c r="X889" s="9">
        <f>IF(Table1[[#This Row], [PASS/FAIL]]="FAIL",0,Table1[[#This Row], [PROFIT]])</f>
        <v>9611671.1999999993</v>
      </c>
    </row>
    <row r="890" spans="1:24" ht="19.5" customHeight="1" x14ac:dyDescent="0.45">
      <c r="A890" t="s">
        <v>9</v>
      </c>
      <c r="B890" s="14">
        <f>_xlfn.XLOOKUP(Table1[[#This Row], [TEAM]],Sheet1!$A$12:$A$17,Sheet1!$F$12:$F$17)</f>
        <v>3</v>
      </c>
      <c r="C890" s="14">
        <f>_xlfn.XLOOKUP(Table1[[#This Row], [TEAM]],Sheet1!$A$12:$A$17,Sheet1!$G$12:$G$17)</f>
        <v>6238750</v>
      </c>
      <c r="D890" t="s">
        <v>24</v>
      </c>
      <c r="E890" s="4">
        <f>_xlfn.XLOOKUP(Table1[[#This Row], [ROOM]],Sheet1!$A$47:$A$66,Sheet1!$B$47:$B$66)</f>
        <v>345</v>
      </c>
      <c r="F890" t="s">
        <v>58</v>
      </c>
      <c r="G890" s="4">
        <f>_xlfn.XLOOKUP(Table1[[#This Row], [DISGUISE]],Sheet1!$A$21:$A$23,Sheet1!$B$21:$B$23)*Table1[[#This Row], [NUM OF MEM]]*(1+_xlfn.XLOOKUP(Table1[[#This Row], [DISGUISE]],Sheet1!$A$21:$A$23,Sheet1!$C$21:$C$23))</f>
        <v>38400</v>
      </c>
      <c r="H890" s="13" t="s">
        <v>59</v>
      </c>
      <c r="I890" s="4">
        <f>_xlfn.XLOOKUP(Table1[[#This Row], [WEAPON]],Sheet1!$A$27:$A$29,Sheet1!$B$27:$B$29)*Table1[[#This Row], [NUM OF MEM]]*(1+_xlfn.XLOOKUP(Table1[[#This Row], [WEAPON]],Sheet1!$A$27:$A$29,Sheet1!$C$27:$C$29))</f>
        <v>136500</v>
      </c>
      <c r="J890" t="s">
        <v>60</v>
      </c>
      <c r="K890" s="9">
        <f>Table1[[#This Row], [NUM OF MEM]]*Table1[[#This Row], [TOTAL TIME TAKEN]]*_xlfn.XLOOKUP(Table1[[#This Row], [EXIT]],Sheet1!$A$70:$A$71,Sheet1!$B$70:$B$71)*(1+_xlfn.XLOOKUP(Table1[[#This Row], [EXIT]],Sheet1!$A$70:$A$71,Sheet1!$C$70:$C$71))</f>
        <v>1667412.2749999999</v>
      </c>
      <c r="L890" s="13" t="s">
        <v>65</v>
      </c>
      <c r="M890" s="4">
        <f>IF(Table1[[#This Row], [EQUIPMENT]]="YES",Sheet1!$C$44*(1+Sheet1!$D$44),0)</f>
        <v>307500</v>
      </c>
      <c r="N890" s="4">
        <f>_xlfn.XLOOKUP(Table1[[#This Row], [ROOM]],Sheet1!$A$47:$A$66,Sheet1!$F$47:$F$66)</f>
        <v>18000000</v>
      </c>
      <c r="O890" s="9">
        <f>_xlfn.XLOOKUP(_xlfn.CONCAT(Table1[[#This Row], [TEAM]],Table1[[#This Row], [ROOM]]),'ROOM TIME'!$H$2:$H$121,'ROOM TIME'!$J$2:$J$121)</f>
        <v>38.712222222222216</v>
      </c>
      <c r="P890" s="9">
        <f>(INDEX(Sheet1!$X$48:$Z$67,MATCH(Table1[[#This Row], [ROOM]],Sheet1!$P$48:$P$67,0),MATCH(Table1[[#This Row], [WEAPON]],Sheet1!$X$47:$Z$47,0)))/Table1[[#This Row], [NUM OF MEM]]</f>
        <v>4.5999999999999996</v>
      </c>
      <c r="Q890" s="9">
        <f>Table1[[#This Row], [ROOM TIME]]+Table1[[#This Row], [GUARD TIME]]</f>
        <v>43.312222222222218</v>
      </c>
      <c r="R890" s="4">
        <f>Sheet1!$K$3*_xlfn.XLOOKUP(Table1[[#This Row], [DISGUISE]],Sheet1!$A$21:$A$23,Sheet1!$D$21:$D$23)</f>
        <v>69</v>
      </c>
      <c r="S890" s="9">
        <f>Table1[[#This Row], [TOTAL TIME]]-Table1[[#This Row], [TOTAL TIME TAKEN]]</f>
        <v>25.687777777777782</v>
      </c>
      <c r="T890" t="str">
        <f>IF(Table1[[#This Row], [TIME DIFFERENCE]]&gt;=0,"PASS","FAIL")</f>
        <v>PASS</v>
      </c>
      <c r="U890" s="9">
        <f>Table1[[#This Row], [TRC]]+Table1[[#This Row], [DRC]]+Table1[[#This Row], [WRC]]+Table1[[#This Row], [ERC]]+Table1[[#This Row], [EQRC]]</f>
        <v>8388562.2750000004</v>
      </c>
      <c r="V890" s="9">
        <f>Table1[[#This Row], [TOTAL COST]]+_xlfn.XLOOKUP(Table1[[#This Row], [TEAM]],Sheet1!$A$12:$A$17,Sheet1!$I$12:$I$17)</f>
        <v>8700499.7750000004</v>
      </c>
      <c r="W890" s="9">
        <f>Table1[[#This Row], [LOOT]]-Table1[[#This Row], [TOTAL COST]]</f>
        <v>9611437.7249999996</v>
      </c>
      <c r="X890" s="9">
        <f>IF(Table1[[#This Row], [PASS/FAIL]]="FAIL",0,Table1[[#This Row], [PROFIT]])</f>
        <v>9611437.7249999996</v>
      </c>
    </row>
    <row r="891" spans="1:24" ht="19.5" customHeight="1" x14ac:dyDescent="0.45">
      <c r="A891" t="s">
        <v>14</v>
      </c>
      <c r="B891" s="14">
        <f>_xlfn.XLOOKUP(Table1[[#This Row], [TEAM]],Sheet1!$A$12:$A$17,Sheet1!$F$12:$F$17)</f>
        <v>2</v>
      </c>
      <c r="C891" s="14">
        <f>_xlfn.XLOOKUP(Table1[[#This Row], [TEAM]],Sheet1!$A$12:$A$17,Sheet1!$G$12:$G$17)</f>
        <v>5949600</v>
      </c>
      <c r="D891" t="s">
        <v>23</v>
      </c>
      <c r="E891" s="4">
        <f>_xlfn.XLOOKUP(Table1[[#This Row], [ROOM]],Sheet1!$A$47:$A$66,Sheet1!$B$47:$B$66)</f>
        <v>245</v>
      </c>
      <c r="F891" t="s">
        <v>58</v>
      </c>
      <c r="G891" s="4">
        <f>_xlfn.XLOOKUP(Table1[[#This Row], [DISGUISE]],Sheet1!$A$21:$A$23,Sheet1!$B$21:$B$23)*Table1[[#This Row], [NUM OF MEM]]*(1+_xlfn.XLOOKUP(Table1[[#This Row], [DISGUISE]],Sheet1!$A$21:$A$23,Sheet1!$C$21:$C$23))</f>
        <v>25600</v>
      </c>
      <c r="H891" s="13" t="s">
        <v>66</v>
      </c>
      <c r="I891" s="4">
        <f>_xlfn.XLOOKUP(Table1[[#This Row], [WEAPON]],Sheet1!$A$27:$A$29,Sheet1!$B$27:$B$29)*Table1[[#This Row], [NUM OF MEM]]*(1+_xlfn.XLOOKUP(Table1[[#This Row], [WEAPON]],Sheet1!$A$27:$A$29,Sheet1!$C$27:$C$29))</f>
        <v>72000</v>
      </c>
      <c r="J891" t="s">
        <v>64</v>
      </c>
      <c r="K891" s="9">
        <f>Table1[[#This Row], [NUM OF MEM]]*Table1[[#This Row], [TOTAL TIME TAKEN]]*_xlfn.XLOOKUP(Table1[[#This Row], [EXIT]],Sheet1!$A$70:$A$71,Sheet1!$B$70:$B$71)*(1+_xlfn.XLOOKUP(Table1[[#This Row], [EXIT]],Sheet1!$A$70:$A$71,Sheet1!$C$70:$C$71))</f>
        <v>1741629.5999999994</v>
      </c>
      <c r="L891" s="13" t="s">
        <v>61</v>
      </c>
      <c r="M891" s="4">
        <f>IF(Table1[[#This Row], [EQUIPMENT]]="YES",Sheet1!$C$44*(1+Sheet1!$D$44),0)</f>
        <v>0</v>
      </c>
      <c r="N891" s="4">
        <f>_xlfn.XLOOKUP(Table1[[#This Row], [ROOM]],Sheet1!$A$47:$A$66,Sheet1!$F$47:$F$66)</f>
        <v>17400000</v>
      </c>
      <c r="O891" s="9">
        <f>_xlfn.XLOOKUP(_xlfn.CONCAT(Table1[[#This Row], [TEAM]],Table1[[#This Row], [ROOM]]),'ROOM TIME'!$H$2:$H$121,'ROOM TIME'!$J$2:$J$121)</f>
        <v>60.317499999999981</v>
      </c>
      <c r="P891" s="9">
        <f>(INDEX(Sheet1!$X$48:$Z$67,MATCH(Table1[[#This Row], [ROOM]],Sheet1!$P$48:$P$67,0),MATCH(Table1[[#This Row], [WEAPON]],Sheet1!$X$47:$Z$47,0)))/Table1[[#This Row], [NUM OF MEM]]</f>
        <v>6.875</v>
      </c>
      <c r="Q891" s="9">
        <f>Table1[[#This Row], [ROOM TIME]]+Table1[[#This Row], [GUARD TIME]]</f>
        <v>67.192499999999981</v>
      </c>
      <c r="R891" s="4">
        <f>Sheet1!$K$3*_xlfn.XLOOKUP(Table1[[#This Row], [DISGUISE]],Sheet1!$A$21:$A$23,Sheet1!$D$21:$D$23)</f>
        <v>69</v>
      </c>
      <c r="S891" s="9">
        <f>Table1[[#This Row], [TOTAL TIME]]-Table1[[#This Row], [TOTAL TIME TAKEN]]</f>
        <v>1.8075000000000188</v>
      </c>
      <c r="T891" t="str">
        <f>IF(Table1[[#This Row], [TIME DIFFERENCE]]&gt;=0,"PASS","FAIL")</f>
        <v>PASS</v>
      </c>
      <c r="U891" s="9">
        <f>Table1[[#This Row], [TRC]]+Table1[[#This Row], [DRC]]+Table1[[#This Row], [WRC]]+Table1[[#This Row], [ERC]]+Table1[[#This Row], [EQRC]]</f>
        <v>7788829.5999999996</v>
      </c>
      <c r="V891" s="9">
        <f>Table1[[#This Row], [TOTAL COST]]+_xlfn.XLOOKUP(Table1[[#This Row], [TEAM]],Sheet1!$A$12:$A$17,Sheet1!$I$12:$I$17)</f>
        <v>8086309.5999999996</v>
      </c>
      <c r="W891" s="9">
        <f>Table1[[#This Row], [LOOT]]-Table1[[#This Row], [TOTAL COST]]</f>
        <v>9611170.4000000004</v>
      </c>
      <c r="X891" s="9">
        <f>IF(Table1[[#This Row], [PASS/FAIL]]="FAIL",0,Table1[[#This Row], [PROFIT]])</f>
        <v>9611170.4000000004</v>
      </c>
    </row>
    <row r="892" spans="1:24" ht="19.5" customHeight="1" x14ac:dyDescent="0.45">
      <c r="A892" t="s">
        <v>15</v>
      </c>
      <c r="B892" s="14">
        <f>_xlfn.XLOOKUP(Table1[[#This Row], [TEAM]],Sheet1!$A$12:$A$17,Sheet1!$F$12:$F$17)</f>
        <v>2</v>
      </c>
      <c r="C892" s="14">
        <f>_xlfn.XLOOKUP(Table1[[#This Row], [TEAM]],Sheet1!$A$12:$A$17,Sheet1!$G$12:$G$17)</f>
        <v>5932950</v>
      </c>
      <c r="D892" t="s">
        <v>17</v>
      </c>
      <c r="E892" s="4">
        <f>_xlfn.XLOOKUP(Table1[[#This Row], [ROOM]],Sheet1!$A$47:$A$66,Sheet1!$B$47:$B$66)</f>
        <v>125</v>
      </c>
      <c r="F892" t="s">
        <v>58</v>
      </c>
      <c r="G892" s="4">
        <f>_xlfn.XLOOKUP(Table1[[#This Row], [DISGUISE]],Sheet1!$A$21:$A$23,Sheet1!$B$21:$B$23)*Table1[[#This Row], [NUM OF MEM]]*(1+_xlfn.XLOOKUP(Table1[[#This Row], [DISGUISE]],Sheet1!$A$21:$A$23,Sheet1!$C$21:$C$23))</f>
        <v>25600</v>
      </c>
      <c r="H892" s="13" t="s">
        <v>66</v>
      </c>
      <c r="I892" s="4">
        <f>_xlfn.XLOOKUP(Table1[[#This Row], [WEAPON]],Sheet1!$A$27:$A$29,Sheet1!$B$27:$B$29)*Table1[[#This Row], [NUM OF MEM]]*(1+_xlfn.XLOOKUP(Table1[[#This Row], [WEAPON]],Sheet1!$A$27:$A$29,Sheet1!$C$27:$C$29))</f>
        <v>72000</v>
      </c>
      <c r="J892" t="s">
        <v>60</v>
      </c>
      <c r="K892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1709353.1624999996</v>
      </c>
      <c r="L892" s="13" t="s">
        <v>61</v>
      </c>
      <c r="M892" s="4">
        <f>IF(Table1[[#This Row], [EQUIPMENT]]="YES",Sheet1!$C$44*(1+Sheet1!$D$44),0)</f>
        <v>0</v>
      </c>
      <c r="N892" s="4">
        <f>_xlfn.XLOOKUP(Table1[[#This Row], [ROOM]],Sheet1!$A$47:$A$66,Sheet1!$F$47:$F$66)</f>
        <v>17350000</v>
      </c>
      <c r="O892" s="9">
        <f>_xlfn.XLOOKUP(_xlfn.CONCAT(Table1[[#This Row], [TEAM]],Table1[[#This Row], [ROOM]]),'ROOM TIME'!$H$2:$H$121,'ROOM TIME'!$J$2:$J$121)</f>
        <v>60.352499999999985</v>
      </c>
      <c r="P892" s="9">
        <f>(INDEX(Sheet1!$X$48:$Z$67,MATCH(Table1[[#This Row], [ROOM]],Sheet1!$P$48:$P$67,0),MATCH(Table1[[#This Row], [WEAPON]],Sheet1!$X$47:$Z$47,0)))/Table1[[#This Row], [NUM OF MEM]]</f>
        <v>6.25</v>
      </c>
      <c r="Q892" s="9">
        <f>Table1[[#This Row], [ROOM TIME]]+Table1[[#This Row], [GUARD TIME]]</f>
        <v>66.602499999999992</v>
      </c>
      <c r="R892" s="4">
        <f>Sheet1!$K$3*_xlfn.XLOOKUP(Table1[[#This Row], [DISGUISE]],Sheet1!$A$21:$A$23,Sheet1!$D$21:$D$23)</f>
        <v>69</v>
      </c>
      <c r="S892" s="9">
        <f>Table1[[#This Row], [TOTAL TIME]]-Table1[[#This Row], [TOTAL TIME TAKEN]]</f>
        <v>2.397500000000008</v>
      </c>
      <c r="T892" t="str">
        <f>IF(Table1[[#This Row], [TIME DIFFERENCE]]&gt;=0,"PASS","FAIL")</f>
        <v>PASS</v>
      </c>
      <c r="U892" s="9">
        <f>Table1[[#This Row], [TRC]]+Table1[[#This Row], [DRC]]+Table1[[#This Row], [WRC]]+Table1[[#This Row], [ERC]]+Table1[[#This Row], [EQRC]]</f>
        <v>7739903.1624999996</v>
      </c>
      <c r="V892" s="9">
        <f>Table1[[#This Row], [TOTAL COST]]+_xlfn.XLOOKUP(Table1[[#This Row], [TEAM]],Sheet1!$A$12:$A$17,Sheet1!$I$12:$I$17)</f>
        <v>8036550.6624999996</v>
      </c>
      <c r="W892" s="9">
        <f>Table1[[#This Row], [LOOT]]-Table1[[#This Row], [TOTAL COST]]</f>
        <v>9610096.8375000004</v>
      </c>
      <c r="X892" s="9">
        <f>IF(Table1[[#This Row], [PASS/FAIL]]="FAIL",0,Table1[[#This Row], [PROFIT]])</f>
        <v>9610096.8375000004</v>
      </c>
    </row>
    <row r="893" spans="1:24" ht="19.5" customHeight="1" x14ac:dyDescent="0.45">
      <c r="A893" t="s">
        <v>12</v>
      </c>
      <c r="B893" s="14">
        <f>_xlfn.XLOOKUP(Table1[[#This Row], [TEAM]],Sheet1!$A$12:$A$17,Sheet1!$F$12:$F$17)</f>
        <v>3</v>
      </c>
      <c r="C893" s="14">
        <f>_xlfn.XLOOKUP(Table1[[#This Row], [TEAM]],Sheet1!$A$12:$A$17,Sheet1!$G$12:$G$17)</f>
        <v>5988750</v>
      </c>
      <c r="D893" t="s">
        <v>10</v>
      </c>
      <c r="E893" s="4">
        <f>_xlfn.XLOOKUP(Table1[[#This Row], [ROOM]],Sheet1!$A$47:$A$66,Sheet1!$B$47:$B$66)</f>
        <v>123</v>
      </c>
      <c r="F893" t="s">
        <v>62</v>
      </c>
      <c r="G893" s="4">
        <f>_xlfn.XLOOKUP(Table1[[#This Row], [DISGUISE]],Sheet1!$A$21:$A$23,Sheet1!$B$21:$B$23)*Table1[[#This Row], [NUM OF MEM]]*(1+_xlfn.XLOOKUP(Table1[[#This Row], [DISGUISE]],Sheet1!$A$21:$A$23,Sheet1!$C$21:$C$23))</f>
        <v>15600</v>
      </c>
      <c r="H893" s="13" t="s">
        <v>59</v>
      </c>
      <c r="I893" s="4">
        <f>_xlfn.XLOOKUP(Table1[[#This Row], [WEAPON]],Sheet1!$A$27:$A$29,Sheet1!$B$27:$B$29)*Table1[[#This Row], [NUM OF MEM]]*(1+_xlfn.XLOOKUP(Table1[[#This Row], [WEAPON]],Sheet1!$A$27:$A$29,Sheet1!$C$27:$C$29))</f>
        <v>136500</v>
      </c>
      <c r="J893" t="s">
        <v>60</v>
      </c>
      <c r="K893" s="9">
        <f>Table1[[#This Row], [NUM OF MEM]]*Table1[[#This Row], [TOTAL TIME TAKEN]]*_xlfn.XLOOKUP(Table1[[#This Row], [EXIT]],Sheet1!$A$70:$A$71,Sheet1!$B$70:$B$71)*(1+_xlfn.XLOOKUP(Table1[[#This Row], [EXIT]],Sheet1!$A$70:$A$71,Sheet1!$C$70:$C$71))</f>
        <v>1792743.0249999992</v>
      </c>
      <c r="L893" s="13" t="s">
        <v>65</v>
      </c>
      <c r="M893" s="4">
        <f>IF(Table1[[#This Row], [EQUIPMENT]]="YES",Sheet1!$C$44*(1+Sheet1!$D$44),0)</f>
        <v>307500</v>
      </c>
      <c r="N893" s="4">
        <f>_xlfn.XLOOKUP(Table1[[#This Row], [ROOM]],Sheet1!$A$47:$A$66,Sheet1!$F$47:$F$66)</f>
        <v>17850000</v>
      </c>
      <c r="O893" s="9">
        <f>_xlfn.XLOOKUP(_xlfn.CONCAT(Table1[[#This Row], [TEAM]],Table1[[#This Row], [ROOM]]),'ROOM TIME'!$H$2:$H$121,'ROOM TIME'!$J$2:$J$121)</f>
        <v>41.967777777777762</v>
      </c>
      <c r="P893" s="9">
        <f>(INDEX(Sheet1!$X$48:$Z$67,MATCH(Table1[[#This Row], [ROOM]],Sheet1!$P$48:$P$67,0),MATCH(Table1[[#This Row], [WEAPON]],Sheet1!$X$47:$Z$47,0)))/Table1[[#This Row], [NUM OF MEM]]</f>
        <v>4.5999999999999996</v>
      </c>
      <c r="Q893" s="9">
        <f>Table1[[#This Row], [ROOM TIME]]+Table1[[#This Row], [GUARD TIME]]</f>
        <v>46.567777777777764</v>
      </c>
      <c r="R893" s="4">
        <f>Sheet1!$K$3*_xlfn.XLOOKUP(Table1[[#This Row], [DISGUISE]],Sheet1!$A$21:$A$23,Sheet1!$D$21:$D$23)</f>
        <v>66</v>
      </c>
      <c r="S893" s="9">
        <f>Table1[[#This Row], [TOTAL TIME]]-Table1[[#This Row], [TOTAL TIME TAKEN]]</f>
        <v>19.432222222222236</v>
      </c>
      <c r="T893" t="str">
        <f>IF(Table1[[#This Row], [TIME DIFFERENCE]]&gt;=0,"PASS","FAIL")</f>
        <v>PASS</v>
      </c>
      <c r="U893" s="9">
        <f>Table1[[#This Row], [TRC]]+Table1[[#This Row], [DRC]]+Table1[[#This Row], [WRC]]+Table1[[#This Row], [ERC]]+Table1[[#This Row], [EQRC]]</f>
        <v>8241093.0249999994</v>
      </c>
      <c r="V893" s="9">
        <f>Table1[[#This Row], [TOTAL COST]]+_xlfn.XLOOKUP(Table1[[#This Row], [TEAM]],Sheet1!$A$12:$A$17,Sheet1!$I$12:$I$17)</f>
        <v>8540530.5249999985</v>
      </c>
      <c r="W893" s="9">
        <f>Table1[[#This Row], [LOOT]]-Table1[[#This Row], [TOTAL COST]]</f>
        <v>9608906.9750000015</v>
      </c>
      <c r="X893" s="9">
        <f>IF(Table1[[#This Row], [PASS/FAIL]]="FAIL",0,Table1[[#This Row], [PROFIT]])</f>
        <v>9608906.9750000015</v>
      </c>
    </row>
    <row r="894" spans="1:24" ht="19.5" customHeight="1" x14ac:dyDescent="0.45">
      <c r="A894" t="s">
        <v>13</v>
      </c>
      <c r="B894" s="14">
        <f>_xlfn.XLOOKUP(Table1[[#This Row], [TEAM]],Sheet1!$A$12:$A$17,Sheet1!$F$12:$F$17)</f>
        <v>3</v>
      </c>
      <c r="C894" s="14">
        <f>_xlfn.XLOOKUP(Table1[[#This Row], [TEAM]],Sheet1!$A$12:$A$17,Sheet1!$G$12:$G$17)</f>
        <v>5930000</v>
      </c>
      <c r="D894" t="s">
        <v>28</v>
      </c>
      <c r="E894" s="4">
        <f>_xlfn.XLOOKUP(Table1[[#This Row], [ROOM]],Sheet1!$A$47:$A$66,Sheet1!$B$47:$B$66)</f>
        <v>156</v>
      </c>
      <c r="F894" t="s">
        <v>62</v>
      </c>
      <c r="G894" s="4">
        <f>_xlfn.XLOOKUP(Table1[[#This Row], [DISGUISE]],Sheet1!$A$21:$A$23,Sheet1!$B$21:$B$23)*Table1[[#This Row], [NUM OF MEM]]*(1+_xlfn.XLOOKUP(Table1[[#This Row], [DISGUISE]],Sheet1!$A$21:$A$23,Sheet1!$C$21:$C$23))</f>
        <v>15600</v>
      </c>
      <c r="H894" s="13" t="s">
        <v>59</v>
      </c>
      <c r="I894" s="4">
        <f>_xlfn.XLOOKUP(Table1[[#This Row], [WEAPON]],Sheet1!$A$27:$A$29,Sheet1!$B$27:$B$29)*Table1[[#This Row], [NUM OF MEM]]*(1+_xlfn.XLOOKUP(Table1[[#This Row], [WEAPON]],Sheet1!$A$27:$A$29,Sheet1!$C$27:$C$29))</f>
        <v>136500</v>
      </c>
      <c r="J894" t="s">
        <v>64</v>
      </c>
      <c r="K894" s="9">
        <f>Table1[[#This Row], [NUM OF MEM]]*Table1[[#This Row], [TOTAL TIME TAKEN]]*_xlfn.XLOOKUP(Table1[[#This Row], [EXIT]],Sheet1!$A$70:$A$71,Sheet1!$B$70:$B$71)*(1+_xlfn.XLOOKUP(Table1[[#This Row], [EXIT]],Sheet1!$A$70:$A$71,Sheet1!$C$70:$C$71))</f>
        <v>1652248.7999999996</v>
      </c>
      <c r="L894" s="13" t="s">
        <v>65</v>
      </c>
      <c r="M894" s="4">
        <f>IF(Table1[[#This Row], [EQUIPMENT]]="YES",Sheet1!$C$44*(1+Sheet1!$D$44),0)</f>
        <v>307500</v>
      </c>
      <c r="N894" s="4">
        <f>_xlfn.XLOOKUP(Table1[[#This Row], [ROOM]],Sheet1!$A$47:$A$66,Sheet1!$F$47:$F$66)</f>
        <v>17650000</v>
      </c>
      <c r="O894" s="9">
        <f>_xlfn.XLOOKUP(_xlfn.CONCAT(Table1[[#This Row], [TEAM]],Table1[[#This Row], [ROOM]]),'ROOM TIME'!$H$2:$H$121,'ROOM TIME'!$J$2:$J$121)</f>
        <v>38.662777777777769</v>
      </c>
      <c r="P894" s="9">
        <f>(INDEX(Sheet1!$X$48:$Z$67,MATCH(Table1[[#This Row], [ROOM]],Sheet1!$P$48:$P$67,0),MATCH(Table1[[#This Row], [WEAPON]],Sheet1!$X$47:$Z$47,0)))/Table1[[#This Row], [NUM OF MEM]]</f>
        <v>3.8333333333333335</v>
      </c>
      <c r="Q894" s="9">
        <f>Table1[[#This Row], [ROOM TIME]]+Table1[[#This Row], [GUARD TIME]]</f>
        <v>42.496111111111105</v>
      </c>
      <c r="R894" s="4">
        <f>Sheet1!$K$3*_xlfn.XLOOKUP(Table1[[#This Row], [DISGUISE]],Sheet1!$A$21:$A$23,Sheet1!$D$21:$D$23)</f>
        <v>66</v>
      </c>
      <c r="S894" s="9">
        <f>Table1[[#This Row], [TOTAL TIME]]-Table1[[#This Row], [TOTAL TIME TAKEN]]</f>
        <v>23.503888888888895</v>
      </c>
      <c r="T894" t="str">
        <f>IF(Table1[[#This Row], [TIME DIFFERENCE]]&gt;=0,"PASS","FAIL")</f>
        <v>PASS</v>
      </c>
      <c r="U894" s="9">
        <f>Table1[[#This Row], [TRC]]+Table1[[#This Row], [DRC]]+Table1[[#This Row], [WRC]]+Table1[[#This Row], [ERC]]+Table1[[#This Row], [EQRC]]</f>
        <v>8041848.7999999998</v>
      </c>
      <c r="V894" s="9">
        <f>Table1[[#This Row], [TOTAL COST]]+_xlfn.XLOOKUP(Table1[[#This Row], [TEAM]],Sheet1!$A$12:$A$17,Sheet1!$I$12:$I$17)</f>
        <v>8338348.7999999998</v>
      </c>
      <c r="W894" s="9">
        <f>Table1[[#This Row], [LOOT]]-Table1[[#This Row], [TOTAL COST]]</f>
        <v>9608151.1999999993</v>
      </c>
      <c r="X894" s="9">
        <f>IF(Table1[[#This Row], [PASS/FAIL]]="FAIL",0,Table1[[#This Row], [PROFIT]])</f>
        <v>9608151.1999999993</v>
      </c>
    </row>
    <row r="895" spans="1:24" ht="19.5" customHeight="1" x14ac:dyDescent="0.45">
      <c r="A895" t="s">
        <v>12</v>
      </c>
      <c r="B895" s="14">
        <f>_xlfn.XLOOKUP(Table1[[#This Row], [TEAM]],Sheet1!$A$12:$A$17,Sheet1!$F$12:$F$17)</f>
        <v>3</v>
      </c>
      <c r="C895" s="14">
        <f>_xlfn.XLOOKUP(Table1[[#This Row], [TEAM]],Sheet1!$A$12:$A$17,Sheet1!$G$12:$G$17)</f>
        <v>5988750</v>
      </c>
      <c r="D895" t="s">
        <v>11</v>
      </c>
      <c r="E895" s="4">
        <f>_xlfn.XLOOKUP(Table1[[#This Row], [ROOM]],Sheet1!$A$47:$A$66,Sheet1!$B$47:$B$66)</f>
        <v>124</v>
      </c>
      <c r="F895" t="s">
        <v>58</v>
      </c>
      <c r="G895" s="4">
        <f>_xlfn.XLOOKUP(Table1[[#This Row], [DISGUISE]],Sheet1!$A$21:$A$23,Sheet1!$B$21:$B$23)*Table1[[#This Row], [NUM OF MEM]]*(1+_xlfn.XLOOKUP(Table1[[#This Row], [DISGUISE]],Sheet1!$A$21:$A$23,Sheet1!$C$21:$C$23))</f>
        <v>38400</v>
      </c>
      <c r="H895" s="13" t="s">
        <v>63</v>
      </c>
      <c r="I895" s="4">
        <f>_xlfn.XLOOKUP(Table1[[#This Row], [WEAPON]],Sheet1!$A$27:$A$29,Sheet1!$B$27:$B$29)*Table1[[#This Row], [NUM OF MEM]]*(1+_xlfn.XLOOKUP(Table1[[#This Row], [WEAPON]],Sheet1!$A$27:$A$29,Sheet1!$C$27:$C$29))</f>
        <v>69000</v>
      </c>
      <c r="J895" t="s">
        <v>60</v>
      </c>
      <c r="K895" s="9">
        <f>Table1[[#This Row], [NUM OF MEM]]*Table1[[#This Row], [TOTAL TIME TAKEN]]*_xlfn.XLOOKUP(Table1[[#This Row], [EXIT]],Sheet1!$A$70:$A$71,Sheet1!$B$70:$B$71)*(1+_xlfn.XLOOKUP(Table1[[#This Row], [EXIT]],Sheet1!$A$70:$A$71,Sheet1!$C$70:$C$71))</f>
        <v>1745904.3999999997</v>
      </c>
      <c r="L895" s="13" t="s">
        <v>61</v>
      </c>
      <c r="M895" s="4">
        <f>IF(Table1[[#This Row], [EQUIPMENT]]="YES",Sheet1!$C$44*(1+Sheet1!$D$44),0)</f>
        <v>0</v>
      </c>
      <c r="N895" s="4">
        <f>_xlfn.XLOOKUP(Table1[[#This Row], [ROOM]],Sheet1!$A$47:$A$66,Sheet1!$F$47:$F$66)</f>
        <v>17450000</v>
      </c>
      <c r="O895" s="9">
        <f>_xlfn.XLOOKUP(_xlfn.CONCAT(Table1[[#This Row], [TEAM]],Table1[[#This Row], [ROOM]]),'ROOM TIME'!$H$2:$H$121,'ROOM TIME'!$J$2:$J$121)</f>
        <v>40.401111111111099</v>
      </c>
      <c r="P895" s="9">
        <f>(INDEX(Sheet1!$X$48:$Z$67,MATCH(Table1[[#This Row], [ROOM]],Sheet1!$P$48:$P$67,0),MATCH(Table1[[#This Row], [WEAPON]],Sheet1!$X$47:$Z$47,0)))/Table1[[#This Row], [NUM OF MEM]]</f>
        <v>4.95</v>
      </c>
      <c r="Q895" s="9">
        <f>Table1[[#This Row], [ROOM TIME]]+Table1[[#This Row], [GUARD TIME]]</f>
        <v>45.351111111111102</v>
      </c>
      <c r="R895" s="4">
        <f>Sheet1!$K$3*_xlfn.XLOOKUP(Table1[[#This Row], [DISGUISE]],Sheet1!$A$21:$A$23,Sheet1!$D$21:$D$23)</f>
        <v>69</v>
      </c>
      <c r="S895" s="9">
        <f>Table1[[#This Row], [TOTAL TIME]]-Table1[[#This Row], [TOTAL TIME TAKEN]]</f>
        <v>23.648888888888898</v>
      </c>
      <c r="T895" t="str">
        <f>IF(Table1[[#This Row], [TIME DIFFERENCE]]&gt;=0,"PASS","FAIL")</f>
        <v>PASS</v>
      </c>
      <c r="U895" s="9">
        <f>Table1[[#This Row], [TRC]]+Table1[[#This Row], [DRC]]+Table1[[#This Row], [WRC]]+Table1[[#This Row], [ERC]]+Table1[[#This Row], [EQRC]]</f>
        <v>7842054.3999999994</v>
      </c>
      <c r="V895" s="9">
        <f>Table1[[#This Row], [TOTAL COST]]+_xlfn.XLOOKUP(Table1[[#This Row], [TEAM]],Sheet1!$A$12:$A$17,Sheet1!$I$12:$I$17)</f>
        <v>8141491.8999999994</v>
      </c>
      <c r="W895" s="9">
        <f>Table1[[#This Row], [LOOT]]-Table1[[#This Row], [TOTAL COST]]</f>
        <v>9607945.6000000015</v>
      </c>
      <c r="X895" s="9">
        <f>IF(Table1[[#This Row], [PASS/FAIL]]="FAIL",0,Table1[[#This Row], [PROFIT]])</f>
        <v>9607945.6000000015</v>
      </c>
    </row>
    <row r="896" spans="1:24" ht="19.5" customHeight="1" x14ac:dyDescent="0.45">
      <c r="A896" t="s">
        <v>13</v>
      </c>
      <c r="B896" s="14">
        <f>_xlfn.XLOOKUP(Table1[[#This Row], [TEAM]],Sheet1!$A$12:$A$17,Sheet1!$F$12:$F$17)</f>
        <v>3</v>
      </c>
      <c r="C896" s="14">
        <f>_xlfn.XLOOKUP(Table1[[#This Row], [TEAM]],Sheet1!$A$12:$A$17,Sheet1!$G$12:$G$17)</f>
        <v>5930000</v>
      </c>
      <c r="D896" t="s">
        <v>11</v>
      </c>
      <c r="E896" s="4">
        <f>_xlfn.XLOOKUP(Table1[[#This Row], [ROOM]],Sheet1!$A$47:$A$66,Sheet1!$B$47:$B$66)</f>
        <v>124</v>
      </c>
      <c r="F896" t="s">
        <v>62</v>
      </c>
      <c r="G896" s="4">
        <f>_xlfn.XLOOKUP(Table1[[#This Row], [DISGUISE]],Sheet1!$A$21:$A$23,Sheet1!$B$21:$B$23)*Table1[[#This Row], [NUM OF MEM]]*(1+_xlfn.XLOOKUP(Table1[[#This Row], [DISGUISE]],Sheet1!$A$21:$A$23,Sheet1!$C$21:$C$23))</f>
        <v>15600</v>
      </c>
      <c r="H896" s="13" t="s">
        <v>63</v>
      </c>
      <c r="I896" s="4">
        <f>_xlfn.XLOOKUP(Table1[[#This Row], [WEAPON]],Sheet1!$A$27:$A$29,Sheet1!$B$27:$B$29)*Table1[[#This Row], [NUM OF MEM]]*(1+_xlfn.XLOOKUP(Table1[[#This Row], [WEAPON]],Sheet1!$A$27:$A$29,Sheet1!$C$27:$C$29))</f>
        <v>69000</v>
      </c>
      <c r="J896" t="s">
        <v>60</v>
      </c>
      <c r="K896" s="9">
        <f>Table1[[#This Row], [NUM OF MEM]]*Table1[[#This Row], [TOTAL TIME TAKEN]]*_xlfn.XLOOKUP(Table1[[#This Row], [EXIT]],Sheet1!$A$70:$A$71,Sheet1!$B$70:$B$71)*(1+_xlfn.XLOOKUP(Table1[[#This Row], [EXIT]],Sheet1!$A$70:$A$71,Sheet1!$C$70:$C$71))</f>
        <v>1827519.0999999999</v>
      </c>
      <c r="L896" s="13" t="s">
        <v>61</v>
      </c>
      <c r="M896" s="4">
        <f>IF(Table1[[#This Row], [EQUIPMENT]]="YES",Sheet1!$C$44*(1+Sheet1!$D$44),0)</f>
        <v>0</v>
      </c>
      <c r="N896" s="4">
        <f>_xlfn.XLOOKUP(Table1[[#This Row], [ROOM]],Sheet1!$A$47:$A$66,Sheet1!$F$47:$F$66)</f>
        <v>17450000</v>
      </c>
      <c r="O896" s="9">
        <f>_xlfn.XLOOKUP(_xlfn.CONCAT(Table1[[#This Row], [TEAM]],Table1[[#This Row], [ROOM]]),'ROOM TIME'!$H$2:$H$121,'ROOM TIME'!$J$2:$J$121)</f>
        <v>42.521111111111104</v>
      </c>
      <c r="P896" s="9">
        <f>(INDEX(Sheet1!$X$48:$Z$67,MATCH(Table1[[#This Row], [ROOM]],Sheet1!$P$48:$P$67,0),MATCH(Table1[[#This Row], [WEAPON]],Sheet1!$X$47:$Z$47,0)))/Table1[[#This Row], [NUM OF MEM]]</f>
        <v>4.95</v>
      </c>
      <c r="Q896" s="9">
        <f>Table1[[#This Row], [ROOM TIME]]+Table1[[#This Row], [GUARD TIME]]</f>
        <v>47.471111111111107</v>
      </c>
      <c r="R896" s="4">
        <f>Sheet1!$K$3*_xlfn.XLOOKUP(Table1[[#This Row], [DISGUISE]],Sheet1!$A$21:$A$23,Sheet1!$D$21:$D$23)</f>
        <v>66</v>
      </c>
      <c r="S896" s="9">
        <f>Table1[[#This Row], [TOTAL TIME]]-Table1[[#This Row], [TOTAL TIME TAKEN]]</f>
        <v>18.528888888888893</v>
      </c>
      <c r="T896" t="str">
        <f>IF(Table1[[#This Row], [TIME DIFFERENCE]]&gt;=0,"PASS","FAIL")</f>
        <v>PASS</v>
      </c>
      <c r="U896" s="9">
        <f>Table1[[#This Row], [TRC]]+Table1[[#This Row], [DRC]]+Table1[[#This Row], [WRC]]+Table1[[#This Row], [ERC]]+Table1[[#This Row], [EQRC]]</f>
        <v>7842119.0999999996</v>
      </c>
      <c r="V896" s="9">
        <f>Table1[[#This Row], [TOTAL COST]]+_xlfn.XLOOKUP(Table1[[#This Row], [TEAM]],Sheet1!$A$12:$A$17,Sheet1!$I$12:$I$17)</f>
        <v>8138619.0999999996</v>
      </c>
      <c r="W896" s="9">
        <f>Table1[[#This Row], [LOOT]]-Table1[[#This Row], [TOTAL COST]]</f>
        <v>9607880.9000000004</v>
      </c>
      <c r="X896" s="9">
        <f>IF(Table1[[#This Row], [PASS/FAIL]]="FAIL",0,Table1[[#This Row], [PROFIT]])</f>
        <v>9607880.9000000004</v>
      </c>
    </row>
    <row r="897" spans="1:24" ht="19.5" customHeight="1" x14ac:dyDescent="0.45">
      <c r="A897" t="s">
        <v>9</v>
      </c>
      <c r="B897" s="14">
        <f>_xlfn.XLOOKUP(Table1[[#This Row], [TEAM]],Sheet1!$A$12:$A$17,Sheet1!$F$12:$F$17)</f>
        <v>3</v>
      </c>
      <c r="C897" s="14">
        <f>_xlfn.XLOOKUP(Table1[[#This Row], [TEAM]],Sheet1!$A$12:$A$17,Sheet1!$G$12:$G$17)</f>
        <v>6238750</v>
      </c>
      <c r="D897" t="s">
        <v>24</v>
      </c>
      <c r="E897" s="4">
        <f>_xlfn.XLOOKUP(Table1[[#This Row], [ROOM]],Sheet1!$A$47:$A$66,Sheet1!$B$47:$B$66)</f>
        <v>345</v>
      </c>
      <c r="F897" t="s">
        <v>58</v>
      </c>
      <c r="G897" s="4">
        <f>_xlfn.XLOOKUP(Table1[[#This Row], [DISGUISE]],Sheet1!$A$21:$A$23,Sheet1!$B$21:$B$23)*Table1[[#This Row], [NUM OF MEM]]*(1+_xlfn.XLOOKUP(Table1[[#This Row], [DISGUISE]],Sheet1!$A$21:$A$23,Sheet1!$C$21:$C$23))</f>
        <v>38400</v>
      </c>
      <c r="H897" s="13" t="s">
        <v>66</v>
      </c>
      <c r="I897" s="4">
        <f>_xlfn.XLOOKUP(Table1[[#This Row], [WEAPON]],Sheet1!$A$27:$A$29,Sheet1!$B$27:$B$29)*Table1[[#This Row], [NUM OF MEM]]*(1+_xlfn.XLOOKUP(Table1[[#This Row], [WEAPON]],Sheet1!$A$27:$A$29,Sheet1!$C$27:$C$29))</f>
        <v>108000</v>
      </c>
      <c r="J897" t="s">
        <v>64</v>
      </c>
      <c r="K897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1699531.2</v>
      </c>
      <c r="L897" s="13" t="s">
        <v>65</v>
      </c>
      <c r="M897" s="4">
        <f>IF(Table1[[#This Row], [EQUIPMENT]]="YES",Sheet1!$C$44*(1+Sheet1!$D$44),0)</f>
        <v>307500</v>
      </c>
      <c r="N897" s="4">
        <f>_xlfn.XLOOKUP(Table1[[#This Row], [ROOM]],Sheet1!$A$47:$A$66,Sheet1!$F$47:$F$66)</f>
        <v>18000000</v>
      </c>
      <c r="O897" s="9">
        <f>_xlfn.XLOOKUP(_xlfn.CONCAT(Table1[[#This Row], [TEAM]],Table1[[#This Row], [ROOM]]),'ROOM TIME'!$H$2:$H$121,'ROOM TIME'!$J$2:$J$121)</f>
        <v>38.712222222222216</v>
      </c>
      <c r="P897" s="4">
        <f>(INDEX(Sheet1!$X$48:$Z$67,MATCH(Table1[[#This Row], [ROOM]],Sheet1!$P$48:$P$67,0),MATCH(Table1[[#This Row], [WEAPON]],Sheet1!$X$47:$Z$47,0)))/Table1[[#This Row], [NUM OF MEM]]</f>
        <v>5</v>
      </c>
      <c r="Q897" s="9">
        <f>Table1[[#This Row], [ROOM TIME]]+Table1[[#This Row], [GUARD TIME]]</f>
        <v>43.712222222222216</v>
      </c>
      <c r="R897" s="4">
        <f>Sheet1!$K$3*_xlfn.XLOOKUP(Table1[[#This Row], [DISGUISE]],Sheet1!$A$21:$A$23,Sheet1!$D$21:$D$23)</f>
        <v>69</v>
      </c>
      <c r="S897" s="9">
        <f>Table1[[#This Row], [TOTAL TIME]]-Table1[[#This Row], [TOTAL TIME TAKEN]]</f>
        <v>25.287777777777784</v>
      </c>
      <c r="T897" t="str">
        <f>IF(Table1[[#This Row], [TIME DIFFERENCE]]&gt;=0,"PASS","FAIL")</f>
        <v>PASS</v>
      </c>
      <c r="U897" s="9">
        <f>Table1[[#This Row], [TRC]]+Table1[[#This Row], [DRC]]+Table1[[#This Row], [WRC]]+Table1[[#This Row], [ERC]]+Table1[[#This Row], [EQRC]]</f>
        <v>8392181.1999999993</v>
      </c>
      <c r="V897" s="9">
        <f>Table1[[#This Row], [TOTAL COST]]+_xlfn.XLOOKUP(Table1[[#This Row], [TEAM]],Sheet1!$A$12:$A$17,Sheet1!$I$12:$I$17)</f>
        <v>8704118.6999999993</v>
      </c>
      <c r="W897" s="9">
        <f>Table1[[#This Row], [LOOT]]-Table1[[#This Row], [TOTAL COST]]</f>
        <v>9607818.8000000007</v>
      </c>
      <c r="X897" s="9">
        <f>IF(Table1[[#This Row], [PASS/FAIL]]="FAIL",0,Table1[[#This Row], [PROFIT]])</f>
        <v>9607818.8000000007</v>
      </c>
    </row>
    <row r="898" spans="1:24" ht="19.5" customHeight="1" x14ac:dyDescent="0.45">
      <c r="A898" t="s">
        <v>12</v>
      </c>
      <c r="B898" s="14">
        <f>_xlfn.XLOOKUP(Table1[[#This Row], [TEAM]],Sheet1!$A$12:$A$17,Sheet1!$F$12:$F$17)</f>
        <v>3</v>
      </c>
      <c r="C898" s="14">
        <f>_xlfn.XLOOKUP(Table1[[#This Row], [TEAM]],Sheet1!$A$12:$A$17,Sheet1!$G$12:$G$17)</f>
        <v>5988750</v>
      </c>
      <c r="D898" t="s">
        <v>28</v>
      </c>
      <c r="E898" s="4">
        <f>_xlfn.XLOOKUP(Table1[[#This Row], [ROOM]],Sheet1!$A$47:$A$66,Sheet1!$B$47:$B$66)</f>
        <v>156</v>
      </c>
      <c r="F898" t="s">
        <v>58</v>
      </c>
      <c r="G898" s="4">
        <f>_xlfn.XLOOKUP(Table1[[#This Row], [DISGUISE]],Sheet1!$A$21:$A$23,Sheet1!$B$21:$B$23)*Table1[[#This Row], [NUM OF MEM]]*(1+_xlfn.XLOOKUP(Table1[[#This Row], [DISGUISE]],Sheet1!$A$21:$A$23,Sheet1!$C$21:$C$23))</f>
        <v>38400</v>
      </c>
      <c r="H898" s="13" t="s">
        <v>59</v>
      </c>
      <c r="I898" s="4">
        <f>_xlfn.XLOOKUP(Table1[[#This Row], [WEAPON]],Sheet1!$A$27:$A$29,Sheet1!$B$27:$B$29)*Table1[[#This Row], [NUM OF MEM]]*(1+_xlfn.XLOOKUP(Table1[[#This Row], [WEAPON]],Sheet1!$A$27:$A$29,Sheet1!$C$27:$C$29))</f>
        <v>136500</v>
      </c>
      <c r="J898" t="s">
        <v>60</v>
      </c>
      <c r="K898" s="9">
        <f>Table1[[#This Row], [NUM OF MEM]]*Table1[[#This Row], [TOTAL TIME TAKEN]]*_xlfn.XLOOKUP(Table1[[#This Row], [EXIT]],Sheet1!$A$70:$A$71,Sheet1!$B$70:$B$71)*(1+_xlfn.XLOOKUP(Table1[[#This Row], [EXIT]],Sheet1!$A$70:$A$71,Sheet1!$C$70:$C$71))</f>
        <v>1571339.6249999993</v>
      </c>
      <c r="L898" s="13" t="s">
        <v>65</v>
      </c>
      <c r="M898" s="4">
        <f>IF(Table1[[#This Row], [EQUIPMENT]]="YES",Sheet1!$C$44*(1+Sheet1!$D$44),0)</f>
        <v>307500</v>
      </c>
      <c r="N898" s="4">
        <f>_xlfn.XLOOKUP(Table1[[#This Row], [ROOM]],Sheet1!$A$47:$A$66,Sheet1!$F$47:$F$66)</f>
        <v>17650000</v>
      </c>
      <c r="O898" s="9">
        <f>_xlfn.XLOOKUP(_xlfn.CONCAT(Table1[[#This Row], [TEAM]],Table1[[#This Row], [ROOM]]),'ROOM TIME'!$H$2:$H$121,'ROOM TIME'!$J$2:$J$121)</f>
        <v>36.98333333333332</v>
      </c>
      <c r="P898" s="9">
        <f>(INDEX(Sheet1!$X$48:$Z$67,MATCH(Table1[[#This Row], [ROOM]],Sheet1!$P$48:$P$67,0),MATCH(Table1[[#This Row], [WEAPON]],Sheet1!$X$47:$Z$47,0)))/Table1[[#This Row], [NUM OF MEM]]</f>
        <v>3.8333333333333335</v>
      </c>
      <c r="Q898" s="9">
        <f>Table1[[#This Row], [ROOM TIME]]+Table1[[#This Row], [GUARD TIME]]</f>
        <v>40.816666666666656</v>
      </c>
      <c r="R898" s="4">
        <f>Sheet1!$K$3*_xlfn.XLOOKUP(Table1[[#This Row], [DISGUISE]],Sheet1!$A$21:$A$23,Sheet1!$D$21:$D$23)</f>
        <v>69</v>
      </c>
      <c r="S898" s="9">
        <f>Table1[[#This Row], [TOTAL TIME]]-Table1[[#This Row], [TOTAL TIME TAKEN]]</f>
        <v>28.183333333333344</v>
      </c>
      <c r="T898" t="str">
        <f>IF(Table1[[#This Row], [TIME DIFFERENCE]]&gt;=0,"PASS","FAIL")</f>
        <v>PASS</v>
      </c>
      <c r="U898" s="9">
        <f>Table1[[#This Row], [TRC]]+Table1[[#This Row], [DRC]]+Table1[[#This Row], [WRC]]+Table1[[#This Row], [ERC]]+Table1[[#This Row], [EQRC]]</f>
        <v>8042489.6249999991</v>
      </c>
      <c r="V898" s="9">
        <f>Table1[[#This Row], [TOTAL COST]]+_xlfn.XLOOKUP(Table1[[#This Row], [TEAM]],Sheet1!$A$12:$A$17,Sheet1!$I$12:$I$17)</f>
        <v>8341927.1249999991</v>
      </c>
      <c r="W898" s="9">
        <f>Table1[[#This Row], [LOOT]]-Table1[[#This Row], [TOTAL COST]]</f>
        <v>9607510.375</v>
      </c>
      <c r="X898" s="9">
        <f>IF(Table1[[#This Row], [PASS/FAIL]]="FAIL",0,Table1[[#This Row], [PROFIT]])</f>
        <v>9607510.375</v>
      </c>
    </row>
    <row r="899" spans="1:24" ht="19.5" customHeight="1" x14ac:dyDescent="0.45">
      <c r="A899" t="s">
        <v>12</v>
      </c>
      <c r="B899" s="14">
        <f>_xlfn.XLOOKUP(Table1[[#This Row], [TEAM]],Sheet1!$A$12:$A$17,Sheet1!$F$12:$F$17)</f>
        <v>3</v>
      </c>
      <c r="C899" s="14">
        <f>_xlfn.XLOOKUP(Table1[[#This Row], [TEAM]],Sheet1!$A$12:$A$17,Sheet1!$G$12:$G$17)</f>
        <v>5988750</v>
      </c>
      <c r="D899" t="s">
        <v>28</v>
      </c>
      <c r="E899" s="4">
        <f>_xlfn.XLOOKUP(Table1[[#This Row], [ROOM]],Sheet1!$A$47:$A$66,Sheet1!$B$47:$B$66)</f>
        <v>156</v>
      </c>
      <c r="F899" t="s">
        <v>58</v>
      </c>
      <c r="G899" s="4">
        <f>_xlfn.XLOOKUP(Table1[[#This Row], [DISGUISE]],Sheet1!$A$21:$A$23,Sheet1!$B$21:$B$23)*Table1[[#This Row], [NUM OF MEM]]*(1+_xlfn.XLOOKUP(Table1[[#This Row], [DISGUISE]],Sheet1!$A$21:$A$23,Sheet1!$C$21:$C$23))</f>
        <v>38400</v>
      </c>
      <c r="H899" s="13" t="s">
        <v>66</v>
      </c>
      <c r="I899" s="4">
        <f>_xlfn.XLOOKUP(Table1[[#This Row], [WEAPON]],Sheet1!$A$27:$A$29,Sheet1!$B$27:$B$29)*Table1[[#This Row], [NUM OF MEM]]*(1+_xlfn.XLOOKUP(Table1[[#This Row], [WEAPON]],Sheet1!$A$27:$A$29,Sheet1!$C$27:$C$29))</f>
        <v>108000</v>
      </c>
      <c r="J899" t="s">
        <v>64</v>
      </c>
      <c r="K899" s="9">
        <f>Table1[[#This Row], [NUM OF MEM]]*Table1[[#This Row], [TOTAL TIME TAKEN]]*_xlfn.XLOOKUP(Table1[[#This Row], [EXIT]],Sheet1!$A$70:$A$71,Sheet1!$B$70:$B$71)*(1+_xlfn.XLOOKUP(Table1[[#This Row], [EXIT]],Sheet1!$A$70:$A$71,Sheet1!$C$70:$C$71))</f>
        <v>1599911.9999999993</v>
      </c>
      <c r="L899" s="13" t="s">
        <v>65</v>
      </c>
      <c r="M899" s="4">
        <f>IF(Table1[[#This Row], [EQUIPMENT]]="YES",Sheet1!$C$44*(1+Sheet1!$D$44),0)</f>
        <v>307500</v>
      </c>
      <c r="N899" s="4">
        <f>_xlfn.XLOOKUP(Table1[[#This Row], [ROOM]],Sheet1!$A$47:$A$66,Sheet1!$F$47:$F$66)</f>
        <v>17650000</v>
      </c>
      <c r="O899" s="9">
        <f>_xlfn.XLOOKUP(_xlfn.CONCAT(Table1[[#This Row], [TEAM]],Table1[[#This Row], [ROOM]]),'ROOM TIME'!$H$2:$H$121,'ROOM TIME'!$J$2:$J$121)</f>
        <v>36.98333333333332</v>
      </c>
      <c r="P899" s="9">
        <f>(INDEX(Sheet1!$X$48:$Z$67,MATCH(Table1[[#This Row], [ROOM]],Sheet1!$P$48:$P$67,0),MATCH(Table1[[#This Row], [WEAPON]],Sheet1!$X$47:$Z$47,0)))/Table1[[#This Row], [NUM OF MEM]]</f>
        <v>4.166666666666667</v>
      </c>
      <c r="Q899" s="9">
        <f>Table1[[#This Row], [ROOM TIME]]+Table1[[#This Row], [GUARD TIME]]</f>
        <v>41.149999999999984</v>
      </c>
      <c r="R899" s="4">
        <f>Sheet1!$K$3*_xlfn.XLOOKUP(Table1[[#This Row], [DISGUISE]],Sheet1!$A$21:$A$23,Sheet1!$D$21:$D$23)</f>
        <v>69</v>
      </c>
      <c r="S899" s="9">
        <f>Table1[[#This Row], [TOTAL TIME]]-Table1[[#This Row], [TOTAL TIME TAKEN]]</f>
        <v>27.850000000000016</v>
      </c>
      <c r="T899" t="str">
        <f>IF(Table1[[#This Row], [TIME DIFFERENCE]]&gt;=0,"PASS","FAIL")</f>
        <v>PASS</v>
      </c>
      <c r="U899" s="9">
        <f>Table1[[#This Row], [TRC]]+Table1[[#This Row], [DRC]]+Table1[[#This Row], [WRC]]+Table1[[#This Row], [ERC]]+Table1[[#This Row], [EQRC]]</f>
        <v>8042561.9999999991</v>
      </c>
      <c r="V899" s="9">
        <f>Table1[[#This Row], [TOTAL COST]]+_xlfn.XLOOKUP(Table1[[#This Row], [TEAM]],Sheet1!$A$12:$A$17,Sheet1!$I$12:$I$17)</f>
        <v>8341999.4999999991</v>
      </c>
      <c r="W899" s="4">
        <f>Table1[[#This Row], [LOOT]]-Table1[[#This Row], [TOTAL COST]]</f>
        <v>9607438</v>
      </c>
      <c r="X899" s="4">
        <f>IF(Table1[[#This Row], [PASS/FAIL]]="FAIL",0,Table1[[#This Row], [PROFIT]])</f>
        <v>9607438</v>
      </c>
    </row>
    <row r="900" spans="1:24" ht="19.5" customHeight="1" x14ac:dyDescent="0.45">
      <c r="A900" t="s">
        <v>13</v>
      </c>
      <c r="B900" s="14">
        <f>_xlfn.XLOOKUP(Table1[[#This Row], [TEAM]],Sheet1!$A$12:$A$17,Sheet1!$F$12:$F$17)</f>
        <v>3</v>
      </c>
      <c r="C900" s="14">
        <f>_xlfn.XLOOKUP(Table1[[#This Row], [TEAM]],Sheet1!$A$12:$A$17,Sheet1!$G$12:$G$17)</f>
        <v>5930000</v>
      </c>
      <c r="D900" t="s">
        <v>22</v>
      </c>
      <c r="E900" s="4">
        <f>_xlfn.XLOOKUP(Table1[[#This Row], [ROOM]],Sheet1!$A$47:$A$66,Sheet1!$B$47:$B$66)</f>
        <v>235</v>
      </c>
      <c r="F900" t="s">
        <v>62</v>
      </c>
      <c r="G900" s="4">
        <f>_xlfn.XLOOKUP(Table1[[#This Row], [DISGUISE]],Sheet1!$A$21:$A$23,Sheet1!$B$21:$B$23)*Table1[[#This Row], [NUM OF MEM]]*(1+_xlfn.XLOOKUP(Table1[[#This Row], [DISGUISE]],Sheet1!$A$21:$A$23,Sheet1!$C$21:$C$23))</f>
        <v>15600</v>
      </c>
      <c r="H900" s="13" t="s">
        <v>63</v>
      </c>
      <c r="I900" s="4">
        <f>_xlfn.XLOOKUP(Table1[[#This Row], [WEAPON]],Sheet1!$A$27:$A$29,Sheet1!$B$27:$B$29)*Table1[[#This Row], [NUM OF MEM]]*(1+_xlfn.XLOOKUP(Table1[[#This Row], [WEAPON]],Sheet1!$A$27:$A$29,Sheet1!$C$27:$C$29))</f>
        <v>69000</v>
      </c>
      <c r="J900" t="s">
        <v>60</v>
      </c>
      <c r="K900" s="9">
        <f>Table1[[#This Row], [NUM OF MEM]]*Table1[[#This Row], [TOTAL TIME TAKEN]]*_xlfn.XLOOKUP(Table1[[#This Row], [EXIT]],Sheet1!$A$70:$A$71,Sheet1!$B$70:$B$71)*(1+_xlfn.XLOOKUP(Table1[[#This Row], [EXIT]],Sheet1!$A$70:$A$71,Sheet1!$C$70:$C$71))</f>
        <v>1871427.6374999997</v>
      </c>
      <c r="L900" s="13" t="s">
        <v>65</v>
      </c>
      <c r="M900" s="4">
        <f>IF(Table1[[#This Row], [EQUIPMENT]]="YES",Sheet1!$C$44*(1+Sheet1!$D$44),0)</f>
        <v>307500</v>
      </c>
      <c r="N900" s="4">
        <f>_xlfn.XLOOKUP(Table1[[#This Row], [ROOM]],Sheet1!$A$47:$A$66,Sheet1!$F$47:$F$66)</f>
        <v>17800000</v>
      </c>
      <c r="O900" s="9">
        <f>_xlfn.XLOOKUP(_xlfn.CONCAT(Table1[[#This Row], [TEAM]],Table1[[#This Row], [ROOM]]),'ROOM TIME'!$H$2:$H$121,'ROOM TIME'!$J$2:$J$121)</f>
        <v>43.211666666666666</v>
      </c>
      <c r="P900" s="9">
        <f>(INDEX(Sheet1!$X$48:$Z$67,MATCH(Table1[[#This Row], [ROOM]],Sheet1!$P$48:$P$67,0),MATCH(Table1[[#This Row], [WEAPON]],Sheet1!$X$47:$Z$47,0)))/Table1[[#This Row], [NUM OF MEM]]</f>
        <v>5.4000000000000012</v>
      </c>
      <c r="Q900" s="9">
        <f>Table1[[#This Row], [ROOM TIME]]+Table1[[#This Row], [GUARD TIME]]</f>
        <v>48.611666666666665</v>
      </c>
      <c r="R900" s="4">
        <f>Sheet1!$K$3*_xlfn.XLOOKUP(Table1[[#This Row], [DISGUISE]],Sheet1!$A$21:$A$23,Sheet1!$D$21:$D$23)</f>
        <v>66</v>
      </c>
      <c r="S900" s="9">
        <f>Table1[[#This Row], [TOTAL TIME]]-Table1[[#This Row], [TOTAL TIME TAKEN]]</f>
        <v>17.388333333333335</v>
      </c>
      <c r="T900" t="str">
        <f>IF(Table1[[#This Row], [TIME DIFFERENCE]]&gt;=0,"PASS","FAIL")</f>
        <v>PASS</v>
      </c>
      <c r="U900" s="9">
        <f>Table1[[#This Row], [TRC]]+Table1[[#This Row], [DRC]]+Table1[[#This Row], [WRC]]+Table1[[#This Row], [ERC]]+Table1[[#This Row], [EQRC]]</f>
        <v>8193527.6374999993</v>
      </c>
      <c r="V900" s="9">
        <f>Table1[[#This Row], [TOTAL COST]]+_xlfn.XLOOKUP(Table1[[#This Row], [TEAM]],Sheet1!$A$12:$A$17,Sheet1!$I$12:$I$17)</f>
        <v>8490027.6374999993</v>
      </c>
      <c r="W900" s="9">
        <f>Table1[[#This Row], [LOOT]]-Table1[[#This Row], [TOTAL COST]]</f>
        <v>9606472.3625000007</v>
      </c>
      <c r="X900" s="9">
        <f>IF(Table1[[#This Row], [PASS/FAIL]]="FAIL",0,Table1[[#This Row], [PROFIT]])</f>
        <v>9606472.3625000007</v>
      </c>
    </row>
    <row r="901" spans="1:24" ht="19.5" customHeight="1" x14ac:dyDescent="0.45">
      <c r="A901" t="s">
        <v>14</v>
      </c>
      <c r="B901" s="14">
        <f>_xlfn.XLOOKUP(Table1[[#This Row], [TEAM]],Sheet1!$A$12:$A$17,Sheet1!$F$12:$F$17)</f>
        <v>2</v>
      </c>
      <c r="C901" s="14">
        <f>_xlfn.XLOOKUP(Table1[[#This Row], [TEAM]],Sheet1!$A$12:$A$17,Sheet1!$G$12:$G$17)</f>
        <v>5949600</v>
      </c>
      <c r="D901" t="s">
        <v>23</v>
      </c>
      <c r="E901" s="4">
        <f>_xlfn.XLOOKUP(Table1[[#This Row], [ROOM]],Sheet1!$A$47:$A$66,Sheet1!$B$47:$B$66)</f>
        <v>245</v>
      </c>
      <c r="F901" t="s">
        <v>58</v>
      </c>
      <c r="G901" s="4">
        <f>_xlfn.XLOOKUP(Table1[[#This Row], [DISGUISE]],Sheet1!$A$21:$A$23,Sheet1!$B$21:$B$23)*Table1[[#This Row], [NUM OF MEM]]*(1+_xlfn.XLOOKUP(Table1[[#This Row], [DISGUISE]],Sheet1!$A$21:$A$23,Sheet1!$C$21:$C$23))</f>
        <v>25600</v>
      </c>
      <c r="H901" s="13" t="s">
        <v>59</v>
      </c>
      <c r="I901" s="4">
        <f>_xlfn.XLOOKUP(Table1[[#This Row], [WEAPON]],Sheet1!$A$27:$A$29,Sheet1!$B$27:$B$29)*Table1[[#This Row], [NUM OF MEM]]*(1+_xlfn.XLOOKUP(Table1[[#This Row], [WEAPON]],Sheet1!$A$27:$A$29,Sheet1!$C$27:$C$29))</f>
        <v>91000</v>
      </c>
      <c r="J901" t="s">
        <v>64</v>
      </c>
      <c r="K901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1727373.5999999996</v>
      </c>
      <c r="L901" s="13" t="s">
        <v>61</v>
      </c>
      <c r="M901" s="4">
        <f>IF(Table1[[#This Row], [EQUIPMENT]]="YES",Sheet1!$C$44*(1+Sheet1!$D$44),0)</f>
        <v>0</v>
      </c>
      <c r="N901" s="4">
        <f>_xlfn.XLOOKUP(Table1[[#This Row], [ROOM]],Sheet1!$A$47:$A$66,Sheet1!$F$47:$F$66)</f>
        <v>17400000</v>
      </c>
      <c r="O901" s="9">
        <f>_xlfn.XLOOKUP(_xlfn.CONCAT(Table1[[#This Row], [TEAM]],Table1[[#This Row], [ROOM]]),'ROOM TIME'!$H$2:$H$121,'ROOM TIME'!$J$2:$J$121)</f>
        <v>60.317499999999981</v>
      </c>
      <c r="P901" s="9">
        <f>(INDEX(Sheet1!$X$48:$Z$67,MATCH(Table1[[#This Row], [ROOM]],Sheet1!$P$48:$P$67,0),MATCH(Table1[[#This Row], [WEAPON]],Sheet1!$X$47:$Z$47,0)))/Table1[[#This Row], [NUM OF MEM]]</f>
        <v>6.3249999999999993</v>
      </c>
      <c r="Q901" s="9">
        <f>Table1[[#This Row], [ROOM TIME]]+Table1[[#This Row], [GUARD TIME]]</f>
        <v>66.642499999999984</v>
      </c>
      <c r="R901" s="4">
        <f>Sheet1!$K$3*_xlfn.XLOOKUP(Table1[[#This Row], [DISGUISE]],Sheet1!$A$21:$A$23,Sheet1!$D$21:$D$23)</f>
        <v>69</v>
      </c>
      <c r="S901" s="9">
        <f>Table1[[#This Row], [TOTAL TIME]]-Table1[[#This Row], [TOTAL TIME TAKEN]]</f>
        <v>2.3575000000000159</v>
      </c>
      <c r="T901" t="str">
        <f>IF(Table1[[#This Row], [TIME DIFFERENCE]]&gt;=0,"PASS","FAIL")</f>
        <v>PASS</v>
      </c>
      <c r="U901" s="9">
        <f>Table1[[#This Row], [TRC]]+Table1[[#This Row], [DRC]]+Table1[[#This Row], [WRC]]+Table1[[#This Row], [ERC]]+Table1[[#This Row], [EQRC]]</f>
        <v>7793573.5999999996</v>
      </c>
      <c r="V901" s="9">
        <f>Table1[[#This Row], [TOTAL COST]]+_xlfn.XLOOKUP(Table1[[#This Row], [TEAM]],Sheet1!$A$12:$A$17,Sheet1!$I$12:$I$17)</f>
        <v>8091053.5999999996</v>
      </c>
      <c r="W901" s="9">
        <f>Table1[[#This Row], [LOOT]]-Table1[[#This Row], [TOTAL COST]]</f>
        <v>9606426.4000000004</v>
      </c>
      <c r="X901" s="9">
        <f>IF(Table1[[#This Row], [PASS/FAIL]]="FAIL",0,Table1[[#This Row], [PROFIT]])</f>
        <v>9606426.4000000004</v>
      </c>
    </row>
    <row r="902" spans="1:24" ht="19.5" customHeight="1" x14ac:dyDescent="0.45">
      <c r="A902" t="s">
        <v>15</v>
      </c>
      <c r="B902" s="14">
        <f>_xlfn.XLOOKUP(Table1[[#This Row], [TEAM]],Sheet1!$A$12:$A$17,Sheet1!$F$12:$F$17)</f>
        <v>2</v>
      </c>
      <c r="C902" s="14">
        <f>_xlfn.XLOOKUP(Table1[[#This Row], [TEAM]],Sheet1!$A$12:$A$17,Sheet1!$G$12:$G$17)</f>
        <v>5932950</v>
      </c>
      <c r="D902" t="s">
        <v>17</v>
      </c>
      <c r="E902" s="4">
        <f>_xlfn.XLOOKUP(Table1[[#This Row], [ROOM]],Sheet1!$A$47:$A$66,Sheet1!$B$47:$B$66)</f>
        <v>125</v>
      </c>
      <c r="F902" t="s">
        <v>58</v>
      </c>
      <c r="G902" s="4">
        <f>_xlfn.XLOOKUP(Table1[[#This Row], [DISGUISE]],Sheet1!$A$21:$A$23,Sheet1!$B$21:$B$23)*Table1[[#This Row], [NUM OF MEM]]*(1+_xlfn.XLOOKUP(Table1[[#This Row], [DISGUISE]],Sheet1!$A$21:$A$23,Sheet1!$C$21:$C$23))</f>
        <v>25600</v>
      </c>
      <c r="H902" s="13" t="s">
        <v>63</v>
      </c>
      <c r="I902" s="4">
        <f>_xlfn.XLOOKUP(Table1[[#This Row], [WEAPON]],Sheet1!$A$27:$A$29,Sheet1!$B$27:$B$29)*Table1[[#This Row], [NUM OF MEM]]*(1+_xlfn.XLOOKUP(Table1[[#This Row], [WEAPON]],Sheet1!$A$27:$A$29,Sheet1!$C$27:$C$29))</f>
        <v>46000</v>
      </c>
      <c r="J902" t="s">
        <v>64</v>
      </c>
      <c r="K902" s="9">
        <f>Table1[[#This Row], [NUM OF MEM]]*Table1[[#This Row], [TOTAL TIME TAKEN]]*_xlfn.XLOOKUP(Table1[[#This Row], [EXIT]],Sheet1!$A$70:$A$71,Sheet1!$B$70:$B$71)*(1+_xlfn.XLOOKUP(Table1[[#This Row], [EXIT]],Sheet1!$A$70:$A$71,Sheet1!$C$70:$C$71))</f>
        <v>1739296.7999999996</v>
      </c>
      <c r="L902" s="13" t="s">
        <v>61</v>
      </c>
      <c r="M902" s="4">
        <f>IF(Table1[[#This Row], [EQUIPMENT]]="YES",Sheet1!$C$44*(1+Sheet1!$D$44),0)</f>
        <v>0</v>
      </c>
      <c r="N902" s="4">
        <f>_xlfn.XLOOKUP(Table1[[#This Row], [ROOM]],Sheet1!$A$47:$A$66,Sheet1!$F$47:$F$66)</f>
        <v>17350000</v>
      </c>
      <c r="O902" s="9">
        <f>_xlfn.XLOOKUP(_xlfn.CONCAT(Table1[[#This Row], [TEAM]],Table1[[#This Row], [ROOM]]),'ROOM TIME'!$H$2:$H$121,'ROOM TIME'!$J$2:$J$121)</f>
        <v>60.352499999999985</v>
      </c>
      <c r="P902" s="9">
        <f>(INDEX(Sheet1!$X$48:$Z$67,MATCH(Table1[[#This Row], [ROOM]],Sheet1!$P$48:$P$67,0),MATCH(Table1[[#This Row], [WEAPON]],Sheet1!$X$47:$Z$47,0)))/Table1[[#This Row], [NUM OF MEM]]</f>
        <v>6.75</v>
      </c>
      <c r="Q902" s="9">
        <f>Table1[[#This Row], [ROOM TIME]]+Table1[[#This Row], [GUARD TIME]]</f>
        <v>67.102499999999992</v>
      </c>
      <c r="R902" s="4">
        <f>Sheet1!$K$3*_xlfn.XLOOKUP(Table1[[#This Row], [DISGUISE]],Sheet1!$A$21:$A$23,Sheet1!$D$21:$D$23)</f>
        <v>69</v>
      </c>
      <c r="S902" s="9">
        <f>Table1[[#This Row], [TOTAL TIME]]-Table1[[#This Row], [TOTAL TIME TAKEN]]</f>
        <v>1.897500000000008</v>
      </c>
      <c r="T902" t="str">
        <f>IF(Table1[[#This Row], [TIME DIFFERENCE]]&gt;=0,"PASS","FAIL")</f>
        <v>PASS</v>
      </c>
      <c r="U902" s="9">
        <f>Table1[[#This Row], [TRC]]+Table1[[#This Row], [DRC]]+Table1[[#This Row], [WRC]]+Table1[[#This Row], [ERC]]+Table1[[#This Row], [EQRC]]</f>
        <v>7743846.7999999998</v>
      </c>
      <c r="V902" s="9">
        <f>Table1[[#This Row], [TOTAL COST]]+_xlfn.XLOOKUP(Table1[[#This Row], [TEAM]],Sheet1!$A$12:$A$17,Sheet1!$I$12:$I$17)</f>
        <v>8040494.2999999998</v>
      </c>
      <c r="W902" s="9">
        <f>Table1[[#This Row], [LOOT]]-Table1[[#This Row], [TOTAL COST]]</f>
        <v>9606153.1999999993</v>
      </c>
      <c r="X902" s="9">
        <f>IF(Table1[[#This Row], [PASS/FAIL]]="FAIL",0,Table1[[#This Row], [PROFIT]])</f>
        <v>9606153.1999999993</v>
      </c>
    </row>
    <row r="903" spans="1:24" ht="19.5" customHeight="1" x14ac:dyDescent="0.45">
      <c r="A903" t="s">
        <v>12</v>
      </c>
      <c r="B903" s="14">
        <f>_xlfn.XLOOKUP(Table1[[#This Row], [TEAM]],Sheet1!$A$12:$A$17,Sheet1!$F$12:$F$17)</f>
        <v>3</v>
      </c>
      <c r="C903" s="14">
        <f>_xlfn.XLOOKUP(Table1[[#This Row], [TEAM]],Sheet1!$A$12:$A$17,Sheet1!$G$12:$G$17)</f>
        <v>5988750</v>
      </c>
      <c r="D903" t="s">
        <v>11</v>
      </c>
      <c r="E903" s="4">
        <f>_xlfn.XLOOKUP(Table1[[#This Row], [ROOM]],Sheet1!$A$47:$A$66,Sheet1!$B$47:$B$66)</f>
        <v>124</v>
      </c>
      <c r="F903" t="s">
        <v>62</v>
      </c>
      <c r="G903" s="4">
        <f>_xlfn.XLOOKUP(Table1[[#This Row], [DISGUISE]],Sheet1!$A$21:$A$23,Sheet1!$B$21:$B$23)*Table1[[#This Row], [NUM OF MEM]]*(1+_xlfn.XLOOKUP(Table1[[#This Row], [DISGUISE]],Sheet1!$A$21:$A$23,Sheet1!$C$21:$C$23))</f>
        <v>15600</v>
      </c>
      <c r="H903" s="13" t="s">
        <v>66</v>
      </c>
      <c r="I903" s="4">
        <f>_xlfn.XLOOKUP(Table1[[#This Row], [WEAPON]],Sheet1!$A$27:$A$29,Sheet1!$B$27:$B$29)*Table1[[#This Row], [NUM OF MEM]]*(1+_xlfn.XLOOKUP(Table1[[#This Row], [WEAPON]],Sheet1!$A$27:$A$29,Sheet1!$C$27:$C$29))</f>
        <v>108000</v>
      </c>
      <c r="J903" t="s">
        <v>60</v>
      </c>
      <c r="K903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1731788.6499999997</v>
      </c>
      <c r="L903" s="13" t="s">
        <v>61</v>
      </c>
      <c r="M903" s="4">
        <f>IF(Table1[[#This Row], [EQUIPMENT]]="YES",Sheet1!$C$44*(1+Sheet1!$D$44),0)</f>
        <v>0</v>
      </c>
      <c r="N903" s="4">
        <f>_xlfn.XLOOKUP(Table1[[#This Row], [ROOM]],Sheet1!$A$47:$A$66,Sheet1!$F$47:$F$66)</f>
        <v>17450000</v>
      </c>
      <c r="O903" s="9">
        <f>_xlfn.XLOOKUP(_xlfn.CONCAT(Table1[[#This Row], [TEAM]],Table1[[#This Row], [ROOM]]),'ROOM TIME'!$H$2:$H$121,'ROOM TIME'!$J$2:$J$121)</f>
        <v>40.401111111111099</v>
      </c>
      <c r="P903" s="9">
        <f>(INDEX(Sheet1!$X$48:$Z$67,MATCH(Table1[[#This Row], [ROOM]],Sheet1!$P$48:$P$67,0),MATCH(Table1[[#This Row], [WEAPON]],Sheet1!$X$47:$Z$47,0)))/Table1[[#This Row], [NUM OF MEM]]</f>
        <v>4.583333333333333</v>
      </c>
      <c r="Q903" s="9">
        <f>Table1[[#This Row], [ROOM TIME]]+Table1[[#This Row], [GUARD TIME]]</f>
        <v>44.984444444444435</v>
      </c>
      <c r="R903" s="4">
        <f>Sheet1!$K$3*_xlfn.XLOOKUP(Table1[[#This Row], [DISGUISE]],Sheet1!$A$21:$A$23,Sheet1!$D$21:$D$23)</f>
        <v>66</v>
      </c>
      <c r="S903" s="9">
        <f>Table1[[#This Row], [TOTAL TIME]]-Table1[[#This Row], [TOTAL TIME TAKEN]]</f>
        <v>21.015555555555565</v>
      </c>
      <c r="T903" t="str">
        <f>IF(Table1[[#This Row], [TIME DIFFERENCE]]&gt;=0,"PASS","FAIL")</f>
        <v>PASS</v>
      </c>
      <c r="U903" s="9">
        <f>Table1[[#This Row], [TRC]]+Table1[[#This Row], [DRC]]+Table1[[#This Row], [WRC]]+Table1[[#This Row], [ERC]]+Table1[[#This Row], [EQRC]]</f>
        <v>7844138.6499999994</v>
      </c>
      <c r="V903" s="9">
        <f>Table1[[#This Row], [TOTAL COST]]+_xlfn.XLOOKUP(Table1[[#This Row], [TEAM]],Sheet1!$A$12:$A$17,Sheet1!$I$12:$I$17)</f>
        <v>8143576.1499999994</v>
      </c>
      <c r="W903" s="9">
        <f>Table1[[#This Row], [LOOT]]-Table1[[#This Row], [TOTAL COST]]</f>
        <v>9605861.3500000015</v>
      </c>
      <c r="X903" s="9">
        <f>IF(Table1[[#This Row], [PASS/FAIL]]="FAIL",0,Table1[[#This Row], [PROFIT]])</f>
        <v>9605861.3500000015</v>
      </c>
    </row>
    <row r="904" spans="1:24" ht="19.5" customHeight="1" x14ac:dyDescent="0.45">
      <c r="A904" t="s">
        <v>12</v>
      </c>
      <c r="B904" s="14">
        <f>_xlfn.XLOOKUP(Table1[[#This Row], [TEAM]],Sheet1!$A$12:$A$17,Sheet1!$F$12:$F$17)</f>
        <v>3</v>
      </c>
      <c r="C904" s="14">
        <f>_xlfn.XLOOKUP(Table1[[#This Row], [TEAM]],Sheet1!$A$12:$A$17,Sheet1!$G$12:$G$17)</f>
        <v>5988750</v>
      </c>
      <c r="D904" t="s">
        <v>10</v>
      </c>
      <c r="E904" s="4">
        <f>_xlfn.XLOOKUP(Table1[[#This Row], [ROOM]],Sheet1!$A$47:$A$66,Sheet1!$B$47:$B$66)</f>
        <v>123</v>
      </c>
      <c r="F904" t="s">
        <v>58</v>
      </c>
      <c r="G904" s="4">
        <f>_xlfn.XLOOKUP(Table1[[#This Row], [DISGUISE]],Sheet1!$A$21:$A$23,Sheet1!$B$21:$B$23)*Table1[[#This Row], [NUM OF MEM]]*(1+_xlfn.XLOOKUP(Table1[[#This Row], [DISGUISE]],Sheet1!$A$21:$A$23,Sheet1!$C$21:$C$23))</f>
        <v>38400</v>
      </c>
      <c r="H904" s="13" t="s">
        <v>63</v>
      </c>
      <c r="I904" s="4">
        <f>_xlfn.XLOOKUP(Table1[[#This Row], [WEAPON]],Sheet1!$A$27:$A$29,Sheet1!$B$27:$B$29)*Table1[[#This Row], [NUM OF MEM]]*(1+_xlfn.XLOOKUP(Table1[[#This Row], [WEAPON]],Sheet1!$A$27:$A$29,Sheet1!$C$27:$C$29))</f>
        <v>69000</v>
      </c>
      <c r="J904" t="s">
        <v>64</v>
      </c>
      <c r="K904" s="9">
        <f>Table1[[#This Row], [NUM OF MEM]]*Table1[[#This Row], [TOTAL TIME TAKEN]]*_xlfn.XLOOKUP(Table1[[#This Row], [EXIT]],Sheet1!$A$70:$A$71,Sheet1!$B$70:$B$71)*(1+_xlfn.XLOOKUP(Table1[[#This Row], [EXIT]],Sheet1!$A$70:$A$71,Sheet1!$C$70:$C$71))</f>
        <v>1841659.1999999995</v>
      </c>
      <c r="L904" s="13" t="s">
        <v>65</v>
      </c>
      <c r="M904" s="4">
        <f>IF(Table1[[#This Row], [EQUIPMENT]]="YES",Sheet1!$C$44*(1+Sheet1!$D$44),0)</f>
        <v>307500</v>
      </c>
      <c r="N904" s="4">
        <f>_xlfn.XLOOKUP(Table1[[#This Row], [ROOM]],Sheet1!$A$47:$A$66,Sheet1!$F$47:$F$66)</f>
        <v>17850000</v>
      </c>
      <c r="O904" s="9">
        <f>_xlfn.XLOOKUP(_xlfn.CONCAT(Table1[[#This Row], [TEAM]],Table1[[#This Row], [ROOM]]),'ROOM TIME'!$H$2:$H$121,'ROOM TIME'!$J$2:$J$121)</f>
        <v>41.967777777777762</v>
      </c>
      <c r="P904" s="9">
        <f>(INDEX(Sheet1!$X$48:$Z$67,MATCH(Table1[[#This Row], [ROOM]],Sheet1!$P$48:$P$67,0),MATCH(Table1[[#This Row], [WEAPON]],Sheet1!$X$47:$Z$47,0)))/Table1[[#This Row], [NUM OF MEM]]</f>
        <v>5.4000000000000012</v>
      </c>
      <c r="Q904" s="9">
        <f>Table1[[#This Row], [ROOM TIME]]+Table1[[#This Row], [GUARD TIME]]</f>
        <v>47.367777777777761</v>
      </c>
      <c r="R904" s="4">
        <f>Sheet1!$K$3*_xlfn.XLOOKUP(Table1[[#This Row], [DISGUISE]],Sheet1!$A$21:$A$23,Sheet1!$D$21:$D$23)</f>
        <v>69</v>
      </c>
      <c r="S904" s="9">
        <f>Table1[[#This Row], [TOTAL TIME]]-Table1[[#This Row], [TOTAL TIME TAKEN]]</f>
        <v>21.632222222222239</v>
      </c>
      <c r="T904" t="str">
        <f>IF(Table1[[#This Row], [TIME DIFFERENCE]]&gt;=0,"PASS","FAIL")</f>
        <v>PASS</v>
      </c>
      <c r="U904" s="9">
        <f>Table1[[#This Row], [TRC]]+Table1[[#This Row], [DRC]]+Table1[[#This Row], [WRC]]+Table1[[#This Row], [ERC]]+Table1[[#This Row], [EQRC]]</f>
        <v>8245309.1999999993</v>
      </c>
      <c r="V904" s="9">
        <f>Table1[[#This Row], [TOTAL COST]]+_xlfn.XLOOKUP(Table1[[#This Row], [TEAM]],Sheet1!$A$12:$A$17,Sheet1!$I$12:$I$17)</f>
        <v>8544746.6999999993</v>
      </c>
      <c r="W904" s="9">
        <f>Table1[[#This Row], [LOOT]]-Table1[[#This Row], [TOTAL COST]]</f>
        <v>9604690.8000000007</v>
      </c>
      <c r="X904" s="9">
        <f>IF(Table1[[#This Row], [PASS/FAIL]]="FAIL",0,Table1[[#This Row], [PROFIT]])</f>
        <v>9604690.8000000007</v>
      </c>
    </row>
    <row r="905" spans="1:24" ht="19.5" customHeight="1" x14ac:dyDescent="0.45">
      <c r="A905" t="s">
        <v>12</v>
      </c>
      <c r="B905" s="14">
        <f>_xlfn.XLOOKUP(Table1[[#This Row], [TEAM]],Sheet1!$A$12:$A$17,Sheet1!$F$12:$F$17)</f>
        <v>3</v>
      </c>
      <c r="C905" s="14">
        <f>_xlfn.XLOOKUP(Table1[[#This Row], [TEAM]],Sheet1!$A$12:$A$17,Sheet1!$G$12:$G$17)</f>
        <v>5988750</v>
      </c>
      <c r="D905" t="s">
        <v>10</v>
      </c>
      <c r="E905" s="4">
        <f>_xlfn.XLOOKUP(Table1[[#This Row], [ROOM]],Sheet1!$A$47:$A$66,Sheet1!$B$47:$B$66)</f>
        <v>123</v>
      </c>
      <c r="F905" t="s">
        <v>62</v>
      </c>
      <c r="G905" s="4">
        <f>_xlfn.XLOOKUP(Table1[[#This Row], [DISGUISE]],Sheet1!$A$21:$A$23,Sheet1!$B$21:$B$23)*Table1[[#This Row], [NUM OF MEM]]*(1+_xlfn.XLOOKUP(Table1[[#This Row], [DISGUISE]],Sheet1!$A$21:$A$23,Sheet1!$C$21:$C$23))</f>
        <v>15600</v>
      </c>
      <c r="H905" s="13" t="s">
        <v>66</v>
      </c>
      <c r="I905" s="4">
        <f>_xlfn.XLOOKUP(Table1[[#This Row], [WEAPON]],Sheet1!$A$27:$A$29,Sheet1!$B$27:$B$29)*Table1[[#This Row], [NUM OF MEM]]*(1+_xlfn.XLOOKUP(Table1[[#This Row], [WEAPON]],Sheet1!$A$27:$A$29,Sheet1!$C$27:$C$29))</f>
        <v>108000</v>
      </c>
      <c r="J905" t="s">
        <v>64</v>
      </c>
      <c r="K905" s="9">
        <f>Table1[[#This Row], [NUM OF MEM]]*Table1[[#This Row], [TOTAL TIME TAKEN]]*_xlfn.XLOOKUP(Table1[[#This Row], [EXIT]],Sheet1!$A$70:$A$71,Sheet1!$B$70:$B$71)*(1+_xlfn.XLOOKUP(Table1[[#This Row], [EXIT]],Sheet1!$A$70:$A$71,Sheet1!$C$70:$C$71))</f>
        <v>1826107.199999999</v>
      </c>
      <c r="L905" s="13" t="s">
        <v>65</v>
      </c>
      <c r="M905" s="4">
        <f>IF(Table1[[#This Row], [EQUIPMENT]]="YES",Sheet1!$C$44*(1+Sheet1!$D$44),0)</f>
        <v>307500</v>
      </c>
      <c r="N905" s="4">
        <f>_xlfn.XLOOKUP(Table1[[#This Row], [ROOM]],Sheet1!$A$47:$A$66,Sheet1!$F$47:$F$66)</f>
        <v>17850000</v>
      </c>
      <c r="O905" s="9">
        <f>_xlfn.XLOOKUP(_xlfn.CONCAT(Table1[[#This Row], [TEAM]],Table1[[#This Row], [ROOM]]),'ROOM TIME'!$H$2:$H$121,'ROOM TIME'!$J$2:$J$121)</f>
        <v>41.967777777777762</v>
      </c>
      <c r="P905" s="4">
        <f>(INDEX(Sheet1!$X$48:$Z$67,MATCH(Table1[[#This Row], [ROOM]],Sheet1!$P$48:$P$67,0),MATCH(Table1[[#This Row], [WEAPON]],Sheet1!$X$47:$Z$47,0)))/Table1[[#This Row], [NUM OF MEM]]</f>
        <v>5</v>
      </c>
      <c r="Q905" s="9">
        <f>Table1[[#This Row], [ROOM TIME]]+Table1[[#This Row], [GUARD TIME]]</f>
        <v>46.967777777777762</v>
      </c>
      <c r="R905" s="4">
        <f>Sheet1!$K$3*_xlfn.XLOOKUP(Table1[[#This Row], [DISGUISE]],Sheet1!$A$21:$A$23,Sheet1!$D$21:$D$23)</f>
        <v>66</v>
      </c>
      <c r="S905" s="9">
        <f>Table1[[#This Row], [TOTAL TIME]]-Table1[[#This Row], [TOTAL TIME TAKEN]]</f>
        <v>19.032222222222238</v>
      </c>
      <c r="T905" t="str">
        <f>IF(Table1[[#This Row], [TIME DIFFERENCE]]&gt;=0,"PASS","FAIL")</f>
        <v>PASS</v>
      </c>
      <c r="U905" s="9">
        <f>Table1[[#This Row], [TRC]]+Table1[[#This Row], [DRC]]+Table1[[#This Row], [WRC]]+Table1[[#This Row], [ERC]]+Table1[[#This Row], [EQRC]]</f>
        <v>8245957.1999999993</v>
      </c>
      <c r="V905" s="9">
        <f>Table1[[#This Row], [TOTAL COST]]+_xlfn.XLOOKUP(Table1[[#This Row], [TEAM]],Sheet1!$A$12:$A$17,Sheet1!$I$12:$I$17)</f>
        <v>8545394.6999999993</v>
      </c>
      <c r="W905" s="9">
        <f>Table1[[#This Row], [LOOT]]-Table1[[#This Row], [TOTAL COST]]</f>
        <v>9604042.8000000007</v>
      </c>
      <c r="X905" s="9">
        <f>IF(Table1[[#This Row], [PASS/FAIL]]="FAIL",0,Table1[[#This Row], [PROFIT]])</f>
        <v>9604042.8000000007</v>
      </c>
    </row>
    <row r="906" spans="1:24" ht="19.5" customHeight="1" x14ac:dyDescent="0.45">
      <c r="A906" t="s">
        <v>15</v>
      </c>
      <c r="B906" s="14">
        <f>_xlfn.XLOOKUP(Table1[[#This Row], [TEAM]],Sheet1!$A$12:$A$17,Sheet1!$F$12:$F$17)</f>
        <v>2</v>
      </c>
      <c r="C906" s="14">
        <f>_xlfn.XLOOKUP(Table1[[#This Row], [TEAM]],Sheet1!$A$12:$A$17,Sheet1!$G$12:$G$17)</f>
        <v>5932950</v>
      </c>
      <c r="D906" t="s">
        <v>17</v>
      </c>
      <c r="E906" s="4">
        <f>_xlfn.XLOOKUP(Table1[[#This Row], [ROOM]],Sheet1!$A$47:$A$66,Sheet1!$B$47:$B$66)</f>
        <v>125</v>
      </c>
      <c r="F906" t="s">
        <v>58</v>
      </c>
      <c r="G906" s="4">
        <f>_xlfn.XLOOKUP(Table1[[#This Row], [DISGUISE]],Sheet1!$A$21:$A$23,Sheet1!$B$21:$B$23)*Table1[[#This Row], [NUM OF MEM]]*(1+_xlfn.XLOOKUP(Table1[[#This Row], [DISGUISE]],Sheet1!$A$21:$A$23,Sheet1!$C$21:$C$23))</f>
        <v>25600</v>
      </c>
      <c r="H906" s="13" t="s">
        <v>59</v>
      </c>
      <c r="I906" s="4">
        <f>_xlfn.XLOOKUP(Table1[[#This Row], [WEAPON]],Sheet1!$A$27:$A$29,Sheet1!$B$27:$B$29)*Table1[[#This Row], [NUM OF MEM]]*(1+_xlfn.XLOOKUP(Table1[[#This Row], [WEAPON]],Sheet1!$A$27:$A$29,Sheet1!$C$27:$C$29))</f>
        <v>91000</v>
      </c>
      <c r="J906" t="s">
        <v>60</v>
      </c>
      <c r="K906" s="9">
        <f>Table1[[#This Row], [NUM OF MEM]]*Table1[[#This Row], [TOTAL TIME TAKEN]]*_xlfn.XLOOKUP(Table1[[#This Row], [EXIT]],Sheet1!$A$70:$A$71,Sheet1!$B$70:$B$71)*(1+_xlfn.XLOOKUP(Table1[[#This Row], [EXIT]],Sheet1!$A$70:$A$71,Sheet1!$C$70:$C$71))</f>
        <v>1696520.6624999996</v>
      </c>
      <c r="L906" s="13" t="s">
        <v>61</v>
      </c>
      <c r="M906" s="4">
        <f>IF(Table1[[#This Row], [EQUIPMENT]]="YES",Sheet1!$C$44*(1+Sheet1!$D$44),0)</f>
        <v>0</v>
      </c>
      <c r="N906" s="4">
        <f>_xlfn.XLOOKUP(Table1[[#This Row], [ROOM]],Sheet1!$A$47:$A$66,Sheet1!$F$47:$F$66)</f>
        <v>17350000</v>
      </c>
      <c r="O906" s="9">
        <f>_xlfn.XLOOKUP(_xlfn.CONCAT(Table1[[#This Row], [TEAM]],Table1[[#This Row], [ROOM]]),'ROOM TIME'!$H$2:$H$121,'ROOM TIME'!$J$2:$J$121)</f>
        <v>60.352499999999985</v>
      </c>
      <c r="P906" s="9">
        <f>(INDEX(Sheet1!$X$48:$Z$67,MATCH(Table1[[#This Row], [ROOM]],Sheet1!$P$48:$P$67,0),MATCH(Table1[[#This Row], [WEAPON]],Sheet1!$X$47:$Z$47,0)))/Table1[[#This Row], [NUM OF MEM]]</f>
        <v>5.75</v>
      </c>
      <c r="Q906" s="9">
        <f>Table1[[#This Row], [ROOM TIME]]+Table1[[#This Row], [GUARD TIME]]</f>
        <v>66.102499999999992</v>
      </c>
      <c r="R906" s="4">
        <f>Sheet1!$K$3*_xlfn.XLOOKUP(Table1[[#This Row], [DISGUISE]],Sheet1!$A$21:$A$23,Sheet1!$D$21:$D$23)</f>
        <v>69</v>
      </c>
      <c r="S906" s="9">
        <f>Table1[[#This Row], [TOTAL TIME]]-Table1[[#This Row], [TOTAL TIME TAKEN]]</f>
        <v>2.897500000000008</v>
      </c>
      <c r="T906" t="str">
        <f>IF(Table1[[#This Row], [TIME DIFFERENCE]]&gt;=0,"PASS","FAIL")</f>
        <v>PASS</v>
      </c>
      <c r="U906" s="9">
        <f>Table1[[#This Row], [TRC]]+Table1[[#This Row], [DRC]]+Table1[[#This Row], [WRC]]+Table1[[#This Row], [ERC]]+Table1[[#This Row], [EQRC]]</f>
        <v>7746070.6624999996</v>
      </c>
      <c r="V906" s="9">
        <f>Table1[[#This Row], [TOTAL COST]]+_xlfn.XLOOKUP(Table1[[#This Row], [TEAM]],Sheet1!$A$12:$A$17,Sheet1!$I$12:$I$17)</f>
        <v>8042718.1624999996</v>
      </c>
      <c r="W906" s="9">
        <f>Table1[[#This Row], [LOOT]]-Table1[[#This Row], [TOTAL COST]]</f>
        <v>9603929.3375000004</v>
      </c>
      <c r="X906" s="9">
        <f>IF(Table1[[#This Row], [PASS/FAIL]]="FAIL",0,Table1[[#This Row], [PROFIT]])</f>
        <v>9603929.3375000004</v>
      </c>
    </row>
    <row r="907" spans="1:24" ht="19.5" customHeight="1" x14ac:dyDescent="0.45">
      <c r="A907" t="s">
        <v>15</v>
      </c>
      <c r="B907" s="14">
        <f>_xlfn.XLOOKUP(Table1[[#This Row], [TEAM]],Sheet1!$A$12:$A$17,Sheet1!$F$12:$F$17)</f>
        <v>2</v>
      </c>
      <c r="C907" s="14">
        <f>_xlfn.XLOOKUP(Table1[[#This Row], [TEAM]],Sheet1!$A$12:$A$17,Sheet1!$G$12:$G$17)</f>
        <v>5932950</v>
      </c>
      <c r="D907" t="s">
        <v>30</v>
      </c>
      <c r="E907" s="4">
        <f>_xlfn.XLOOKUP(Table1[[#This Row], [ROOM]],Sheet1!$A$47:$A$66,Sheet1!$B$47:$B$66)</f>
        <v>246</v>
      </c>
      <c r="F907" t="s">
        <v>58</v>
      </c>
      <c r="G907" s="4">
        <f>_xlfn.XLOOKUP(Table1[[#This Row], [DISGUISE]],Sheet1!$A$21:$A$23,Sheet1!$B$21:$B$23)*Table1[[#This Row], [NUM OF MEM]]*(1+_xlfn.XLOOKUP(Table1[[#This Row], [DISGUISE]],Sheet1!$A$21:$A$23,Sheet1!$C$21:$C$23))</f>
        <v>25600</v>
      </c>
      <c r="H907" s="13" t="s">
        <v>66</v>
      </c>
      <c r="I907" s="4">
        <f>_xlfn.XLOOKUP(Table1[[#This Row], [WEAPON]],Sheet1!$A$27:$A$29,Sheet1!$B$27:$B$29)*Table1[[#This Row], [NUM OF MEM]]*(1+_xlfn.XLOOKUP(Table1[[#This Row], [WEAPON]],Sheet1!$A$27:$A$29,Sheet1!$C$27:$C$29))</f>
        <v>72000</v>
      </c>
      <c r="J907" t="s">
        <v>60</v>
      </c>
      <c r="K907" s="9">
        <f>Table1[[#This Row], [NUM OF MEM]]*Table1[[#This Row], [TOTAL TIME TAKEN]]*_xlfn.XLOOKUP(Table1[[#This Row], [EXIT]],Sheet1!$A$70:$A$71,Sheet1!$B$70:$B$71)*(1+_xlfn.XLOOKUP(Table1[[#This Row], [EXIT]],Sheet1!$A$70:$A$71,Sheet1!$C$70:$C$71))</f>
        <v>1658568.5437499997</v>
      </c>
      <c r="L907" s="13" t="s">
        <v>65</v>
      </c>
      <c r="M907" s="4">
        <f>IF(Table1[[#This Row], [EQUIPMENT]]="YES",Sheet1!$C$44*(1+Sheet1!$D$44),0)</f>
        <v>307500</v>
      </c>
      <c r="N907" s="4">
        <f>_xlfn.XLOOKUP(Table1[[#This Row], [ROOM]],Sheet1!$A$47:$A$66,Sheet1!$F$47:$F$66)</f>
        <v>17600000</v>
      </c>
      <c r="O907" s="9">
        <f>_xlfn.XLOOKUP(_xlfn.CONCAT(Table1[[#This Row], [TEAM]],Table1[[#This Row], [ROOM]]),'ROOM TIME'!$H$2:$H$121,'ROOM TIME'!$J$2:$J$121)</f>
        <v>57.123749999999987</v>
      </c>
      <c r="P907" s="9">
        <f>(INDEX(Sheet1!$X$48:$Z$67,MATCH(Table1[[#This Row], [ROOM]],Sheet1!$P$48:$P$67,0),MATCH(Table1[[#This Row], [WEAPON]],Sheet1!$X$47:$Z$47,0)))/Table1[[#This Row], [NUM OF MEM]]</f>
        <v>7.5</v>
      </c>
      <c r="Q907" s="9">
        <f>Table1[[#This Row], [ROOM TIME]]+Table1[[#This Row], [GUARD TIME]]</f>
        <v>64.623749999999987</v>
      </c>
      <c r="R907" s="4">
        <f>Sheet1!$K$3*_xlfn.XLOOKUP(Table1[[#This Row], [DISGUISE]],Sheet1!$A$21:$A$23,Sheet1!$D$21:$D$23)</f>
        <v>69</v>
      </c>
      <c r="S907" s="9">
        <f>Table1[[#This Row], [TOTAL TIME]]-Table1[[#This Row], [TOTAL TIME TAKEN]]</f>
        <v>4.3762500000000131</v>
      </c>
      <c r="T907" t="str">
        <f>IF(Table1[[#This Row], [TIME DIFFERENCE]]&gt;=0,"PASS","FAIL")</f>
        <v>PASS</v>
      </c>
      <c r="U907" s="9">
        <f>Table1[[#This Row], [TRC]]+Table1[[#This Row], [DRC]]+Table1[[#This Row], [WRC]]+Table1[[#This Row], [ERC]]+Table1[[#This Row], [EQRC]]</f>
        <v>7996618.5437499993</v>
      </c>
      <c r="V907" s="9">
        <f>Table1[[#This Row], [TOTAL COST]]+_xlfn.XLOOKUP(Table1[[#This Row], [TEAM]],Sheet1!$A$12:$A$17,Sheet1!$I$12:$I$17)</f>
        <v>8293266.0437499993</v>
      </c>
      <c r="W907" s="9">
        <f>Table1[[#This Row], [LOOT]]-Table1[[#This Row], [TOTAL COST]]</f>
        <v>9603381.4562500007</v>
      </c>
      <c r="X907" s="9">
        <f>IF(Table1[[#This Row], [PASS/FAIL]]="FAIL",0,Table1[[#This Row], [PROFIT]])</f>
        <v>9603381.4562500007</v>
      </c>
    </row>
    <row r="908" spans="1:24" ht="19.5" customHeight="1" x14ac:dyDescent="0.45">
      <c r="A908" t="s">
        <v>16</v>
      </c>
      <c r="B908" s="14">
        <f>_xlfn.XLOOKUP(Table1[[#This Row], [TEAM]],Sheet1!$A$12:$A$17,Sheet1!$F$12:$F$17)</f>
        <v>2</v>
      </c>
      <c r="C908" s="14">
        <f>_xlfn.XLOOKUP(Table1[[#This Row], [TEAM]],Sheet1!$A$12:$A$17,Sheet1!$G$12:$G$17)</f>
        <v>6082800</v>
      </c>
      <c r="D908" t="s">
        <v>28</v>
      </c>
      <c r="E908" s="4">
        <f>_xlfn.XLOOKUP(Table1[[#This Row], [ROOM]],Sheet1!$A$47:$A$66,Sheet1!$B$47:$B$66)</f>
        <v>156</v>
      </c>
      <c r="F908" t="s">
        <v>62</v>
      </c>
      <c r="G908" s="4">
        <f>_xlfn.XLOOKUP(Table1[[#This Row], [DISGUISE]],Sheet1!$A$21:$A$23,Sheet1!$B$21:$B$23)*Table1[[#This Row], [NUM OF MEM]]*(1+_xlfn.XLOOKUP(Table1[[#This Row], [DISGUISE]],Sheet1!$A$21:$A$23,Sheet1!$C$21:$C$23))</f>
        <v>10400</v>
      </c>
      <c r="H908" s="13" t="s">
        <v>63</v>
      </c>
      <c r="I908" s="4">
        <f>_xlfn.XLOOKUP(Table1[[#This Row], [WEAPON]],Sheet1!$A$27:$A$29,Sheet1!$B$27:$B$29)*Table1[[#This Row], [NUM OF MEM]]*(1+_xlfn.XLOOKUP(Table1[[#This Row], [WEAPON]],Sheet1!$A$27:$A$29,Sheet1!$C$27:$C$29))</f>
        <v>46000</v>
      </c>
      <c r="J908" t="s">
        <v>60</v>
      </c>
      <c r="K908" s="9">
        <f>Table1[[#This Row], [NUM OF MEM]]*Table1[[#This Row], [TOTAL TIME TAKEN]]*_xlfn.XLOOKUP(Table1[[#This Row], [EXIT]],Sheet1!$A$70:$A$71,Sheet1!$B$70:$B$71)*(1+_xlfn.XLOOKUP(Table1[[#This Row], [EXIT]],Sheet1!$A$70:$A$71,Sheet1!$C$70:$C$71))</f>
        <v>1600244.8312499996</v>
      </c>
      <c r="L908" s="13" t="s">
        <v>65</v>
      </c>
      <c r="M908" s="4">
        <f>IF(Table1[[#This Row], [EQUIPMENT]]="YES",Sheet1!$C$44*(1+Sheet1!$D$44),0)</f>
        <v>307500</v>
      </c>
      <c r="N908" s="4">
        <f>_xlfn.XLOOKUP(Table1[[#This Row], [ROOM]],Sheet1!$A$47:$A$66,Sheet1!$F$47:$F$66)</f>
        <v>17650000</v>
      </c>
      <c r="O908" s="9">
        <f>_xlfn.XLOOKUP(_xlfn.CONCAT(Table1[[#This Row], [TEAM]],Table1[[#This Row], [ROOM]]),'ROOM TIME'!$H$2:$H$121,'ROOM TIME'!$J$2:$J$121)</f>
        <v>55.601249999999986</v>
      </c>
      <c r="P908" s="9">
        <f>(INDEX(Sheet1!$X$48:$Z$67,MATCH(Table1[[#This Row], [ROOM]],Sheet1!$P$48:$P$67,0),MATCH(Table1[[#This Row], [WEAPON]],Sheet1!$X$47:$Z$47,0)))/Table1[[#This Row], [NUM OF MEM]]</f>
        <v>6.75</v>
      </c>
      <c r="Q908" s="9">
        <f>Table1[[#This Row], [ROOM TIME]]+Table1[[#This Row], [GUARD TIME]]</f>
        <v>62.351249999999986</v>
      </c>
      <c r="R908" s="4">
        <f>Sheet1!$K$3*_xlfn.XLOOKUP(Table1[[#This Row], [DISGUISE]],Sheet1!$A$21:$A$23,Sheet1!$D$21:$D$23)</f>
        <v>66</v>
      </c>
      <c r="S908" s="9">
        <f>Table1[[#This Row], [TOTAL TIME]]-Table1[[#This Row], [TOTAL TIME TAKEN]]</f>
        <v>3.6487500000000139</v>
      </c>
      <c r="T908" t="str">
        <f>IF(Table1[[#This Row], [TIME DIFFERENCE]]&gt;=0,"PASS","FAIL")</f>
        <v>PASS</v>
      </c>
      <c r="U908" s="9">
        <f>Table1[[#This Row], [TRC]]+Table1[[#This Row], [DRC]]+Table1[[#This Row], [WRC]]+Table1[[#This Row], [ERC]]+Table1[[#This Row], [EQRC]]</f>
        <v>8046944.8312499998</v>
      </c>
      <c r="V908" s="9">
        <f>Table1[[#This Row], [TOTAL COST]]+_xlfn.XLOOKUP(Table1[[#This Row], [TEAM]],Sheet1!$A$12:$A$17,Sheet1!$I$12:$I$17)</f>
        <v>8351084.8312499998</v>
      </c>
      <c r="W908" s="9">
        <f>Table1[[#This Row], [LOOT]]-Table1[[#This Row], [TOTAL COST]]</f>
        <v>9603055.1687499993</v>
      </c>
      <c r="X908" s="9">
        <f>IF(Table1[[#This Row], [PASS/FAIL]]="FAIL",0,Table1[[#This Row], [PROFIT]])</f>
        <v>9603055.1687499993</v>
      </c>
    </row>
    <row r="909" spans="1:24" ht="19.5" customHeight="1" x14ac:dyDescent="0.45">
      <c r="A909" t="s">
        <v>16</v>
      </c>
      <c r="B909" s="14">
        <f>_xlfn.XLOOKUP(Table1[[#This Row], [TEAM]],Sheet1!$A$12:$A$17,Sheet1!$F$12:$F$17)</f>
        <v>2</v>
      </c>
      <c r="C909" s="14">
        <f>_xlfn.XLOOKUP(Table1[[#This Row], [TEAM]],Sheet1!$A$12:$A$17,Sheet1!$G$12:$G$17)</f>
        <v>6082800</v>
      </c>
      <c r="D909" t="s">
        <v>34</v>
      </c>
      <c r="E909" s="4">
        <f>_xlfn.XLOOKUP(Table1[[#This Row], [ROOM]],Sheet1!$A$47:$A$66,Sheet1!$B$47:$B$66)</f>
        <v>456</v>
      </c>
      <c r="F909" t="s">
        <v>58</v>
      </c>
      <c r="G909" s="4">
        <f>_xlfn.XLOOKUP(Table1[[#This Row], [DISGUISE]],Sheet1!$A$21:$A$23,Sheet1!$B$21:$B$23)*Table1[[#This Row], [NUM OF MEM]]*(1+_xlfn.XLOOKUP(Table1[[#This Row], [DISGUISE]],Sheet1!$A$21:$A$23,Sheet1!$C$21:$C$23))</f>
        <v>25600</v>
      </c>
      <c r="H909" s="13" t="s">
        <v>66</v>
      </c>
      <c r="I909" s="4">
        <f>_xlfn.XLOOKUP(Table1[[#This Row], [WEAPON]],Sheet1!$A$27:$A$29,Sheet1!$B$27:$B$29)*Table1[[#This Row], [NUM OF MEM]]*(1+_xlfn.XLOOKUP(Table1[[#This Row], [WEAPON]],Sheet1!$A$27:$A$29,Sheet1!$C$27:$C$29))</f>
        <v>72000</v>
      </c>
      <c r="J909" t="s">
        <v>60</v>
      </c>
      <c r="K909" s="9">
        <f>Table1[[#This Row], [NUM OF MEM]]*Table1[[#This Row], [TOTAL TIME TAKEN]]*_xlfn.XLOOKUP(Table1[[#This Row], [EXIT]],Sheet1!$A$70:$A$71,Sheet1!$B$70:$B$71)*(1+_xlfn.XLOOKUP(Table1[[#This Row], [EXIT]],Sheet1!$A$70:$A$71,Sheet1!$C$70:$C$71))</f>
        <v>1609067.1749999996</v>
      </c>
      <c r="L909" s="13" t="s">
        <v>65</v>
      </c>
      <c r="M909" s="4">
        <f>IF(Table1[[#This Row], [EQUIPMENT]]="YES",Sheet1!$C$44*(1+Sheet1!$D$44),0)</f>
        <v>307500</v>
      </c>
      <c r="N909" s="4">
        <f>_xlfn.XLOOKUP(Table1[[#This Row], [ROOM]],Sheet1!$A$47:$A$66,Sheet1!$F$47:$F$66)</f>
        <v>17700000</v>
      </c>
      <c r="O909" s="9">
        <f>_xlfn.XLOOKUP(_xlfn.CONCAT(Table1[[#This Row], [TEAM]],Table1[[#This Row], [ROOM]]),'ROOM TIME'!$H$2:$H$121,'ROOM TIME'!$J$2:$J$121)</f>
        <v>55.819999999999986</v>
      </c>
      <c r="P909" s="9">
        <f>(INDEX(Sheet1!$X$48:$Z$67,MATCH(Table1[[#This Row], [ROOM]],Sheet1!$P$48:$P$67,0),MATCH(Table1[[#This Row], [WEAPON]],Sheet1!$X$47:$Z$47,0)))/Table1[[#This Row], [NUM OF MEM]]</f>
        <v>6.875</v>
      </c>
      <c r="Q909" s="9">
        <f>Table1[[#This Row], [ROOM TIME]]+Table1[[#This Row], [GUARD TIME]]</f>
        <v>62.694999999999986</v>
      </c>
      <c r="R909" s="4">
        <f>Sheet1!$K$3*_xlfn.XLOOKUP(Table1[[#This Row], [DISGUISE]],Sheet1!$A$21:$A$23,Sheet1!$D$21:$D$23)</f>
        <v>69</v>
      </c>
      <c r="S909" s="9">
        <f>Table1[[#This Row], [TOTAL TIME]]-Table1[[#This Row], [TOTAL TIME TAKEN]]</f>
        <v>6.3050000000000139</v>
      </c>
      <c r="T909" t="str">
        <f>IF(Table1[[#This Row], [TIME DIFFERENCE]]&gt;=0,"PASS","FAIL")</f>
        <v>PASS</v>
      </c>
      <c r="U909" s="9">
        <f>Table1[[#This Row], [TRC]]+Table1[[#This Row], [DRC]]+Table1[[#This Row], [WRC]]+Table1[[#This Row], [ERC]]+Table1[[#This Row], [EQRC]]</f>
        <v>8096967.1749999998</v>
      </c>
      <c r="V909" s="9">
        <f>Table1[[#This Row], [TOTAL COST]]+_xlfn.XLOOKUP(Table1[[#This Row], [TEAM]],Sheet1!$A$12:$A$17,Sheet1!$I$12:$I$17)</f>
        <v>8401107.1750000007</v>
      </c>
      <c r="W909" s="9">
        <f>Table1[[#This Row], [LOOT]]-Table1[[#This Row], [TOTAL COST]]</f>
        <v>9603032.8249999993</v>
      </c>
      <c r="X909" s="9">
        <f>IF(Table1[[#This Row], [PASS/FAIL]]="FAIL",0,Table1[[#This Row], [PROFIT]])</f>
        <v>9603032.8249999993</v>
      </c>
    </row>
    <row r="910" spans="1:24" ht="19.5" customHeight="1" x14ac:dyDescent="0.45">
      <c r="A910" t="s">
        <v>13</v>
      </c>
      <c r="B910" s="14">
        <f>_xlfn.XLOOKUP(Table1[[#This Row], [TEAM]],Sheet1!$A$12:$A$17,Sheet1!$F$12:$F$17)</f>
        <v>3</v>
      </c>
      <c r="C910" s="14">
        <f>_xlfn.XLOOKUP(Table1[[#This Row], [TEAM]],Sheet1!$A$12:$A$17,Sheet1!$G$12:$G$17)</f>
        <v>5930000</v>
      </c>
      <c r="D910" t="s">
        <v>10</v>
      </c>
      <c r="E910" s="4">
        <f>_xlfn.XLOOKUP(Table1[[#This Row], [ROOM]],Sheet1!$A$47:$A$66,Sheet1!$B$47:$B$66)</f>
        <v>123</v>
      </c>
      <c r="F910" t="s">
        <v>62</v>
      </c>
      <c r="G910" s="4">
        <f>_xlfn.XLOOKUP(Table1[[#This Row], [DISGUISE]],Sheet1!$A$21:$A$23,Sheet1!$B$21:$B$23)*Table1[[#This Row], [NUM OF MEM]]*(1+_xlfn.XLOOKUP(Table1[[#This Row], [DISGUISE]],Sheet1!$A$21:$A$23,Sheet1!$C$21:$C$23))</f>
        <v>15600</v>
      </c>
      <c r="H910" s="13" t="s">
        <v>59</v>
      </c>
      <c r="I910" s="4">
        <f>_xlfn.XLOOKUP(Table1[[#This Row], [WEAPON]],Sheet1!$A$27:$A$29,Sheet1!$B$27:$B$29)*Table1[[#This Row], [NUM OF MEM]]*(1+_xlfn.XLOOKUP(Table1[[#This Row], [WEAPON]],Sheet1!$A$27:$A$29,Sheet1!$C$27:$C$29))</f>
        <v>136500</v>
      </c>
      <c r="J910" t="s">
        <v>60</v>
      </c>
      <c r="K910" s="9">
        <f>Table1[[#This Row], [NUM OF MEM]]*Table1[[#This Row], [TOTAL TIME TAKEN]]*_xlfn.XLOOKUP(Table1[[#This Row], [EXIT]],Sheet1!$A$70:$A$71,Sheet1!$B$70:$B$71)*(1+_xlfn.XLOOKUP(Table1[[#This Row], [EXIT]],Sheet1!$A$70:$A$71,Sheet1!$C$70:$C$71))</f>
        <v>1857675.4749999999</v>
      </c>
      <c r="L910" s="13" t="s">
        <v>65</v>
      </c>
      <c r="M910" s="4">
        <f>IF(Table1[[#This Row], [EQUIPMENT]]="YES",Sheet1!$C$44*(1+Sheet1!$D$44),0)</f>
        <v>307500</v>
      </c>
      <c r="N910" s="4">
        <f>_xlfn.XLOOKUP(Table1[[#This Row], [ROOM]],Sheet1!$A$47:$A$66,Sheet1!$F$47:$F$66)</f>
        <v>17850000</v>
      </c>
      <c r="O910" s="9">
        <f>_xlfn.XLOOKUP(_xlfn.CONCAT(Table1[[#This Row], [TEAM]],Table1[[#This Row], [ROOM]]),'ROOM TIME'!$H$2:$H$121,'ROOM TIME'!$J$2:$J$121)</f>
        <v>43.654444444444437</v>
      </c>
      <c r="P910" s="9">
        <f>(INDEX(Sheet1!$X$48:$Z$67,MATCH(Table1[[#This Row], [ROOM]],Sheet1!$P$48:$P$67,0),MATCH(Table1[[#This Row], [WEAPON]],Sheet1!$X$47:$Z$47,0)))/Table1[[#This Row], [NUM OF MEM]]</f>
        <v>4.5999999999999996</v>
      </c>
      <c r="Q910" s="9">
        <f>Table1[[#This Row], [ROOM TIME]]+Table1[[#This Row], [GUARD TIME]]</f>
        <v>48.254444444444438</v>
      </c>
      <c r="R910" s="4">
        <f>Sheet1!$K$3*_xlfn.XLOOKUP(Table1[[#This Row], [DISGUISE]],Sheet1!$A$21:$A$23,Sheet1!$D$21:$D$23)</f>
        <v>66</v>
      </c>
      <c r="S910" s="9">
        <f>Table1[[#This Row], [TOTAL TIME]]-Table1[[#This Row], [TOTAL TIME TAKEN]]</f>
        <v>17.745555555555562</v>
      </c>
      <c r="T910" t="str">
        <f>IF(Table1[[#This Row], [TIME DIFFERENCE]]&gt;=0,"PASS","FAIL")</f>
        <v>PASS</v>
      </c>
      <c r="U910" s="9">
        <f>Table1[[#This Row], [TRC]]+Table1[[#This Row], [DRC]]+Table1[[#This Row], [WRC]]+Table1[[#This Row], [ERC]]+Table1[[#This Row], [EQRC]]</f>
        <v>8247275.4749999996</v>
      </c>
      <c r="V910" s="9">
        <f>Table1[[#This Row], [TOTAL COST]]+_xlfn.XLOOKUP(Table1[[#This Row], [TEAM]],Sheet1!$A$12:$A$17,Sheet1!$I$12:$I$17)</f>
        <v>8543775.4749999996</v>
      </c>
      <c r="W910" s="9">
        <f>Table1[[#This Row], [LOOT]]-Table1[[#This Row], [TOTAL COST]]</f>
        <v>9602724.5250000004</v>
      </c>
      <c r="X910" s="9">
        <f>IF(Table1[[#This Row], [PASS/FAIL]]="FAIL",0,Table1[[#This Row], [PROFIT]])</f>
        <v>9602724.5250000004</v>
      </c>
    </row>
    <row r="911" spans="1:24" ht="19.5" customHeight="1" x14ac:dyDescent="0.45">
      <c r="A911" t="s">
        <v>14</v>
      </c>
      <c r="B911" s="14">
        <f>_xlfn.XLOOKUP(Table1[[#This Row], [TEAM]],Sheet1!$A$12:$A$17,Sheet1!$F$12:$F$17)</f>
        <v>2</v>
      </c>
      <c r="C911" s="14">
        <f>_xlfn.XLOOKUP(Table1[[#This Row], [TEAM]],Sheet1!$A$12:$A$17,Sheet1!$G$12:$G$17)</f>
        <v>5949600</v>
      </c>
      <c r="D911" t="s">
        <v>30</v>
      </c>
      <c r="E911" s="4">
        <f>_xlfn.XLOOKUP(Table1[[#This Row], [ROOM]],Sheet1!$A$47:$A$66,Sheet1!$B$47:$B$66)</f>
        <v>246</v>
      </c>
      <c r="F911" t="s">
        <v>58</v>
      </c>
      <c r="G911" s="4">
        <f>_xlfn.XLOOKUP(Table1[[#This Row], [DISGUISE]],Sheet1!$A$21:$A$23,Sheet1!$B$21:$B$23)*Table1[[#This Row], [NUM OF MEM]]*(1+_xlfn.XLOOKUP(Table1[[#This Row], [DISGUISE]],Sheet1!$A$21:$A$23,Sheet1!$C$21:$C$23))</f>
        <v>25600</v>
      </c>
      <c r="H911" s="13" t="s">
        <v>66</v>
      </c>
      <c r="I911" s="4">
        <f>_xlfn.XLOOKUP(Table1[[#This Row], [WEAPON]],Sheet1!$A$27:$A$29,Sheet1!$B$27:$B$29)*Table1[[#This Row], [NUM OF MEM]]*(1+_xlfn.XLOOKUP(Table1[[#This Row], [WEAPON]],Sheet1!$A$27:$A$29,Sheet1!$C$27:$C$29))</f>
        <v>72000</v>
      </c>
      <c r="J911" t="s">
        <v>60</v>
      </c>
      <c r="K911" s="9">
        <f>Table1[[#This Row], [NUM OF MEM]]*Table1[[#This Row], [TOTAL TIME TAKEN]]*_xlfn.XLOOKUP(Table1[[#This Row], [EXIT]],Sheet1!$A$70:$A$71,Sheet1!$B$70:$B$71)*(1+_xlfn.XLOOKUP(Table1[[#This Row], [EXIT]],Sheet1!$A$70:$A$71,Sheet1!$C$70:$C$71))</f>
        <v>1642880.8124999995</v>
      </c>
      <c r="L911" s="13" t="s">
        <v>65</v>
      </c>
      <c r="M911" s="4">
        <f>IF(Table1[[#This Row], [EQUIPMENT]]="YES",Sheet1!$C$44*(1+Sheet1!$D$44),0)</f>
        <v>307500</v>
      </c>
      <c r="N911" s="4">
        <f>_xlfn.XLOOKUP(Table1[[#This Row], [ROOM]],Sheet1!$A$47:$A$66,Sheet1!$F$47:$F$66)</f>
        <v>17600000</v>
      </c>
      <c r="O911" s="9">
        <f>_xlfn.XLOOKUP(_xlfn.CONCAT(Table1[[#This Row], [TEAM]],Table1[[#This Row], [ROOM]]),'ROOM TIME'!$H$2:$H$121,'ROOM TIME'!$J$2:$J$121)</f>
        <v>56.512499999999982</v>
      </c>
      <c r="P911" s="9">
        <f>(INDEX(Sheet1!$X$48:$Z$67,MATCH(Table1[[#This Row], [ROOM]],Sheet1!$P$48:$P$67,0),MATCH(Table1[[#This Row], [WEAPON]],Sheet1!$X$47:$Z$47,0)))/Table1[[#This Row], [NUM OF MEM]]</f>
        <v>7.5</v>
      </c>
      <c r="Q911" s="9">
        <f>Table1[[#This Row], [ROOM TIME]]+Table1[[#This Row], [GUARD TIME]]</f>
        <v>64.012499999999989</v>
      </c>
      <c r="R911" s="4">
        <f>Sheet1!$K$3*_xlfn.XLOOKUP(Table1[[#This Row], [DISGUISE]],Sheet1!$A$21:$A$23,Sheet1!$D$21:$D$23)</f>
        <v>69</v>
      </c>
      <c r="S911" s="9">
        <f>Table1[[#This Row], [TOTAL TIME]]-Table1[[#This Row], [TOTAL TIME TAKEN]]</f>
        <v>4.9875000000000114</v>
      </c>
      <c r="T911" t="str">
        <f>IF(Table1[[#This Row], [TIME DIFFERENCE]]&gt;=0,"PASS","FAIL")</f>
        <v>PASS</v>
      </c>
      <c r="U911" s="9">
        <f>Table1[[#This Row], [TRC]]+Table1[[#This Row], [DRC]]+Table1[[#This Row], [WRC]]+Table1[[#This Row], [ERC]]+Table1[[#This Row], [EQRC]]</f>
        <v>7997580.8125</v>
      </c>
      <c r="V911" s="9">
        <f>Table1[[#This Row], [TOTAL COST]]+_xlfn.XLOOKUP(Table1[[#This Row], [TEAM]],Sheet1!$A$12:$A$17,Sheet1!$I$12:$I$17)</f>
        <v>8295060.8125</v>
      </c>
      <c r="W911" s="9">
        <f>Table1[[#This Row], [LOOT]]-Table1[[#This Row], [TOTAL COST]]</f>
        <v>9602419.1875</v>
      </c>
      <c r="X911" s="9">
        <f>IF(Table1[[#This Row], [PASS/FAIL]]="FAIL",0,Table1[[#This Row], [PROFIT]])</f>
        <v>9602419.1875</v>
      </c>
    </row>
    <row r="912" spans="1:24" ht="19.5" customHeight="1" x14ac:dyDescent="0.45">
      <c r="A912" t="s">
        <v>16</v>
      </c>
      <c r="B912" s="14">
        <f>_xlfn.XLOOKUP(Table1[[#This Row], [TEAM]],Sheet1!$A$12:$A$17,Sheet1!$F$12:$F$17)</f>
        <v>2</v>
      </c>
      <c r="C912" s="14">
        <f>_xlfn.XLOOKUP(Table1[[#This Row], [TEAM]],Sheet1!$A$12:$A$17,Sheet1!$G$12:$G$17)</f>
        <v>6082800</v>
      </c>
      <c r="D912" t="s">
        <v>34</v>
      </c>
      <c r="E912" s="4">
        <f>_xlfn.XLOOKUP(Table1[[#This Row], [ROOM]],Sheet1!$A$47:$A$66,Sheet1!$B$47:$B$66)</f>
        <v>456</v>
      </c>
      <c r="F912" t="s">
        <v>62</v>
      </c>
      <c r="G912" s="4">
        <f>_xlfn.XLOOKUP(Table1[[#This Row], [DISGUISE]],Sheet1!$A$21:$A$23,Sheet1!$B$21:$B$23)*Table1[[#This Row], [NUM OF MEM]]*(1+_xlfn.XLOOKUP(Table1[[#This Row], [DISGUISE]],Sheet1!$A$21:$A$23,Sheet1!$C$21:$C$23))</f>
        <v>10400</v>
      </c>
      <c r="H912" s="13" t="s">
        <v>66</v>
      </c>
      <c r="I912" s="4">
        <f>_xlfn.XLOOKUP(Table1[[#This Row], [WEAPON]],Sheet1!$A$27:$A$29,Sheet1!$B$27:$B$29)*Table1[[#This Row], [NUM OF MEM]]*(1+_xlfn.XLOOKUP(Table1[[#This Row], [WEAPON]],Sheet1!$A$27:$A$29,Sheet1!$C$27:$C$29))</f>
        <v>72000</v>
      </c>
      <c r="J912" t="s">
        <v>64</v>
      </c>
      <c r="K912" s="9">
        <f>Table1[[#This Row], [NUM OF MEM]]*Table1[[#This Row], [TOTAL TIME TAKEN]]*_xlfn.XLOOKUP(Table1[[#This Row], [EXIT]],Sheet1!$A$70:$A$71,Sheet1!$B$70:$B$71)*(1+_xlfn.XLOOKUP(Table1[[#This Row], [EXIT]],Sheet1!$A$70:$A$71,Sheet1!$C$70:$C$71))</f>
        <v>1625054.3999999997</v>
      </c>
      <c r="L912" s="13" t="s">
        <v>65</v>
      </c>
      <c r="M912" s="4">
        <f>IF(Table1[[#This Row], [EQUIPMENT]]="YES",Sheet1!$C$44*(1+Sheet1!$D$44),0)</f>
        <v>307500</v>
      </c>
      <c r="N912" s="4">
        <f>_xlfn.XLOOKUP(Table1[[#This Row], [ROOM]],Sheet1!$A$47:$A$66,Sheet1!$F$47:$F$66)</f>
        <v>17700000</v>
      </c>
      <c r="O912" s="9">
        <f>_xlfn.XLOOKUP(_xlfn.CONCAT(Table1[[#This Row], [TEAM]],Table1[[#This Row], [ROOM]]),'ROOM TIME'!$H$2:$H$121,'ROOM TIME'!$J$2:$J$121)</f>
        <v>55.819999999999986</v>
      </c>
      <c r="P912" s="9">
        <f>(INDEX(Sheet1!$X$48:$Z$67,MATCH(Table1[[#This Row], [ROOM]],Sheet1!$P$48:$P$67,0),MATCH(Table1[[#This Row], [WEAPON]],Sheet1!$X$47:$Z$47,0)))/Table1[[#This Row], [NUM OF MEM]]</f>
        <v>6.875</v>
      </c>
      <c r="Q912" s="9">
        <f>Table1[[#This Row], [ROOM TIME]]+Table1[[#This Row], [GUARD TIME]]</f>
        <v>62.694999999999986</v>
      </c>
      <c r="R912" s="4">
        <f>Sheet1!$K$3*_xlfn.XLOOKUP(Table1[[#This Row], [DISGUISE]],Sheet1!$A$21:$A$23,Sheet1!$D$21:$D$23)</f>
        <v>66</v>
      </c>
      <c r="S912" s="9">
        <f>Table1[[#This Row], [TOTAL TIME]]-Table1[[#This Row], [TOTAL TIME TAKEN]]</f>
        <v>3.3050000000000139</v>
      </c>
      <c r="T912" t="str">
        <f>IF(Table1[[#This Row], [TIME DIFFERENCE]]&gt;=0,"PASS","FAIL")</f>
        <v>PASS</v>
      </c>
      <c r="U912" s="9">
        <f>Table1[[#This Row], [TRC]]+Table1[[#This Row], [DRC]]+Table1[[#This Row], [WRC]]+Table1[[#This Row], [ERC]]+Table1[[#This Row], [EQRC]]</f>
        <v>8097754.3999999994</v>
      </c>
      <c r="V912" s="9">
        <f>Table1[[#This Row], [TOTAL COST]]+_xlfn.XLOOKUP(Table1[[#This Row], [TEAM]],Sheet1!$A$12:$A$17,Sheet1!$I$12:$I$17)</f>
        <v>8401894.3999999985</v>
      </c>
      <c r="W912" s="9">
        <f>Table1[[#This Row], [LOOT]]-Table1[[#This Row], [TOTAL COST]]</f>
        <v>9602245.6000000015</v>
      </c>
      <c r="X912" s="9">
        <f>IF(Table1[[#This Row], [PASS/FAIL]]="FAIL",0,Table1[[#This Row], [PROFIT]])</f>
        <v>9602245.6000000015</v>
      </c>
    </row>
    <row r="913" spans="1:24" ht="19.5" customHeight="1" x14ac:dyDescent="0.45">
      <c r="A913" t="s">
        <v>15</v>
      </c>
      <c r="B913" s="14">
        <f>_xlfn.XLOOKUP(Table1[[#This Row], [TEAM]],Sheet1!$A$12:$A$17,Sheet1!$F$12:$F$17)</f>
        <v>2</v>
      </c>
      <c r="C913" s="14">
        <f>_xlfn.XLOOKUP(Table1[[#This Row], [TEAM]],Sheet1!$A$12:$A$17,Sheet1!$G$12:$G$17)</f>
        <v>5932950</v>
      </c>
      <c r="D913" t="s">
        <v>30</v>
      </c>
      <c r="E913" s="4">
        <f>_xlfn.XLOOKUP(Table1[[#This Row], [ROOM]],Sheet1!$A$47:$A$66,Sheet1!$B$47:$B$66)</f>
        <v>246</v>
      </c>
      <c r="F913" t="s">
        <v>62</v>
      </c>
      <c r="G913" s="4">
        <f>_xlfn.XLOOKUP(Table1[[#This Row], [DISGUISE]],Sheet1!$A$21:$A$23,Sheet1!$B$21:$B$23)*Table1[[#This Row], [NUM OF MEM]]*(1+_xlfn.XLOOKUP(Table1[[#This Row], [DISGUISE]],Sheet1!$A$21:$A$23,Sheet1!$C$21:$C$23))</f>
        <v>10400</v>
      </c>
      <c r="H913" s="13" t="s">
        <v>66</v>
      </c>
      <c r="I913" s="4">
        <f>_xlfn.XLOOKUP(Table1[[#This Row], [WEAPON]],Sheet1!$A$27:$A$29,Sheet1!$B$27:$B$29)*Table1[[#This Row], [NUM OF MEM]]*(1+_xlfn.XLOOKUP(Table1[[#This Row], [WEAPON]],Sheet1!$A$27:$A$29,Sheet1!$C$27:$C$29))</f>
        <v>72000</v>
      </c>
      <c r="J913" t="s">
        <v>64</v>
      </c>
      <c r="K913" s="9">
        <f>Table1[[#This Row], [NUM OF MEM]]*Table1[[#This Row], [TOTAL TIME TAKEN]]*_xlfn.XLOOKUP(Table1[[#This Row], [EXIT]],Sheet1!$A$70:$A$71,Sheet1!$B$70:$B$71)*(1+_xlfn.XLOOKUP(Table1[[#This Row], [EXIT]],Sheet1!$A$70:$A$71,Sheet1!$C$70:$C$71))</f>
        <v>1675047.5999999996</v>
      </c>
      <c r="L913" s="13" t="s">
        <v>65</v>
      </c>
      <c r="M913" s="4">
        <f>IF(Table1[[#This Row], [EQUIPMENT]]="YES",Sheet1!$C$44*(1+Sheet1!$D$44),0)</f>
        <v>307500</v>
      </c>
      <c r="N913" s="4">
        <f>_xlfn.XLOOKUP(Table1[[#This Row], [ROOM]],Sheet1!$A$47:$A$66,Sheet1!$F$47:$F$66)</f>
        <v>17600000</v>
      </c>
      <c r="O913" s="9">
        <f>_xlfn.XLOOKUP(_xlfn.CONCAT(Table1[[#This Row], [TEAM]],Table1[[#This Row], [ROOM]]),'ROOM TIME'!$H$2:$H$121,'ROOM TIME'!$J$2:$J$121)</f>
        <v>57.123749999999987</v>
      </c>
      <c r="P913" s="9">
        <f>(INDEX(Sheet1!$X$48:$Z$67,MATCH(Table1[[#This Row], [ROOM]],Sheet1!$P$48:$P$67,0),MATCH(Table1[[#This Row], [WEAPON]],Sheet1!$X$47:$Z$47,0)))/Table1[[#This Row], [NUM OF MEM]]</f>
        <v>7.5</v>
      </c>
      <c r="Q913" s="9">
        <f>Table1[[#This Row], [ROOM TIME]]+Table1[[#This Row], [GUARD TIME]]</f>
        <v>64.623749999999987</v>
      </c>
      <c r="R913" s="4">
        <f>Sheet1!$K$3*_xlfn.XLOOKUP(Table1[[#This Row], [DISGUISE]],Sheet1!$A$21:$A$23,Sheet1!$D$21:$D$23)</f>
        <v>66</v>
      </c>
      <c r="S913" s="9">
        <f>Table1[[#This Row], [TOTAL TIME]]-Table1[[#This Row], [TOTAL TIME TAKEN]]</f>
        <v>1.3762500000000131</v>
      </c>
      <c r="T913" t="str">
        <f>IF(Table1[[#This Row], [TIME DIFFERENCE]]&gt;=0,"PASS","FAIL")</f>
        <v>PASS</v>
      </c>
      <c r="U913" s="9">
        <f>Table1[[#This Row], [TRC]]+Table1[[#This Row], [DRC]]+Table1[[#This Row], [WRC]]+Table1[[#This Row], [ERC]]+Table1[[#This Row], [EQRC]]</f>
        <v>7997897.5999999996</v>
      </c>
      <c r="V913" s="9">
        <f>Table1[[#This Row], [TOTAL COST]]+_xlfn.XLOOKUP(Table1[[#This Row], [TEAM]],Sheet1!$A$12:$A$17,Sheet1!$I$12:$I$17)</f>
        <v>8294545.0999999996</v>
      </c>
      <c r="W913" s="9">
        <f>Table1[[#This Row], [LOOT]]-Table1[[#This Row], [TOTAL COST]]</f>
        <v>9602102.4000000004</v>
      </c>
      <c r="X913" s="9">
        <f>IF(Table1[[#This Row], [PASS/FAIL]]="FAIL",0,Table1[[#This Row], [PROFIT]])</f>
        <v>9602102.4000000004</v>
      </c>
    </row>
    <row r="914" spans="1:24" ht="19.5" customHeight="1" x14ac:dyDescent="0.45">
      <c r="A914" t="s">
        <v>13</v>
      </c>
      <c r="B914" s="14">
        <f>_xlfn.XLOOKUP(Table1[[#This Row], [TEAM]],Sheet1!$A$12:$A$17,Sheet1!$F$12:$F$17)</f>
        <v>3</v>
      </c>
      <c r="C914" s="14">
        <f>_xlfn.XLOOKUP(Table1[[#This Row], [TEAM]],Sheet1!$A$12:$A$17,Sheet1!$G$12:$G$17)</f>
        <v>5930000</v>
      </c>
      <c r="D914" t="s">
        <v>28</v>
      </c>
      <c r="E914" s="4">
        <f>_xlfn.XLOOKUP(Table1[[#This Row], [ROOM]],Sheet1!$A$47:$A$66,Sheet1!$B$47:$B$66)</f>
        <v>156</v>
      </c>
      <c r="F914" t="s">
        <v>58</v>
      </c>
      <c r="G914" s="4">
        <f>_xlfn.XLOOKUP(Table1[[#This Row], [DISGUISE]],Sheet1!$A$21:$A$23,Sheet1!$B$21:$B$23)*Table1[[#This Row], [NUM OF MEM]]*(1+_xlfn.XLOOKUP(Table1[[#This Row], [DISGUISE]],Sheet1!$A$21:$A$23,Sheet1!$C$21:$C$23))</f>
        <v>38400</v>
      </c>
      <c r="H914" s="13" t="s">
        <v>59</v>
      </c>
      <c r="I914" s="4">
        <f>_xlfn.XLOOKUP(Table1[[#This Row], [WEAPON]],Sheet1!$A$27:$A$29,Sheet1!$B$27:$B$29)*Table1[[#This Row], [NUM OF MEM]]*(1+_xlfn.XLOOKUP(Table1[[#This Row], [WEAPON]],Sheet1!$A$27:$A$29,Sheet1!$C$27:$C$29))</f>
        <v>136500</v>
      </c>
      <c r="J914" t="s">
        <v>60</v>
      </c>
      <c r="K914" s="9">
        <f>Table1[[#This Row], [NUM OF MEM]]*Table1[[#This Row], [TOTAL TIME TAKEN]]*_xlfn.XLOOKUP(Table1[[#This Row], [EXIT]],Sheet1!$A$70:$A$71,Sheet1!$B$70:$B$71)*(1+_xlfn.XLOOKUP(Table1[[#This Row], [EXIT]],Sheet1!$A$70:$A$71,Sheet1!$C$70:$C$71))</f>
        <v>1635994.0374999996</v>
      </c>
      <c r="L914" s="13" t="s">
        <v>65</v>
      </c>
      <c r="M914" s="4">
        <f>IF(Table1[[#This Row], [EQUIPMENT]]="YES",Sheet1!$C$44*(1+Sheet1!$D$44),0)</f>
        <v>307500</v>
      </c>
      <c r="N914" s="4">
        <f>_xlfn.XLOOKUP(Table1[[#This Row], [ROOM]],Sheet1!$A$47:$A$66,Sheet1!$F$47:$F$66)</f>
        <v>17650000</v>
      </c>
      <c r="O914" s="9">
        <f>_xlfn.XLOOKUP(_xlfn.CONCAT(Table1[[#This Row], [TEAM]],Table1[[#This Row], [ROOM]]),'ROOM TIME'!$H$2:$H$121,'ROOM TIME'!$J$2:$J$121)</f>
        <v>38.662777777777769</v>
      </c>
      <c r="P914" s="9">
        <f>(INDEX(Sheet1!$X$48:$Z$67,MATCH(Table1[[#This Row], [ROOM]],Sheet1!$P$48:$P$67,0),MATCH(Table1[[#This Row], [WEAPON]],Sheet1!$X$47:$Z$47,0)))/Table1[[#This Row], [NUM OF MEM]]</f>
        <v>3.8333333333333335</v>
      </c>
      <c r="Q914" s="9">
        <f>Table1[[#This Row], [ROOM TIME]]+Table1[[#This Row], [GUARD TIME]]</f>
        <v>42.496111111111105</v>
      </c>
      <c r="R914" s="4">
        <f>Sheet1!$K$3*_xlfn.XLOOKUP(Table1[[#This Row], [DISGUISE]],Sheet1!$A$21:$A$23,Sheet1!$D$21:$D$23)</f>
        <v>69</v>
      </c>
      <c r="S914" s="9">
        <f>Table1[[#This Row], [TOTAL TIME]]-Table1[[#This Row], [TOTAL TIME TAKEN]]</f>
        <v>26.503888888888895</v>
      </c>
      <c r="T914" t="str">
        <f>IF(Table1[[#This Row], [TIME DIFFERENCE]]&gt;=0,"PASS","FAIL")</f>
        <v>PASS</v>
      </c>
      <c r="U914" s="9">
        <f>Table1[[#This Row], [TRC]]+Table1[[#This Row], [DRC]]+Table1[[#This Row], [WRC]]+Table1[[#This Row], [ERC]]+Table1[[#This Row], [EQRC]]</f>
        <v>8048394.0374999996</v>
      </c>
      <c r="V914" s="9">
        <f>Table1[[#This Row], [TOTAL COST]]+_xlfn.XLOOKUP(Table1[[#This Row], [TEAM]],Sheet1!$A$12:$A$17,Sheet1!$I$12:$I$17)</f>
        <v>8344894.0374999996</v>
      </c>
      <c r="W914" s="9">
        <f>Table1[[#This Row], [LOOT]]-Table1[[#This Row], [TOTAL COST]]</f>
        <v>9601605.9625000004</v>
      </c>
      <c r="X914" s="9">
        <f>IF(Table1[[#This Row], [PASS/FAIL]]="FAIL",0,Table1[[#This Row], [PROFIT]])</f>
        <v>9601605.9625000004</v>
      </c>
    </row>
    <row r="915" spans="1:24" ht="19.5" customHeight="1" x14ac:dyDescent="0.45">
      <c r="A915" t="s">
        <v>9</v>
      </c>
      <c r="B915" s="14">
        <f>_xlfn.XLOOKUP(Table1[[#This Row], [TEAM]],Sheet1!$A$12:$A$17,Sheet1!$F$12:$F$17)</f>
        <v>3</v>
      </c>
      <c r="C915" s="14">
        <f>_xlfn.XLOOKUP(Table1[[#This Row], [TEAM]],Sheet1!$A$12:$A$17,Sheet1!$G$12:$G$17)</f>
        <v>6238750</v>
      </c>
      <c r="D915" t="s">
        <v>19</v>
      </c>
      <c r="E915" s="4">
        <f>_xlfn.XLOOKUP(Table1[[#This Row], [ROOM]],Sheet1!$A$47:$A$66,Sheet1!$B$47:$B$66)</f>
        <v>135</v>
      </c>
      <c r="F915" t="s">
        <v>62</v>
      </c>
      <c r="G915" s="4">
        <f>_xlfn.XLOOKUP(Table1[[#This Row], [DISGUISE]],Sheet1!$A$21:$A$23,Sheet1!$B$21:$B$23)*Table1[[#This Row], [NUM OF MEM]]*(1+_xlfn.XLOOKUP(Table1[[#This Row], [DISGUISE]],Sheet1!$A$21:$A$23,Sheet1!$C$21:$C$23))</f>
        <v>15600</v>
      </c>
      <c r="H915" s="13" t="s">
        <v>59</v>
      </c>
      <c r="I915" s="4">
        <f>_xlfn.XLOOKUP(Table1[[#This Row], [WEAPON]],Sheet1!$A$27:$A$29,Sheet1!$B$27:$B$29)*Table1[[#This Row], [NUM OF MEM]]*(1+_xlfn.XLOOKUP(Table1[[#This Row], [WEAPON]],Sheet1!$A$27:$A$29,Sheet1!$C$27:$C$29))</f>
        <v>136500</v>
      </c>
      <c r="J915" t="s">
        <v>60</v>
      </c>
      <c r="K915" s="9">
        <f>Table1[[#This Row], [NUM OF MEM]]*Table1[[#This Row], [TOTAL TIME TAKEN]]*_xlfn.XLOOKUP(Table1[[#This Row], [EXIT]],Sheet1!$A$70:$A$71,Sheet1!$B$70:$B$71)*(1+_xlfn.XLOOKUP(Table1[[#This Row], [EXIT]],Sheet1!$A$70:$A$71,Sheet1!$C$70:$C$71))</f>
        <v>1650238.1124999996</v>
      </c>
      <c r="L915" s="13" t="s">
        <v>65</v>
      </c>
      <c r="M915" s="4">
        <f>IF(Table1[[#This Row], [EQUIPMENT]]="YES",Sheet1!$C$44*(1+Sheet1!$D$44),0)</f>
        <v>307500</v>
      </c>
      <c r="N915" s="4">
        <f>_xlfn.XLOOKUP(Table1[[#This Row], [ROOM]],Sheet1!$A$47:$A$66,Sheet1!$F$47:$F$66)</f>
        <v>17950000</v>
      </c>
      <c r="O915" s="9">
        <f>_xlfn.XLOOKUP(_xlfn.CONCAT(Table1[[#This Row], [TEAM]],Table1[[#This Row], [ROOM]]),'ROOM TIME'!$H$2:$H$121,'ROOM TIME'!$J$2:$J$121)</f>
        <v>38.649444444444434</v>
      </c>
      <c r="P915" s="9">
        <f>(INDEX(Sheet1!$X$48:$Z$67,MATCH(Table1[[#This Row], [ROOM]],Sheet1!$P$48:$P$67,0),MATCH(Table1[[#This Row], [WEAPON]],Sheet1!$X$47:$Z$47,0)))/Table1[[#This Row], [NUM OF MEM]]</f>
        <v>4.2166666666666659</v>
      </c>
      <c r="Q915" s="9">
        <f>Table1[[#This Row], [ROOM TIME]]+Table1[[#This Row], [GUARD TIME]]</f>
        <v>42.866111111111103</v>
      </c>
      <c r="R915" s="4">
        <f>Sheet1!$K$3*_xlfn.XLOOKUP(Table1[[#This Row], [DISGUISE]],Sheet1!$A$21:$A$23,Sheet1!$D$21:$D$23)</f>
        <v>66</v>
      </c>
      <c r="S915" s="9">
        <f>Table1[[#This Row], [TOTAL TIME]]-Table1[[#This Row], [TOTAL TIME TAKEN]]</f>
        <v>23.133888888888897</v>
      </c>
      <c r="T915" t="str">
        <f>IF(Table1[[#This Row], [TIME DIFFERENCE]]&gt;=0,"PASS","FAIL")</f>
        <v>PASS</v>
      </c>
      <c r="U915" s="9">
        <f>Table1[[#This Row], [TRC]]+Table1[[#This Row], [DRC]]+Table1[[#This Row], [WRC]]+Table1[[#This Row], [ERC]]+Table1[[#This Row], [EQRC]]</f>
        <v>8348588.1124999998</v>
      </c>
      <c r="V915" s="9">
        <f>Table1[[#This Row], [TOTAL COST]]+_xlfn.XLOOKUP(Table1[[#This Row], [TEAM]],Sheet1!$A$12:$A$17,Sheet1!$I$12:$I$17)</f>
        <v>8660525.6125000007</v>
      </c>
      <c r="W915" s="9">
        <f>Table1[[#This Row], [LOOT]]-Table1[[#This Row], [TOTAL COST]]</f>
        <v>9601411.8874999993</v>
      </c>
      <c r="X915" s="9">
        <f>IF(Table1[[#This Row], [PASS/FAIL]]="FAIL",0,Table1[[#This Row], [PROFIT]])</f>
        <v>9601411.8874999993</v>
      </c>
    </row>
    <row r="916" spans="1:24" ht="19.5" customHeight="1" x14ac:dyDescent="0.45">
      <c r="A916" t="s">
        <v>14</v>
      </c>
      <c r="B916" s="14">
        <f>_xlfn.XLOOKUP(Table1[[#This Row], [TEAM]],Sheet1!$A$12:$A$17,Sheet1!$F$12:$F$17)</f>
        <v>2</v>
      </c>
      <c r="C916" s="14">
        <f>_xlfn.XLOOKUP(Table1[[#This Row], [TEAM]],Sheet1!$A$12:$A$17,Sheet1!$G$12:$G$17)</f>
        <v>5949600</v>
      </c>
      <c r="D916" t="s">
        <v>30</v>
      </c>
      <c r="E916" s="4">
        <f>_xlfn.XLOOKUP(Table1[[#This Row], [ROOM]],Sheet1!$A$47:$A$66,Sheet1!$B$47:$B$66)</f>
        <v>246</v>
      </c>
      <c r="F916" t="s">
        <v>62</v>
      </c>
      <c r="G916" s="4">
        <f>_xlfn.XLOOKUP(Table1[[#This Row], [DISGUISE]],Sheet1!$A$21:$A$23,Sheet1!$B$21:$B$23)*Table1[[#This Row], [NUM OF MEM]]*(1+_xlfn.XLOOKUP(Table1[[#This Row], [DISGUISE]],Sheet1!$A$21:$A$23,Sheet1!$C$21:$C$23))</f>
        <v>10400</v>
      </c>
      <c r="H916" s="13" t="s">
        <v>66</v>
      </c>
      <c r="I916" s="4">
        <f>_xlfn.XLOOKUP(Table1[[#This Row], [WEAPON]],Sheet1!$A$27:$A$29,Sheet1!$B$27:$B$29)*Table1[[#This Row], [NUM OF MEM]]*(1+_xlfn.XLOOKUP(Table1[[#This Row], [WEAPON]],Sheet1!$A$27:$A$29,Sheet1!$C$27:$C$29))</f>
        <v>72000</v>
      </c>
      <c r="J916" t="s">
        <v>64</v>
      </c>
      <c r="K916" s="9">
        <f>Table1[[#This Row], [NUM OF MEM]]*Table1[[#This Row], [TOTAL TIME TAKEN]]*_xlfn.XLOOKUP(Table1[[#This Row], [EXIT]],Sheet1!$A$70:$A$71,Sheet1!$B$70:$B$71)*(1+_xlfn.XLOOKUP(Table1[[#This Row], [EXIT]],Sheet1!$A$70:$A$71,Sheet1!$C$70:$C$71))</f>
        <v>1659203.9999999998</v>
      </c>
      <c r="L916" s="13" t="s">
        <v>65</v>
      </c>
      <c r="M916" s="4">
        <f>IF(Table1[[#This Row], [EQUIPMENT]]="YES",Sheet1!$C$44*(1+Sheet1!$D$44),0)</f>
        <v>307500</v>
      </c>
      <c r="N916" s="4">
        <f>_xlfn.XLOOKUP(Table1[[#This Row], [ROOM]],Sheet1!$A$47:$A$66,Sheet1!$F$47:$F$66)</f>
        <v>17600000</v>
      </c>
      <c r="O916" s="9">
        <f>_xlfn.XLOOKUP(_xlfn.CONCAT(Table1[[#This Row], [TEAM]],Table1[[#This Row], [ROOM]]),'ROOM TIME'!$H$2:$H$121,'ROOM TIME'!$J$2:$J$121)</f>
        <v>56.512499999999982</v>
      </c>
      <c r="P916" s="9">
        <f>(INDEX(Sheet1!$X$48:$Z$67,MATCH(Table1[[#This Row], [ROOM]],Sheet1!$P$48:$P$67,0),MATCH(Table1[[#This Row], [WEAPON]],Sheet1!$X$47:$Z$47,0)))/Table1[[#This Row], [NUM OF MEM]]</f>
        <v>7.5</v>
      </c>
      <c r="Q916" s="9">
        <f>Table1[[#This Row], [ROOM TIME]]+Table1[[#This Row], [GUARD TIME]]</f>
        <v>64.012499999999989</v>
      </c>
      <c r="R916" s="4">
        <f>Sheet1!$K$3*_xlfn.XLOOKUP(Table1[[#This Row], [DISGUISE]],Sheet1!$A$21:$A$23,Sheet1!$D$21:$D$23)</f>
        <v>66</v>
      </c>
      <c r="S916" s="9">
        <f>Table1[[#This Row], [TOTAL TIME]]-Table1[[#This Row], [TOTAL TIME TAKEN]]</f>
        <v>1.9875000000000114</v>
      </c>
      <c r="T916" t="str">
        <f>IF(Table1[[#This Row], [TIME DIFFERENCE]]&gt;=0,"PASS","FAIL")</f>
        <v>PASS</v>
      </c>
      <c r="U916" s="4">
        <f>Table1[[#This Row], [TRC]]+Table1[[#This Row], [DRC]]+Table1[[#This Row], [WRC]]+Table1[[#This Row], [ERC]]+Table1[[#This Row], [EQRC]]</f>
        <v>7998704</v>
      </c>
      <c r="V916" s="4">
        <f>Table1[[#This Row], [TOTAL COST]]+_xlfn.XLOOKUP(Table1[[#This Row], [TEAM]],Sheet1!$A$12:$A$17,Sheet1!$I$12:$I$17)</f>
        <v>8296184</v>
      </c>
      <c r="W916" s="4">
        <f>Table1[[#This Row], [LOOT]]-Table1[[#This Row], [TOTAL COST]]</f>
        <v>9601296</v>
      </c>
      <c r="X916" s="4">
        <f>IF(Table1[[#This Row], [PASS/FAIL]]="FAIL",0,Table1[[#This Row], [PROFIT]])</f>
        <v>9601296</v>
      </c>
    </row>
    <row r="917" spans="1:24" ht="19.5" customHeight="1" x14ac:dyDescent="0.45">
      <c r="A917" t="s">
        <v>9</v>
      </c>
      <c r="B917" s="14">
        <f>_xlfn.XLOOKUP(Table1[[#This Row], [TEAM]],Sheet1!$A$12:$A$17,Sheet1!$F$12:$F$17)</f>
        <v>3</v>
      </c>
      <c r="C917" s="14">
        <f>_xlfn.XLOOKUP(Table1[[#This Row], [TEAM]],Sheet1!$A$12:$A$17,Sheet1!$G$12:$G$17)</f>
        <v>6238750</v>
      </c>
      <c r="D917" t="s">
        <v>19</v>
      </c>
      <c r="E917" s="4">
        <f>_xlfn.XLOOKUP(Table1[[#This Row], [ROOM]],Sheet1!$A$47:$A$66,Sheet1!$B$47:$B$66)</f>
        <v>135</v>
      </c>
      <c r="F917" t="s">
        <v>58</v>
      </c>
      <c r="G917" s="4">
        <f>_xlfn.XLOOKUP(Table1[[#This Row], [DISGUISE]],Sheet1!$A$21:$A$23,Sheet1!$B$21:$B$23)*Table1[[#This Row], [NUM OF MEM]]*(1+_xlfn.XLOOKUP(Table1[[#This Row], [DISGUISE]],Sheet1!$A$21:$A$23,Sheet1!$C$21:$C$23))</f>
        <v>38400</v>
      </c>
      <c r="H917" s="13" t="s">
        <v>63</v>
      </c>
      <c r="I917" s="4">
        <f>_xlfn.XLOOKUP(Table1[[#This Row], [WEAPON]],Sheet1!$A$27:$A$29,Sheet1!$B$27:$B$29)*Table1[[#This Row], [NUM OF MEM]]*(1+_xlfn.XLOOKUP(Table1[[#This Row], [WEAPON]],Sheet1!$A$27:$A$29,Sheet1!$C$27:$C$29))</f>
        <v>69000</v>
      </c>
      <c r="J917" t="s">
        <v>64</v>
      </c>
      <c r="K917" s="9">
        <f>Table1[[#This Row], [NUM OF MEM]]*Table1[[#This Row], [TOTAL TIME TAKEN]]*_xlfn.XLOOKUP(Table1[[#This Row], [EXIT]],Sheet1!$A$70:$A$71,Sheet1!$B$70:$B$71)*(1+_xlfn.XLOOKUP(Table1[[#This Row], [EXIT]],Sheet1!$A$70:$A$71,Sheet1!$C$70:$C$71))</f>
        <v>1695146.3999999997</v>
      </c>
      <c r="L917" s="13" t="s">
        <v>65</v>
      </c>
      <c r="M917" s="4">
        <f>IF(Table1[[#This Row], [EQUIPMENT]]="YES",Sheet1!$C$44*(1+Sheet1!$D$44),0)</f>
        <v>307500</v>
      </c>
      <c r="N917" s="4">
        <f>_xlfn.XLOOKUP(Table1[[#This Row], [ROOM]],Sheet1!$A$47:$A$66,Sheet1!$F$47:$F$66)</f>
        <v>17950000</v>
      </c>
      <c r="O917" s="9">
        <f>_xlfn.XLOOKUP(_xlfn.CONCAT(Table1[[#This Row], [TEAM]],Table1[[#This Row], [ROOM]]),'ROOM TIME'!$H$2:$H$121,'ROOM TIME'!$J$2:$J$121)</f>
        <v>38.649444444444434</v>
      </c>
      <c r="P917" s="9">
        <f>(INDEX(Sheet1!$X$48:$Z$67,MATCH(Table1[[#This Row], [ROOM]],Sheet1!$P$48:$P$67,0),MATCH(Table1[[#This Row], [WEAPON]],Sheet1!$X$47:$Z$47,0)))/Table1[[#This Row], [NUM OF MEM]]</f>
        <v>4.95</v>
      </c>
      <c r="Q917" s="9">
        <f>Table1[[#This Row], [ROOM TIME]]+Table1[[#This Row], [GUARD TIME]]</f>
        <v>43.599444444444437</v>
      </c>
      <c r="R917" s="4">
        <f>Sheet1!$K$3*_xlfn.XLOOKUP(Table1[[#This Row], [DISGUISE]],Sheet1!$A$21:$A$23,Sheet1!$D$21:$D$23)</f>
        <v>69</v>
      </c>
      <c r="S917" s="9">
        <f>Table1[[#This Row], [TOTAL TIME]]-Table1[[#This Row], [TOTAL TIME TAKEN]]</f>
        <v>25.400555555555563</v>
      </c>
      <c r="T917" t="str">
        <f>IF(Table1[[#This Row], [TIME DIFFERENCE]]&gt;=0,"PASS","FAIL")</f>
        <v>PASS</v>
      </c>
      <c r="U917" s="9">
        <f>Table1[[#This Row], [TRC]]+Table1[[#This Row], [DRC]]+Table1[[#This Row], [WRC]]+Table1[[#This Row], [ERC]]+Table1[[#This Row], [EQRC]]</f>
        <v>8348796.3999999994</v>
      </c>
      <c r="V917" s="9">
        <f>Table1[[#This Row], [TOTAL COST]]+_xlfn.XLOOKUP(Table1[[#This Row], [TEAM]],Sheet1!$A$12:$A$17,Sheet1!$I$12:$I$17)</f>
        <v>8660733.8999999985</v>
      </c>
      <c r="W917" s="9">
        <f>Table1[[#This Row], [LOOT]]-Table1[[#This Row], [TOTAL COST]]</f>
        <v>9601203.6000000015</v>
      </c>
      <c r="X917" s="9">
        <f>IF(Table1[[#This Row], [PASS/FAIL]]="FAIL",0,Table1[[#This Row], [PROFIT]])</f>
        <v>9601203.6000000015</v>
      </c>
    </row>
    <row r="918" spans="1:24" ht="19.5" customHeight="1" x14ac:dyDescent="0.45">
      <c r="A918" t="s">
        <v>13</v>
      </c>
      <c r="B918" s="14">
        <f>_xlfn.XLOOKUP(Table1[[#This Row], [TEAM]],Sheet1!$A$12:$A$17,Sheet1!$F$12:$F$17)</f>
        <v>3</v>
      </c>
      <c r="C918" s="14">
        <f>_xlfn.XLOOKUP(Table1[[#This Row], [TEAM]],Sheet1!$A$12:$A$17,Sheet1!$G$12:$G$17)</f>
        <v>5930000</v>
      </c>
      <c r="D918" t="s">
        <v>28</v>
      </c>
      <c r="E918" s="4">
        <f>_xlfn.XLOOKUP(Table1[[#This Row], [ROOM]],Sheet1!$A$47:$A$66,Sheet1!$B$47:$B$66)</f>
        <v>156</v>
      </c>
      <c r="F918" t="s">
        <v>58</v>
      </c>
      <c r="G918" s="4">
        <f>_xlfn.XLOOKUP(Table1[[#This Row], [DISGUISE]],Sheet1!$A$21:$A$23,Sheet1!$B$21:$B$23)*Table1[[#This Row], [NUM OF MEM]]*(1+_xlfn.XLOOKUP(Table1[[#This Row], [DISGUISE]],Sheet1!$A$21:$A$23,Sheet1!$C$21:$C$23))</f>
        <v>38400</v>
      </c>
      <c r="H918" s="13" t="s">
        <v>66</v>
      </c>
      <c r="I918" s="4">
        <f>_xlfn.XLOOKUP(Table1[[#This Row], [WEAPON]],Sheet1!$A$27:$A$29,Sheet1!$B$27:$B$29)*Table1[[#This Row], [NUM OF MEM]]*(1+_xlfn.XLOOKUP(Table1[[#This Row], [WEAPON]],Sheet1!$A$27:$A$29,Sheet1!$C$27:$C$29))</f>
        <v>108000</v>
      </c>
      <c r="J918" t="s">
        <v>64</v>
      </c>
      <c r="K918" s="9">
        <f>Table1[[#This Row], [NUM OF MEM]]*Table1[[#This Row], [TOTAL TIME TAKEN]]*_xlfn.XLOOKUP(Table1[[#This Row], [EXIT]],Sheet1!$A$70:$A$71,Sheet1!$B$70:$B$71)*(1+_xlfn.XLOOKUP(Table1[[#This Row], [EXIT]],Sheet1!$A$70:$A$71,Sheet1!$C$70:$C$71))</f>
        <v>1665208.7999999993</v>
      </c>
      <c r="L918" s="13" t="s">
        <v>65</v>
      </c>
      <c r="M918" s="4">
        <f>IF(Table1[[#This Row], [EQUIPMENT]]="YES",Sheet1!$C$44*(1+Sheet1!$D$44),0)</f>
        <v>307500</v>
      </c>
      <c r="N918" s="4">
        <f>_xlfn.XLOOKUP(Table1[[#This Row], [ROOM]],Sheet1!$A$47:$A$66,Sheet1!$F$47:$F$66)</f>
        <v>17650000</v>
      </c>
      <c r="O918" s="9">
        <f>_xlfn.XLOOKUP(_xlfn.CONCAT(Table1[[#This Row], [TEAM]],Table1[[#This Row], [ROOM]]),'ROOM TIME'!$H$2:$H$121,'ROOM TIME'!$J$2:$J$121)</f>
        <v>38.662777777777769</v>
      </c>
      <c r="P918" s="9">
        <f>(INDEX(Sheet1!$X$48:$Z$67,MATCH(Table1[[#This Row], [ROOM]],Sheet1!$P$48:$P$67,0),MATCH(Table1[[#This Row], [WEAPON]],Sheet1!$X$47:$Z$47,0)))/Table1[[#This Row], [NUM OF MEM]]</f>
        <v>4.166666666666667</v>
      </c>
      <c r="Q918" s="9">
        <f>Table1[[#This Row], [ROOM TIME]]+Table1[[#This Row], [GUARD TIME]]</f>
        <v>42.829444444444434</v>
      </c>
      <c r="R918" s="4">
        <f>Sheet1!$K$3*_xlfn.XLOOKUP(Table1[[#This Row], [DISGUISE]],Sheet1!$A$21:$A$23,Sheet1!$D$21:$D$23)</f>
        <v>69</v>
      </c>
      <c r="S918" s="9">
        <f>Table1[[#This Row], [TOTAL TIME]]-Table1[[#This Row], [TOTAL TIME TAKEN]]</f>
        <v>26.170555555555566</v>
      </c>
      <c r="T918" t="str">
        <f>IF(Table1[[#This Row], [TIME DIFFERENCE]]&gt;=0,"PASS","FAIL")</f>
        <v>PASS</v>
      </c>
      <c r="U918" s="9">
        <f>Table1[[#This Row], [TRC]]+Table1[[#This Row], [DRC]]+Table1[[#This Row], [WRC]]+Table1[[#This Row], [ERC]]+Table1[[#This Row], [EQRC]]</f>
        <v>8049108.7999999989</v>
      </c>
      <c r="V918" s="9">
        <f>Table1[[#This Row], [TOTAL COST]]+_xlfn.XLOOKUP(Table1[[#This Row], [TEAM]],Sheet1!$A$12:$A$17,Sheet1!$I$12:$I$17)</f>
        <v>8345608.7999999989</v>
      </c>
      <c r="W918" s="9">
        <f>Table1[[#This Row], [LOOT]]-Table1[[#This Row], [TOTAL COST]]</f>
        <v>9600891.2000000011</v>
      </c>
      <c r="X918" s="9">
        <f>IF(Table1[[#This Row], [PASS/FAIL]]="FAIL",0,Table1[[#This Row], [PROFIT]])</f>
        <v>9600891.2000000011</v>
      </c>
    </row>
    <row r="919" spans="1:24" ht="19.5" customHeight="1" x14ac:dyDescent="0.45">
      <c r="A919" t="s">
        <v>13</v>
      </c>
      <c r="B919" s="14">
        <f>_xlfn.XLOOKUP(Table1[[#This Row], [TEAM]],Sheet1!$A$12:$A$17,Sheet1!$F$12:$F$17)</f>
        <v>3</v>
      </c>
      <c r="C919" s="14">
        <f>_xlfn.XLOOKUP(Table1[[#This Row], [TEAM]],Sheet1!$A$12:$A$17,Sheet1!$G$12:$G$17)</f>
        <v>5930000</v>
      </c>
      <c r="D919" t="s">
        <v>21</v>
      </c>
      <c r="E919" s="4">
        <f>_xlfn.XLOOKUP(Table1[[#This Row], [ROOM]],Sheet1!$A$47:$A$66,Sheet1!$B$47:$B$66)</f>
        <v>234</v>
      </c>
      <c r="F919" t="s">
        <v>58</v>
      </c>
      <c r="G919" s="4">
        <f>_xlfn.XLOOKUP(Table1[[#This Row], [DISGUISE]],Sheet1!$A$21:$A$23,Sheet1!$B$21:$B$23)*Table1[[#This Row], [NUM OF MEM]]*(1+_xlfn.XLOOKUP(Table1[[#This Row], [DISGUISE]],Sheet1!$A$21:$A$23,Sheet1!$C$21:$C$23))</f>
        <v>38400</v>
      </c>
      <c r="H919" s="13" t="s">
        <v>59</v>
      </c>
      <c r="I919" s="4">
        <f>_xlfn.XLOOKUP(Table1[[#This Row], [WEAPON]],Sheet1!$A$27:$A$29,Sheet1!$B$27:$B$29)*Table1[[#This Row], [NUM OF MEM]]*(1+_xlfn.XLOOKUP(Table1[[#This Row], [WEAPON]],Sheet1!$A$27:$A$29,Sheet1!$C$27:$C$29))</f>
        <v>136500</v>
      </c>
      <c r="J919" t="s">
        <v>64</v>
      </c>
      <c r="K919" s="9">
        <f>Table1[[#This Row], [NUM OF MEM]]*Table1[[#This Row], [TOTAL TIME TAKEN]]*_xlfn.XLOOKUP(Table1[[#This Row], [EXIT]],Sheet1!$A$70:$A$71,Sheet1!$B$70:$B$71)*(1+_xlfn.XLOOKUP(Table1[[#This Row], [EXIT]],Sheet1!$A$70:$A$71,Sheet1!$C$70:$C$71))</f>
        <v>1887580.7999999998</v>
      </c>
      <c r="L919" s="13" t="s">
        <v>65</v>
      </c>
      <c r="M919" s="4">
        <f>IF(Table1[[#This Row], [EQUIPMENT]]="YES",Sheet1!$C$44*(1+Sheet1!$D$44),0)</f>
        <v>307500</v>
      </c>
      <c r="N919" s="4">
        <f>_xlfn.XLOOKUP(Table1[[#This Row], [ROOM]],Sheet1!$A$47:$A$66,Sheet1!$F$47:$F$66)</f>
        <v>17900000</v>
      </c>
      <c r="O919" s="9">
        <f>_xlfn.XLOOKUP(_xlfn.CONCAT(Table1[[#This Row], [TEAM]],Table1[[#This Row], [ROOM]]),'ROOM TIME'!$H$2:$H$121,'ROOM TIME'!$J$2:$J$121)</f>
        <v>43.565555555555555</v>
      </c>
      <c r="P919" s="9">
        <f>(INDEX(Sheet1!$X$48:$Z$67,MATCH(Table1[[#This Row], [ROOM]],Sheet1!$P$48:$P$67,0),MATCH(Table1[[#This Row], [WEAPON]],Sheet1!$X$47:$Z$47,0)))/Table1[[#This Row], [NUM OF MEM]]</f>
        <v>4.9833333333333334</v>
      </c>
      <c r="Q919" s="9">
        <f>Table1[[#This Row], [ROOM TIME]]+Table1[[#This Row], [GUARD TIME]]</f>
        <v>48.548888888888889</v>
      </c>
      <c r="R919" s="4">
        <f>Sheet1!$K$3*_xlfn.XLOOKUP(Table1[[#This Row], [DISGUISE]],Sheet1!$A$21:$A$23,Sheet1!$D$21:$D$23)</f>
        <v>69</v>
      </c>
      <c r="S919" s="9">
        <f>Table1[[#This Row], [TOTAL TIME]]-Table1[[#This Row], [TOTAL TIME TAKEN]]</f>
        <v>20.451111111111111</v>
      </c>
      <c r="T919" t="str">
        <f>IF(Table1[[#This Row], [TIME DIFFERENCE]]&gt;=0,"PASS","FAIL")</f>
        <v>PASS</v>
      </c>
      <c r="U919" s="9">
        <f>Table1[[#This Row], [TRC]]+Table1[[#This Row], [DRC]]+Table1[[#This Row], [WRC]]+Table1[[#This Row], [ERC]]+Table1[[#This Row], [EQRC]]</f>
        <v>8299980.7999999998</v>
      </c>
      <c r="V919" s="9">
        <f>Table1[[#This Row], [TOTAL COST]]+_xlfn.XLOOKUP(Table1[[#This Row], [TEAM]],Sheet1!$A$12:$A$17,Sheet1!$I$12:$I$17)</f>
        <v>8596480.8000000007</v>
      </c>
      <c r="W919" s="9">
        <f>Table1[[#This Row], [LOOT]]-Table1[[#This Row], [TOTAL COST]]</f>
        <v>9600019.1999999993</v>
      </c>
      <c r="X919" s="9">
        <f>IF(Table1[[#This Row], [PASS/FAIL]]="FAIL",0,Table1[[#This Row], [PROFIT]])</f>
        <v>9600019.1999999993</v>
      </c>
    </row>
    <row r="920" spans="1:24" ht="19.5" customHeight="1" x14ac:dyDescent="0.45">
      <c r="A920" t="s">
        <v>15</v>
      </c>
      <c r="B920" s="14">
        <f>_xlfn.XLOOKUP(Table1[[#This Row], [TEAM]],Sheet1!$A$12:$A$17,Sheet1!$F$12:$F$17)</f>
        <v>2</v>
      </c>
      <c r="C920" s="14">
        <f>_xlfn.XLOOKUP(Table1[[#This Row], [TEAM]],Sheet1!$A$12:$A$17,Sheet1!$G$12:$G$17)</f>
        <v>5932950</v>
      </c>
      <c r="D920" t="s">
        <v>30</v>
      </c>
      <c r="E920" s="4">
        <f>_xlfn.XLOOKUP(Table1[[#This Row], [ROOM]],Sheet1!$A$47:$A$66,Sheet1!$B$47:$B$66)</f>
        <v>246</v>
      </c>
      <c r="F920" t="s">
        <v>58</v>
      </c>
      <c r="G920" s="4">
        <f>_xlfn.XLOOKUP(Table1[[#This Row], [DISGUISE]],Sheet1!$A$21:$A$23,Sheet1!$B$21:$B$23)*Table1[[#This Row], [NUM OF MEM]]*(1+_xlfn.XLOOKUP(Table1[[#This Row], [DISGUISE]],Sheet1!$A$21:$A$23,Sheet1!$C$21:$C$23))</f>
        <v>25600</v>
      </c>
      <c r="H920" s="13" t="s">
        <v>59</v>
      </c>
      <c r="I920" s="4">
        <f>_xlfn.XLOOKUP(Table1[[#This Row], [WEAPON]],Sheet1!$A$27:$A$29,Sheet1!$B$27:$B$29)*Table1[[#This Row], [NUM OF MEM]]*(1+_xlfn.XLOOKUP(Table1[[#This Row], [WEAPON]],Sheet1!$A$27:$A$29,Sheet1!$C$27:$C$29))</f>
        <v>91000</v>
      </c>
      <c r="J920" t="s">
        <v>60</v>
      </c>
      <c r="K920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1643169.5437499997</v>
      </c>
      <c r="L920" s="13" t="s">
        <v>65</v>
      </c>
      <c r="M920" s="4">
        <f>IF(Table1[[#This Row], [EQUIPMENT]]="YES",Sheet1!$C$44*(1+Sheet1!$D$44),0)</f>
        <v>307500</v>
      </c>
      <c r="N920" s="4">
        <f>_xlfn.XLOOKUP(Table1[[#This Row], [ROOM]],Sheet1!$A$47:$A$66,Sheet1!$F$47:$F$66)</f>
        <v>17600000</v>
      </c>
      <c r="O920" s="9">
        <f>_xlfn.XLOOKUP(_xlfn.CONCAT(Table1[[#This Row], [TEAM]],Table1[[#This Row], [ROOM]]),'ROOM TIME'!$H$2:$H$121,'ROOM TIME'!$J$2:$J$121)</f>
        <v>57.123749999999987</v>
      </c>
      <c r="P920" s="9">
        <f>(INDEX(Sheet1!$X$48:$Z$67,MATCH(Table1[[#This Row], [ROOM]],Sheet1!$P$48:$P$67,0),MATCH(Table1[[#This Row], [WEAPON]],Sheet1!$X$47:$Z$47,0)))/Table1[[#This Row], [NUM OF MEM]]</f>
        <v>6.8999999999999995</v>
      </c>
      <c r="Q920" s="9">
        <f>Table1[[#This Row], [ROOM TIME]]+Table1[[#This Row], [GUARD TIME]]</f>
        <v>64.023749999999993</v>
      </c>
      <c r="R920" s="4">
        <f>Sheet1!$K$3*_xlfn.XLOOKUP(Table1[[#This Row], [DISGUISE]],Sheet1!$A$21:$A$23,Sheet1!$D$21:$D$23)</f>
        <v>69</v>
      </c>
      <c r="S920" s="9">
        <f>Table1[[#This Row], [TOTAL TIME]]-Table1[[#This Row], [TOTAL TIME TAKEN]]</f>
        <v>4.9762500000000074</v>
      </c>
      <c r="T920" t="str">
        <f>IF(Table1[[#This Row], [TIME DIFFERENCE]]&gt;=0,"PASS","FAIL")</f>
        <v>PASS</v>
      </c>
      <c r="U920" s="9">
        <f>Table1[[#This Row], [TRC]]+Table1[[#This Row], [DRC]]+Table1[[#This Row], [WRC]]+Table1[[#This Row], [ERC]]+Table1[[#This Row], [EQRC]]</f>
        <v>8000219.5437499993</v>
      </c>
      <c r="V920" s="9">
        <f>Table1[[#This Row], [TOTAL COST]]+_xlfn.XLOOKUP(Table1[[#This Row], [TEAM]],Sheet1!$A$12:$A$17,Sheet1!$I$12:$I$17)</f>
        <v>8296867.0437499993</v>
      </c>
      <c r="W920" s="9">
        <f>Table1[[#This Row], [LOOT]]-Table1[[#This Row], [TOTAL COST]]</f>
        <v>9599780.4562500007</v>
      </c>
      <c r="X920" s="9">
        <f>IF(Table1[[#This Row], [PASS/FAIL]]="FAIL",0,Table1[[#This Row], [PROFIT]])</f>
        <v>9599780.4562500007</v>
      </c>
    </row>
    <row r="921" spans="1:24" ht="19.5" customHeight="1" x14ac:dyDescent="0.45">
      <c r="A921" t="s">
        <v>12</v>
      </c>
      <c r="B921" s="14">
        <f>_xlfn.XLOOKUP(Table1[[#This Row], [TEAM]],Sheet1!$A$12:$A$17,Sheet1!$F$12:$F$17)</f>
        <v>3</v>
      </c>
      <c r="C921" s="14">
        <f>_xlfn.XLOOKUP(Table1[[#This Row], [TEAM]],Sheet1!$A$12:$A$17,Sheet1!$G$12:$G$17)</f>
        <v>5988750</v>
      </c>
      <c r="D921" t="s">
        <v>23</v>
      </c>
      <c r="E921" s="4">
        <f>_xlfn.XLOOKUP(Table1[[#This Row], [ROOM]],Sheet1!$A$47:$A$66,Sheet1!$B$47:$B$66)</f>
        <v>245</v>
      </c>
      <c r="F921" t="s">
        <v>62</v>
      </c>
      <c r="G921" s="4">
        <f>_xlfn.XLOOKUP(Table1[[#This Row], [DISGUISE]],Sheet1!$A$21:$A$23,Sheet1!$B$21:$B$23)*Table1[[#This Row], [NUM OF MEM]]*(1+_xlfn.XLOOKUP(Table1[[#This Row], [DISGUISE]],Sheet1!$A$21:$A$23,Sheet1!$C$21:$C$23))</f>
        <v>15600</v>
      </c>
      <c r="H921" s="13" t="s">
        <v>63</v>
      </c>
      <c r="I921" s="4">
        <f>_xlfn.XLOOKUP(Table1[[#This Row], [WEAPON]],Sheet1!$A$27:$A$29,Sheet1!$B$27:$B$29)*Table1[[#This Row], [NUM OF MEM]]*(1+_xlfn.XLOOKUP(Table1[[#This Row], [WEAPON]],Sheet1!$A$27:$A$29,Sheet1!$C$27:$C$29))</f>
        <v>69000</v>
      </c>
      <c r="J921" t="s">
        <v>60</v>
      </c>
      <c r="K921" s="9">
        <f>Table1[[#This Row], [NUM OF MEM]]*Table1[[#This Row], [TOTAL TIME TAKEN]]*_xlfn.XLOOKUP(Table1[[#This Row], [EXIT]],Sheet1!$A$70:$A$71,Sheet1!$B$70:$B$71)*(1+_xlfn.XLOOKUP(Table1[[#This Row], [EXIT]],Sheet1!$A$70:$A$71,Sheet1!$C$70:$C$71))</f>
        <v>1727126.1749999996</v>
      </c>
      <c r="L921" s="13" t="s">
        <v>61</v>
      </c>
      <c r="M921" s="4">
        <f>IF(Table1[[#This Row], [EQUIPMENT]]="YES",Sheet1!$C$44*(1+Sheet1!$D$44),0)</f>
        <v>0</v>
      </c>
      <c r="N921" s="4">
        <f>_xlfn.XLOOKUP(Table1[[#This Row], [ROOM]],Sheet1!$A$47:$A$66,Sheet1!$F$47:$F$66)</f>
        <v>17400000</v>
      </c>
      <c r="O921" s="9">
        <f>_xlfn.XLOOKUP(_xlfn.CONCAT(Table1[[#This Row], [TEAM]],Table1[[#This Row], [ROOM]]),'ROOM TIME'!$H$2:$H$121,'ROOM TIME'!$J$2:$J$121)</f>
        <v>39.91333333333332</v>
      </c>
      <c r="P921" s="9">
        <f>(INDEX(Sheet1!$X$48:$Z$67,MATCH(Table1[[#This Row], [ROOM]],Sheet1!$P$48:$P$67,0),MATCH(Table1[[#This Row], [WEAPON]],Sheet1!$X$47:$Z$47,0)))/Table1[[#This Row], [NUM OF MEM]]</f>
        <v>4.95</v>
      </c>
      <c r="Q921" s="9">
        <f>Table1[[#This Row], [ROOM TIME]]+Table1[[#This Row], [GUARD TIME]]</f>
        <v>44.863333333333323</v>
      </c>
      <c r="R921" s="4">
        <f>Sheet1!$K$3*_xlfn.XLOOKUP(Table1[[#This Row], [DISGUISE]],Sheet1!$A$21:$A$23,Sheet1!$D$21:$D$23)</f>
        <v>66</v>
      </c>
      <c r="S921" s="9">
        <f>Table1[[#This Row], [TOTAL TIME]]-Table1[[#This Row], [TOTAL TIME TAKEN]]</f>
        <v>21.136666666666677</v>
      </c>
      <c r="T921" t="str">
        <f>IF(Table1[[#This Row], [TIME DIFFERENCE]]&gt;=0,"PASS","FAIL")</f>
        <v>PASS</v>
      </c>
      <c r="U921" s="9">
        <f>Table1[[#This Row], [TRC]]+Table1[[#This Row], [DRC]]+Table1[[#This Row], [WRC]]+Table1[[#This Row], [ERC]]+Table1[[#This Row], [EQRC]]</f>
        <v>7800476.1749999998</v>
      </c>
      <c r="V921" s="9">
        <f>Table1[[#This Row], [TOTAL COST]]+_xlfn.XLOOKUP(Table1[[#This Row], [TEAM]],Sheet1!$A$12:$A$17,Sheet1!$I$12:$I$17)</f>
        <v>8099913.6749999998</v>
      </c>
      <c r="W921" s="9">
        <f>Table1[[#This Row], [LOOT]]-Table1[[#This Row], [TOTAL COST]]</f>
        <v>9599523.8249999993</v>
      </c>
      <c r="X921" s="9">
        <f>IF(Table1[[#This Row], [PASS/FAIL]]="FAIL",0,Table1[[#This Row], [PROFIT]])</f>
        <v>9599523.8249999993</v>
      </c>
    </row>
    <row r="922" spans="1:24" ht="19.5" customHeight="1" x14ac:dyDescent="0.45">
      <c r="A922" t="s">
        <v>9</v>
      </c>
      <c r="B922" s="14">
        <f>_xlfn.XLOOKUP(Table1[[#This Row], [TEAM]],Sheet1!$A$12:$A$17,Sheet1!$F$12:$F$17)</f>
        <v>3</v>
      </c>
      <c r="C922" s="14">
        <f>_xlfn.XLOOKUP(Table1[[#This Row], [TEAM]],Sheet1!$A$12:$A$17,Sheet1!$G$12:$G$17)</f>
        <v>6238750</v>
      </c>
      <c r="D922" t="s">
        <v>20</v>
      </c>
      <c r="E922" s="4">
        <f>_xlfn.XLOOKUP(Table1[[#This Row], [ROOM]],Sheet1!$A$47:$A$66,Sheet1!$B$47:$B$66)</f>
        <v>145</v>
      </c>
      <c r="F922" t="s">
        <v>62</v>
      </c>
      <c r="G922" s="4">
        <f>_xlfn.XLOOKUP(Table1[[#This Row], [DISGUISE]],Sheet1!$A$21:$A$23,Sheet1!$B$21:$B$23)*Table1[[#This Row], [NUM OF MEM]]*(1+_xlfn.XLOOKUP(Table1[[#This Row], [DISGUISE]],Sheet1!$A$21:$A$23,Sheet1!$C$21:$C$23))</f>
        <v>15600</v>
      </c>
      <c r="H922" s="13" t="s">
        <v>63</v>
      </c>
      <c r="I922" s="4">
        <f>_xlfn.XLOOKUP(Table1[[#This Row], [WEAPON]],Sheet1!$A$27:$A$29,Sheet1!$B$27:$B$29)*Table1[[#This Row], [NUM OF MEM]]*(1+_xlfn.XLOOKUP(Table1[[#This Row], [WEAPON]],Sheet1!$A$27:$A$29,Sheet1!$C$27:$C$29))</f>
        <v>69000</v>
      </c>
      <c r="J922" t="s">
        <v>60</v>
      </c>
      <c r="K922" s="9">
        <f>Table1[[#This Row], [NUM OF MEM]]*Table1[[#This Row], [TOTAL TIME TAKEN]]*_xlfn.XLOOKUP(Table1[[#This Row], [EXIT]],Sheet1!$A$70:$A$71,Sheet1!$B$70:$B$71)*(1+_xlfn.XLOOKUP(Table1[[#This Row], [EXIT]],Sheet1!$A$70:$A$71,Sheet1!$C$70:$C$71))</f>
        <v>1627139.6124999996</v>
      </c>
      <c r="L922" s="13" t="s">
        <v>61</v>
      </c>
      <c r="M922" s="4">
        <f>IF(Table1[[#This Row], [EQUIPMENT]]="YES",Sheet1!$C$44*(1+Sheet1!$D$44),0)</f>
        <v>0</v>
      </c>
      <c r="N922" s="4">
        <f>_xlfn.XLOOKUP(Table1[[#This Row], [ROOM]],Sheet1!$A$47:$A$66,Sheet1!$F$47:$F$66)</f>
        <v>17550000</v>
      </c>
      <c r="O922" s="9">
        <f>_xlfn.XLOOKUP(_xlfn.CONCAT(Table1[[#This Row], [TEAM]],Table1[[#This Row], [ROOM]]),'ROOM TIME'!$H$2:$H$121,'ROOM TIME'!$J$2:$J$121)</f>
        <v>37.766111111111101</v>
      </c>
      <c r="P922" s="9">
        <f>(INDEX(Sheet1!$X$48:$Z$67,MATCH(Table1[[#This Row], [ROOM]],Sheet1!$P$48:$P$67,0),MATCH(Table1[[#This Row], [WEAPON]],Sheet1!$X$47:$Z$47,0)))/Table1[[#This Row], [NUM OF MEM]]</f>
        <v>4.5</v>
      </c>
      <c r="Q922" s="9">
        <f>Table1[[#This Row], [ROOM TIME]]+Table1[[#This Row], [GUARD TIME]]</f>
        <v>42.266111111111101</v>
      </c>
      <c r="R922" s="4">
        <f>Sheet1!$K$3*_xlfn.XLOOKUP(Table1[[#This Row], [DISGUISE]],Sheet1!$A$21:$A$23,Sheet1!$D$21:$D$23)</f>
        <v>66</v>
      </c>
      <c r="S922" s="9">
        <f>Table1[[#This Row], [TOTAL TIME]]-Table1[[#This Row], [TOTAL TIME TAKEN]]</f>
        <v>23.733888888888899</v>
      </c>
      <c r="T922" t="str">
        <f>IF(Table1[[#This Row], [TIME DIFFERENCE]]&gt;=0,"PASS","FAIL")</f>
        <v>PASS</v>
      </c>
      <c r="U922" s="9">
        <f>Table1[[#This Row], [TRC]]+Table1[[#This Row], [DRC]]+Table1[[#This Row], [WRC]]+Table1[[#This Row], [ERC]]+Table1[[#This Row], [EQRC]]</f>
        <v>7950489.6124999998</v>
      </c>
      <c r="V922" s="9">
        <f>Table1[[#This Row], [TOTAL COST]]+_xlfn.XLOOKUP(Table1[[#This Row], [TEAM]],Sheet1!$A$12:$A$17,Sheet1!$I$12:$I$17)</f>
        <v>8262427.1124999998</v>
      </c>
      <c r="W922" s="9">
        <f>Table1[[#This Row], [LOOT]]-Table1[[#This Row], [TOTAL COST]]</f>
        <v>9599510.3874999993</v>
      </c>
      <c r="X922" s="9">
        <f>IF(Table1[[#This Row], [PASS/FAIL]]="FAIL",0,Table1[[#This Row], [PROFIT]])</f>
        <v>9599510.3874999993</v>
      </c>
    </row>
    <row r="923" spans="1:24" ht="19.5" customHeight="1" x14ac:dyDescent="0.45">
      <c r="A923" t="s">
        <v>9</v>
      </c>
      <c r="B923" s="14">
        <f>_xlfn.XLOOKUP(Table1[[#This Row], [TEAM]],Sheet1!$A$12:$A$17,Sheet1!$F$12:$F$17)</f>
        <v>3</v>
      </c>
      <c r="C923" s="14">
        <f>_xlfn.XLOOKUP(Table1[[#This Row], [TEAM]],Sheet1!$A$12:$A$17,Sheet1!$G$12:$G$17)</f>
        <v>6238750</v>
      </c>
      <c r="D923" t="s">
        <v>19</v>
      </c>
      <c r="E923" s="4">
        <f>_xlfn.XLOOKUP(Table1[[#This Row], [ROOM]],Sheet1!$A$47:$A$66,Sheet1!$B$47:$B$66)</f>
        <v>135</v>
      </c>
      <c r="F923" t="s">
        <v>62</v>
      </c>
      <c r="G923" s="4">
        <f>_xlfn.XLOOKUP(Table1[[#This Row], [DISGUISE]],Sheet1!$A$21:$A$23,Sheet1!$B$21:$B$23)*Table1[[#This Row], [NUM OF MEM]]*(1+_xlfn.XLOOKUP(Table1[[#This Row], [DISGUISE]],Sheet1!$A$21:$A$23,Sheet1!$C$21:$C$23))</f>
        <v>15600</v>
      </c>
      <c r="H923" s="13" t="s">
        <v>66</v>
      </c>
      <c r="I923" s="4">
        <f>_xlfn.XLOOKUP(Table1[[#This Row], [WEAPON]],Sheet1!$A$27:$A$29,Sheet1!$B$27:$B$29)*Table1[[#This Row], [NUM OF MEM]]*(1+_xlfn.XLOOKUP(Table1[[#This Row], [WEAPON]],Sheet1!$A$27:$A$29,Sheet1!$C$27:$C$29))</f>
        <v>108000</v>
      </c>
      <c r="J923" t="s">
        <v>64</v>
      </c>
      <c r="K923" s="9">
        <f>Table1[[#This Row], [NUM OF MEM]]*Table1[[#This Row], [TOTAL TIME TAKEN]]*_xlfn.XLOOKUP(Table1[[#This Row], [EXIT]],Sheet1!$A$70:$A$71,Sheet1!$B$70:$B$71)*(1+_xlfn.XLOOKUP(Table1[[#This Row], [EXIT]],Sheet1!$A$70:$A$71,Sheet1!$C$70:$C$71))</f>
        <v>1680890.4</v>
      </c>
      <c r="L923" s="13" t="s">
        <v>65</v>
      </c>
      <c r="M923" s="4">
        <f>IF(Table1[[#This Row], [EQUIPMENT]]="YES",Sheet1!$C$44*(1+Sheet1!$D$44),0)</f>
        <v>307500</v>
      </c>
      <c r="N923" s="4">
        <f>_xlfn.XLOOKUP(Table1[[#This Row], [ROOM]],Sheet1!$A$47:$A$66,Sheet1!$F$47:$F$66)</f>
        <v>17950000</v>
      </c>
      <c r="O923" s="9">
        <f>_xlfn.XLOOKUP(_xlfn.CONCAT(Table1[[#This Row], [TEAM]],Table1[[#This Row], [ROOM]]),'ROOM TIME'!$H$2:$H$121,'ROOM TIME'!$J$2:$J$121)</f>
        <v>38.649444444444434</v>
      </c>
      <c r="P923" s="9">
        <f>(INDEX(Sheet1!$X$48:$Z$67,MATCH(Table1[[#This Row], [ROOM]],Sheet1!$P$48:$P$67,0),MATCH(Table1[[#This Row], [WEAPON]],Sheet1!$X$47:$Z$47,0)))/Table1[[#This Row], [NUM OF MEM]]</f>
        <v>4.583333333333333</v>
      </c>
      <c r="Q923" s="9">
        <f>Table1[[#This Row], [ROOM TIME]]+Table1[[#This Row], [GUARD TIME]]</f>
        <v>43.23277777777777</v>
      </c>
      <c r="R923" s="4">
        <f>Sheet1!$K$3*_xlfn.XLOOKUP(Table1[[#This Row], [DISGUISE]],Sheet1!$A$21:$A$23,Sheet1!$D$21:$D$23)</f>
        <v>66</v>
      </c>
      <c r="S923" s="9">
        <f>Table1[[#This Row], [TOTAL TIME]]-Table1[[#This Row], [TOTAL TIME TAKEN]]</f>
        <v>22.76722222222223</v>
      </c>
      <c r="T923" t="str">
        <f>IF(Table1[[#This Row], [TIME DIFFERENCE]]&gt;=0,"PASS","FAIL")</f>
        <v>PASS</v>
      </c>
      <c r="U923" s="9">
        <f>Table1[[#This Row], [TRC]]+Table1[[#This Row], [DRC]]+Table1[[#This Row], [WRC]]+Table1[[#This Row], [ERC]]+Table1[[#This Row], [EQRC]]</f>
        <v>8350740.4000000004</v>
      </c>
      <c r="V923" s="9">
        <f>Table1[[#This Row], [TOTAL COST]]+_xlfn.XLOOKUP(Table1[[#This Row], [TEAM]],Sheet1!$A$12:$A$17,Sheet1!$I$12:$I$17)</f>
        <v>8662677.9000000004</v>
      </c>
      <c r="W923" s="9">
        <f>Table1[[#This Row], [LOOT]]-Table1[[#This Row], [TOTAL COST]]</f>
        <v>9599259.5999999996</v>
      </c>
      <c r="X923" s="9">
        <f>IF(Table1[[#This Row], [PASS/FAIL]]="FAIL",0,Table1[[#This Row], [PROFIT]])</f>
        <v>9599259.5999999996</v>
      </c>
    </row>
    <row r="924" spans="1:24" ht="19.5" customHeight="1" x14ac:dyDescent="0.45">
      <c r="A924" t="s">
        <v>12</v>
      </c>
      <c r="B924" s="14">
        <f>_xlfn.XLOOKUP(Table1[[#This Row], [TEAM]],Sheet1!$A$12:$A$17,Sheet1!$F$12:$F$17)</f>
        <v>3</v>
      </c>
      <c r="C924" s="14">
        <f>_xlfn.XLOOKUP(Table1[[#This Row], [TEAM]],Sheet1!$A$12:$A$17,Sheet1!$G$12:$G$17)</f>
        <v>5988750</v>
      </c>
      <c r="D924" t="s">
        <v>10</v>
      </c>
      <c r="E924" s="4">
        <f>_xlfn.XLOOKUP(Table1[[#This Row], [ROOM]],Sheet1!$A$47:$A$66,Sheet1!$B$47:$B$66)</f>
        <v>123</v>
      </c>
      <c r="F924" t="s">
        <v>58</v>
      </c>
      <c r="G924" s="4">
        <f>_xlfn.XLOOKUP(Table1[[#This Row], [DISGUISE]],Sheet1!$A$21:$A$23,Sheet1!$B$21:$B$23)*Table1[[#This Row], [NUM OF MEM]]*(1+_xlfn.XLOOKUP(Table1[[#This Row], [DISGUISE]],Sheet1!$A$21:$A$23,Sheet1!$C$21:$C$23))</f>
        <v>38400</v>
      </c>
      <c r="H924" s="13" t="s">
        <v>66</v>
      </c>
      <c r="I924" s="4">
        <f>_xlfn.XLOOKUP(Table1[[#This Row], [WEAPON]],Sheet1!$A$27:$A$29,Sheet1!$B$27:$B$29)*Table1[[#This Row], [NUM OF MEM]]*(1+_xlfn.XLOOKUP(Table1[[#This Row], [WEAPON]],Sheet1!$A$27:$A$29,Sheet1!$C$27:$C$29))</f>
        <v>108000</v>
      </c>
      <c r="J924" t="s">
        <v>60</v>
      </c>
      <c r="K924" s="9">
        <f>Table1[[#This Row], [NUM OF MEM]]*Table1[[#This Row], [TOTAL TIME TAKEN]]*_xlfn.XLOOKUP(Table1[[#This Row], [EXIT]],Sheet1!$A$70:$A$71,Sheet1!$B$70:$B$71)*(1+_xlfn.XLOOKUP(Table1[[#This Row], [EXIT]],Sheet1!$A$70:$A$71,Sheet1!$C$70:$C$71))</f>
        <v>1808142.0249999992</v>
      </c>
      <c r="L924" s="13" t="s">
        <v>65</v>
      </c>
      <c r="M924" s="4">
        <f>IF(Table1[[#This Row], [EQUIPMENT]]="YES",Sheet1!$C$44*(1+Sheet1!$D$44),0)</f>
        <v>307500</v>
      </c>
      <c r="N924" s="4">
        <f>_xlfn.XLOOKUP(Table1[[#This Row], [ROOM]],Sheet1!$A$47:$A$66,Sheet1!$F$47:$F$66)</f>
        <v>17850000</v>
      </c>
      <c r="O924" s="9">
        <f>_xlfn.XLOOKUP(_xlfn.CONCAT(Table1[[#This Row], [TEAM]],Table1[[#This Row], [ROOM]]),'ROOM TIME'!$H$2:$H$121,'ROOM TIME'!$J$2:$J$121)</f>
        <v>41.967777777777762</v>
      </c>
      <c r="P924" s="4">
        <f>(INDEX(Sheet1!$X$48:$Z$67,MATCH(Table1[[#This Row], [ROOM]],Sheet1!$P$48:$P$67,0),MATCH(Table1[[#This Row], [WEAPON]],Sheet1!$X$47:$Z$47,0)))/Table1[[#This Row], [NUM OF MEM]]</f>
        <v>5</v>
      </c>
      <c r="Q924" s="9">
        <f>Table1[[#This Row], [ROOM TIME]]+Table1[[#This Row], [GUARD TIME]]</f>
        <v>46.967777777777762</v>
      </c>
      <c r="R924" s="4">
        <f>Sheet1!$K$3*_xlfn.XLOOKUP(Table1[[#This Row], [DISGUISE]],Sheet1!$A$21:$A$23,Sheet1!$D$21:$D$23)</f>
        <v>69</v>
      </c>
      <c r="S924" s="9">
        <f>Table1[[#This Row], [TOTAL TIME]]-Table1[[#This Row], [TOTAL TIME TAKEN]]</f>
        <v>22.032222222222238</v>
      </c>
      <c r="T924" t="str">
        <f>IF(Table1[[#This Row], [TIME DIFFERENCE]]&gt;=0,"PASS","FAIL")</f>
        <v>PASS</v>
      </c>
      <c r="U924" s="9">
        <f>Table1[[#This Row], [TRC]]+Table1[[#This Row], [DRC]]+Table1[[#This Row], [WRC]]+Table1[[#This Row], [ERC]]+Table1[[#This Row], [EQRC]]</f>
        <v>8250792.0249999994</v>
      </c>
      <c r="V924" s="9">
        <f>Table1[[#This Row], [TOTAL COST]]+_xlfn.XLOOKUP(Table1[[#This Row], [TEAM]],Sheet1!$A$12:$A$17,Sheet1!$I$12:$I$17)</f>
        <v>8550229.5249999985</v>
      </c>
      <c r="W924" s="9">
        <f>Table1[[#This Row], [LOOT]]-Table1[[#This Row], [TOTAL COST]]</f>
        <v>9599207.9750000015</v>
      </c>
      <c r="X924" s="9">
        <f>IF(Table1[[#This Row], [PASS/FAIL]]="FAIL",0,Table1[[#This Row], [PROFIT]])</f>
        <v>9599207.9750000015</v>
      </c>
    </row>
    <row r="925" spans="1:24" ht="19.5" customHeight="1" x14ac:dyDescent="0.45">
      <c r="A925" t="s">
        <v>14</v>
      </c>
      <c r="B925" s="14">
        <f>_xlfn.XLOOKUP(Table1[[#This Row], [TEAM]],Sheet1!$A$12:$A$17,Sheet1!$F$12:$F$17)</f>
        <v>2</v>
      </c>
      <c r="C925" s="14">
        <f>_xlfn.XLOOKUP(Table1[[#This Row], [TEAM]],Sheet1!$A$12:$A$17,Sheet1!$G$12:$G$17)</f>
        <v>5949600</v>
      </c>
      <c r="D925" t="s">
        <v>17</v>
      </c>
      <c r="E925" s="4">
        <f>_xlfn.XLOOKUP(Table1[[#This Row], [ROOM]],Sheet1!$A$47:$A$66,Sheet1!$B$47:$B$66)</f>
        <v>125</v>
      </c>
      <c r="F925" t="s">
        <v>58</v>
      </c>
      <c r="G925" s="4">
        <f>_xlfn.XLOOKUP(Table1[[#This Row], [DISGUISE]],Sheet1!$A$21:$A$23,Sheet1!$B$21:$B$23)*Table1[[#This Row], [NUM OF MEM]]*(1+_xlfn.XLOOKUP(Table1[[#This Row], [DISGUISE]],Sheet1!$A$21:$A$23,Sheet1!$C$21:$C$23))</f>
        <v>25600</v>
      </c>
      <c r="H925" s="13" t="s">
        <v>63</v>
      </c>
      <c r="I925" s="4">
        <f>_xlfn.XLOOKUP(Table1[[#This Row], [WEAPON]],Sheet1!$A$27:$A$29,Sheet1!$B$27:$B$29)*Table1[[#This Row], [NUM OF MEM]]*(1+_xlfn.XLOOKUP(Table1[[#This Row], [WEAPON]],Sheet1!$A$27:$A$29,Sheet1!$C$27:$C$29))</f>
        <v>46000</v>
      </c>
      <c r="J925" t="s">
        <v>60</v>
      </c>
      <c r="K925" s="9">
        <f>Table1[[#This Row], [NUM OF MEM]]*Table1[[#This Row], [TOTAL TIME TAKEN]]*_xlfn.XLOOKUP(Table1[[#This Row], [EXIT]],Sheet1!$A$70:$A$71,Sheet1!$B$70:$B$71)*(1+_xlfn.XLOOKUP(Table1[[#This Row], [EXIT]],Sheet1!$A$70:$A$71,Sheet1!$C$70:$C$71))</f>
        <v>1729885.1624999996</v>
      </c>
      <c r="L925" s="13" t="s">
        <v>61</v>
      </c>
      <c r="M925" s="4">
        <f>IF(Table1[[#This Row], [EQUIPMENT]]="YES",Sheet1!$C$44*(1+Sheet1!$D$44),0)</f>
        <v>0</v>
      </c>
      <c r="N925" s="4">
        <f>_xlfn.XLOOKUP(Table1[[#This Row], [ROOM]],Sheet1!$A$47:$A$66,Sheet1!$F$47:$F$66)</f>
        <v>17350000</v>
      </c>
      <c r="O925" s="9">
        <f>_xlfn.XLOOKUP(_xlfn.CONCAT(Table1[[#This Row], [TEAM]],Table1[[#This Row], [ROOM]]),'ROOM TIME'!$H$2:$H$121,'ROOM TIME'!$J$2:$J$121)</f>
        <v>60.652499999999989</v>
      </c>
      <c r="P925" s="9">
        <f>(INDEX(Sheet1!$X$48:$Z$67,MATCH(Table1[[#This Row], [ROOM]],Sheet1!$P$48:$P$67,0),MATCH(Table1[[#This Row], [WEAPON]],Sheet1!$X$47:$Z$47,0)))/Table1[[#This Row], [NUM OF MEM]]</f>
        <v>6.75</v>
      </c>
      <c r="Q925" s="9">
        <f>Table1[[#This Row], [ROOM TIME]]+Table1[[#This Row], [GUARD TIME]]</f>
        <v>67.402499999999989</v>
      </c>
      <c r="R925" s="4">
        <f>Sheet1!$K$3*_xlfn.XLOOKUP(Table1[[#This Row], [DISGUISE]],Sheet1!$A$21:$A$23,Sheet1!$D$21:$D$23)</f>
        <v>69</v>
      </c>
      <c r="S925" s="9">
        <f>Table1[[#This Row], [TOTAL TIME]]-Table1[[#This Row], [TOTAL TIME TAKEN]]</f>
        <v>1.5975000000000108</v>
      </c>
      <c r="T925" t="str">
        <f>IF(Table1[[#This Row], [TIME DIFFERENCE]]&gt;=0,"PASS","FAIL")</f>
        <v>PASS</v>
      </c>
      <c r="U925" s="9">
        <f>Table1[[#This Row], [TRC]]+Table1[[#This Row], [DRC]]+Table1[[#This Row], [WRC]]+Table1[[#This Row], [ERC]]+Table1[[#This Row], [EQRC]]</f>
        <v>7751085.1624999996</v>
      </c>
      <c r="V925" s="9">
        <f>Table1[[#This Row], [TOTAL COST]]+_xlfn.XLOOKUP(Table1[[#This Row], [TEAM]],Sheet1!$A$12:$A$17,Sheet1!$I$12:$I$17)</f>
        <v>8048565.1624999996</v>
      </c>
      <c r="W925" s="9">
        <f>Table1[[#This Row], [LOOT]]-Table1[[#This Row], [TOTAL COST]]</f>
        <v>9598914.8375000004</v>
      </c>
      <c r="X925" s="9">
        <f>IF(Table1[[#This Row], [PASS/FAIL]]="FAIL",0,Table1[[#This Row], [PROFIT]])</f>
        <v>9598914.8375000004</v>
      </c>
    </row>
    <row r="926" spans="1:24" ht="19.5" customHeight="1" x14ac:dyDescent="0.45">
      <c r="A926" t="s">
        <v>14</v>
      </c>
      <c r="B926" s="14">
        <f>_xlfn.XLOOKUP(Table1[[#This Row], [TEAM]],Sheet1!$A$12:$A$17,Sheet1!$F$12:$F$17)</f>
        <v>2</v>
      </c>
      <c r="C926" s="14">
        <f>_xlfn.XLOOKUP(Table1[[#This Row], [TEAM]],Sheet1!$A$12:$A$17,Sheet1!$G$12:$G$17)</f>
        <v>5949600</v>
      </c>
      <c r="D926" t="s">
        <v>30</v>
      </c>
      <c r="E926" s="4">
        <f>_xlfn.XLOOKUP(Table1[[#This Row], [ROOM]],Sheet1!$A$47:$A$66,Sheet1!$B$47:$B$66)</f>
        <v>246</v>
      </c>
      <c r="F926" t="s">
        <v>58</v>
      </c>
      <c r="G926" s="4">
        <f>_xlfn.XLOOKUP(Table1[[#This Row], [DISGUISE]],Sheet1!$A$21:$A$23,Sheet1!$B$21:$B$23)*Table1[[#This Row], [NUM OF MEM]]*(1+_xlfn.XLOOKUP(Table1[[#This Row], [DISGUISE]],Sheet1!$A$21:$A$23,Sheet1!$C$21:$C$23))</f>
        <v>25600</v>
      </c>
      <c r="H926" s="13" t="s">
        <v>59</v>
      </c>
      <c r="I926" s="4">
        <f>_xlfn.XLOOKUP(Table1[[#This Row], [WEAPON]],Sheet1!$A$27:$A$29,Sheet1!$B$27:$B$29)*Table1[[#This Row], [NUM OF MEM]]*(1+_xlfn.XLOOKUP(Table1[[#This Row], [WEAPON]],Sheet1!$A$27:$A$29,Sheet1!$C$27:$C$29))</f>
        <v>91000</v>
      </c>
      <c r="J926" t="s">
        <v>60</v>
      </c>
      <c r="K926" s="9">
        <f>Table1[[#This Row], [NUM OF MEM]]*Table1[[#This Row], [TOTAL TIME TAKEN]]*_xlfn.XLOOKUP(Table1[[#This Row], [EXIT]],Sheet1!$A$70:$A$71,Sheet1!$B$70:$B$71)*(1+_xlfn.XLOOKUP(Table1[[#This Row], [EXIT]],Sheet1!$A$70:$A$71,Sheet1!$C$70:$C$71))</f>
        <v>1627481.8124999993</v>
      </c>
      <c r="L926" s="13" t="s">
        <v>65</v>
      </c>
      <c r="M926" s="4">
        <f>IF(Table1[[#This Row], [EQUIPMENT]]="YES",Sheet1!$C$44*(1+Sheet1!$D$44),0)</f>
        <v>307500</v>
      </c>
      <c r="N926" s="4">
        <f>_xlfn.XLOOKUP(Table1[[#This Row], [ROOM]],Sheet1!$A$47:$A$66,Sheet1!$F$47:$F$66)</f>
        <v>17600000</v>
      </c>
      <c r="O926" s="9">
        <f>_xlfn.XLOOKUP(_xlfn.CONCAT(Table1[[#This Row], [TEAM]],Table1[[#This Row], [ROOM]]),'ROOM TIME'!$H$2:$H$121,'ROOM TIME'!$J$2:$J$121)</f>
        <v>56.512499999999982</v>
      </c>
      <c r="P926" s="9">
        <f>(INDEX(Sheet1!$X$48:$Z$67,MATCH(Table1[[#This Row], [ROOM]],Sheet1!$P$48:$P$67,0),MATCH(Table1[[#This Row], [WEAPON]],Sheet1!$X$47:$Z$47,0)))/Table1[[#This Row], [NUM OF MEM]]</f>
        <v>6.8999999999999995</v>
      </c>
      <c r="Q926" s="9">
        <f>Table1[[#This Row], [ROOM TIME]]+Table1[[#This Row], [GUARD TIME]]</f>
        <v>63.41249999999998</v>
      </c>
      <c r="R926" s="4">
        <f>Sheet1!$K$3*_xlfn.XLOOKUP(Table1[[#This Row], [DISGUISE]],Sheet1!$A$21:$A$23,Sheet1!$D$21:$D$23)</f>
        <v>69</v>
      </c>
      <c r="S926" s="9">
        <f>Table1[[#This Row], [TOTAL TIME]]-Table1[[#This Row], [TOTAL TIME TAKEN]]</f>
        <v>5.5875000000000199</v>
      </c>
      <c r="T926" t="str">
        <f>IF(Table1[[#This Row], [TIME DIFFERENCE]]&gt;=0,"PASS","FAIL")</f>
        <v>PASS</v>
      </c>
      <c r="U926" s="9">
        <f>Table1[[#This Row], [TRC]]+Table1[[#This Row], [DRC]]+Table1[[#This Row], [WRC]]+Table1[[#This Row], [ERC]]+Table1[[#This Row], [EQRC]]</f>
        <v>8001181.8124999991</v>
      </c>
      <c r="V926" s="9">
        <f>Table1[[#This Row], [TOTAL COST]]+_xlfn.XLOOKUP(Table1[[#This Row], [TEAM]],Sheet1!$A$12:$A$17,Sheet1!$I$12:$I$17)</f>
        <v>8298661.8124999991</v>
      </c>
      <c r="W926" s="9">
        <f>Table1[[#This Row], [LOOT]]-Table1[[#This Row], [TOTAL COST]]</f>
        <v>9598818.1875</v>
      </c>
      <c r="X926" s="9">
        <f>IF(Table1[[#This Row], [PASS/FAIL]]="FAIL",0,Table1[[#This Row], [PROFIT]])</f>
        <v>9598818.1875</v>
      </c>
    </row>
    <row r="927" spans="1:24" ht="19.5" customHeight="1" x14ac:dyDescent="0.45">
      <c r="A927" t="s">
        <v>16</v>
      </c>
      <c r="B927" s="14">
        <f>_xlfn.XLOOKUP(Table1[[#This Row], [TEAM]],Sheet1!$A$12:$A$17,Sheet1!$F$12:$F$17)</f>
        <v>2</v>
      </c>
      <c r="C927" s="14">
        <f>_xlfn.XLOOKUP(Table1[[#This Row], [TEAM]],Sheet1!$A$12:$A$17,Sheet1!$G$12:$G$17)</f>
        <v>6082800</v>
      </c>
      <c r="D927" t="s">
        <v>34</v>
      </c>
      <c r="E927" s="4">
        <f>_xlfn.XLOOKUP(Table1[[#This Row], [ROOM]],Sheet1!$A$47:$A$66,Sheet1!$B$47:$B$66)</f>
        <v>456</v>
      </c>
      <c r="F927" t="s">
        <v>58</v>
      </c>
      <c r="G927" s="4">
        <f>_xlfn.XLOOKUP(Table1[[#This Row], [DISGUISE]],Sheet1!$A$21:$A$23,Sheet1!$B$21:$B$23)*Table1[[#This Row], [NUM OF MEM]]*(1+_xlfn.XLOOKUP(Table1[[#This Row], [DISGUISE]],Sheet1!$A$21:$A$23,Sheet1!$C$21:$C$23))</f>
        <v>25600</v>
      </c>
      <c r="H927" s="13" t="s">
        <v>63</v>
      </c>
      <c r="I927" s="4">
        <f>_xlfn.XLOOKUP(Table1[[#This Row], [WEAPON]],Sheet1!$A$27:$A$29,Sheet1!$B$27:$B$29)*Table1[[#This Row], [NUM OF MEM]]*(1+_xlfn.XLOOKUP(Table1[[#This Row], [WEAPON]],Sheet1!$A$27:$A$29,Sheet1!$C$27:$C$29))</f>
        <v>46000</v>
      </c>
      <c r="J927" t="s">
        <v>64</v>
      </c>
      <c r="K927" s="9">
        <f>Table1[[#This Row], [NUM OF MEM]]*Table1[[#This Row], [TOTAL TIME TAKEN]]*_xlfn.XLOOKUP(Table1[[#This Row], [EXIT]],Sheet1!$A$70:$A$71,Sheet1!$B$70:$B$71)*(1+_xlfn.XLOOKUP(Table1[[#This Row], [EXIT]],Sheet1!$A$70:$A$71,Sheet1!$C$70:$C$71))</f>
        <v>1639310.3999999997</v>
      </c>
      <c r="L927" s="13" t="s">
        <v>65</v>
      </c>
      <c r="M927" s="4">
        <f>IF(Table1[[#This Row], [EQUIPMENT]]="YES",Sheet1!$C$44*(1+Sheet1!$D$44),0)</f>
        <v>307500</v>
      </c>
      <c r="N927" s="4">
        <f>_xlfn.XLOOKUP(Table1[[#This Row], [ROOM]],Sheet1!$A$47:$A$66,Sheet1!$F$47:$F$66)</f>
        <v>17700000</v>
      </c>
      <c r="O927" s="9">
        <f>_xlfn.XLOOKUP(_xlfn.CONCAT(Table1[[#This Row], [TEAM]],Table1[[#This Row], [ROOM]]),'ROOM TIME'!$H$2:$H$121,'ROOM TIME'!$J$2:$J$121)</f>
        <v>55.819999999999986</v>
      </c>
      <c r="P927" s="9">
        <f>(INDEX(Sheet1!$X$48:$Z$67,MATCH(Table1[[#This Row], [ROOM]],Sheet1!$P$48:$P$67,0),MATCH(Table1[[#This Row], [WEAPON]],Sheet1!$X$47:$Z$47,0)))/Table1[[#This Row], [NUM OF MEM]]</f>
        <v>7.4250000000000007</v>
      </c>
      <c r="Q927" s="9">
        <f>Table1[[#This Row], [ROOM TIME]]+Table1[[#This Row], [GUARD TIME]]</f>
        <v>63.24499999999999</v>
      </c>
      <c r="R927" s="4">
        <f>Sheet1!$K$3*_xlfn.XLOOKUP(Table1[[#This Row], [DISGUISE]],Sheet1!$A$21:$A$23,Sheet1!$D$21:$D$23)</f>
        <v>69</v>
      </c>
      <c r="S927" s="9">
        <f>Table1[[#This Row], [TOTAL TIME]]-Table1[[#This Row], [TOTAL TIME TAKEN]]</f>
        <v>5.7550000000000097</v>
      </c>
      <c r="T927" t="str">
        <f>IF(Table1[[#This Row], [TIME DIFFERENCE]]&gt;=0,"PASS","FAIL")</f>
        <v>PASS</v>
      </c>
      <c r="U927" s="9">
        <f>Table1[[#This Row], [TRC]]+Table1[[#This Row], [DRC]]+Table1[[#This Row], [WRC]]+Table1[[#This Row], [ERC]]+Table1[[#This Row], [EQRC]]</f>
        <v>8101210.3999999994</v>
      </c>
      <c r="V927" s="9">
        <f>Table1[[#This Row], [TOTAL COST]]+_xlfn.XLOOKUP(Table1[[#This Row], [TEAM]],Sheet1!$A$12:$A$17,Sheet1!$I$12:$I$17)</f>
        <v>8405350.3999999985</v>
      </c>
      <c r="W927" s="9">
        <f>Table1[[#This Row], [LOOT]]-Table1[[#This Row], [TOTAL COST]]</f>
        <v>9598789.6000000015</v>
      </c>
      <c r="X927" s="9">
        <f>IF(Table1[[#This Row], [PASS/FAIL]]="FAIL",0,Table1[[#This Row], [PROFIT]])</f>
        <v>9598789.6000000015</v>
      </c>
    </row>
    <row r="928" spans="1:24" ht="19.5" customHeight="1" x14ac:dyDescent="0.45">
      <c r="A928" t="s">
        <v>15</v>
      </c>
      <c r="B928" s="14">
        <f>_xlfn.XLOOKUP(Table1[[#This Row], [TEAM]],Sheet1!$A$12:$A$17,Sheet1!$F$12:$F$17)</f>
        <v>2</v>
      </c>
      <c r="C928" s="14">
        <f>_xlfn.XLOOKUP(Table1[[#This Row], [TEAM]],Sheet1!$A$12:$A$17,Sheet1!$G$12:$G$17)</f>
        <v>5932950</v>
      </c>
      <c r="D928" t="s">
        <v>30</v>
      </c>
      <c r="E928" s="4">
        <f>_xlfn.XLOOKUP(Table1[[#This Row], [ROOM]],Sheet1!$A$47:$A$66,Sheet1!$B$47:$B$66)</f>
        <v>246</v>
      </c>
      <c r="F928" t="s">
        <v>62</v>
      </c>
      <c r="G928" s="4">
        <f>_xlfn.XLOOKUP(Table1[[#This Row], [DISGUISE]],Sheet1!$A$21:$A$23,Sheet1!$B$21:$B$23)*Table1[[#This Row], [NUM OF MEM]]*(1+_xlfn.XLOOKUP(Table1[[#This Row], [DISGUISE]],Sheet1!$A$21:$A$23,Sheet1!$C$21:$C$23))</f>
        <v>10400</v>
      </c>
      <c r="H928" s="13" t="s">
        <v>59</v>
      </c>
      <c r="I928" s="4">
        <f>_xlfn.XLOOKUP(Table1[[#This Row], [WEAPON]],Sheet1!$A$27:$A$29,Sheet1!$B$27:$B$29)*Table1[[#This Row], [NUM OF MEM]]*(1+_xlfn.XLOOKUP(Table1[[#This Row], [WEAPON]],Sheet1!$A$27:$A$29,Sheet1!$C$27:$C$29))</f>
        <v>91000</v>
      </c>
      <c r="J928" t="s">
        <v>64</v>
      </c>
      <c r="K928" s="9">
        <f>Table1[[#This Row], [NUM OF MEM]]*Table1[[#This Row], [TOTAL TIME TAKEN]]*_xlfn.XLOOKUP(Table1[[#This Row], [EXIT]],Sheet1!$A$70:$A$71,Sheet1!$B$70:$B$71)*(1+_xlfn.XLOOKUP(Table1[[#This Row], [EXIT]],Sheet1!$A$70:$A$71,Sheet1!$C$70:$C$71))</f>
        <v>1659495.5999999996</v>
      </c>
      <c r="L928" s="13" t="s">
        <v>65</v>
      </c>
      <c r="M928" s="4">
        <f>IF(Table1[[#This Row], [EQUIPMENT]]="YES",Sheet1!$C$44*(1+Sheet1!$D$44),0)</f>
        <v>307500</v>
      </c>
      <c r="N928" s="4">
        <f>_xlfn.XLOOKUP(Table1[[#This Row], [ROOM]],Sheet1!$A$47:$A$66,Sheet1!$F$47:$F$66)</f>
        <v>17600000</v>
      </c>
      <c r="O928" s="9">
        <f>_xlfn.XLOOKUP(_xlfn.CONCAT(Table1[[#This Row], [TEAM]],Table1[[#This Row], [ROOM]]),'ROOM TIME'!$H$2:$H$121,'ROOM TIME'!$J$2:$J$121)</f>
        <v>57.123749999999987</v>
      </c>
      <c r="P928" s="9">
        <f>(INDEX(Sheet1!$X$48:$Z$67,MATCH(Table1[[#This Row], [ROOM]],Sheet1!$P$48:$P$67,0),MATCH(Table1[[#This Row], [WEAPON]],Sheet1!$X$47:$Z$47,0)))/Table1[[#This Row], [NUM OF MEM]]</f>
        <v>6.8999999999999995</v>
      </c>
      <c r="Q928" s="9">
        <f>Table1[[#This Row], [ROOM TIME]]+Table1[[#This Row], [GUARD TIME]]</f>
        <v>64.023749999999993</v>
      </c>
      <c r="R928" s="4">
        <f>Sheet1!$K$3*_xlfn.XLOOKUP(Table1[[#This Row], [DISGUISE]],Sheet1!$A$21:$A$23,Sheet1!$D$21:$D$23)</f>
        <v>66</v>
      </c>
      <c r="S928" s="9">
        <f>Table1[[#This Row], [TOTAL TIME]]-Table1[[#This Row], [TOTAL TIME TAKEN]]</f>
        <v>1.9762500000000074</v>
      </c>
      <c r="T928" t="str">
        <f>IF(Table1[[#This Row], [TIME DIFFERENCE]]&gt;=0,"PASS","FAIL")</f>
        <v>PASS</v>
      </c>
      <c r="U928" s="9">
        <f>Table1[[#This Row], [TRC]]+Table1[[#This Row], [DRC]]+Table1[[#This Row], [WRC]]+Table1[[#This Row], [ERC]]+Table1[[#This Row], [EQRC]]</f>
        <v>8001345.5999999996</v>
      </c>
      <c r="V928" s="9">
        <f>Table1[[#This Row], [TOTAL COST]]+_xlfn.XLOOKUP(Table1[[#This Row], [TEAM]],Sheet1!$A$12:$A$17,Sheet1!$I$12:$I$17)</f>
        <v>8297993.0999999996</v>
      </c>
      <c r="W928" s="9">
        <f>Table1[[#This Row], [LOOT]]-Table1[[#This Row], [TOTAL COST]]</f>
        <v>9598654.4000000004</v>
      </c>
      <c r="X928" s="9">
        <f>IF(Table1[[#This Row], [PASS/FAIL]]="FAIL",0,Table1[[#This Row], [PROFIT]])</f>
        <v>9598654.4000000004</v>
      </c>
    </row>
    <row r="929" spans="1:24" ht="19.5" customHeight="1" x14ac:dyDescent="0.45">
      <c r="A929" t="s">
        <v>16</v>
      </c>
      <c r="B929" s="14">
        <f>_xlfn.XLOOKUP(Table1[[#This Row], [TEAM]],Sheet1!$A$12:$A$17,Sheet1!$F$12:$F$17)</f>
        <v>2</v>
      </c>
      <c r="C929" s="14">
        <f>_xlfn.XLOOKUP(Table1[[#This Row], [TEAM]],Sheet1!$A$12:$A$17,Sheet1!$G$12:$G$17)</f>
        <v>6082800</v>
      </c>
      <c r="D929" t="s">
        <v>34</v>
      </c>
      <c r="E929" s="4">
        <f>_xlfn.XLOOKUP(Table1[[#This Row], [ROOM]],Sheet1!$A$47:$A$66,Sheet1!$B$47:$B$66)</f>
        <v>456</v>
      </c>
      <c r="F929" t="s">
        <v>58</v>
      </c>
      <c r="G929" s="4">
        <f>_xlfn.XLOOKUP(Table1[[#This Row], [DISGUISE]],Sheet1!$A$21:$A$23,Sheet1!$B$21:$B$23)*Table1[[#This Row], [NUM OF MEM]]*(1+_xlfn.XLOOKUP(Table1[[#This Row], [DISGUISE]],Sheet1!$A$21:$A$23,Sheet1!$C$21:$C$23))</f>
        <v>25600</v>
      </c>
      <c r="H929" s="13" t="s">
        <v>59</v>
      </c>
      <c r="I929" s="4">
        <f>_xlfn.XLOOKUP(Table1[[#This Row], [WEAPON]],Sheet1!$A$27:$A$29,Sheet1!$B$27:$B$29)*Table1[[#This Row], [NUM OF MEM]]*(1+_xlfn.XLOOKUP(Table1[[#This Row], [WEAPON]],Sheet1!$A$27:$A$29,Sheet1!$C$27:$C$29))</f>
        <v>91000</v>
      </c>
      <c r="J929" t="s">
        <v>60</v>
      </c>
      <c r="K929" s="9">
        <f>Table1[[#This Row], [NUM OF MEM]]*Table1[[#This Row], [TOTAL TIME TAKEN]]*_xlfn.XLOOKUP(Table1[[#This Row], [EXIT]],Sheet1!$A$70:$A$71,Sheet1!$B$70:$B$71)*(1+_xlfn.XLOOKUP(Table1[[#This Row], [EXIT]],Sheet1!$A$70:$A$71,Sheet1!$C$70:$C$71))</f>
        <v>1594951.4249999996</v>
      </c>
      <c r="L929" s="13" t="s">
        <v>65</v>
      </c>
      <c r="M929" s="4">
        <f>IF(Table1[[#This Row], [EQUIPMENT]]="YES",Sheet1!$C$44*(1+Sheet1!$D$44),0)</f>
        <v>307500</v>
      </c>
      <c r="N929" s="4">
        <f>_xlfn.XLOOKUP(Table1[[#This Row], [ROOM]],Sheet1!$A$47:$A$66,Sheet1!$F$47:$F$66)</f>
        <v>17700000</v>
      </c>
      <c r="O929" s="9">
        <f>_xlfn.XLOOKUP(_xlfn.CONCAT(Table1[[#This Row], [TEAM]],Table1[[#This Row], [ROOM]]),'ROOM TIME'!$H$2:$H$121,'ROOM TIME'!$J$2:$J$121)</f>
        <v>55.819999999999986</v>
      </c>
      <c r="P929" s="9">
        <f>(INDEX(Sheet1!$X$48:$Z$67,MATCH(Table1[[#This Row], [ROOM]],Sheet1!$P$48:$P$67,0),MATCH(Table1[[#This Row], [WEAPON]],Sheet1!$X$47:$Z$47,0)))/Table1[[#This Row], [NUM OF MEM]]</f>
        <v>6.3249999999999993</v>
      </c>
      <c r="Q929" s="9">
        <f>Table1[[#This Row], [ROOM TIME]]+Table1[[#This Row], [GUARD TIME]]</f>
        <v>62.144999999999982</v>
      </c>
      <c r="R929" s="4">
        <f>Sheet1!$K$3*_xlfn.XLOOKUP(Table1[[#This Row], [DISGUISE]],Sheet1!$A$21:$A$23,Sheet1!$D$21:$D$23)</f>
        <v>69</v>
      </c>
      <c r="S929" s="9">
        <f>Table1[[#This Row], [TOTAL TIME]]-Table1[[#This Row], [TOTAL TIME TAKEN]]</f>
        <v>6.8550000000000182</v>
      </c>
      <c r="T929" t="str">
        <f>IF(Table1[[#This Row], [TIME DIFFERENCE]]&gt;=0,"PASS","FAIL")</f>
        <v>PASS</v>
      </c>
      <c r="U929" s="9">
        <f>Table1[[#This Row], [TRC]]+Table1[[#This Row], [DRC]]+Table1[[#This Row], [WRC]]+Table1[[#This Row], [ERC]]+Table1[[#This Row], [EQRC]]</f>
        <v>8101851.4249999998</v>
      </c>
      <c r="V929" s="9">
        <f>Table1[[#This Row], [TOTAL COST]]+_xlfn.XLOOKUP(Table1[[#This Row], [TEAM]],Sheet1!$A$12:$A$17,Sheet1!$I$12:$I$17)</f>
        <v>8405991.4250000007</v>
      </c>
      <c r="W929" s="9">
        <f>Table1[[#This Row], [LOOT]]-Table1[[#This Row], [TOTAL COST]]</f>
        <v>9598148.5749999993</v>
      </c>
      <c r="X929" s="9">
        <f>IF(Table1[[#This Row], [PASS/FAIL]]="FAIL",0,Table1[[#This Row], [PROFIT]])</f>
        <v>9598148.5749999993</v>
      </c>
    </row>
    <row r="930" spans="1:24" ht="19.5" customHeight="1" x14ac:dyDescent="0.45">
      <c r="A930" t="s">
        <v>13</v>
      </c>
      <c r="B930" s="14">
        <f>_xlfn.XLOOKUP(Table1[[#This Row], [TEAM]],Sheet1!$A$12:$A$17,Sheet1!$F$12:$F$17)</f>
        <v>3</v>
      </c>
      <c r="C930" s="14">
        <f>_xlfn.XLOOKUP(Table1[[#This Row], [TEAM]],Sheet1!$A$12:$A$17,Sheet1!$G$12:$G$17)</f>
        <v>5930000</v>
      </c>
      <c r="D930" t="s">
        <v>10</v>
      </c>
      <c r="E930" s="4">
        <f>_xlfn.XLOOKUP(Table1[[#This Row], [ROOM]],Sheet1!$A$47:$A$66,Sheet1!$B$47:$B$66)</f>
        <v>123</v>
      </c>
      <c r="F930" t="s">
        <v>58</v>
      </c>
      <c r="G930" s="4">
        <f>_xlfn.XLOOKUP(Table1[[#This Row], [DISGUISE]],Sheet1!$A$21:$A$23,Sheet1!$B$21:$B$23)*Table1[[#This Row], [NUM OF MEM]]*(1+_xlfn.XLOOKUP(Table1[[#This Row], [DISGUISE]],Sheet1!$A$21:$A$23,Sheet1!$C$21:$C$23))</f>
        <v>38400</v>
      </c>
      <c r="H930" s="13" t="s">
        <v>63</v>
      </c>
      <c r="I930" s="4">
        <f>_xlfn.XLOOKUP(Table1[[#This Row], [WEAPON]],Sheet1!$A$27:$A$29,Sheet1!$B$27:$B$29)*Table1[[#This Row], [NUM OF MEM]]*(1+_xlfn.XLOOKUP(Table1[[#This Row], [WEAPON]],Sheet1!$A$27:$A$29,Sheet1!$C$27:$C$29))</f>
        <v>69000</v>
      </c>
      <c r="J930" t="s">
        <v>64</v>
      </c>
      <c r="K930" s="9">
        <f>Table1[[#This Row], [NUM OF MEM]]*Table1[[#This Row], [TOTAL TIME TAKEN]]*_xlfn.XLOOKUP(Table1[[#This Row], [EXIT]],Sheet1!$A$70:$A$71,Sheet1!$B$70:$B$71)*(1+_xlfn.XLOOKUP(Table1[[#This Row], [EXIT]],Sheet1!$A$70:$A$71,Sheet1!$C$70:$C$71))</f>
        <v>1907236.7999999993</v>
      </c>
      <c r="L930" s="13" t="s">
        <v>65</v>
      </c>
      <c r="M930" s="4">
        <f>IF(Table1[[#This Row], [EQUIPMENT]]="YES",Sheet1!$C$44*(1+Sheet1!$D$44),0)</f>
        <v>307500</v>
      </c>
      <c r="N930" s="4">
        <f>_xlfn.XLOOKUP(Table1[[#This Row], [ROOM]],Sheet1!$A$47:$A$66,Sheet1!$F$47:$F$66)</f>
        <v>17850000</v>
      </c>
      <c r="O930" s="9">
        <f>_xlfn.XLOOKUP(_xlfn.CONCAT(Table1[[#This Row], [TEAM]],Table1[[#This Row], [ROOM]]),'ROOM TIME'!$H$2:$H$121,'ROOM TIME'!$J$2:$J$121)</f>
        <v>43.654444444444437</v>
      </c>
      <c r="P930" s="9">
        <f>(INDEX(Sheet1!$X$48:$Z$67,MATCH(Table1[[#This Row], [ROOM]],Sheet1!$P$48:$P$67,0),MATCH(Table1[[#This Row], [WEAPON]],Sheet1!$X$47:$Z$47,0)))/Table1[[#This Row], [NUM OF MEM]]</f>
        <v>5.4000000000000012</v>
      </c>
      <c r="Q930" s="9">
        <f>Table1[[#This Row], [ROOM TIME]]+Table1[[#This Row], [GUARD TIME]]</f>
        <v>49.054444444444435</v>
      </c>
      <c r="R930" s="4">
        <f>Sheet1!$K$3*_xlfn.XLOOKUP(Table1[[#This Row], [DISGUISE]],Sheet1!$A$21:$A$23,Sheet1!$D$21:$D$23)</f>
        <v>69</v>
      </c>
      <c r="S930" s="9">
        <f>Table1[[#This Row], [TOTAL TIME]]-Table1[[#This Row], [TOTAL TIME TAKEN]]</f>
        <v>19.945555555555565</v>
      </c>
      <c r="T930" t="str">
        <f>IF(Table1[[#This Row], [TIME DIFFERENCE]]&gt;=0,"PASS","FAIL")</f>
        <v>PASS</v>
      </c>
      <c r="U930" s="9">
        <f>Table1[[#This Row], [TRC]]+Table1[[#This Row], [DRC]]+Table1[[#This Row], [WRC]]+Table1[[#This Row], [ERC]]+Table1[[#This Row], [EQRC]]</f>
        <v>8252136.7999999989</v>
      </c>
      <c r="V930" s="9">
        <f>Table1[[#This Row], [TOTAL COST]]+_xlfn.XLOOKUP(Table1[[#This Row], [TEAM]],Sheet1!$A$12:$A$17,Sheet1!$I$12:$I$17)</f>
        <v>8548636.7999999989</v>
      </c>
      <c r="W930" s="9">
        <f>Table1[[#This Row], [LOOT]]-Table1[[#This Row], [TOTAL COST]]</f>
        <v>9597863.2000000011</v>
      </c>
      <c r="X930" s="9">
        <f>IF(Table1[[#This Row], [PASS/FAIL]]="FAIL",0,Table1[[#This Row], [PROFIT]])</f>
        <v>9597863.2000000011</v>
      </c>
    </row>
    <row r="931" spans="1:24" ht="19.5" customHeight="1" x14ac:dyDescent="0.45">
      <c r="A931" t="s">
        <v>14</v>
      </c>
      <c r="B931" s="14">
        <f>_xlfn.XLOOKUP(Table1[[#This Row], [TEAM]],Sheet1!$A$12:$A$17,Sheet1!$F$12:$F$17)</f>
        <v>2</v>
      </c>
      <c r="C931" s="14">
        <f>_xlfn.XLOOKUP(Table1[[#This Row], [TEAM]],Sheet1!$A$12:$A$17,Sheet1!$G$12:$G$17)</f>
        <v>5949600</v>
      </c>
      <c r="D931" t="s">
        <v>30</v>
      </c>
      <c r="E931" s="4">
        <f>_xlfn.XLOOKUP(Table1[[#This Row], [ROOM]],Sheet1!$A$47:$A$66,Sheet1!$B$47:$B$66)</f>
        <v>246</v>
      </c>
      <c r="F931" t="s">
        <v>62</v>
      </c>
      <c r="G931" s="4">
        <f>_xlfn.XLOOKUP(Table1[[#This Row], [DISGUISE]],Sheet1!$A$21:$A$23,Sheet1!$B$21:$B$23)*Table1[[#This Row], [NUM OF MEM]]*(1+_xlfn.XLOOKUP(Table1[[#This Row], [DISGUISE]],Sheet1!$A$21:$A$23,Sheet1!$C$21:$C$23))</f>
        <v>10400</v>
      </c>
      <c r="H931" s="13" t="s">
        <v>59</v>
      </c>
      <c r="I931" s="4">
        <f>_xlfn.XLOOKUP(Table1[[#This Row], [WEAPON]],Sheet1!$A$27:$A$29,Sheet1!$B$27:$B$29)*Table1[[#This Row], [NUM OF MEM]]*(1+_xlfn.XLOOKUP(Table1[[#This Row], [WEAPON]],Sheet1!$A$27:$A$29,Sheet1!$C$27:$C$29))</f>
        <v>91000</v>
      </c>
      <c r="J931" t="s">
        <v>64</v>
      </c>
      <c r="K931" s="9">
        <f>Table1[[#This Row], [NUM OF MEM]]*Table1[[#This Row], [TOTAL TIME TAKEN]]*_xlfn.XLOOKUP(Table1[[#This Row], [EXIT]],Sheet1!$A$70:$A$71,Sheet1!$B$70:$B$71)*(1+_xlfn.XLOOKUP(Table1[[#This Row], [EXIT]],Sheet1!$A$70:$A$71,Sheet1!$C$70:$C$71))</f>
        <v>1643651.9999999993</v>
      </c>
      <c r="L931" s="13" t="s">
        <v>65</v>
      </c>
      <c r="M931" s="4">
        <f>IF(Table1[[#This Row], [EQUIPMENT]]="YES",Sheet1!$C$44*(1+Sheet1!$D$44),0)</f>
        <v>307500</v>
      </c>
      <c r="N931" s="4">
        <f>_xlfn.XLOOKUP(Table1[[#This Row], [ROOM]],Sheet1!$A$47:$A$66,Sheet1!$F$47:$F$66)</f>
        <v>17600000</v>
      </c>
      <c r="O931" s="9">
        <f>_xlfn.XLOOKUP(_xlfn.CONCAT(Table1[[#This Row], [TEAM]],Table1[[#This Row], [ROOM]]),'ROOM TIME'!$H$2:$H$121,'ROOM TIME'!$J$2:$J$121)</f>
        <v>56.512499999999982</v>
      </c>
      <c r="P931" s="9">
        <f>(INDEX(Sheet1!$X$48:$Z$67,MATCH(Table1[[#This Row], [ROOM]],Sheet1!$P$48:$P$67,0),MATCH(Table1[[#This Row], [WEAPON]],Sheet1!$X$47:$Z$47,0)))/Table1[[#This Row], [NUM OF MEM]]</f>
        <v>6.8999999999999995</v>
      </c>
      <c r="Q931" s="9">
        <f>Table1[[#This Row], [ROOM TIME]]+Table1[[#This Row], [GUARD TIME]]</f>
        <v>63.41249999999998</v>
      </c>
      <c r="R931" s="4">
        <f>Sheet1!$K$3*_xlfn.XLOOKUP(Table1[[#This Row], [DISGUISE]],Sheet1!$A$21:$A$23,Sheet1!$D$21:$D$23)</f>
        <v>66</v>
      </c>
      <c r="S931" s="9">
        <f>Table1[[#This Row], [TOTAL TIME]]-Table1[[#This Row], [TOTAL TIME TAKEN]]</f>
        <v>2.5875000000000199</v>
      </c>
      <c r="T931" t="str">
        <f>IF(Table1[[#This Row], [TIME DIFFERENCE]]&gt;=0,"PASS","FAIL")</f>
        <v>PASS</v>
      </c>
      <c r="U931" s="9">
        <f>Table1[[#This Row], [TRC]]+Table1[[#This Row], [DRC]]+Table1[[#This Row], [WRC]]+Table1[[#This Row], [ERC]]+Table1[[#This Row], [EQRC]]</f>
        <v>8002151.9999999991</v>
      </c>
      <c r="V931" s="9">
        <f>Table1[[#This Row], [TOTAL COST]]+_xlfn.XLOOKUP(Table1[[#This Row], [TEAM]],Sheet1!$A$12:$A$17,Sheet1!$I$12:$I$17)</f>
        <v>8299631.9999999991</v>
      </c>
      <c r="W931" s="4">
        <f>Table1[[#This Row], [LOOT]]-Table1[[#This Row], [TOTAL COST]]</f>
        <v>9597848</v>
      </c>
      <c r="X931" s="4">
        <f>IF(Table1[[#This Row], [PASS/FAIL]]="FAIL",0,Table1[[#This Row], [PROFIT]])</f>
        <v>9597848</v>
      </c>
    </row>
    <row r="932" spans="1:24" ht="19.5" customHeight="1" x14ac:dyDescent="0.45">
      <c r="A932" t="s">
        <v>16</v>
      </c>
      <c r="B932" s="14">
        <f>_xlfn.XLOOKUP(Table1[[#This Row], [TEAM]],Sheet1!$A$12:$A$17,Sheet1!$F$12:$F$17)</f>
        <v>2</v>
      </c>
      <c r="C932" s="14">
        <f>_xlfn.XLOOKUP(Table1[[#This Row], [TEAM]],Sheet1!$A$12:$A$17,Sheet1!$G$12:$G$17)</f>
        <v>6082800</v>
      </c>
      <c r="D932" t="s">
        <v>34</v>
      </c>
      <c r="E932" s="4">
        <f>_xlfn.XLOOKUP(Table1[[#This Row], [ROOM]],Sheet1!$A$47:$A$66,Sheet1!$B$47:$B$66)</f>
        <v>456</v>
      </c>
      <c r="F932" t="s">
        <v>62</v>
      </c>
      <c r="G932" s="4">
        <f>_xlfn.XLOOKUP(Table1[[#This Row], [DISGUISE]],Sheet1!$A$21:$A$23,Sheet1!$B$21:$B$23)*Table1[[#This Row], [NUM OF MEM]]*(1+_xlfn.XLOOKUP(Table1[[#This Row], [DISGUISE]],Sheet1!$A$21:$A$23,Sheet1!$C$21:$C$23))</f>
        <v>10400</v>
      </c>
      <c r="H932" s="13" t="s">
        <v>59</v>
      </c>
      <c r="I932" s="4">
        <f>_xlfn.XLOOKUP(Table1[[#This Row], [WEAPON]],Sheet1!$A$27:$A$29,Sheet1!$B$27:$B$29)*Table1[[#This Row], [NUM OF MEM]]*(1+_xlfn.XLOOKUP(Table1[[#This Row], [WEAPON]],Sheet1!$A$27:$A$29,Sheet1!$C$27:$C$29))</f>
        <v>91000</v>
      </c>
      <c r="J932" t="s">
        <v>64</v>
      </c>
      <c r="K932" s="9">
        <f>Table1[[#This Row], [NUM OF MEM]]*Table1[[#This Row], [TOTAL TIME TAKEN]]*_xlfn.XLOOKUP(Table1[[#This Row], [EXIT]],Sheet1!$A$70:$A$71,Sheet1!$B$70:$B$71)*(1+_xlfn.XLOOKUP(Table1[[#This Row], [EXIT]],Sheet1!$A$70:$A$71,Sheet1!$C$70:$C$71))</f>
        <v>1610798.3999999994</v>
      </c>
      <c r="L932" s="13" t="s">
        <v>65</v>
      </c>
      <c r="M932" s="4">
        <f>IF(Table1[[#This Row], [EQUIPMENT]]="YES",Sheet1!$C$44*(1+Sheet1!$D$44),0)</f>
        <v>307500</v>
      </c>
      <c r="N932" s="4">
        <f>_xlfn.XLOOKUP(Table1[[#This Row], [ROOM]],Sheet1!$A$47:$A$66,Sheet1!$F$47:$F$66)</f>
        <v>17700000</v>
      </c>
      <c r="O932" s="9">
        <f>_xlfn.XLOOKUP(_xlfn.CONCAT(Table1[[#This Row], [TEAM]],Table1[[#This Row], [ROOM]]),'ROOM TIME'!$H$2:$H$121,'ROOM TIME'!$J$2:$J$121)</f>
        <v>55.819999999999986</v>
      </c>
      <c r="P932" s="9">
        <f>(INDEX(Sheet1!$X$48:$Z$67,MATCH(Table1[[#This Row], [ROOM]],Sheet1!$P$48:$P$67,0),MATCH(Table1[[#This Row], [WEAPON]],Sheet1!$X$47:$Z$47,0)))/Table1[[#This Row], [NUM OF MEM]]</f>
        <v>6.3249999999999993</v>
      </c>
      <c r="Q932" s="9">
        <f>Table1[[#This Row], [ROOM TIME]]+Table1[[#This Row], [GUARD TIME]]</f>
        <v>62.144999999999982</v>
      </c>
      <c r="R932" s="4">
        <f>Sheet1!$K$3*_xlfn.XLOOKUP(Table1[[#This Row], [DISGUISE]],Sheet1!$A$21:$A$23,Sheet1!$D$21:$D$23)</f>
        <v>66</v>
      </c>
      <c r="S932" s="9">
        <f>Table1[[#This Row], [TOTAL TIME]]-Table1[[#This Row], [TOTAL TIME TAKEN]]</f>
        <v>3.8550000000000182</v>
      </c>
      <c r="T932" t="str">
        <f>IF(Table1[[#This Row], [TIME DIFFERENCE]]&gt;=0,"PASS","FAIL")</f>
        <v>PASS</v>
      </c>
      <c r="U932" s="9">
        <f>Table1[[#This Row], [TRC]]+Table1[[#This Row], [DRC]]+Table1[[#This Row], [WRC]]+Table1[[#This Row], [ERC]]+Table1[[#This Row], [EQRC]]</f>
        <v>8102498.3999999994</v>
      </c>
      <c r="V932" s="9">
        <f>Table1[[#This Row], [TOTAL COST]]+_xlfn.XLOOKUP(Table1[[#This Row], [TEAM]],Sheet1!$A$12:$A$17,Sheet1!$I$12:$I$17)</f>
        <v>8406638.3999999985</v>
      </c>
      <c r="W932" s="9">
        <f>Table1[[#This Row], [LOOT]]-Table1[[#This Row], [TOTAL COST]]</f>
        <v>9597501.6000000015</v>
      </c>
      <c r="X932" s="9">
        <f>IF(Table1[[#This Row], [PASS/FAIL]]="FAIL",0,Table1[[#This Row], [PROFIT]])</f>
        <v>9597501.6000000015</v>
      </c>
    </row>
    <row r="933" spans="1:24" ht="19.5" customHeight="1" x14ac:dyDescent="0.45">
      <c r="A933" t="s">
        <v>15</v>
      </c>
      <c r="B933" s="14">
        <f>_xlfn.XLOOKUP(Table1[[#This Row], [TEAM]],Sheet1!$A$12:$A$17,Sheet1!$F$12:$F$17)</f>
        <v>2</v>
      </c>
      <c r="C933" s="14">
        <f>_xlfn.XLOOKUP(Table1[[#This Row], [TEAM]],Sheet1!$A$12:$A$17,Sheet1!$G$12:$G$17)</f>
        <v>5932950</v>
      </c>
      <c r="D933" t="s">
        <v>30</v>
      </c>
      <c r="E933" s="4">
        <f>_xlfn.XLOOKUP(Table1[[#This Row], [ROOM]],Sheet1!$A$47:$A$66,Sheet1!$B$47:$B$66)</f>
        <v>246</v>
      </c>
      <c r="F933" t="s">
        <v>58</v>
      </c>
      <c r="G933" s="4">
        <f>_xlfn.XLOOKUP(Table1[[#This Row], [DISGUISE]],Sheet1!$A$21:$A$23,Sheet1!$B$21:$B$23)*Table1[[#This Row], [NUM OF MEM]]*(1+_xlfn.XLOOKUP(Table1[[#This Row], [DISGUISE]],Sheet1!$A$21:$A$23,Sheet1!$C$21:$C$23))</f>
        <v>25600</v>
      </c>
      <c r="H933" s="13" t="s">
        <v>63</v>
      </c>
      <c r="I933" s="4">
        <f>_xlfn.XLOOKUP(Table1[[#This Row], [WEAPON]],Sheet1!$A$27:$A$29,Sheet1!$B$27:$B$29)*Table1[[#This Row], [NUM OF MEM]]*(1+_xlfn.XLOOKUP(Table1[[#This Row], [WEAPON]],Sheet1!$A$27:$A$29,Sheet1!$C$27:$C$29))</f>
        <v>46000</v>
      </c>
      <c r="J933" t="s">
        <v>64</v>
      </c>
      <c r="K933" s="9">
        <f>Table1[[#This Row], [NUM OF MEM]]*Table1[[#This Row], [TOTAL TIME TAKEN]]*_xlfn.XLOOKUP(Table1[[#This Row], [EXIT]],Sheet1!$A$70:$A$71,Sheet1!$B$70:$B$71)*(1+_xlfn.XLOOKUP(Table1[[#This Row], [EXIT]],Sheet1!$A$70:$A$71,Sheet1!$C$70:$C$71))</f>
        <v>1690599.5999999999</v>
      </c>
      <c r="L933" s="13" t="s">
        <v>65</v>
      </c>
      <c r="M933" s="4">
        <f>IF(Table1[[#This Row], [EQUIPMENT]]="YES",Sheet1!$C$44*(1+Sheet1!$D$44),0)</f>
        <v>307500</v>
      </c>
      <c r="N933" s="4">
        <f>_xlfn.XLOOKUP(Table1[[#This Row], [ROOM]],Sheet1!$A$47:$A$66,Sheet1!$F$47:$F$66)</f>
        <v>17600000</v>
      </c>
      <c r="O933" s="9">
        <f>_xlfn.XLOOKUP(_xlfn.CONCAT(Table1[[#This Row], [TEAM]],Table1[[#This Row], [ROOM]]),'ROOM TIME'!$H$2:$H$121,'ROOM TIME'!$J$2:$J$121)</f>
        <v>57.123749999999987</v>
      </c>
      <c r="P933" s="9">
        <f>(INDEX(Sheet1!$X$48:$Z$67,MATCH(Table1[[#This Row], [ROOM]],Sheet1!$P$48:$P$67,0),MATCH(Table1[[#This Row], [WEAPON]],Sheet1!$X$47:$Z$47,0)))/Table1[[#This Row], [NUM OF MEM]]</f>
        <v>8.1000000000000014</v>
      </c>
      <c r="Q933" s="9">
        <f>Table1[[#This Row], [ROOM TIME]]+Table1[[#This Row], [GUARD TIME]]</f>
        <v>65.223749999999995</v>
      </c>
      <c r="R933" s="4">
        <f>Sheet1!$K$3*_xlfn.XLOOKUP(Table1[[#This Row], [DISGUISE]],Sheet1!$A$21:$A$23,Sheet1!$D$21:$D$23)</f>
        <v>69</v>
      </c>
      <c r="S933" s="9">
        <f>Table1[[#This Row], [TOTAL TIME]]-Table1[[#This Row], [TOTAL TIME TAKEN]]</f>
        <v>3.7762500000000045</v>
      </c>
      <c r="T933" t="str">
        <f>IF(Table1[[#This Row], [TIME DIFFERENCE]]&gt;=0,"PASS","FAIL")</f>
        <v>PASS</v>
      </c>
      <c r="U933" s="9">
        <f>Table1[[#This Row], [TRC]]+Table1[[#This Row], [DRC]]+Table1[[#This Row], [WRC]]+Table1[[#This Row], [ERC]]+Table1[[#This Row], [EQRC]]</f>
        <v>8002649.5999999996</v>
      </c>
      <c r="V933" s="9">
        <f>Table1[[#This Row], [TOTAL COST]]+_xlfn.XLOOKUP(Table1[[#This Row], [TEAM]],Sheet1!$A$12:$A$17,Sheet1!$I$12:$I$17)</f>
        <v>8299297.0999999996</v>
      </c>
      <c r="W933" s="9">
        <f>Table1[[#This Row], [LOOT]]-Table1[[#This Row], [TOTAL COST]]</f>
        <v>9597350.4000000004</v>
      </c>
      <c r="X933" s="9">
        <f>IF(Table1[[#This Row], [PASS/FAIL]]="FAIL",0,Table1[[#This Row], [PROFIT]])</f>
        <v>9597350.4000000004</v>
      </c>
    </row>
    <row r="934" spans="1:24" ht="19.5" customHeight="1" x14ac:dyDescent="0.45">
      <c r="A934" t="s">
        <v>13</v>
      </c>
      <c r="B934" s="14">
        <f>_xlfn.XLOOKUP(Table1[[#This Row], [TEAM]],Sheet1!$A$12:$A$17,Sheet1!$F$12:$F$17)</f>
        <v>3</v>
      </c>
      <c r="C934" s="14">
        <f>_xlfn.XLOOKUP(Table1[[#This Row], [TEAM]],Sheet1!$A$12:$A$17,Sheet1!$G$12:$G$17)</f>
        <v>5930000</v>
      </c>
      <c r="D934" t="s">
        <v>10</v>
      </c>
      <c r="E934" s="4">
        <f>_xlfn.XLOOKUP(Table1[[#This Row], [ROOM]],Sheet1!$A$47:$A$66,Sheet1!$B$47:$B$66)</f>
        <v>123</v>
      </c>
      <c r="F934" t="s">
        <v>62</v>
      </c>
      <c r="G934" s="4">
        <f>_xlfn.XLOOKUP(Table1[[#This Row], [DISGUISE]],Sheet1!$A$21:$A$23,Sheet1!$B$21:$B$23)*Table1[[#This Row], [NUM OF MEM]]*(1+_xlfn.XLOOKUP(Table1[[#This Row], [DISGUISE]],Sheet1!$A$21:$A$23,Sheet1!$C$21:$C$23))</f>
        <v>15600</v>
      </c>
      <c r="H934" s="13" t="s">
        <v>66</v>
      </c>
      <c r="I934" s="4">
        <f>_xlfn.XLOOKUP(Table1[[#This Row], [WEAPON]],Sheet1!$A$27:$A$29,Sheet1!$B$27:$B$29)*Table1[[#This Row], [NUM OF MEM]]*(1+_xlfn.XLOOKUP(Table1[[#This Row], [WEAPON]],Sheet1!$A$27:$A$29,Sheet1!$C$27:$C$29))</f>
        <v>108000</v>
      </c>
      <c r="J934" t="s">
        <v>64</v>
      </c>
      <c r="K934" s="9">
        <f>Table1[[#This Row], [NUM OF MEM]]*Table1[[#This Row], [TOTAL TIME TAKEN]]*_xlfn.XLOOKUP(Table1[[#This Row], [EXIT]],Sheet1!$A$70:$A$71,Sheet1!$B$70:$B$71)*(1+_xlfn.XLOOKUP(Table1[[#This Row], [EXIT]],Sheet1!$A$70:$A$71,Sheet1!$C$70:$C$71))</f>
        <v>1891684.7999999996</v>
      </c>
      <c r="L934" s="13" t="s">
        <v>65</v>
      </c>
      <c r="M934" s="4">
        <f>IF(Table1[[#This Row], [EQUIPMENT]]="YES",Sheet1!$C$44*(1+Sheet1!$D$44),0)</f>
        <v>307500</v>
      </c>
      <c r="N934" s="4">
        <f>_xlfn.XLOOKUP(Table1[[#This Row], [ROOM]],Sheet1!$A$47:$A$66,Sheet1!$F$47:$F$66)</f>
        <v>17850000</v>
      </c>
      <c r="O934" s="9">
        <f>_xlfn.XLOOKUP(_xlfn.CONCAT(Table1[[#This Row], [TEAM]],Table1[[#This Row], [ROOM]]),'ROOM TIME'!$H$2:$H$121,'ROOM TIME'!$J$2:$J$121)</f>
        <v>43.654444444444437</v>
      </c>
      <c r="P934" s="4">
        <f>(INDEX(Sheet1!$X$48:$Z$67,MATCH(Table1[[#This Row], [ROOM]],Sheet1!$P$48:$P$67,0),MATCH(Table1[[#This Row], [WEAPON]],Sheet1!$X$47:$Z$47,0)))/Table1[[#This Row], [NUM OF MEM]]</f>
        <v>5</v>
      </c>
      <c r="Q934" s="9">
        <f>Table1[[#This Row], [ROOM TIME]]+Table1[[#This Row], [GUARD TIME]]</f>
        <v>48.654444444444437</v>
      </c>
      <c r="R934" s="4">
        <f>Sheet1!$K$3*_xlfn.XLOOKUP(Table1[[#This Row], [DISGUISE]],Sheet1!$A$21:$A$23,Sheet1!$D$21:$D$23)</f>
        <v>66</v>
      </c>
      <c r="S934" s="9">
        <f>Table1[[#This Row], [TOTAL TIME]]-Table1[[#This Row], [TOTAL TIME TAKEN]]</f>
        <v>17.345555555555563</v>
      </c>
      <c r="T934" t="str">
        <f>IF(Table1[[#This Row], [TIME DIFFERENCE]]&gt;=0,"PASS","FAIL")</f>
        <v>PASS</v>
      </c>
      <c r="U934" s="9">
        <f>Table1[[#This Row], [TRC]]+Table1[[#This Row], [DRC]]+Table1[[#This Row], [WRC]]+Table1[[#This Row], [ERC]]+Table1[[#This Row], [EQRC]]</f>
        <v>8252784.7999999998</v>
      </c>
      <c r="V934" s="9">
        <f>Table1[[#This Row], [TOTAL COST]]+_xlfn.XLOOKUP(Table1[[#This Row], [TEAM]],Sheet1!$A$12:$A$17,Sheet1!$I$12:$I$17)</f>
        <v>8549284.8000000007</v>
      </c>
      <c r="W934" s="9">
        <f>Table1[[#This Row], [LOOT]]-Table1[[#This Row], [TOTAL COST]]</f>
        <v>9597215.1999999993</v>
      </c>
      <c r="X934" s="9">
        <f>IF(Table1[[#This Row], [PASS/FAIL]]="FAIL",0,Table1[[#This Row], [PROFIT]])</f>
        <v>9597215.1999999993</v>
      </c>
    </row>
    <row r="935" spans="1:24" ht="19.5" customHeight="1" x14ac:dyDescent="0.45">
      <c r="A935" t="s">
        <v>14</v>
      </c>
      <c r="B935" s="14">
        <f>_xlfn.XLOOKUP(Table1[[#This Row], [TEAM]],Sheet1!$A$12:$A$17,Sheet1!$F$12:$F$17)</f>
        <v>2</v>
      </c>
      <c r="C935" s="14">
        <f>_xlfn.XLOOKUP(Table1[[#This Row], [TEAM]],Sheet1!$A$12:$A$17,Sheet1!$G$12:$G$17)</f>
        <v>5949600</v>
      </c>
      <c r="D935" t="s">
        <v>30</v>
      </c>
      <c r="E935" s="4">
        <f>_xlfn.XLOOKUP(Table1[[#This Row], [ROOM]],Sheet1!$A$47:$A$66,Sheet1!$B$47:$B$66)</f>
        <v>246</v>
      </c>
      <c r="F935" t="s">
        <v>58</v>
      </c>
      <c r="G935" s="4">
        <f>_xlfn.XLOOKUP(Table1[[#This Row], [DISGUISE]],Sheet1!$A$21:$A$23,Sheet1!$B$21:$B$23)*Table1[[#This Row], [NUM OF MEM]]*(1+_xlfn.XLOOKUP(Table1[[#This Row], [DISGUISE]],Sheet1!$A$21:$A$23,Sheet1!$C$21:$C$23))</f>
        <v>25600</v>
      </c>
      <c r="H935" s="13" t="s">
        <v>63</v>
      </c>
      <c r="I935" s="4">
        <f>_xlfn.XLOOKUP(Table1[[#This Row], [WEAPON]],Sheet1!$A$27:$A$29,Sheet1!$B$27:$B$29)*Table1[[#This Row], [NUM OF MEM]]*(1+_xlfn.XLOOKUP(Table1[[#This Row], [WEAPON]],Sheet1!$A$27:$A$29,Sheet1!$C$27:$C$29))</f>
        <v>46000</v>
      </c>
      <c r="J935" t="s">
        <v>64</v>
      </c>
      <c r="K935" s="9">
        <f>Table1[[#This Row], [NUM OF MEM]]*Table1[[#This Row], [TOTAL TIME TAKEN]]*_xlfn.XLOOKUP(Table1[[#This Row], [EXIT]],Sheet1!$A$70:$A$71,Sheet1!$B$70:$B$71)*(1+_xlfn.XLOOKUP(Table1[[#This Row], [EXIT]],Sheet1!$A$70:$A$71,Sheet1!$C$70:$C$71))</f>
        <v>1674755.9999999993</v>
      </c>
      <c r="L935" s="13" t="s">
        <v>65</v>
      </c>
      <c r="M935" s="4">
        <f>IF(Table1[[#This Row], [EQUIPMENT]]="YES",Sheet1!$C$44*(1+Sheet1!$D$44),0)</f>
        <v>307500</v>
      </c>
      <c r="N935" s="4">
        <f>_xlfn.XLOOKUP(Table1[[#This Row], [ROOM]],Sheet1!$A$47:$A$66,Sheet1!$F$47:$F$66)</f>
        <v>17600000</v>
      </c>
      <c r="O935" s="9">
        <f>_xlfn.XLOOKUP(_xlfn.CONCAT(Table1[[#This Row], [TEAM]],Table1[[#This Row], [ROOM]]),'ROOM TIME'!$H$2:$H$121,'ROOM TIME'!$J$2:$J$121)</f>
        <v>56.512499999999982</v>
      </c>
      <c r="P935" s="9">
        <f>(INDEX(Sheet1!$X$48:$Z$67,MATCH(Table1[[#This Row], [ROOM]],Sheet1!$P$48:$P$67,0),MATCH(Table1[[#This Row], [WEAPON]],Sheet1!$X$47:$Z$47,0)))/Table1[[#This Row], [NUM OF MEM]]</f>
        <v>8.1000000000000014</v>
      </c>
      <c r="Q935" s="9">
        <f>Table1[[#This Row], [ROOM TIME]]+Table1[[#This Row], [GUARD TIME]]</f>
        <v>64.612499999999983</v>
      </c>
      <c r="R935" s="4">
        <f>Sheet1!$K$3*_xlfn.XLOOKUP(Table1[[#This Row], [DISGUISE]],Sheet1!$A$21:$A$23,Sheet1!$D$21:$D$23)</f>
        <v>69</v>
      </c>
      <c r="S935" s="9">
        <f>Table1[[#This Row], [TOTAL TIME]]-Table1[[#This Row], [TOTAL TIME TAKEN]]</f>
        <v>4.3875000000000171</v>
      </c>
      <c r="T935" t="str">
        <f>IF(Table1[[#This Row], [TIME DIFFERENCE]]&gt;=0,"PASS","FAIL")</f>
        <v>PASS</v>
      </c>
      <c r="U935" s="9">
        <f>Table1[[#This Row], [TRC]]+Table1[[#This Row], [DRC]]+Table1[[#This Row], [WRC]]+Table1[[#This Row], [ERC]]+Table1[[#This Row], [EQRC]]</f>
        <v>8003455.9999999991</v>
      </c>
      <c r="V935" s="9">
        <f>Table1[[#This Row], [TOTAL COST]]+_xlfn.XLOOKUP(Table1[[#This Row], [TEAM]],Sheet1!$A$12:$A$17,Sheet1!$I$12:$I$17)</f>
        <v>8300935.9999999991</v>
      </c>
      <c r="W935" s="4">
        <f>Table1[[#This Row], [LOOT]]-Table1[[#This Row], [TOTAL COST]]</f>
        <v>9596544</v>
      </c>
      <c r="X935" s="4">
        <f>IF(Table1[[#This Row], [PASS/FAIL]]="FAIL",0,Table1[[#This Row], [PROFIT]])</f>
        <v>9596544</v>
      </c>
    </row>
    <row r="936" spans="1:24" ht="19.5" customHeight="1" x14ac:dyDescent="0.45">
      <c r="A936" t="s">
        <v>12</v>
      </c>
      <c r="B936" s="14">
        <f>_xlfn.XLOOKUP(Table1[[#This Row], [TEAM]],Sheet1!$A$12:$A$17,Sheet1!$F$12:$F$17)</f>
        <v>3</v>
      </c>
      <c r="C936" s="14">
        <f>_xlfn.XLOOKUP(Table1[[#This Row], [TEAM]],Sheet1!$A$12:$A$17,Sheet1!$G$12:$G$17)</f>
        <v>5988750</v>
      </c>
      <c r="D936" t="s">
        <v>22</v>
      </c>
      <c r="E936" s="4">
        <f>_xlfn.XLOOKUP(Table1[[#This Row], [ROOM]],Sheet1!$A$47:$A$66,Sheet1!$B$47:$B$66)</f>
        <v>235</v>
      </c>
      <c r="F936" t="s">
        <v>62</v>
      </c>
      <c r="G936" s="4">
        <f>_xlfn.XLOOKUP(Table1[[#This Row], [DISGUISE]],Sheet1!$A$21:$A$23,Sheet1!$B$21:$B$23)*Table1[[#This Row], [NUM OF MEM]]*(1+_xlfn.XLOOKUP(Table1[[#This Row], [DISGUISE]],Sheet1!$A$21:$A$23,Sheet1!$C$21:$C$23))</f>
        <v>15600</v>
      </c>
      <c r="H936" s="13" t="s">
        <v>63</v>
      </c>
      <c r="I936" s="4">
        <f>_xlfn.XLOOKUP(Table1[[#This Row], [WEAPON]],Sheet1!$A$27:$A$29,Sheet1!$B$27:$B$29)*Table1[[#This Row], [NUM OF MEM]]*(1+_xlfn.XLOOKUP(Table1[[#This Row], [WEAPON]],Sheet1!$A$27:$A$29,Sheet1!$C$27:$C$29))</f>
        <v>69000</v>
      </c>
      <c r="J936" t="s">
        <v>64</v>
      </c>
      <c r="K936" s="9">
        <f>Table1[[#This Row], [NUM OF MEM]]*Table1[[#This Row], [TOTAL TIME TAKEN]]*_xlfn.XLOOKUP(Table1[[#This Row], [EXIT]],Sheet1!$A$70:$A$71,Sheet1!$B$70:$B$71)*(1+_xlfn.XLOOKUP(Table1[[#This Row], [EXIT]],Sheet1!$A$70:$A$71,Sheet1!$C$70:$C$71))</f>
        <v>1822694.3999999992</v>
      </c>
      <c r="L936" s="13" t="s">
        <v>65</v>
      </c>
      <c r="M936" s="4">
        <f>IF(Table1[[#This Row], [EQUIPMENT]]="YES",Sheet1!$C$44*(1+Sheet1!$D$44),0)</f>
        <v>307500</v>
      </c>
      <c r="N936" s="4">
        <f>_xlfn.XLOOKUP(Table1[[#This Row], [ROOM]],Sheet1!$A$47:$A$66,Sheet1!$F$47:$F$66)</f>
        <v>17800000</v>
      </c>
      <c r="O936" s="9">
        <f>_xlfn.XLOOKUP(_xlfn.CONCAT(Table1[[#This Row], [TEAM]],Table1[[#This Row], [ROOM]]),'ROOM TIME'!$H$2:$H$121,'ROOM TIME'!$J$2:$J$121)</f>
        <v>41.479999999999983</v>
      </c>
      <c r="P936" s="9">
        <f>(INDEX(Sheet1!$X$48:$Z$67,MATCH(Table1[[#This Row], [ROOM]],Sheet1!$P$48:$P$67,0),MATCH(Table1[[#This Row], [WEAPON]],Sheet1!$X$47:$Z$47,0)))/Table1[[#This Row], [NUM OF MEM]]</f>
        <v>5.4000000000000012</v>
      </c>
      <c r="Q936" s="9">
        <f>Table1[[#This Row], [ROOM TIME]]+Table1[[#This Row], [GUARD TIME]]</f>
        <v>46.879999999999981</v>
      </c>
      <c r="R936" s="4">
        <f>Sheet1!$K$3*_xlfn.XLOOKUP(Table1[[#This Row], [DISGUISE]],Sheet1!$A$21:$A$23,Sheet1!$D$21:$D$23)</f>
        <v>66</v>
      </c>
      <c r="S936" s="9">
        <f>Table1[[#This Row], [TOTAL TIME]]-Table1[[#This Row], [TOTAL TIME TAKEN]]</f>
        <v>19.120000000000019</v>
      </c>
      <c r="T936" t="str">
        <f>IF(Table1[[#This Row], [TIME DIFFERENCE]]&gt;=0,"PASS","FAIL")</f>
        <v>PASS</v>
      </c>
      <c r="U936" s="9">
        <f>Table1[[#This Row], [TRC]]+Table1[[#This Row], [DRC]]+Table1[[#This Row], [WRC]]+Table1[[#This Row], [ERC]]+Table1[[#This Row], [EQRC]]</f>
        <v>8203544.3999999994</v>
      </c>
      <c r="V936" s="9">
        <f>Table1[[#This Row], [TOTAL COST]]+_xlfn.XLOOKUP(Table1[[#This Row], [TEAM]],Sheet1!$A$12:$A$17,Sheet1!$I$12:$I$17)</f>
        <v>8502981.8999999985</v>
      </c>
      <c r="W936" s="9">
        <f>Table1[[#This Row], [LOOT]]-Table1[[#This Row], [TOTAL COST]]</f>
        <v>9596455.6000000015</v>
      </c>
      <c r="X936" s="9">
        <f>IF(Table1[[#This Row], [PASS/FAIL]]="FAIL",0,Table1[[#This Row], [PROFIT]])</f>
        <v>9596455.6000000015</v>
      </c>
    </row>
    <row r="937" spans="1:24" ht="19.5" customHeight="1" x14ac:dyDescent="0.45">
      <c r="A937" t="s">
        <v>9</v>
      </c>
      <c r="B937" s="14">
        <f>_xlfn.XLOOKUP(Table1[[#This Row], [TEAM]],Sheet1!$A$12:$A$17,Sheet1!$F$12:$F$17)</f>
        <v>3</v>
      </c>
      <c r="C937" s="14">
        <f>_xlfn.XLOOKUP(Table1[[#This Row], [TEAM]],Sheet1!$A$12:$A$17,Sheet1!$G$12:$G$17)</f>
        <v>6238750</v>
      </c>
      <c r="D937" t="s">
        <v>24</v>
      </c>
      <c r="E937" s="4">
        <f>_xlfn.XLOOKUP(Table1[[#This Row], [ROOM]],Sheet1!$A$47:$A$66,Sheet1!$B$47:$B$66)</f>
        <v>345</v>
      </c>
      <c r="F937" t="s">
        <v>58</v>
      </c>
      <c r="G937" s="4">
        <f>_xlfn.XLOOKUP(Table1[[#This Row], [DISGUISE]],Sheet1!$A$21:$A$23,Sheet1!$B$21:$B$23)*Table1[[#This Row], [NUM OF MEM]]*(1+_xlfn.XLOOKUP(Table1[[#This Row], [DISGUISE]],Sheet1!$A$21:$A$23,Sheet1!$C$21:$C$23))</f>
        <v>38400</v>
      </c>
      <c r="H937" s="13" t="s">
        <v>59</v>
      </c>
      <c r="I937" s="4">
        <f>_xlfn.XLOOKUP(Table1[[#This Row], [WEAPON]],Sheet1!$A$27:$A$29,Sheet1!$B$27:$B$29)*Table1[[#This Row], [NUM OF MEM]]*(1+_xlfn.XLOOKUP(Table1[[#This Row], [WEAPON]],Sheet1!$A$27:$A$29,Sheet1!$C$27:$C$29))</f>
        <v>136500</v>
      </c>
      <c r="J937" t="s">
        <v>64</v>
      </c>
      <c r="K937" s="9">
        <f>Table1[[#This Row], [NUM OF MEM]]*Table1[[#This Row], [TOTAL TIME TAKEN]]*_xlfn.XLOOKUP(Table1[[#This Row], [EXIT]],Sheet1!$A$70:$A$71,Sheet1!$B$70:$B$71)*(1+_xlfn.XLOOKUP(Table1[[#This Row], [EXIT]],Sheet1!$A$70:$A$71,Sheet1!$C$70:$C$71))</f>
        <v>1683979.2</v>
      </c>
      <c r="L937" s="13" t="s">
        <v>65</v>
      </c>
      <c r="M937" s="4">
        <f>IF(Table1[[#This Row], [EQUIPMENT]]="YES",Sheet1!$C$44*(1+Sheet1!$D$44),0)</f>
        <v>307500</v>
      </c>
      <c r="N937" s="4">
        <f>_xlfn.XLOOKUP(Table1[[#This Row], [ROOM]],Sheet1!$A$47:$A$66,Sheet1!$F$47:$F$66)</f>
        <v>18000000</v>
      </c>
      <c r="O937" s="9">
        <f>_xlfn.XLOOKUP(_xlfn.CONCAT(Table1[[#This Row], [TEAM]],Table1[[#This Row], [ROOM]]),'ROOM TIME'!$H$2:$H$121,'ROOM TIME'!$J$2:$J$121)</f>
        <v>38.712222222222216</v>
      </c>
      <c r="P937" s="9">
        <f>(INDEX(Sheet1!$X$48:$Z$67,MATCH(Table1[[#This Row], [ROOM]],Sheet1!$P$48:$P$67,0),MATCH(Table1[[#This Row], [WEAPON]],Sheet1!$X$47:$Z$47,0)))/Table1[[#This Row], [NUM OF MEM]]</f>
        <v>4.5999999999999996</v>
      </c>
      <c r="Q937" s="9">
        <f>Table1[[#This Row], [ROOM TIME]]+Table1[[#This Row], [GUARD TIME]]</f>
        <v>43.312222222222218</v>
      </c>
      <c r="R937" s="4">
        <f>Sheet1!$K$3*_xlfn.XLOOKUP(Table1[[#This Row], [DISGUISE]],Sheet1!$A$21:$A$23,Sheet1!$D$21:$D$23)</f>
        <v>69</v>
      </c>
      <c r="S937" s="9">
        <f>Table1[[#This Row], [TOTAL TIME]]-Table1[[#This Row], [TOTAL TIME TAKEN]]</f>
        <v>25.687777777777782</v>
      </c>
      <c r="T937" t="str">
        <f>IF(Table1[[#This Row], [TIME DIFFERENCE]]&gt;=0,"PASS","FAIL")</f>
        <v>PASS</v>
      </c>
      <c r="U937" s="9">
        <f>Table1[[#This Row], [TRC]]+Table1[[#This Row], [DRC]]+Table1[[#This Row], [WRC]]+Table1[[#This Row], [ERC]]+Table1[[#This Row], [EQRC]]</f>
        <v>8405129.1999999993</v>
      </c>
      <c r="V937" s="9">
        <f>Table1[[#This Row], [TOTAL COST]]+_xlfn.XLOOKUP(Table1[[#This Row], [TEAM]],Sheet1!$A$12:$A$17,Sheet1!$I$12:$I$17)</f>
        <v>8717066.6999999993</v>
      </c>
      <c r="W937" s="9">
        <f>Table1[[#This Row], [LOOT]]-Table1[[#This Row], [TOTAL COST]]</f>
        <v>9594870.8000000007</v>
      </c>
      <c r="X937" s="9">
        <f>IF(Table1[[#This Row], [PASS/FAIL]]="FAIL",0,Table1[[#This Row], [PROFIT]])</f>
        <v>9594870.8000000007</v>
      </c>
    </row>
    <row r="938" spans="1:24" ht="19.5" customHeight="1" x14ac:dyDescent="0.45">
      <c r="A938" t="s">
        <v>15</v>
      </c>
      <c r="B938" s="14">
        <f>_xlfn.XLOOKUP(Table1[[#This Row], [TEAM]],Sheet1!$A$12:$A$17,Sheet1!$F$12:$F$17)</f>
        <v>2</v>
      </c>
      <c r="C938" s="14">
        <f>_xlfn.XLOOKUP(Table1[[#This Row], [TEAM]],Sheet1!$A$12:$A$17,Sheet1!$G$12:$G$17)</f>
        <v>5932950</v>
      </c>
      <c r="D938" t="s">
        <v>17</v>
      </c>
      <c r="E938" s="4">
        <f>_xlfn.XLOOKUP(Table1[[#This Row], [ROOM]],Sheet1!$A$47:$A$66,Sheet1!$B$47:$B$66)</f>
        <v>125</v>
      </c>
      <c r="F938" t="s">
        <v>58</v>
      </c>
      <c r="G938" s="4">
        <f>_xlfn.XLOOKUP(Table1[[#This Row], [DISGUISE]],Sheet1!$A$21:$A$23,Sheet1!$B$21:$B$23)*Table1[[#This Row], [NUM OF MEM]]*(1+_xlfn.XLOOKUP(Table1[[#This Row], [DISGUISE]],Sheet1!$A$21:$A$23,Sheet1!$C$21:$C$23))</f>
        <v>25600</v>
      </c>
      <c r="H938" s="13" t="s">
        <v>66</v>
      </c>
      <c r="I938" s="4">
        <f>_xlfn.XLOOKUP(Table1[[#This Row], [WEAPON]],Sheet1!$A$27:$A$29,Sheet1!$B$27:$B$29)*Table1[[#This Row], [NUM OF MEM]]*(1+_xlfn.XLOOKUP(Table1[[#This Row], [WEAPON]],Sheet1!$A$27:$A$29,Sheet1!$C$27:$C$29))</f>
        <v>72000</v>
      </c>
      <c r="J938" t="s">
        <v>64</v>
      </c>
      <c r="K938" s="9">
        <f>Table1[[#This Row], [NUM OF MEM]]*Table1[[#This Row], [TOTAL TIME TAKEN]]*_xlfn.XLOOKUP(Table1[[#This Row], [EXIT]],Sheet1!$A$70:$A$71,Sheet1!$B$70:$B$71)*(1+_xlfn.XLOOKUP(Table1[[#This Row], [EXIT]],Sheet1!$A$70:$A$71,Sheet1!$C$70:$C$71))</f>
        <v>1726336.7999999996</v>
      </c>
      <c r="L938" s="13" t="s">
        <v>61</v>
      </c>
      <c r="M938" s="4">
        <f>IF(Table1[[#This Row], [EQUIPMENT]]="YES",Sheet1!$C$44*(1+Sheet1!$D$44),0)</f>
        <v>0</v>
      </c>
      <c r="N938" s="4">
        <f>_xlfn.XLOOKUP(Table1[[#This Row], [ROOM]],Sheet1!$A$47:$A$66,Sheet1!$F$47:$F$66)</f>
        <v>17350000</v>
      </c>
      <c r="O938" s="9">
        <f>_xlfn.XLOOKUP(_xlfn.CONCAT(Table1[[#This Row], [TEAM]],Table1[[#This Row], [ROOM]]),'ROOM TIME'!$H$2:$H$121,'ROOM TIME'!$J$2:$J$121)</f>
        <v>60.352499999999985</v>
      </c>
      <c r="P938" s="9">
        <f>(INDEX(Sheet1!$X$48:$Z$67,MATCH(Table1[[#This Row], [ROOM]],Sheet1!$P$48:$P$67,0),MATCH(Table1[[#This Row], [WEAPON]],Sheet1!$X$47:$Z$47,0)))/Table1[[#This Row], [NUM OF MEM]]</f>
        <v>6.25</v>
      </c>
      <c r="Q938" s="9">
        <f>Table1[[#This Row], [ROOM TIME]]+Table1[[#This Row], [GUARD TIME]]</f>
        <v>66.602499999999992</v>
      </c>
      <c r="R938" s="4">
        <f>Sheet1!$K$3*_xlfn.XLOOKUP(Table1[[#This Row], [DISGUISE]],Sheet1!$A$21:$A$23,Sheet1!$D$21:$D$23)</f>
        <v>69</v>
      </c>
      <c r="S938" s="9">
        <f>Table1[[#This Row], [TOTAL TIME]]-Table1[[#This Row], [TOTAL TIME TAKEN]]</f>
        <v>2.397500000000008</v>
      </c>
      <c r="T938" t="str">
        <f>IF(Table1[[#This Row], [TIME DIFFERENCE]]&gt;=0,"PASS","FAIL")</f>
        <v>PASS</v>
      </c>
      <c r="U938" s="9">
        <f>Table1[[#This Row], [TRC]]+Table1[[#This Row], [DRC]]+Table1[[#This Row], [WRC]]+Table1[[#This Row], [ERC]]+Table1[[#This Row], [EQRC]]</f>
        <v>7756886.7999999998</v>
      </c>
      <c r="V938" s="9">
        <f>Table1[[#This Row], [TOTAL COST]]+_xlfn.XLOOKUP(Table1[[#This Row], [TEAM]],Sheet1!$A$12:$A$17,Sheet1!$I$12:$I$17)</f>
        <v>8053534.2999999998</v>
      </c>
      <c r="W938" s="9">
        <f>Table1[[#This Row], [LOOT]]-Table1[[#This Row], [TOTAL COST]]</f>
        <v>9593113.1999999993</v>
      </c>
      <c r="X938" s="9">
        <f>IF(Table1[[#This Row], [PASS/FAIL]]="FAIL",0,Table1[[#This Row], [PROFIT]])</f>
        <v>9593113.1999999993</v>
      </c>
    </row>
    <row r="939" spans="1:24" ht="19.5" customHeight="1" x14ac:dyDescent="0.45">
      <c r="A939" t="s">
        <v>13</v>
      </c>
      <c r="B939" s="14">
        <f>_xlfn.XLOOKUP(Table1[[#This Row], [TEAM]],Sheet1!$A$12:$A$17,Sheet1!$F$12:$F$17)</f>
        <v>3</v>
      </c>
      <c r="C939" s="14">
        <f>_xlfn.XLOOKUP(Table1[[#This Row], [TEAM]],Sheet1!$A$12:$A$17,Sheet1!$G$12:$G$17)</f>
        <v>5930000</v>
      </c>
      <c r="D939" t="s">
        <v>10</v>
      </c>
      <c r="E939" s="4">
        <f>_xlfn.XLOOKUP(Table1[[#This Row], [ROOM]],Sheet1!$A$47:$A$66,Sheet1!$B$47:$B$66)</f>
        <v>123</v>
      </c>
      <c r="F939" t="s">
        <v>58</v>
      </c>
      <c r="G939" s="4">
        <f>_xlfn.XLOOKUP(Table1[[#This Row], [DISGUISE]],Sheet1!$A$21:$A$23,Sheet1!$B$21:$B$23)*Table1[[#This Row], [NUM OF MEM]]*(1+_xlfn.XLOOKUP(Table1[[#This Row], [DISGUISE]],Sheet1!$A$21:$A$23,Sheet1!$C$21:$C$23))</f>
        <v>38400</v>
      </c>
      <c r="H939" s="13" t="s">
        <v>66</v>
      </c>
      <c r="I939" s="4">
        <f>_xlfn.XLOOKUP(Table1[[#This Row], [WEAPON]],Sheet1!$A$27:$A$29,Sheet1!$B$27:$B$29)*Table1[[#This Row], [NUM OF MEM]]*(1+_xlfn.XLOOKUP(Table1[[#This Row], [WEAPON]],Sheet1!$A$27:$A$29,Sheet1!$C$27:$C$29))</f>
        <v>108000</v>
      </c>
      <c r="J939" t="s">
        <v>60</v>
      </c>
      <c r="K939" s="9">
        <f>Table1[[#This Row], [NUM OF MEM]]*Table1[[#This Row], [TOTAL TIME TAKEN]]*_xlfn.XLOOKUP(Table1[[#This Row], [EXIT]],Sheet1!$A$70:$A$71,Sheet1!$B$70:$B$71)*(1+_xlfn.XLOOKUP(Table1[[#This Row], [EXIT]],Sheet1!$A$70:$A$71,Sheet1!$C$70:$C$71))</f>
        <v>1873074.4749999996</v>
      </c>
      <c r="L939" s="13" t="s">
        <v>65</v>
      </c>
      <c r="M939" s="4">
        <f>IF(Table1[[#This Row], [EQUIPMENT]]="YES",Sheet1!$C$44*(1+Sheet1!$D$44),0)</f>
        <v>307500</v>
      </c>
      <c r="N939" s="4">
        <f>_xlfn.XLOOKUP(Table1[[#This Row], [ROOM]],Sheet1!$A$47:$A$66,Sheet1!$F$47:$F$66)</f>
        <v>17850000</v>
      </c>
      <c r="O939" s="9">
        <f>_xlfn.XLOOKUP(_xlfn.CONCAT(Table1[[#This Row], [TEAM]],Table1[[#This Row], [ROOM]]),'ROOM TIME'!$H$2:$H$121,'ROOM TIME'!$J$2:$J$121)</f>
        <v>43.654444444444437</v>
      </c>
      <c r="P939" s="4">
        <f>(INDEX(Sheet1!$X$48:$Z$67,MATCH(Table1[[#This Row], [ROOM]],Sheet1!$P$48:$P$67,0),MATCH(Table1[[#This Row], [WEAPON]],Sheet1!$X$47:$Z$47,0)))/Table1[[#This Row], [NUM OF MEM]]</f>
        <v>5</v>
      </c>
      <c r="Q939" s="9">
        <f>Table1[[#This Row], [ROOM TIME]]+Table1[[#This Row], [GUARD TIME]]</f>
        <v>48.654444444444437</v>
      </c>
      <c r="R939" s="4">
        <f>Sheet1!$K$3*_xlfn.XLOOKUP(Table1[[#This Row], [DISGUISE]],Sheet1!$A$21:$A$23,Sheet1!$D$21:$D$23)</f>
        <v>69</v>
      </c>
      <c r="S939" s="9">
        <f>Table1[[#This Row], [TOTAL TIME]]-Table1[[#This Row], [TOTAL TIME TAKEN]]</f>
        <v>20.345555555555563</v>
      </c>
      <c r="T939" t="str">
        <f>IF(Table1[[#This Row], [TIME DIFFERENCE]]&gt;=0,"PASS","FAIL")</f>
        <v>PASS</v>
      </c>
      <c r="U939" s="9">
        <f>Table1[[#This Row], [TRC]]+Table1[[#This Row], [DRC]]+Table1[[#This Row], [WRC]]+Table1[[#This Row], [ERC]]+Table1[[#This Row], [EQRC]]</f>
        <v>8256974.4749999996</v>
      </c>
      <c r="V939" s="9">
        <f>Table1[[#This Row], [TOTAL COST]]+_xlfn.XLOOKUP(Table1[[#This Row], [TEAM]],Sheet1!$A$12:$A$17,Sheet1!$I$12:$I$17)</f>
        <v>8553474.4749999996</v>
      </c>
      <c r="W939" s="9">
        <f>Table1[[#This Row], [LOOT]]-Table1[[#This Row], [TOTAL COST]]</f>
        <v>9593025.5250000004</v>
      </c>
      <c r="X939" s="9">
        <f>IF(Table1[[#This Row], [PASS/FAIL]]="FAIL",0,Table1[[#This Row], [PROFIT]])</f>
        <v>9593025.5250000004</v>
      </c>
    </row>
    <row r="940" spans="1:24" ht="19.5" customHeight="1" x14ac:dyDescent="0.45">
      <c r="A940" t="s">
        <v>9</v>
      </c>
      <c r="B940" s="14">
        <f>_xlfn.XLOOKUP(Table1[[#This Row], [TEAM]],Sheet1!$A$12:$A$17,Sheet1!$F$12:$F$17)</f>
        <v>3</v>
      </c>
      <c r="C940" s="14">
        <f>_xlfn.XLOOKUP(Table1[[#This Row], [TEAM]],Sheet1!$A$12:$A$17,Sheet1!$G$12:$G$17)</f>
        <v>6238750</v>
      </c>
      <c r="D940" t="s">
        <v>19</v>
      </c>
      <c r="E940" s="4">
        <f>_xlfn.XLOOKUP(Table1[[#This Row], [ROOM]],Sheet1!$A$47:$A$66,Sheet1!$B$47:$B$66)</f>
        <v>135</v>
      </c>
      <c r="F940" t="s">
        <v>58</v>
      </c>
      <c r="G940" s="4">
        <f>_xlfn.XLOOKUP(Table1[[#This Row], [DISGUISE]],Sheet1!$A$21:$A$23,Sheet1!$B$21:$B$23)*Table1[[#This Row], [NUM OF MEM]]*(1+_xlfn.XLOOKUP(Table1[[#This Row], [DISGUISE]],Sheet1!$A$21:$A$23,Sheet1!$C$21:$C$23))</f>
        <v>38400</v>
      </c>
      <c r="H940" s="13" t="s">
        <v>66</v>
      </c>
      <c r="I940" s="4">
        <f>_xlfn.XLOOKUP(Table1[[#This Row], [WEAPON]],Sheet1!$A$27:$A$29,Sheet1!$B$27:$B$29)*Table1[[#This Row], [NUM OF MEM]]*(1+_xlfn.XLOOKUP(Table1[[#This Row], [WEAPON]],Sheet1!$A$27:$A$29,Sheet1!$C$27:$C$29))</f>
        <v>108000</v>
      </c>
      <c r="J940" t="s">
        <v>60</v>
      </c>
      <c r="K940" s="9">
        <f>Table1[[#This Row], [NUM OF MEM]]*Table1[[#This Row], [TOTAL TIME TAKEN]]*_xlfn.XLOOKUP(Table1[[#This Row], [EXIT]],Sheet1!$A$70:$A$71,Sheet1!$B$70:$B$71)*(1+_xlfn.XLOOKUP(Table1[[#This Row], [EXIT]],Sheet1!$A$70:$A$71,Sheet1!$C$70:$C$71))</f>
        <v>1664353.8625</v>
      </c>
      <c r="L940" s="13" t="s">
        <v>65</v>
      </c>
      <c r="M940" s="4">
        <f>IF(Table1[[#This Row], [EQUIPMENT]]="YES",Sheet1!$C$44*(1+Sheet1!$D$44),0)</f>
        <v>307500</v>
      </c>
      <c r="N940" s="4">
        <f>_xlfn.XLOOKUP(Table1[[#This Row], [ROOM]],Sheet1!$A$47:$A$66,Sheet1!$F$47:$F$66)</f>
        <v>17950000</v>
      </c>
      <c r="O940" s="9">
        <f>_xlfn.XLOOKUP(_xlfn.CONCAT(Table1[[#This Row], [TEAM]],Table1[[#This Row], [ROOM]]),'ROOM TIME'!$H$2:$H$121,'ROOM TIME'!$J$2:$J$121)</f>
        <v>38.649444444444434</v>
      </c>
      <c r="P940" s="9">
        <f>(INDEX(Sheet1!$X$48:$Z$67,MATCH(Table1[[#This Row], [ROOM]],Sheet1!$P$48:$P$67,0),MATCH(Table1[[#This Row], [WEAPON]],Sheet1!$X$47:$Z$47,0)))/Table1[[#This Row], [NUM OF MEM]]</f>
        <v>4.583333333333333</v>
      </c>
      <c r="Q940" s="9">
        <f>Table1[[#This Row], [ROOM TIME]]+Table1[[#This Row], [GUARD TIME]]</f>
        <v>43.23277777777777</v>
      </c>
      <c r="R940" s="4">
        <f>Sheet1!$K$3*_xlfn.XLOOKUP(Table1[[#This Row], [DISGUISE]],Sheet1!$A$21:$A$23,Sheet1!$D$21:$D$23)</f>
        <v>69</v>
      </c>
      <c r="S940" s="9">
        <f>Table1[[#This Row], [TOTAL TIME]]-Table1[[#This Row], [TOTAL TIME TAKEN]]</f>
        <v>25.76722222222223</v>
      </c>
      <c r="T940" t="str">
        <f>IF(Table1[[#This Row], [TIME DIFFERENCE]]&gt;=0,"PASS","FAIL")</f>
        <v>PASS</v>
      </c>
      <c r="U940" s="9">
        <f>Table1[[#This Row], [TRC]]+Table1[[#This Row], [DRC]]+Table1[[#This Row], [WRC]]+Table1[[#This Row], [ERC]]+Table1[[#This Row], [EQRC]]</f>
        <v>8357003.8624999998</v>
      </c>
      <c r="V940" s="9">
        <f>Table1[[#This Row], [TOTAL COST]]+_xlfn.XLOOKUP(Table1[[#This Row], [TEAM]],Sheet1!$A$12:$A$17,Sheet1!$I$12:$I$17)</f>
        <v>8668941.3625000007</v>
      </c>
      <c r="W940" s="9">
        <f>Table1[[#This Row], [LOOT]]-Table1[[#This Row], [TOTAL COST]]</f>
        <v>9592996.1374999993</v>
      </c>
      <c r="X940" s="9">
        <f>IF(Table1[[#This Row], [PASS/FAIL]]="FAIL",0,Table1[[#This Row], [PROFIT]])</f>
        <v>9592996.1374999993</v>
      </c>
    </row>
    <row r="941" spans="1:24" ht="19.5" customHeight="1" x14ac:dyDescent="0.45">
      <c r="A941" t="s">
        <v>15</v>
      </c>
      <c r="B941" s="14">
        <f>_xlfn.XLOOKUP(Table1[[#This Row], [TEAM]],Sheet1!$A$12:$A$17,Sheet1!$F$12:$F$17)</f>
        <v>2</v>
      </c>
      <c r="C941" s="14">
        <f>_xlfn.XLOOKUP(Table1[[#This Row], [TEAM]],Sheet1!$A$12:$A$17,Sheet1!$G$12:$G$17)</f>
        <v>5932950</v>
      </c>
      <c r="D941" t="s">
        <v>25</v>
      </c>
      <c r="E941" s="4">
        <f>_xlfn.XLOOKUP(Table1[[#This Row], [ROOM]],Sheet1!$A$47:$A$66,Sheet1!$B$47:$B$66)</f>
        <v>126</v>
      </c>
      <c r="F941" t="s">
        <v>62</v>
      </c>
      <c r="G941" s="4">
        <f>_xlfn.XLOOKUP(Table1[[#This Row], [DISGUISE]],Sheet1!$A$21:$A$23,Sheet1!$B$21:$B$23)*Table1[[#This Row], [NUM OF MEM]]*(1+_xlfn.XLOOKUP(Table1[[#This Row], [DISGUISE]],Sheet1!$A$21:$A$23,Sheet1!$C$21:$C$23))</f>
        <v>10400</v>
      </c>
      <c r="H941" s="13" t="s">
        <v>63</v>
      </c>
      <c r="I941" s="4">
        <f>_xlfn.XLOOKUP(Table1[[#This Row], [WEAPON]],Sheet1!$A$27:$A$29,Sheet1!$B$27:$B$29)*Table1[[#This Row], [NUM OF MEM]]*(1+_xlfn.XLOOKUP(Table1[[#This Row], [WEAPON]],Sheet1!$A$27:$A$29,Sheet1!$C$27:$C$29))</f>
        <v>46000</v>
      </c>
      <c r="J941" t="s">
        <v>60</v>
      </c>
      <c r="K941" s="9">
        <f>Table1[[#This Row], [NUM OF MEM]]*Table1[[#This Row], [TOTAL TIME TAKEN]]*_xlfn.XLOOKUP(Table1[[#This Row], [EXIT]],Sheet1!$A$70:$A$71,Sheet1!$B$70:$B$71)*(1+_xlfn.XLOOKUP(Table1[[#This Row], [EXIT]],Sheet1!$A$70:$A$71,Sheet1!$C$70:$C$71))</f>
        <v>1660589.6624999996</v>
      </c>
      <c r="L941" s="13" t="s">
        <v>65</v>
      </c>
      <c r="M941" s="4">
        <f>IF(Table1[[#This Row], [EQUIPMENT]]="YES",Sheet1!$C$44*(1+Sheet1!$D$44),0)</f>
        <v>307500</v>
      </c>
      <c r="N941" s="4">
        <f>_xlfn.XLOOKUP(Table1[[#This Row], [ROOM]],Sheet1!$A$47:$A$66,Sheet1!$F$47:$F$66)</f>
        <v>17550000</v>
      </c>
      <c r="O941" s="9">
        <f>_xlfn.XLOOKUP(_xlfn.CONCAT(Table1[[#This Row], [TEAM]],Table1[[#This Row], [ROOM]]),'ROOM TIME'!$H$2:$H$121,'ROOM TIME'!$J$2:$J$121)</f>
        <v>57.277499999999989</v>
      </c>
      <c r="P941" s="9">
        <f>(INDEX(Sheet1!$X$48:$Z$67,MATCH(Table1[[#This Row], [ROOM]],Sheet1!$P$48:$P$67,0),MATCH(Table1[[#This Row], [WEAPON]],Sheet1!$X$47:$Z$47,0)))/Table1[[#This Row], [NUM OF MEM]]</f>
        <v>7.4250000000000007</v>
      </c>
      <c r="Q941" s="9">
        <f>Table1[[#This Row], [ROOM TIME]]+Table1[[#This Row], [GUARD TIME]]</f>
        <v>64.702499999999986</v>
      </c>
      <c r="R941" s="4">
        <f>Sheet1!$K$3*_xlfn.XLOOKUP(Table1[[#This Row], [DISGUISE]],Sheet1!$A$21:$A$23,Sheet1!$D$21:$D$23)</f>
        <v>66</v>
      </c>
      <c r="S941" s="9">
        <f>Table1[[#This Row], [TOTAL TIME]]-Table1[[#This Row], [TOTAL TIME TAKEN]]</f>
        <v>1.2975000000000136</v>
      </c>
      <c r="T941" t="str">
        <f>IF(Table1[[#This Row], [TIME DIFFERENCE]]&gt;=0,"PASS","FAIL")</f>
        <v>PASS</v>
      </c>
      <c r="U941" s="9">
        <f>Table1[[#This Row], [TRC]]+Table1[[#This Row], [DRC]]+Table1[[#This Row], [WRC]]+Table1[[#This Row], [ERC]]+Table1[[#This Row], [EQRC]]</f>
        <v>7957439.6624999996</v>
      </c>
      <c r="V941" s="9">
        <f>Table1[[#This Row], [TOTAL COST]]+_xlfn.XLOOKUP(Table1[[#This Row], [TEAM]],Sheet1!$A$12:$A$17,Sheet1!$I$12:$I$17)</f>
        <v>8254087.1624999996</v>
      </c>
      <c r="W941" s="9">
        <f>Table1[[#This Row], [LOOT]]-Table1[[#This Row], [TOTAL COST]]</f>
        <v>9592560.3375000004</v>
      </c>
      <c r="X941" s="9">
        <f>IF(Table1[[#This Row], [PASS/FAIL]]="FAIL",0,Table1[[#This Row], [PROFIT]])</f>
        <v>9592560.3375000004</v>
      </c>
    </row>
    <row r="942" spans="1:24" ht="19.5" customHeight="1" x14ac:dyDescent="0.45">
      <c r="A942" t="s">
        <v>12</v>
      </c>
      <c r="B942" s="14">
        <f>_xlfn.XLOOKUP(Table1[[#This Row], [TEAM]],Sheet1!$A$12:$A$17,Sheet1!$F$12:$F$17)</f>
        <v>3</v>
      </c>
      <c r="C942" s="14">
        <f>_xlfn.XLOOKUP(Table1[[#This Row], [TEAM]],Sheet1!$A$12:$A$17,Sheet1!$G$12:$G$17)</f>
        <v>5988750</v>
      </c>
      <c r="D942" t="s">
        <v>28</v>
      </c>
      <c r="E942" s="4">
        <f>_xlfn.XLOOKUP(Table1[[#This Row], [ROOM]],Sheet1!$A$47:$A$66,Sheet1!$B$47:$B$66)</f>
        <v>156</v>
      </c>
      <c r="F942" t="s">
        <v>58</v>
      </c>
      <c r="G942" s="4">
        <f>_xlfn.XLOOKUP(Table1[[#This Row], [DISGUISE]],Sheet1!$A$21:$A$23,Sheet1!$B$21:$B$23)*Table1[[#This Row], [NUM OF MEM]]*(1+_xlfn.XLOOKUP(Table1[[#This Row], [DISGUISE]],Sheet1!$A$21:$A$23,Sheet1!$C$21:$C$23))</f>
        <v>38400</v>
      </c>
      <c r="H942" s="13" t="s">
        <v>59</v>
      </c>
      <c r="I942" s="4">
        <f>_xlfn.XLOOKUP(Table1[[#This Row], [WEAPON]],Sheet1!$A$27:$A$29,Sheet1!$B$27:$B$29)*Table1[[#This Row], [NUM OF MEM]]*(1+_xlfn.XLOOKUP(Table1[[#This Row], [WEAPON]],Sheet1!$A$27:$A$29,Sheet1!$C$27:$C$29))</f>
        <v>136500</v>
      </c>
      <c r="J942" t="s">
        <v>64</v>
      </c>
      <c r="K942" s="9">
        <f>Table1[[#This Row], [NUM OF MEM]]*Table1[[#This Row], [TOTAL TIME TAKEN]]*_xlfn.XLOOKUP(Table1[[#This Row], [EXIT]],Sheet1!$A$70:$A$71,Sheet1!$B$70:$B$71)*(1+_xlfn.XLOOKUP(Table1[[#This Row], [EXIT]],Sheet1!$A$70:$A$71,Sheet1!$C$70:$C$71))</f>
        <v>1586951.9999999993</v>
      </c>
      <c r="L942" s="13" t="s">
        <v>65</v>
      </c>
      <c r="M942" s="4">
        <f>IF(Table1[[#This Row], [EQUIPMENT]]="YES",Sheet1!$C$44*(1+Sheet1!$D$44),0)</f>
        <v>307500</v>
      </c>
      <c r="N942" s="4">
        <f>_xlfn.XLOOKUP(Table1[[#This Row], [ROOM]],Sheet1!$A$47:$A$66,Sheet1!$F$47:$F$66)</f>
        <v>17650000</v>
      </c>
      <c r="O942" s="9">
        <f>_xlfn.XLOOKUP(_xlfn.CONCAT(Table1[[#This Row], [TEAM]],Table1[[#This Row], [ROOM]]),'ROOM TIME'!$H$2:$H$121,'ROOM TIME'!$J$2:$J$121)</f>
        <v>36.98333333333332</v>
      </c>
      <c r="P942" s="9">
        <f>(INDEX(Sheet1!$X$48:$Z$67,MATCH(Table1[[#This Row], [ROOM]],Sheet1!$P$48:$P$67,0),MATCH(Table1[[#This Row], [WEAPON]],Sheet1!$X$47:$Z$47,0)))/Table1[[#This Row], [NUM OF MEM]]</f>
        <v>3.8333333333333335</v>
      </c>
      <c r="Q942" s="9">
        <f>Table1[[#This Row], [ROOM TIME]]+Table1[[#This Row], [GUARD TIME]]</f>
        <v>40.816666666666656</v>
      </c>
      <c r="R942" s="4">
        <f>Sheet1!$K$3*_xlfn.XLOOKUP(Table1[[#This Row], [DISGUISE]],Sheet1!$A$21:$A$23,Sheet1!$D$21:$D$23)</f>
        <v>69</v>
      </c>
      <c r="S942" s="9">
        <f>Table1[[#This Row], [TOTAL TIME]]-Table1[[#This Row], [TOTAL TIME TAKEN]]</f>
        <v>28.183333333333344</v>
      </c>
      <c r="T942" t="str">
        <f>IF(Table1[[#This Row], [TIME DIFFERENCE]]&gt;=0,"PASS","FAIL")</f>
        <v>PASS</v>
      </c>
      <c r="U942" s="9">
        <f>Table1[[#This Row], [TRC]]+Table1[[#This Row], [DRC]]+Table1[[#This Row], [WRC]]+Table1[[#This Row], [ERC]]+Table1[[#This Row], [EQRC]]</f>
        <v>8058101.9999999991</v>
      </c>
      <c r="V942" s="9">
        <f>Table1[[#This Row], [TOTAL COST]]+_xlfn.XLOOKUP(Table1[[#This Row], [TEAM]],Sheet1!$A$12:$A$17,Sheet1!$I$12:$I$17)</f>
        <v>8357539.4999999991</v>
      </c>
      <c r="W942" s="4">
        <f>Table1[[#This Row], [LOOT]]-Table1[[#This Row], [TOTAL COST]]</f>
        <v>9591898</v>
      </c>
      <c r="X942" s="4">
        <f>IF(Table1[[#This Row], [PASS/FAIL]]="FAIL",0,Table1[[#This Row], [PROFIT]])</f>
        <v>9591898</v>
      </c>
    </row>
    <row r="943" spans="1:24" ht="19.5" customHeight="1" x14ac:dyDescent="0.45">
      <c r="A943" t="s">
        <v>12</v>
      </c>
      <c r="B943" s="14">
        <f>_xlfn.XLOOKUP(Table1[[#This Row], [TEAM]],Sheet1!$A$12:$A$17,Sheet1!$F$12:$F$17)</f>
        <v>3</v>
      </c>
      <c r="C943" s="14">
        <f>_xlfn.XLOOKUP(Table1[[#This Row], [TEAM]],Sheet1!$A$12:$A$17,Sheet1!$G$12:$G$17)</f>
        <v>5988750</v>
      </c>
      <c r="D943" t="s">
        <v>22</v>
      </c>
      <c r="E943" s="4">
        <f>_xlfn.XLOOKUP(Table1[[#This Row], [ROOM]],Sheet1!$A$47:$A$66,Sheet1!$B$47:$B$66)</f>
        <v>235</v>
      </c>
      <c r="F943" t="s">
        <v>58</v>
      </c>
      <c r="G943" s="4">
        <f>_xlfn.XLOOKUP(Table1[[#This Row], [DISGUISE]],Sheet1!$A$21:$A$23,Sheet1!$B$21:$B$23)*Table1[[#This Row], [NUM OF MEM]]*(1+_xlfn.XLOOKUP(Table1[[#This Row], [DISGUISE]],Sheet1!$A$21:$A$23,Sheet1!$C$21:$C$23))</f>
        <v>38400</v>
      </c>
      <c r="H943" s="13" t="s">
        <v>63</v>
      </c>
      <c r="I943" s="4">
        <f>_xlfn.XLOOKUP(Table1[[#This Row], [WEAPON]],Sheet1!$A$27:$A$29,Sheet1!$B$27:$B$29)*Table1[[#This Row], [NUM OF MEM]]*(1+_xlfn.XLOOKUP(Table1[[#This Row], [WEAPON]],Sheet1!$A$27:$A$29,Sheet1!$C$27:$C$29))</f>
        <v>69000</v>
      </c>
      <c r="J943" t="s">
        <v>60</v>
      </c>
      <c r="K943" s="9">
        <f>Table1[[#This Row], [NUM OF MEM]]*Table1[[#This Row], [TOTAL TIME TAKEN]]*_xlfn.XLOOKUP(Table1[[#This Row], [EXIT]],Sheet1!$A$70:$A$71,Sheet1!$B$70:$B$71)*(1+_xlfn.XLOOKUP(Table1[[#This Row], [EXIT]],Sheet1!$A$70:$A$71,Sheet1!$C$70:$C$71))</f>
        <v>1804762.7999999989</v>
      </c>
      <c r="L943" s="13" t="s">
        <v>65</v>
      </c>
      <c r="M943" s="4">
        <f>IF(Table1[[#This Row], [EQUIPMENT]]="YES",Sheet1!$C$44*(1+Sheet1!$D$44),0)</f>
        <v>307500</v>
      </c>
      <c r="N943" s="4">
        <f>_xlfn.XLOOKUP(Table1[[#This Row], [ROOM]],Sheet1!$A$47:$A$66,Sheet1!$F$47:$F$66)</f>
        <v>17800000</v>
      </c>
      <c r="O943" s="9">
        <f>_xlfn.XLOOKUP(_xlfn.CONCAT(Table1[[#This Row], [TEAM]],Table1[[#This Row], [ROOM]]),'ROOM TIME'!$H$2:$H$121,'ROOM TIME'!$J$2:$J$121)</f>
        <v>41.479999999999983</v>
      </c>
      <c r="P943" s="9">
        <f>(INDEX(Sheet1!$X$48:$Z$67,MATCH(Table1[[#This Row], [ROOM]],Sheet1!$P$48:$P$67,0),MATCH(Table1[[#This Row], [WEAPON]],Sheet1!$X$47:$Z$47,0)))/Table1[[#This Row], [NUM OF MEM]]</f>
        <v>5.4000000000000012</v>
      </c>
      <c r="Q943" s="9">
        <f>Table1[[#This Row], [ROOM TIME]]+Table1[[#This Row], [GUARD TIME]]</f>
        <v>46.879999999999981</v>
      </c>
      <c r="R943" s="4">
        <f>Sheet1!$K$3*_xlfn.XLOOKUP(Table1[[#This Row], [DISGUISE]],Sheet1!$A$21:$A$23,Sheet1!$D$21:$D$23)</f>
        <v>69</v>
      </c>
      <c r="S943" s="9">
        <f>Table1[[#This Row], [TOTAL TIME]]-Table1[[#This Row], [TOTAL TIME TAKEN]]</f>
        <v>22.120000000000019</v>
      </c>
      <c r="T943" t="str">
        <f>IF(Table1[[#This Row], [TIME DIFFERENCE]]&gt;=0,"PASS","FAIL")</f>
        <v>PASS</v>
      </c>
      <c r="U943" s="9">
        <f>Table1[[#This Row], [TRC]]+Table1[[#This Row], [DRC]]+Table1[[#This Row], [WRC]]+Table1[[#This Row], [ERC]]+Table1[[#This Row], [EQRC]]</f>
        <v>8208412.7999999989</v>
      </c>
      <c r="V943" s="9">
        <f>Table1[[#This Row], [TOTAL COST]]+_xlfn.XLOOKUP(Table1[[#This Row], [TEAM]],Sheet1!$A$12:$A$17,Sheet1!$I$12:$I$17)</f>
        <v>8507850.2999999989</v>
      </c>
      <c r="W943" s="9">
        <f>Table1[[#This Row], [LOOT]]-Table1[[#This Row], [TOTAL COST]]</f>
        <v>9591587.2000000011</v>
      </c>
      <c r="X943" s="9">
        <f>IF(Table1[[#This Row], [PASS/FAIL]]="FAIL",0,Table1[[#This Row], [PROFIT]])</f>
        <v>9591587.2000000011</v>
      </c>
    </row>
    <row r="944" spans="1:24" ht="19.5" customHeight="1" x14ac:dyDescent="0.45">
      <c r="A944" t="s">
        <v>12</v>
      </c>
      <c r="B944" s="14">
        <f>_xlfn.XLOOKUP(Table1[[#This Row], [TEAM]],Sheet1!$A$12:$A$17,Sheet1!$F$12:$F$17)</f>
        <v>3</v>
      </c>
      <c r="C944" s="14">
        <f>_xlfn.XLOOKUP(Table1[[#This Row], [TEAM]],Sheet1!$A$12:$A$17,Sheet1!$G$12:$G$17)</f>
        <v>5988750</v>
      </c>
      <c r="D944" t="s">
        <v>11</v>
      </c>
      <c r="E944" s="4">
        <f>_xlfn.XLOOKUP(Table1[[#This Row], [ROOM]],Sheet1!$A$47:$A$66,Sheet1!$B$47:$B$66)</f>
        <v>124</v>
      </c>
      <c r="F944" t="s">
        <v>62</v>
      </c>
      <c r="G944" s="4">
        <f>_xlfn.XLOOKUP(Table1[[#This Row], [DISGUISE]],Sheet1!$A$21:$A$23,Sheet1!$B$21:$B$23)*Table1[[#This Row], [NUM OF MEM]]*(1+_xlfn.XLOOKUP(Table1[[#This Row], [DISGUISE]],Sheet1!$A$21:$A$23,Sheet1!$C$21:$C$23))</f>
        <v>15600</v>
      </c>
      <c r="H944" s="13" t="s">
        <v>59</v>
      </c>
      <c r="I944" s="4">
        <f>_xlfn.XLOOKUP(Table1[[#This Row], [WEAPON]],Sheet1!$A$27:$A$29,Sheet1!$B$27:$B$29)*Table1[[#This Row], [NUM OF MEM]]*(1+_xlfn.XLOOKUP(Table1[[#This Row], [WEAPON]],Sheet1!$A$27:$A$29,Sheet1!$C$27:$C$29))</f>
        <v>136500</v>
      </c>
      <c r="J944" t="s">
        <v>60</v>
      </c>
      <c r="K944" s="9">
        <f>Table1[[#This Row], [NUM OF MEM]]*Table1[[#This Row], [TOTAL TIME TAKEN]]*_xlfn.XLOOKUP(Table1[[#This Row], [EXIT]],Sheet1!$A$70:$A$71,Sheet1!$B$70:$B$71)*(1+_xlfn.XLOOKUP(Table1[[#This Row], [EXIT]],Sheet1!$A$70:$A$71,Sheet1!$C$70:$C$71))</f>
        <v>1717672.8999999997</v>
      </c>
      <c r="L944" s="13" t="s">
        <v>61</v>
      </c>
      <c r="M944" s="4">
        <f>IF(Table1[[#This Row], [EQUIPMENT]]="YES",Sheet1!$C$44*(1+Sheet1!$D$44),0)</f>
        <v>0</v>
      </c>
      <c r="N944" s="4">
        <f>_xlfn.XLOOKUP(Table1[[#This Row], [ROOM]],Sheet1!$A$47:$A$66,Sheet1!$F$47:$F$66)</f>
        <v>17450000</v>
      </c>
      <c r="O944" s="9">
        <f>_xlfn.XLOOKUP(_xlfn.CONCAT(Table1[[#This Row], [TEAM]],Table1[[#This Row], [ROOM]]),'ROOM TIME'!$H$2:$H$121,'ROOM TIME'!$J$2:$J$121)</f>
        <v>40.401111111111099</v>
      </c>
      <c r="P944" s="9">
        <f>(INDEX(Sheet1!$X$48:$Z$67,MATCH(Table1[[#This Row], [ROOM]],Sheet1!$P$48:$P$67,0),MATCH(Table1[[#This Row], [WEAPON]],Sheet1!$X$47:$Z$47,0)))/Table1[[#This Row], [NUM OF MEM]]</f>
        <v>4.2166666666666659</v>
      </c>
      <c r="Q944" s="9">
        <f>Table1[[#This Row], [ROOM TIME]]+Table1[[#This Row], [GUARD TIME]]</f>
        <v>44.617777777777768</v>
      </c>
      <c r="R944" s="4">
        <f>Sheet1!$K$3*_xlfn.XLOOKUP(Table1[[#This Row], [DISGUISE]],Sheet1!$A$21:$A$23,Sheet1!$D$21:$D$23)</f>
        <v>66</v>
      </c>
      <c r="S944" s="9">
        <f>Table1[[#This Row], [TOTAL TIME]]-Table1[[#This Row], [TOTAL TIME TAKEN]]</f>
        <v>21.382222222222232</v>
      </c>
      <c r="T944" t="str">
        <f>IF(Table1[[#This Row], [TIME DIFFERENCE]]&gt;=0,"PASS","FAIL")</f>
        <v>PASS</v>
      </c>
      <c r="U944" s="9">
        <f>Table1[[#This Row], [TRC]]+Table1[[#This Row], [DRC]]+Table1[[#This Row], [WRC]]+Table1[[#This Row], [ERC]]+Table1[[#This Row], [EQRC]]</f>
        <v>7858522.8999999994</v>
      </c>
      <c r="V944" s="9">
        <f>Table1[[#This Row], [TOTAL COST]]+_xlfn.XLOOKUP(Table1[[#This Row], [TEAM]],Sheet1!$A$12:$A$17,Sheet1!$I$12:$I$17)</f>
        <v>8157960.3999999994</v>
      </c>
      <c r="W944" s="9">
        <f>Table1[[#This Row], [LOOT]]-Table1[[#This Row], [TOTAL COST]]</f>
        <v>9591477.1000000015</v>
      </c>
      <c r="X944" s="9">
        <f>IF(Table1[[#This Row], [PASS/FAIL]]="FAIL",0,Table1[[#This Row], [PROFIT]])</f>
        <v>9591477.1000000015</v>
      </c>
    </row>
    <row r="945" spans="1:24" ht="19.5" customHeight="1" x14ac:dyDescent="0.45">
      <c r="A945" t="s">
        <v>12</v>
      </c>
      <c r="B945" s="14">
        <f>_xlfn.XLOOKUP(Table1[[#This Row], [TEAM]],Sheet1!$A$12:$A$17,Sheet1!$F$12:$F$17)</f>
        <v>3</v>
      </c>
      <c r="C945" s="14">
        <f>_xlfn.XLOOKUP(Table1[[#This Row], [TEAM]],Sheet1!$A$12:$A$17,Sheet1!$G$12:$G$17)</f>
        <v>5988750</v>
      </c>
      <c r="D945" t="s">
        <v>10</v>
      </c>
      <c r="E945" s="4">
        <f>_xlfn.XLOOKUP(Table1[[#This Row], [ROOM]],Sheet1!$A$47:$A$66,Sheet1!$B$47:$B$66)</f>
        <v>123</v>
      </c>
      <c r="F945" t="s">
        <v>62</v>
      </c>
      <c r="G945" s="4">
        <f>_xlfn.XLOOKUP(Table1[[#This Row], [DISGUISE]],Sheet1!$A$21:$A$23,Sheet1!$B$21:$B$23)*Table1[[#This Row], [NUM OF MEM]]*(1+_xlfn.XLOOKUP(Table1[[#This Row], [DISGUISE]],Sheet1!$A$21:$A$23,Sheet1!$C$21:$C$23))</f>
        <v>15600</v>
      </c>
      <c r="H945" s="13" t="s">
        <v>59</v>
      </c>
      <c r="I945" s="4">
        <f>_xlfn.XLOOKUP(Table1[[#This Row], [WEAPON]],Sheet1!$A$27:$A$29,Sheet1!$B$27:$B$29)*Table1[[#This Row], [NUM OF MEM]]*(1+_xlfn.XLOOKUP(Table1[[#This Row], [WEAPON]],Sheet1!$A$27:$A$29,Sheet1!$C$27:$C$29))</f>
        <v>136500</v>
      </c>
      <c r="J945" t="s">
        <v>64</v>
      </c>
      <c r="K945" s="9">
        <f>Table1[[#This Row], [NUM OF MEM]]*Table1[[#This Row], [TOTAL TIME TAKEN]]*_xlfn.XLOOKUP(Table1[[#This Row], [EXIT]],Sheet1!$A$70:$A$71,Sheet1!$B$70:$B$71)*(1+_xlfn.XLOOKUP(Table1[[#This Row], [EXIT]],Sheet1!$A$70:$A$71,Sheet1!$C$70:$C$71))</f>
        <v>1810555.1999999995</v>
      </c>
      <c r="L945" s="13" t="s">
        <v>65</v>
      </c>
      <c r="M945" s="4">
        <f>IF(Table1[[#This Row], [EQUIPMENT]]="YES",Sheet1!$C$44*(1+Sheet1!$D$44),0)</f>
        <v>307500</v>
      </c>
      <c r="N945" s="4">
        <f>_xlfn.XLOOKUP(Table1[[#This Row], [ROOM]],Sheet1!$A$47:$A$66,Sheet1!$F$47:$F$66)</f>
        <v>17850000</v>
      </c>
      <c r="O945" s="9">
        <f>_xlfn.XLOOKUP(_xlfn.CONCAT(Table1[[#This Row], [TEAM]],Table1[[#This Row], [ROOM]]),'ROOM TIME'!$H$2:$H$121,'ROOM TIME'!$J$2:$J$121)</f>
        <v>41.967777777777762</v>
      </c>
      <c r="P945" s="9">
        <f>(INDEX(Sheet1!$X$48:$Z$67,MATCH(Table1[[#This Row], [ROOM]],Sheet1!$P$48:$P$67,0),MATCH(Table1[[#This Row], [WEAPON]],Sheet1!$X$47:$Z$47,0)))/Table1[[#This Row], [NUM OF MEM]]</f>
        <v>4.5999999999999996</v>
      </c>
      <c r="Q945" s="9">
        <f>Table1[[#This Row], [ROOM TIME]]+Table1[[#This Row], [GUARD TIME]]</f>
        <v>46.567777777777764</v>
      </c>
      <c r="R945" s="4">
        <f>Sheet1!$K$3*_xlfn.XLOOKUP(Table1[[#This Row], [DISGUISE]],Sheet1!$A$21:$A$23,Sheet1!$D$21:$D$23)</f>
        <v>66</v>
      </c>
      <c r="S945" s="9">
        <f>Table1[[#This Row], [TOTAL TIME]]-Table1[[#This Row], [TOTAL TIME TAKEN]]</f>
        <v>19.432222222222236</v>
      </c>
      <c r="T945" t="str">
        <f>IF(Table1[[#This Row], [TIME DIFFERENCE]]&gt;=0,"PASS","FAIL")</f>
        <v>PASS</v>
      </c>
      <c r="U945" s="9">
        <f>Table1[[#This Row], [TRC]]+Table1[[#This Row], [DRC]]+Table1[[#This Row], [WRC]]+Table1[[#This Row], [ERC]]+Table1[[#This Row], [EQRC]]</f>
        <v>8258905.1999999993</v>
      </c>
      <c r="V945" s="9">
        <f>Table1[[#This Row], [TOTAL COST]]+_xlfn.XLOOKUP(Table1[[#This Row], [TEAM]],Sheet1!$A$12:$A$17,Sheet1!$I$12:$I$17)</f>
        <v>8558342.6999999993</v>
      </c>
      <c r="W945" s="9">
        <f>Table1[[#This Row], [LOOT]]-Table1[[#This Row], [TOTAL COST]]</f>
        <v>9591094.8000000007</v>
      </c>
      <c r="X945" s="9">
        <f>IF(Table1[[#This Row], [PASS/FAIL]]="FAIL",0,Table1[[#This Row], [PROFIT]])</f>
        <v>9591094.8000000007</v>
      </c>
    </row>
    <row r="946" spans="1:24" ht="19.5" customHeight="1" x14ac:dyDescent="0.45">
      <c r="A946" t="s">
        <v>12</v>
      </c>
      <c r="B946" s="14">
        <f>_xlfn.XLOOKUP(Table1[[#This Row], [TEAM]],Sheet1!$A$12:$A$17,Sheet1!$F$12:$F$17)</f>
        <v>3</v>
      </c>
      <c r="C946" s="14">
        <f>_xlfn.XLOOKUP(Table1[[#This Row], [TEAM]],Sheet1!$A$12:$A$17,Sheet1!$G$12:$G$17)</f>
        <v>5988750</v>
      </c>
      <c r="D946" t="s">
        <v>22</v>
      </c>
      <c r="E946" s="4">
        <f>_xlfn.XLOOKUP(Table1[[#This Row], [ROOM]],Sheet1!$A$47:$A$66,Sheet1!$B$47:$B$66)</f>
        <v>235</v>
      </c>
      <c r="F946" t="s">
        <v>62</v>
      </c>
      <c r="G946" s="4">
        <f>_xlfn.XLOOKUP(Table1[[#This Row], [DISGUISE]],Sheet1!$A$21:$A$23,Sheet1!$B$21:$B$23)*Table1[[#This Row], [NUM OF MEM]]*(1+_xlfn.XLOOKUP(Table1[[#This Row], [DISGUISE]],Sheet1!$A$21:$A$23,Sheet1!$C$21:$C$23))</f>
        <v>15600</v>
      </c>
      <c r="H946" s="13" t="s">
        <v>66</v>
      </c>
      <c r="I946" s="4">
        <f>_xlfn.XLOOKUP(Table1[[#This Row], [WEAPON]],Sheet1!$A$27:$A$29,Sheet1!$B$27:$B$29)*Table1[[#This Row], [NUM OF MEM]]*(1+_xlfn.XLOOKUP(Table1[[#This Row], [WEAPON]],Sheet1!$A$27:$A$29,Sheet1!$C$27:$C$29))</f>
        <v>108000</v>
      </c>
      <c r="J946" t="s">
        <v>60</v>
      </c>
      <c r="K946" s="9">
        <f>Table1[[#This Row], [NUM OF MEM]]*Table1[[#This Row], [TOTAL TIME TAKEN]]*_xlfn.XLOOKUP(Table1[[#This Row], [EXIT]],Sheet1!$A$70:$A$71,Sheet1!$B$70:$B$71)*(1+_xlfn.XLOOKUP(Table1[[#This Row], [EXIT]],Sheet1!$A$70:$A$71,Sheet1!$C$70:$C$71))</f>
        <v>1789363.7999999993</v>
      </c>
      <c r="L946" s="13" t="s">
        <v>65</v>
      </c>
      <c r="M946" s="4">
        <f>IF(Table1[[#This Row], [EQUIPMENT]]="YES",Sheet1!$C$44*(1+Sheet1!$D$44),0)</f>
        <v>307500</v>
      </c>
      <c r="N946" s="4">
        <f>_xlfn.XLOOKUP(Table1[[#This Row], [ROOM]],Sheet1!$A$47:$A$66,Sheet1!$F$47:$F$66)</f>
        <v>17800000</v>
      </c>
      <c r="O946" s="9">
        <f>_xlfn.XLOOKUP(_xlfn.CONCAT(Table1[[#This Row], [TEAM]],Table1[[#This Row], [ROOM]]),'ROOM TIME'!$H$2:$H$121,'ROOM TIME'!$J$2:$J$121)</f>
        <v>41.479999999999983</v>
      </c>
      <c r="P946" s="4">
        <f>(INDEX(Sheet1!$X$48:$Z$67,MATCH(Table1[[#This Row], [ROOM]],Sheet1!$P$48:$P$67,0),MATCH(Table1[[#This Row], [WEAPON]],Sheet1!$X$47:$Z$47,0)))/Table1[[#This Row], [NUM OF MEM]]</f>
        <v>5</v>
      </c>
      <c r="Q946" s="9">
        <f>Table1[[#This Row], [ROOM TIME]]+Table1[[#This Row], [GUARD TIME]]</f>
        <v>46.479999999999983</v>
      </c>
      <c r="R946" s="4">
        <f>Sheet1!$K$3*_xlfn.XLOOKUP(Table1[[#This Row], [DISGUISE]],Sheet1!$A$21:$A$23,Sheet1!$D$21:$D$23)</f>
        <v>66</v>
      </c>
      <c r="S946" s="9">
        <f>Table1[[#This Row], [TOTAL TIME]]-Table1[[#This Row], [TOTAL TIME TAKEN]]</f>
        <v>19.520000000000017</v>
      </c>
      <c r="T946" t="str">
        <f>IF(Table1[[#This Row], [TIME DIFFERENCE]]&gt;=0,"PASS","FAIL")</f>
        <v>PASS</v>
      </c>
      <c r="U946" s="9">
        <f>Table1[[#This Row], [TRC]]+Table1[[#This Row], [DRC]]+Table1[[#This Row], [WRC]]+Table1[[#This Row], [ERC]]+Table1[[#This Row], [EQRC]]</f>
        <v>8209213.7999999989</v>
      </c>
      <c r="V946" s="9">
        <f>Table1[[#This Row], [TOTAL COST]]+_xlfn.XLOOKUP(Table1[[#This Row], [TEAM]],Sheet1!$A$12:$A$17,Sheet1!$I$12:$I$17)</f>
        <v>8508651.2999999989</v>
      </c>
      <c r="W946" s="9">
        <f>Table1[[#This Row], [LOOT]]-Table1[[#This Row], [TOTAL COST]]</f>
        <v>9590786.2000000011</v>
      </c>
      <c r="X946" s="9">
        <f>IF(Table1[[#This Row], [PASS/FAIL]]="FAIL",0,Table1[[#This Row], [PROFIT]])</f>
        <v>9590786.2000000011</v>
      </c>
    </row>
    <row r="947" spans="1:24" ht="19.5" customHeight="1" x14ac:dyDescent="0.45">
      <c r="A947" t="s">
        <v>12</v>
      </c>
      <c r="B947" s="14">
        <f>_xlfn.XLOOKUP(Table1[[#This Row], [TEAM]],Sheet1!$A$12:$A$17,Sheet1!$F$12:$F$17)</f>
        <v>3</v>
      </c>
      <c r="C947" s="14">
        <f>_xlfn.XLOOKUP(Table1[[#This Row], [TEAM]],Sheet1!$A$12:$A$17,Sheet1!$G$12:$G$17)</f>
        <v>5988750</v>
      </c>
      <c r="D947" t="s">
        <v>11</v>
      </c>
      <c r="E947" s="4">
        <f>_xlfn.XLOOKUP(Table1[[#This Row], [ROOM]],Sheet1!$A$47:$A$66,Sheet1!$B$47:$B$66)</f>
        <v>124</v>
      </c>
      <c r="F947" t="s">
        <v>58</v>
      </c>
      <c r="G947" s="4">
        <f>_xlfn.XLOOKUP(Table1[[#This Row], [DISGUISE]],Sheet1!$A$21:$A$23,Sheet1!$B$21:$B$23)*Table1[[#This Row], [NUM OF MEM]]*(1+_xlfn.XLOOKUP(Table1[[#This Row], [DISGUISE]],Sheet1!$A$21:$A$23,Sheet1!$C$21:$C$23))</f>
        <v>38400</v>
      </c>
      <c r="H947" s="13" t="s">
        <v>63</v>
      </c>
      <c r="I947" s="4">
        <f>_xlfn.XLOOKUP(Table1[[#This Row], [WEAPON]],Sheet1!$A$27:$A$29,Sheet1!$B$27:$B$29)*Table1[[#This Row], [NUM OF MEM]]*(1+_xlfn.XLOOKUP(Table1[[#This Row], [WEAPON]],Sheet1!$A$27:$A$29,Sheet1!$C$27:$C$29))</f>
        <v>69000</v>
      </c>
      <c r="J947" t="s">
        <v>64</v>
      </c>
      <c r="K947" s="9">
        <f>Table1[[#This Row], [NUM OF MEM]]*Table1[[#This Row], [TOTAL TIME TAKEN]]*_xlfn.XLOOKUP(Table1[[#This Row], [EXIT]],Sheet1!$A$70:$A$71,Sheet1!$B$70:$B$71)*(1+_xlfn.XLOOKUP(Table1[[#This Row], [EXIT]],Sheet1!$A$70:$A$71,Sheet1!$C$70:$C$71))</f>
        <v>1763251.1999999997</v>
      </c>
      <c r="L947" s="13" t="s">
        <v>61</v>
      </c>
      <c r="M947" s="4">
        <f>IF(Table1[[#This Row], [EQUIPMENT]]="YES",Sheet1!$C$44*(1+Sheet1!$D$44),0)</f>
        <v>0</v>
      </c>
      <c r="N947" s="4">
        <f>_xlfn.XLOOKUP(Table1[[#This Row], [ROOM]],Sheet1!$A$47:$A$66,Sheet1!$F$47:$F$66)</f>
        <v>17450000</v>
      </c>
      <c r="O947" s="9">
        <f>_xlfn.XLOOKUP(_xlfn.CONCAT(Table1[[#This Row], [TEAM]],Table1[[#This Row], [ROOM]]),'ROOM TIME'!$H$2:$H$121,'ROOM TIME'!$J$2:$J$121)</f>
        <v>40.401111111111099</v>
      </c>
      <c r="P947" s="9">
        <f>(INDEX(Sheet1!$X$48:$Z$67,MATCH(Table1[[#This Row], [ROOM]],Sheet1!$P$48:$P$67,0),MATCH(Table1[[#This Row], [WEAPON]],Sheet1!$X$47:$Z$47,0)))/Table1[[#This Row], [NUM OF MEM]]</f>
        <v>4.95</v>
      </c>
      <c r="Q947" s="9">
        <f>Table1[[#This Row], [ROOM TIME]]+Table1[[#This Row], [GUARD TIME]]</f>
        <v>45.351111111111102</v>
      </c>
      <c r="R947" s="4">
        <f>Sheet1!$K$3*_xlfn.XLOOKUP(Table1[[#This Row], [DISGUISE]],Sheet1!$A$21:$A$23,Sheet1!$D$21:$D$23)</f>
        <v>69</v>
      </c>
      <c r="S947" s="9">
        <f>Table1[[#This Row], [TOTAL TIME]]-Table1[[#This Row], [TOTAL TIME TAKEN]]</f>
        <v>23.648888888888898</v>
      </c>
      <c r="T947" t="str">
        <f>IF(Table1[[#This Row], [TIME DIFFERENCE]]&gt;=0,"PASS","FAIL")</f>
        <v>PASS</v>
      </c>
      <c r="U947" s="9">
        <f>Table1[[#This Row], [TRC]]+Table1[[#This Row], [DRC]]+Table1[[#This Row], [WRC]]+Table1[[#This Row], [ERC]]+Table1[[#This Row], [EQRC]]</f>
        <v>7859401.1999999993</v>
      </c>
      <c r="V947" s="9">
        <f>Table1[[#This Row], [TOTAL COST]]+_xlfn.XLOOKUP(Table1[[#This Row], [TEAM]],Sheet1!$A$12:$A$17,Sheet1!$I$12:$I$17)</f>
        <v>8158838.6999999993</v>
      </c>
      <c r="W947" s="9">
        <f>Table1[[#This Row], [LOOT]]-Table1[[#This Row], [TOTAL COST]]</f>
        <v>9590598.8000000007</v>
      </c>
      <c r="X947" s="9">
        <f>IF(Table1[[#This Row], [PASS/FAIL]]="FAIL",0,Table1[[#This Row], [PROFIT]])</f>
        <v>9590598.8000000007</v>
      </c>
    </row>
    <row r="948" spans="1:24" ht="19.5" customHeight="1" x14ac:dyDescent="0.45">
      <c r="A948" t="s">
        <v>16</v>
      </c>
      <c r="B948" s="14">
        <f>_xlfn.XLOOKUP(Table1[[#This Row], [TEAM]],Sheet1!$A$12:$A$17,Sheet1!$F$12:$F$17)</f>
        <v>2</v>
      </c>
      <c r="C948" s="14">
        <f>_xlfn.XLOOKUP(Table1[[#This Row], [TEAM]],Sheet1!$A$12:$A$17,Sheet1!$G$12:$G$17)</f>
        <v>6082800</v>
      </c>
      <c r="D948" t="s">
        <v>28</v>
      </c>
      <c r="E948" s="4">
        <f>_xlfn.XLOOKUP(Table1[[#This Row], [ROOM]],Sheet1!$A$47:$A$66,Sheet1!$B$47:$B$66)</f>
        <v>156</v>
      </c>
      <c r="F948" t="s">
        <v>62</v>
      </c>
      <c r="G948" s="4">
        <f>_xlfn.XLOOKUP(Table1[[#This Row], [DISGUISE]],Sheet1!$A$21:$A$23,Sheet1!$B$21:$B$23)*Table1[[#This Row], [NUM OF MEM]]*(1+_xlfn.XLOOKUP(Table1[[#This Row], [DISGUISE]],Sheet1!$A$21:$A$23,Sheet1!$C$21:$C$23))</f>
        <v>10400</v>
      </c>
      <c r="H948" s="13" t="s">
        <v>66</v>
      </c>
      <c r="I948" s="4">
        <f>_xlfn.XLOOKUP(Table1[[#This Row], [WEAPON]],Sheet1!$A$27:$A$29,Sheet1!$B$27:$B$29)*Table1[[#This Row], [NUM OF MEM]]*(1+_xlfn.XLOOKUP(Table1[[#This Row], [WEAPON]],Sheet1!$A$27:$A$29,Sheet1!$C$27:$C$29))</f>
        <v>72000</v>
      </c>
      <c r="J948" t="s">
        <v>60</v>
      </c>
      <c r="K948" s="9">
        <f>Table1[[#This Row], [NUM OF MEM]]*Table1[[#This Row], [TOTAL TIME TAKEN]]*_xlfn.XLOOKUP(Table1[[#This Row], [EXIT]],Sheet1!$A$70:$A$71,Sheet1!$B$70:$B$71)*(1+_xlfn.XLOOKUP(Table1[[#This Row], [EXIT]],Sheet1!$A$70:$A$71,Sheet1!$C$70:$C$71))</f>
        <v>1587412.3312499996</v>
      </c>
      <c r="L948" s="13" t="s">
        <v>65</v>
      </c>
      <c r="M948" s="4">
        <f>IF(Table1[[#This Row], [EQUIPMENT]]="YES",Sheet1!$C$44*(1+Sheet1!$D$44),0)</f>
        <v>307500</v>
      </c>
      <c r="N948" s="4">
        <f>_xlfn.XLOOKUP(Table1[[#This Row], [ROOM]],Sheet1!$A$47:$A$66,Sheet1!$F$47:$F$66)</f>
        <v>17650000</v>
      </c>
      <c r="O948" s="9">
        <f>_xlfn.XLOOKUP(_xlfn.CONCAT(Table1[[#This Row], [TEAM]],Table1[[#This Row], [ROOM]]),'ROOM TIME'!$H$2:$H$121,'ROOM TIME'!$J$2:$J$121)</f>
        <v>55.601249999999986</v>
      </c>
      <c r="P948" s="9">
        <f>(INDEX(Sheet1!$X$48:$Z$67,MATCH(Table1[[#This Row], [ROOM]],Sheet1!$P$48:$P$67,0),MATCH(Table1[[#This Row], [WEAPON]],Sheet1!$X$47:$Z$47,0)))/Table1[[#This Row], [NUM OF MEM]]</f>
        <v>6.25</v>
      </c>
      <c r="Q948" s="9">
        <f>Table1[[#This Row], [ROOM TIME]]+Table1[[#This Row], [GUARD TIME]]</f>
        <v>61.851249999999986</v>
      </c>
      <c r="R948" s="4">
        <f>Sheet1!$K$3*_xlfn.XLOOKUP(Table1[[#This Row], [DISGUISE]],Sheet1!$A$21:$A$23,Sheet1!$D$21:$D$23)</f>
        <v>66</v>
      </c>
      <c r="S948" s="9">
        <f>Table1[[#This Row], [TOTAL TIME]]-Table1[[#This Row], [TOTAL TIME TAKEN]]</f>
        <v>4.1487500000000139</v>
      </c>
      <c r="T948" t="str">
        <f>IF(Table1[[#This Row], [TIME DIFFERENCE]]&gt;=0,"PASS","FAIL")</f>
        <v>PASS</v>
      </c>
      <c r="U948" s="9">
        <f>Table1[[#This Row], [TRC]]+Table1[[#This Row], [DRC]]+Table1[[#This Row], [WRC]]+Table1[[#This Row], [ERC]]+Table1[[#This Row], [EQRC]]</f>
        <v>8060112.3312499998</v>
      </c>
      <c r="V948" s="9">
        <f>Table1[[#This Row], [TOTAL COST]]+_xlfn.XLOOKUP(Table1[[#This Row], [TEAM]],Sheet1!$A$12:$A$17,Sheet1!$I$12:$I$17)</f>
        <v>8364252.3312499998</v>
      </c>
      <c r="W948" s="9">
        <f>Table1[[#This Row], [LOOT]]-Table1[[#This Row], [TOTAL COST]]</f>
        <v>9589887.6687499993</v>
      </c>
      <c r="X948" s="9">
        <f>IF(Table1[[#This Row], [PASS/FAIL]]="FAIL",0,Table1[[#This Row], [PROFIT]])</f>
        <v>9589887.6687499993</v>
      </c>
    </row>
    <row r="949" spans="1:24" ht="19.5" customHeight="1" x14ac:dyDescent="0.45">
      <c r="A949" t="s">
        <v>13</v>
      </c>
      <c r="B949" s="14">
        <f>_xlfn.XLOOKUP(Table1[[#This Row], [TEAM]],Sheet1!$A$12:$A$17,Sheet1!$F$12:$F$17)</f>
        <v>3</v>
      </c>
      <c r="C949" s="14">
        <f>_xlfn.XLOOKUP(Table1[[#This Row], [TEAM]],Sheet1!$A$12:$A$17,Sheet1!$G$12:$G$17)</f>
        <v>5930000</v>
      </c>
      <c r="D949" t="s">
        <v>11</v>
      </c>
      <c r="E949" s="4">
        <f>_xlfn.XLOOKUP(Table1[[#This Row], [ROOM]],Sheet1!$A$47:$A$66,Sheet1!$B$47:$B$66)</f>
        <v>124</v>
      </c>
      <c r="F949" t="s">
        <v>62</v>
      </c>
      <c r="G949" s="4">
        <f>_xlfn.XLOOKUP(Table1[[#This Row], [DISGUISE]],Sheet1!$A$21:$A$23,Sheet1!$B$21:$B$23)*Table1[[#This Row], [NUM OF MEM]]*(1+_xlfn.XLOOKUP(Table1[[#This Row], [DISGUISE]],Sheet1!$A$21:$A$23,Sheet1!$C$21:$C$23))</f>
        <v>15600</v>
      </c>
      <c r="H949" s="13" t="s">
        <v>63</v>
      </c>
      <c r="I949" s="4">
        <f>_xlfn.XLOOKUP(Table1[[#This Row], [WEAPON]],Sheet1!$A$27:$A$29,Sheet1!$B$27:$B$29)*Table1[[#This Row], [NUM OF MEM]]*(1+_xlfn.XLOOKUP(Table1[[#This Row], [WEAPON]],Sheet1!$A$27:$A$29,Sheet1!$C$27:$C$29))</f>
        <v>69000</v>
      </c>
      <c r="J949" t="s">
        <v>64</v>
      </c>
      <c r="K949" s="9">
        <f>Table1[[#This Row], [NUM OF MEM]]*Table1[[#This Row], [TOTAL TIME TAKEN]]*_xlfn.XLOOKUP(Table1[[#This Row], [EXIT]],Sheet1!$A$70:$A$71,Sheet1!$B$70:$B$71)*(1+_xlfn.XLOOKUP(Table1[[#This Row], [EXIT]],Sheet1!$A$70:$A$71,Sheet1!$C$70:$C$71))</f>
        <v>1845676.8</v>
      </c>
      <c r="L949" s="13" t="s">
        <v>61</v>
      </c>
      <c r="M949" s="4">
        <f>IF(Table1[[#This Row], [EQUIPMENT]]="YES",Sheet1!$C$44*(1+Sheet1!$D$44),0)</f>
        <v>0</v>
      </c>
      <c r="N949" s="4">
        <f>_xlfn.XLOOKUP(Table1[[#This Row], [ROOM]],Sheet1!$A$47:$A$66,Sheet1!$F$47:$F$66)</f>
        <v>17450000</v>
      </c>
      <c r="O949" s="9">
        <f>_xlfn.XLOOKUP(_xlfn.CONCAT(Table1[[#This Row], [TEAM]],Table1[[#This Row], [ROOM]]),'ROOM TIME'!$H$2:$H$121,'ROOM TIME'!$J$2:$J$121)</f>
        <v>42.521111111111104</v>
      </c>
      <c r="P949" s="9">
        <f>(INDEX(Sheet1!$X$48:$Z$67,MATCH(Table1[[#This Row], [ROOM]],Sheet1!$P$48:$P$67,0),MATCH(Table1[[#This Row], [WEAPON]],Sheet1!$X$47:$Z$47,0)))/Table1[[#This Row], [NUM OF MEM]]</f>
        <v>4.95</v>
      </c>
      <c r="Q949" s="9">
        <f>Table1[[#This Row], [ROOM TIME]]+Table1[[#This Row], [GUARD TIME]]</f>
        <v>47.471111111111107</v>
      </c>
      <c r="R949" s="4">
        <f>Sheet1!$K$3*_xlfn.XLOOKUP(Table1[[#This Row], [DISGUISE]],Sheet1!$A$21:$A$23,Sheet1!$D$21:$D$23)</f>
        <v>66</v>
      </c>
      <c r="S949" s="9">
        <f>Table1[[#This Row], [TOTAL TIME]]-Table1[[#This Row], [TOTAL TIME TAKEN]]</f>
        <v>18.528888888888893</v>
      </c>
      <c r="T949" t="str">
        <f>IF(Table1[[#This Row], [TIME DIFFERENCE]]&gt;=0,"PASS","FAIL")</f>
        <v>PASS</v>
      </c>
      <c r="U949" s="9">
        <f>Table1[[#This Row], [TRC]]+Table1[[#This Row], [DRC]]+Table1[[#This Row], [WRC]]+Table1[[#This Row], [ERC]]+Table1[[#This Row], [EQRC]]</f>
        <v>7860276.7999999998</v>
      </c>
      <c r="V949" s="9">
        <f>Table1[[#This Row], [TOTAL COST]]+_xlfn.XLOOKUP(Table1[[#This Row], [TEAM]],Sheet1!$A$12:$A$17,Sheet1!$I$12:$I$17)</f>
        <v>8156776.7999999998</v>
      </c>
      <c r="W949" s="9">
        <f>Table1[[#This Row], [LOOT]]-Table1[[#This Row], [TOTAL COST]]</f>
        <v>9589723.1999999993</v>
      </c>
      <c r="X949" s="9">
        <f>IF(Table1[[#This Row], [PASS/FAIL]]="FAIL",0,Table1[[#This Row], [PROFIT]])</f>
        <v>9589723.1999999993</v>
      </c>
    </row>
    <row r="950" spans="1:24" ht="19.5" customHeight="1" x14ac:dyDescent="0.45">
      <c r="A950" t="s">
        <v>12</v>
      </c>
      <c r="B950" s="14">
        <f>_xlfn.XLOOKUP(Table1[[#This Row], [TEAM]],Sheet1!$A$12:$A$17,Sheet1!$F$12:$F$17)</f>
        <v>3</v>
      </c>
      <c r="C950" s="14">
        <f>_xlfn.XLOOKUP(Table1[[#This Row], [TEAM]],Sheet1!$A$12:$A$17,Sheet1!$G$12:$G$17)</f>
        <v>5988750</v>
      </c>
      <c r="D950" t="s">
        <v>11</v>
      </c>
      <c r="E950" s="4">
        <f>_xlfn.XLOOKUP(Table1[[#This Row], [ROOM]],Sheet1!$A$47:$A$66,Sheet1!$B$47:$B$66)</f>
        <v>124</v>
      </c>
      <c r="F950" t="s">
        <v>62</v>
      </c>
      <c r="G950" s="4">
        <f>_xlfn.XLOOKUP(Table1[[#This Row], [DISGUISE]],Sheet1!$A$21:$A$23,Sheet1!$B$21:$B$23)*Table1[[#This Row], [NUM OF MEM]]*(1+_xlfn.XLOOKUP(Table1[[#This Row], [DISGUISE]],Sheet1!$A$21:$A$23,Sheet1!$C$21:$C$23))</f>
        <v>15600</v>
      </c>
      <c r="H950" s="13" t="s">
        <v>66</v>
      </c>
      <c r="I950" s="4">
        <f>_xlfn.XLOOKUP(Table1[[#This Row], [WEAPON]],Sheet1!$A$27:$A$29,Sheet1!$B$27:$B$29)*Table1[[#This Row], [NUM OF MEM]]*(1+_xlfn.XLOOKUP(Table1[[#This Row], [WEAPON]],Sheet1!$A$27:$A$29,Sheet1!$C$27:$C$29))</f>
        <v>108000</v>
      </c>
      <c r="J950" t="s">
        <v>64</v>
      </c>
      <c r="K950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1748995.1999999997</v>
      </c>
      <c r="L950" s="13" t="s">
        <v>61</v>
      </c>
      <c r="M950" s="4">
        <f>IF(Table1[[#This Row], [EQUIPMENT]]="YES",Sheet1!$C$44*(1+Sheet1!$D$44),0)</f>
        <v>0</v>
      </c>
      <c r="N950" s="4">
        <f>_xlfn.XLOOKUP(Table1[[#This Row], [ROOM]],Sheet1!$A$47:$A$66,Sheet1!$F$47:$F$66)</f>
        <v>17450000</v>
      </c>
      <c r="O950" s="9">
        <f>_xlfn.XLOOKUP(_xlfn.CONCAT(Table1[[#This Row], [TEAM]],Table1[[#This Row], [ROOM]]),'ROOM TIME'!$H$2:$H$121,'ROOM TIME'!$J$2:$J$121)</f>
        <v>40.401111111111099</v>
      </c>
      <c r="P950" s="9">
        <f>(INDEX(Sheet1!$X$48:$Z$67,MATCH(Table1[[#This Row], [ROOM]],Sheet1!$P$48:$P$67,0),MATCH(Table1[[#This Row], [WEAPON]],Sheet1!$X$47:$Z$47,0)))/Table1[[#This Row], [NUM OF MEM]]</f>
        <v>4.583333333333333</v>
      </c>
      <c r="Q950" s="9">
        <f>Table1[[#This Row], [ROOM TIME]]+Table1[[#This Row], [GUARD TIME]]</f>
        <v>44.984444444444435</v>
      </c>
      <c r="R950" s="4">
        <f>Sheet1!$K$3*_xlfn.XLOOKUP(Table1[[#This Row], [DISGUISE]],Sheet1!$A$21:$A$23,Sheet1!$D$21:$D$23)</f>
        <v>66</v>
      </c>
      <c r="S950" s="9">
        <f>Table1[[#This Row], [TOTAL TIME]]-Table1[[#This Row], [TOTAL TIME TAKEN]]</f>
        <v>21.015555555555565</v>
      </c>
      <c r="T950" t="str">
        <f>IF(Table1[[#This Row], [TIME DIFFERENCE]]&gt;=0,"PASS","FAIL")</f>
        <v>PASS</v>
      </c>
      <c r="U950" s="9">
        <f>Table1[[#This Row], [TRC]]+Table1[[#This Row], [DRC]]+Table1[[#This Row], [WRC]]+Table1[[#This Row], [ERC]]+Table1[[#This Row], [EQRC]]</f>
        <v>7861345.1999999993</v>
      </c>
      <c r="V950" s="9">
        <f>Table1[[#This Row], [TOTAL COST]]+_xlfn.XLOOKUP(Table1[[#This Row], [TEAM]],Sheet1!$A$12:$A$17,Sheet1!$I$12:$I$17)</f>
        <v>8160782.6999999993</v>
      </c>
      <c r="W950" s="9">
        <f>Table1[[#This Row], [LOOT]]-Table1[[#This Row], [TOTAL COST]]</f>
        <v>9588654.8000000007</v>
      </c>
      <c r="X950" s="9">
        <f>IF(Table1[[#This Row], [PASS/FAIL]]="FAIL",0,Table1[[#This Row], [PROFIT]])</f>
        <v>9588654.8000000007</v>
      </c>
    </row>
    <row r="951" spans="1:24" ht="19.5" customHeight="1" x14ac:dyDescent="0.45">
      <c r="A951" t="s">
        <v>13</v>
      </c>
      <c r="B951" s="14">
        <f>_xlfn.XLOOKUP(Table1[[#This Row], [TEAM]],Sheet1!$A$12:$A$17,Sheet1!$F$12:$F$17)</f>
        <v>3</v>
      </c>
      <c r="C951" s="14">
        <f>_xlfn.XLOOKUP(Table1[[#This Row], [TEAM]],Sheet1!$A$12:$A$17,Sheet1!$G$12:$G$17)</f>
        <v>5930000</v>
      </c>
      <c r="D951" t="s">
        <v>22</v>
      </c>
      <c r="E951" s="4">
        <f>_xlfn.XLOOKUP(Table1[[#This Row], [ROOM]],Sheet1!$A$47:$A$66,Sheet1!$B$47:$B$66)</f>
        <v>235</v>
      </c>
      <c r="F951" t="s">
        <v>62</v>
      </c>
      <c r="G951" s="4">
        <f>_xlfn.XLOOKUP(Table1[[#This Row], [DISGUISE]],Sheet1!$A$21:$A$23,Sheet1!$B$21:$B$23)*Table1[[#This Row], [NUM OF MEM]]*(1+_xlfn.XLOOKUP(Table1[[#This Row], [DISGUISE]],Sheet1!$A$21:$A$23,Sheet1!$C$21:$C$23))</f>
        <v>15600</v>
      </c>
      <c r="H951" s="13" t="s">
        <v>63</v>
      </c>
      <c r="I951" s="4">
        <f>_xlfn.XLOOKUP(Table1[[#This Row], [WEAPON]],Sheet1!$A$27:$A$29,Sheet1!$B$27:$B$29)*Table1[[#This Row], [NUM OF MEM]]*(1+_xlfn.XLOOKUP(Table1[[#This Row], [WEAPON]],Sheet1!$A$27:$A$29,Sheet1!$C$27:$C$29))</f>
        <v>69000</v>
      </c>
      <c r="J951" t="s">
        <v>64</v>
      </c>
      <c r="K951" s="9">
        <f>Table1[[#This Row], [NUM OF MEM]]*Table1[[#This Row], [TOTAL TIME TAKEN]]*_xlfn.XLOOKUP(Table1[[#This Row], [EXIT]],Sheet1!$A$70:$A$71,Sheet1!$B$70:$B$71)*(1+_xlfn.XLOOKUP(Table1[[#This Row], [EXIT]],Sheet1!$A$70:$A$71,Sheet1!$C$70:$C$71))</f>
        <v>1890021.5999999996</v>
      </c>
      <c r="L951" s="13" t="s">
        <v>65</v>
      </c>
      <c r="M951" s="4">
        <f>IF(Table1[[#This Row], [EQUIPMENT]]="YES",Sheet1!$C$44*(1+Sheet1!$D$44),0)</f>
        <v>307500</v>
      </c>
      <c r="N951" s="4">
        <f>_xlfn.XLOOKUP(Table1[[#This Row], [ROOM]],Sheet1!$A$47:$A$66,Sheet1!$F$47:$F$66)</f>
        <v>17800000</v>
      </c>
      <c r="O951" s="9">
        <f>_xlfn.XLOOKUP(_xlfn.CONCAT(Table1[[#This Row], [TEAM]],Table1[[#This Row], [ROOM]]),'ROOM TIME'!$H$2:$H$121,'ROOM TIME'!$J$2:$J$121)</f>
        <v>43.211666666666666</v>
      </c>
      <c r="P951" s="9">
        <f>(INDEX(Sheet1!$X$48:$Z$67,MATCH(Table1[[#This Row], [ROOM]],Sheet1!$P$48:$P$67,0),MATCH(Table1[[#This Row], [WEAPON]],Sheet1!$X$47:$Z$47,0)))/Table1[[#This Row], [NUM OF MEM]]</f>
        <v>5.4000000000000012</v>
      </c>
      <c r="Q951" s="9">
        <f>Table1[[#This Row], [ROOM TIME]]+Table1[[#This Row], [GUARD TIME]]</f>
        <v>48.611666666666665</v>
      </c>
      <c r="R951" s="4">
        <f>Sheet1!$K$3*_xlfn.XLOOKUP(Table1[[#This Row], [DISGUISE]],Sheet1!$A$21:$A$23,Sheet1!$D$21:$D$23)</f>
        <v>66</v>
      </c>
      <c r="S951" s="9">
        <f>Table1[[#This Row], [TOTAL TIME]]-Table1[[#This Row], [TOTAL TIME TAKEN]]</f>
        <v>17.388333333333335</v>
      </c>
      <c r="T951" t="str">
        <f>IF(Table1[[#This Row], [TIME DIFFERENCE]]&gt;=0,"PASS","FAIL")</f>
        <v>PASS</v>
      </c>
      <c r="U951" s="9">
        <f>Table1[[#This Row], [TRC]]+Table1[[#This Row], [DRC]]+Table1[[#This Row], [WRC]]+Table1[[#This Row], [ERC]]+Table1[[#This Row], [EQRC]]</f>
        <v>8212121.5999999996</v>
      </c>
      <c r="V951" s="9">
        <f>Table1[[#This Row], [TOTAL COST]]+_xlfn.XLOOKUP(Table1[[#This Row], [TEAM]],Sheet1!$A$12:$A$17,Sheet1!$I$12:$I$17)</f>
        <v>8508621.5999999996</v>
      </c>
      <c r="W951" s="9">
        <f>Table1[[#This Row], [LOOT]]-Table1[[#This Row], [TOTAL COST]]</f>
        <v>9587878.4000000004</v>
      </c>
      <c r="X951" s="9">
        <f>IF(Table1[[#This Row], [PASS/FAIL]]="FAIL",0,Table1[[#This Row], [PROFIT]])</f>
        <v>9587878.4000000004</v>
      </c>
    </row>
    <row r="952" spans="1:24" ht="19.5" customHeight="1" x14ac:dyDescent="0.45">
      <c r="A952" t="s">
        <v>16</v>
      </c>
      <c r="B952" s="14">
        <f>_xlfn.XLOOKUP(Table1[[#This Row], [TEAM]],Sheet1!$A$12:$A$17,Sheet1!$F$12:$F$17)</f>
        <v>2</v>
      </c>
      <c r="C952" s="14">
        <f>_xlfn.XLOOKUP(Table1[[#This Row], [TEAM]],Sheet1!$A$12:$A$17,Sheet1!$G$12:$G$17)</f>
        <v>6082800</v>
      </c>
      <c r="D952" t="s">
        <v>28</v>
      </c>
      <c r="E952" s="4">
        <f>_xlfn.XLOOKUP(Table1[[#This Row], [ROOM]],Sheet1!$A$47:$A$66,Sheet1!$B$47:$B$66)</f>
        <v>156</v>
      </c>
      <c r="F952" t="s">
        <v>58</v>
      </c>
      <c r="G952" s="4">
        <f>_xlfn.XLOOKUP(Table1[[#This Row], [DISGUISE]],Sheet1!$A$21:$A$23,Sheet1!$B$21:$B$23)*Table1[[#This Row], [NUM OF MEM]]*(1+_xlfn.XLOOKUP(Table1[[#This Row], [DISGUISE]],Sheet1!$A$21:$A$23,Sheet1!$C$21:$C$23))</f>
        <v>25600</v>
      </c>
      <c r="H952" s="13" t="s">
        <v>63</v>
      </c>
      <c r="I952" s="4">
        <f>_xlfn.XLOOKUP(Table1[[#This Row], [WEAPON]],Sheet1!$A$27:$A$29,Sheet1!$B$27:$B$29)*Table1[[#This Row], [NUM OF MEM]]*(1+_xlfn.XLOOKUP(Table1[[#This Row], [WEAPON]],Sheet1!$A$27:$A$29,Sheet1!$C$27:$C$29))</f>
        <v>46000</v>
      </c>
      <c r="J952" t="s">
        <v>60</v>
      </c>
      <c r="K952" s="9">
        <f>Table1[[#This Row], [NUM OF MEM]]*Table1[[#This Row], [TOTAL TIME TAKEN]]*_xlfn.XLOOKUP(Table1[[#This Row], [EXIT]],Sheet1!$A$70:$A$71,Sheet1!$B$70:$B$71)*(1+_xlfn.XLOOKUP(Table1[[#This Row], [EXIT]],Sheet1!$A$70:$A$71,Sheet1!$C$70:$C$71))</f>
        <v>1600244.8312499996</v>
      </c>
      <c r="L952" s="13" t="s">
        <v>65</v>
      </c>
      <c r="M952" s="4">
        <f>IF(Table1[[#This Row], [EQUIPMENT]]="YES",Sheet1!$C$44*(1+Sheet1!$D$44),0)</f>
        <v>307500</v>
      </c>
      <c r="N952" s="4">
        <f>_xlfn.XLOOKUP(Table1[[#This Row], [ROOM]],Sheet1!$A$47:$A$66,Sheet1!$F$47:$F$66)</f>
        <v>17650000</v>
      </c>
      <c r="O952" s="9">
        <f>_xlfn.XLOOKUP(_xlfn.CONCAT(Table1[[#This Row], [TEAM]],Table1[[#This Row], [ROOM]]),'ROOM TIME'!$H$2:$H$121,'ROOM TIME'!$J$2:$J$121)</f>
        <v>55.601249999999986</v>
      </c>
      <c r="P952" s="9">
        <f>(INDEX(Sheet1!$X$48:$Z$67,MATCH(Table1[[#This Row], [ROOM]],Sheet1!$P$48:$P$67,0),MATCH(Table1[[#This Row], [WEAPON]],Sheet1!$X$47:$Z$47,0)))/Table1[[#This Row], [NUM OF MEM]]</f>
        <v>6.75</v>
      </c>
      <c r="Q952" s="9">
        <f>Table1[[#This Row], [ROOM TIME]]+Table1[[#This Row], [GUARD TIME]]</f>
        <v>62.351249999999986</v>
      </c>
      <c r="R952" s="4">
        <f>Sheet1!$K$3*_xlfn.XLOOKUP(Table1[[#This Row], [DISGUISE]],Sheet1!$A$21:$A$23,Sheet1!$D$21:$D$23)</f>
        <v>69</v>
      </c>
      <c r="S952" s="9">
        <f>Table1[[#This Row], [TOTAL TIME]]-Table1[[#This Row], [TOTAL TIME TAKEN]]</f>
        <v>6.6487500000000139</v>
      </c>
      <c r="T952" t="str">
        <f>IF(Table1[[#This Row], [TIME DIFFERENCE]]&gt;=0,"PASS","FAIL")</f>
        <v>PASS</v>
      </c>
      <c r="U952" s="9">
        <f>Table1[[#This Row], [TRC]]+Table1[[#This Row], [DRC]]+Table1[[#This Row], [WRC]]+Table1[[#This Row], [ERC]]+Table1[[#This Row], [EQRC]]</f>
        <v>8062144.8312499998</v>
      </c>
      <c r="V952" s="9">
        <f>Table1[[#This Row], [TOTAL COST]]+_xlfn.XLOOKUP(Table1[[#This Row], [TEAM]],Sheet1!$A$12:$A$17,Sheet1!$I$12:$I$17)</f>
        <v>8366284.8312499998</v>
      </c>
      <c r="W952" s="9">
        <f>Table1[[#This Row], [LOOT]]-Table1[[#This Row], [TOTAL COST]]</f>
        <v>9587855.1687499993</v>
      </c>
      <c r="X952" s="9">
        <f>IF(Table1[[#This Row], [PASS/FAIL]]="FAIL",0,Table1[[#This Row], [PROFIT]])</f>
        <v>9587855.1687499993</v>
      </c>
    </row>
    <row r="953" spans="1:24" ht="19.5" customHeight="1" x14ac:dyDescent="0.45">
      <c r="A953" t="s">
        <v>16</v>
      </c>
      <c r="B953" s="14">
        <f>_xlfn.XLOOKUP(Table1[[#This Row], [TEAM]],Sheet1!$A$12:$A$17,Sheet1!$F$12:$F$17)</f>
        <v>2</v>
      </c>
      <c r="C953" s="14">
        <f>_xlfn.XLOOKUP(Table1[[#This Row], [TEAM]],Sheet1!$A$12:$A$17,Sheet1!$G$12:$G$17)</f>
        <v>6082800</v>
      </c>
      <c r="D953" t="s">
        <v>28</v>
      </c>
      <c r="E953" s="4">
        <f>_xlfn.XLOOKUP(Table1[[#This Row], [ROOM]],Sheet1!$A$47:$A$66,Sheet1!$B$47:$B$66)</f>
        <v>156</v>
      </c>
      <c r="F953" t="s">
        <v>62</v>
      </c>
      <c r="G953" s="4">
        <f>_xlfn.XLOOKUP(Table1[[#This Row], [DISGUISE]],Sheet1!$A$21:$A$23,Sheet1!$B$21:$B$23)*Table1[[#This Row], [NUM OF MEM]]*(1+_xlfn.XLOOKUP(Table1[[#This Row], [DISGUISE]],Sheet1!$A$21:$A$23,Sheet1!$C$21:$C$23))</f>
        <v>10400</v>
      </c>
      <c r="H953" s="13" t="s">
        <v>63</v>
      </c>
      <c r="I953" s="4">
        <f>_xlfn.XLOOKUP(Table1[[#This Row], [WEAPON]],Sheet1!$A$27:$A$29,Sheet1!$B$27:$B$29)*Table1[[#This Row], [NUM OF MEM]]*(1+_xlfn.XLOOKUP(Table1[[#This Row], [WEAPON]],Sheet1!$A$27:$A$29,Sheet1!$C$27:$C$29))</f>
        <v>46000</v>
      </c>
      <c r="J953" t="s">
        <v>64</v>
      </c>
      <c r="K953" s="9">
        <f>Table1[[#This Row], [NUM OF MEM]]*Table1[[#This Row], [TOTAL TIME TAKEN]]*_xlfn.XLOOKUP(Table1[[#This Row], [EXIT]],Sheet1!$A$70:$A$71,Sheet1!$B$70:$B$71)*(1+_xlfn.XLOOKUP(Table1[[#This Row], [EXIT]],Sheet1!$A$70:$A$71,Sheet1!$C$70:$C$71))</f>
        <v>1616144.3999999997</v>
      </c>
      <c r="L953" s="13" t="s">
        <v>65</v>
      </c>
      <c r="M953" s="4">
        <f>IF(Table1[[#This Row], [EQUIPMENT]]="YES",Sheet1!$C$44*(1+Sheet1!$D$44),0)</f>
        <v>307500</v>
      </c>
      <c r="N953" s="4">
        <f>_xlfn.XLOOKUP(Table1[[#This Row], [ROOM]],Sheet1!$A$47:$A$66,Sheet1!$F$47:$F$66)</f>
        <v>17650000</v>
      </c>
      <c r="O953" s="9">
        <f>_xlfn.XLOOKUP(_xlfn.CONCAT(Table1[[#This Row], [TEAM]],Table1[[#This Row], [ROOM]]),'ROOM TIME'!$H$2:$H$121,'ROOM TIME'!$J$2:$J$121)</f>
        <v>55.601249999999986</v>
      </c>
      <c r="P953" s="9">
        <f>(INDEX(Sheet1!$X$48:$Z$67,MATCH(Table1[[#This Row], [ROOM]],Sheet1!$P$48:$P$67,0),MATCH(Table1[[#This Row], [WEAPON]],Sheet1!$X$47:$Z$47,0)))/Table1[[#This Row], [NUM OF MEM]]</f>
        <v>6.75</v>
      </c>
      <c r="Q953" s="9">
        <f>Table1[[#This Row], [ROOM TIME]]+Table1[[#This Row], [GUARD TIME]]</f>
        <v>62.351249999999986</v>
      </c>
      <c r="R953" s="4">
        <f>Sheet1!$K$3*_xlfn.XLOOKUP(Table1[[#This Row], [DISGUISE]],Sheet1!$A$21:$A$23,Sheet1!$D$21:$D$23)</f>
        <v>66</v>
      </c>
      <c r="S953" s="9">
        <f>Table1[[#This Row], [TOTAL TIME]]-Table1[[#This Row], [TOTAL TIME TAKEN]]</f>
        <v>3.6487500000000139</v>
      </c>
      <c r="T953" t="str">
        <f>IF(Table1[[#This Row], [TIME DIFFERENCE]]&gt;=0,"PASS","FAIL")</f>
        <v>PASS</v>
      </c>
      <c r="U953" s="9">
        <f>Table1[[#This Row], [TRC]]+Table1[[#This Row], [DRC]]+Table1[[#This Row], [WRC]]+Table1[[#This Row], [ERC]]+Table1[[#This Row], [EQRC]]</f>
        <v>8062844.3999999994</v>
      </c>
      <c r="V953" s="9">
        <f>Table1[[#This Row], [TOTAL COST]]+_xlfn.XLOOKUP(Table1[[#This Row], [TEAM]],Sheet1!$A$12:$A$17,Sheet1!$I$12:$I$17)</f>
        <v>8366984.3999999994</v>
      </c>
      <c r="W953" s="9">
        <f>Table1[[#This Row], [LOOT]]-Table1[[#This Row], [TOTAL COST]]</f>
        <v>9587155.6000000015</v>
      </c>
      <c r="X953" s="9">
        <f>IF(Table1[[#This Row], [PASS/FAIL]]="FAIL",0,Table1[[#This Row], [PROFIT]])</f>
        <v>9587155.6000000015</v>
      </c>
    </row>
    <row r="954" spans="1:24" ht="19.5" customHeight="1" x14ac:dyDescent="0.45">
      <c r="A954" t="s">
        <v>15</v>
      </c>
      <c r="B954" s="14">
        <f>_xlfn.XLOOKUP(Table1[[#This Row], [TEAM]],Sheet1!$A$12:$A$17,Sheet1!$F$12:$F$17)</f>
        <v>2</v>
      </c>
      <c r="C954" s="14">
        <f>_xlfn.XLOOKUP(Table1[[#This Row], [TEAM]],Sheet1!$A$12:$A$17,Sheet1!$G$12:$G$17)</f>
        <v>5932950</v>
      </c>
      <c r="D954" t="s">
        <v>17</v>
      </c>
      <c r="E954" s="4">
        <f>_xlfn.XLOOKUP(Table1[[#This Row], [ROOM]],Sheet1!$A$47:$A$66,Sheet1!$B$47:$B$66)</f>
        <v>125</v>
      </c>
      <c r="F954" t="s">
        <v>58</v>
      </c>
      <c r="G954" s="4">
        <f>_xlfn.XLOOKUP(Table1[[#This Row], [DISGUISE]],Sheet1!$A$21:$A$23,Sheet1!$B$21:$B$23)*Table1[[#This Row], [NUM OF MEM]]*(1+_xlfn.XLOOKUP(Table1[[#This Row], [DISGUISE]],Sheet1!$A$21:$A$23,Sheet1!$C$21:$C$23))</f>
        <v>25600</v>
      </c>
      <c r="H954" s="13" t="s">
        <v>59</v>
      </c>
      <c r="I954" s="4">
        <f>_xlfn.XLOOKUP(Table1[[#This Row], [WEAPON]],Sheet1!$A$27:$A$29,Sheet1!$B$27:$B$29)*Table1[[#This Row], [NUM OF MEM]]*(1+_xlfn.XLOOKUP(Table1[[#This Row], [WEAPON]],Sheet1!$A$27:$A$29,Sheet1!$C$27:$C$29))</f>
        <v>91000</v>
      </c>
      <c r="J954" t="s">
        <v>64</v>
      </c>
      <c r="K954" s="9">
        <f>Table1[[#This Row], [NUM OF MEM]]*Table1[[#This Row], [TOTAL TIME TAKEN]]*_xlfn.XLOOKUP(Table1[[#This Row], [EXIT]],Sheet1!$A$70:$A$71,Sheet1!$B$70:$B$71)*(1+_xlfn.XLOOKUP(Table1[[#This Row], [EXIT]],Sheet1!$A$70:$A$71,Sheet1!$C$70:$C$71))</f>
        <v>1713376.7999999996</v>
      </c>
      <c r="L954" s="13" t="s">
        <v>61</v>
      </c>
      <c r="M954" s="4">
        <f>IF(Table1[[#This Row], [EQUIPMENT]]="YES",Sheet1!$C$44*(1+Sheet1!$D$44),0)</f>
        <v>0</v>
      </c>
      <c r="N954" s="4">
        <f>_xlfn.XLOOKUP(Table1[[#This Row], [ROOM]],Sheet1!$A$47:$A$66,Sheet1!$F$47:$F$66)</f>
        <v>17350000</v>
      </c>
      <c r="O954" s="9">
        <f>_xlfn.XLOOKUP(_xlfn.CONCAT(Table1[[#This Row], [TEAM]],Table1[[#This Row], [ROOM]]),'ROOM TIME'!$H$2:$H$121,'ROOM TIME'!$J$2:$J$121)</f>
        <v>60.352499999999985</v>
      </c>
      <c r="P954" s="9">
        <f>(INDEX(Sheet1!$X$48:$Z$67,MATCH(Table1[[#This Row], [ROOM]],Sheet1!$P$48:$P$67,0),MATCH(Table1[[#This Row], [WEAPON]],Sheet1!$X$47:$Z$47,0)))/Table1[[#This Row], [NUM OF MEM]]</f>
        <v>5.75</v>
      </c>
      <c r="Q954" s="9">
        <f>Table1[[#This Row], [ROOM TIME]]+Table1[[#This Row], [GUARD TIME]]</f>
        <v>66.102499999999992</v>
      </c>
      <c r="R954" s="4">
        <f>Sheet1!$K$3*_xlfn.XLOOKUP(Table1[[#This Row], [DISGUISE]],Sheet1!$A$21:$A$23,Sheet1!$D$21:$D$23)</f>
        <v>69</v>
      </c>
      <c r="S954" s="9">
        <f>Table1[[#This Row], [TOTAL TIME]]-Table1[[#This Row], [TOTAL TIME TAKEN]]</f>
        <v>2.897500000000008</v>
      </c>
      <c r="T954" t="str">
        <f>IF(Table1[[#This Row], [TIME DIFFERENCE]]&gt;=0,"PASS","FAIL")</f>
        <v>PASS</v>
      </c>
      <c r="U954" s="9">
        <f>Table1[[#This Row], [TRC]]+Table1[[#This Row], [DRC]]+Table1[[#This Row], [WRC]]+Table1[[#This Row], [ERC]]+Table1[[#This Row], [EQRC]]</f>
        <v>7762926.7999999998</v>
      </c>
      <c r="V954" s="9">
        <f>Table1[[#This Row], [TOTAL COST]]+_xlfn.XLOOKUP(Table1[[#This Row], [TEAM]],Sheet1!$A$12:$A$17,Sheet1!$I$12:$I$17)</f>
        <v>8059574.2999999998</v>
      </c>
      <c r="W954" s="9">
        <f>Table1[[#This Row], [LOOT]]-Table1[[#This Row], [TOTAL COST]]</f>
        <v>9587073.1999999993</v>
      </c>
      <c r="X954" s="9">
        <f>IF(Table1[[#This Row], [PASS/FAIL]]="FAIL",0,Table1[[#This Row], [PROFIT]])</f>
        <v>9587073.1999999993</v>
      </c>
    </row>
    <row r="955" spans="1:24" ht="19.5" customHeight="1" x14ac:dyDescent="0.45">
      <c r="A955" t="s">
        <v>16</v>
      </c>
      <c r="B955" s="14">
        <f>_xlfn.XLOOKUP(Table1[[#This Row], [TEAM]],Sheet1!$A$12:$A$17,Sheet1!$F$12:$F$17)</f>
        <v>2</v>
      </c>
      <c r="C955" s="14">
        <f>_xlfn.XLOOKUP(Table1[[#This Row], [TEAM]],Sheet1!$A$12:$A$17,Sheet1!$G$12:$G$17)</f>
        <v>6082800</v>
      </c>
      <c r="D955" t="s">
        <v>34</v>
      </c>
      <c r="E955" s="4">
        <f>_xlfn.XLOOKUP(Table1[[#This Row], [ROOM]],Sheet1!$A$47:$A$66,Sheet1!$B$47:$B$66)</f>
        <v>456</v>
      </c>
      <c r="F955" t="s">
        <v>58</v>
      </c>
      <c r="G955" s="4">
        <f>_xlfn.XLOOKUP(Table1[[#This Row], [DISGUISE]],Sheet1!$A$21:$A$23,Sheet1!$B$21:$B$23)*Table1[[#This Row], [NUM OF MEM]]*(1+_xlfn.XLOOKUP(Table1[[#This Row], [DISGUISE]],Sheet1!$A$21:$A$23,Sheet1!$C$21:$C$23))</f>
        <v>25600</v>
      </c>
      <c r="H955" s="13" t="s">
        <v>66</v>
      </c>
      <c r="I955" s="4">
        <f>_xlfn.XLOOKUP(Table1[[#This Row], [WEAPON]],Sheet1!$A$27:$A$29,Sheet1!$B$27:$B$29)*Table1[[#This Row], [NUM OF MEM]]*(1+_xlfn.XLOOKUP(Table1[[#This Row], [WEAPON]],Sheet1!$A$27:$A$29,Sheet1!$C$27:$C$29))</f>
        <v>72000</v>
      </c>
      <c r="J955" t="s">
        <v>64</v>
      </c>
      <c r="K955" s="9">
        <f>Table1[[#This Row], [NUM OF MEM]]*Table1[[#This Row], [TOTAL TIME TAKEN]]*_xlfn.XLOOKUP(Table1[[#This Row], [EXIT]],Sheet1!$A$70:$A$71,Sheet1!$B$70:$B$71)*(1+_xlfn.XLOOKUP(Table1[[#This Row], [EXIT]],Sheet1!$A$70:$A$71,Sheet1!$C$70:$C$71))</f>
        <v>1625054.3999999997</v>
      </c>
      <c r="L955" s="13" t="s">
        <v>65</v>
      </c>
      <c r="M955" s="4">
        <f>IF(Table1[[#This Row], [EQUIPMENT]]="YES",Sheet1!$C$44*(1+Sheet1!$D$44),0)</f>
        <v>307500</v>
      </c>
      <c r="N955" s="4">
        <f>_xlfn.XLOOKUP(Table1[[#This Row], [ROOM]],Sheet1!$A$47:$A$66,Sheet1!$F$47:$F$66)</f>
        <v>17700000</v>
      </c>
      <c r="O955" s="9">
        <f>_xlfn.XLOOKUP(_xlfn.CONCAT(Table1[[#This Row], [TEAM]],Table1[[#This Row], [ROOM]]),'ROOM TIME'!$H$2:$H$121,'ROOM TIME'!$J$2:$J$121)</f>
        <v>55.819999999999986</v>
      </c>
      <c r="P955" s="9">
        <f>(INDEX(Sheet1!$X$48:$Z$67,MATCH(Table1[[#This Row], [ROOM]],Sheet1!$P$48:$P$67,0),MATCH(Table1[[#This Row], [WEAPON]],Sheet1!$X$47:$Z$47,0)))/Table1[[#This Row], [NUM OF MEM]]</f>
        <v>6.875</v>
      </c>
      <c r="Q955" s="9">
        <f>Table1[[#This Row], [ROOM TIME]]+Table1[[#This Row], [GUARD TIME]]</f>
        <v>62.694999999999986</v>
      </c>
      <c r="R955" s="4">
        <f>Sheet1!$K$3*_xlfn.XLOOKUP(Table1[[#This Row], [DISGUISE]],Sheet1!$A$21:$A$23,Sheet1!$D$21:$D$23)</f>
        <v>69</v>
      </c>
      <c r="S955" s="9">
        <f>Table1[[#This Row], [TOTAL TIME]]-Table1[[#This Row], [TOTAL TIME TAKEN]]</f>
        <v>6.3050000000000139</v>
      </c>
      <c r="T955" t="str">
        <f>IF(Table1[[#This Row], [TIME DIFFERENCE]]&gt;=0,"PASS","FAIL")</f>
        <v>PASS</v>
      </c>
      <c r="U955" s="9">
        <f>Table1[[#This Row], [TRC]]+Table1[[#This Row], [DRC]]+Table1[[#This Row], [WRC]]+Table1[[#This Row], [ERC]]+Table1[[#This Row], [EQRC]]</f>
        <v>8112954.3999999994</v>
      </c>
      <c r="V955" s="9">
        <f>Table1[[#This Row], [TOTAL COST]]+_xlfn.XLOOKUP(Table1[[#This Row], [TEAM]],Sheet1!$A$12:$A$17,Sheet1!$I$12:$I$17)</f>
        <v>8417094.3999999985</v>
      </c>
      <c r="W955" s="9">
        <f>Table1[[#This Row], [LOOT]]-Table1[[#This Row], [TOTAL COST]]</f>
        <v>9587045.6000000015</v>
      </c>
      <c r="X955" s="9">
        <f>IF(Table1[[#This Row], [PASS/FAIL]]="FAIL",0,Table1[[#This Row], [PROFIT]])</f>
        <v>9587045.6000000015</v>
      </c>
    </row>
    <row r="956" spans="1:24" ht="19.5" customHeight="1" x14ac:dyDescent="0.45">
      <c r="A956" t="s">
        <v>14</v>
      </c>
      <c r="B956" s="14">
        <f>_xlfn.XLOOKUP(Table1[[#This Row], [TEAM]],Sheet1!$A$12:$A$17,Sheet1!$F$12:$F$17)</f>
        <v>2</v>
      </c>
      <c r="C956" s="14">
        <f>_xlfn.XLOOKUP(Table1[[#This Row], [TEAM]],Sheet1!$A$12:$A$17,Sheet1!$G$12:$G$17)</f>
        <v>5949600</v>
      </c>
      <c r="D956" t="s">
        <v>25</v>
      </c>
      <c r="E956" s="4">
        <f>_xlfn.XLOOKUP(Table1[[#This Row], [ROOM]],Sheet1!$A$47:$A$66,Sheet1!$B$47:$B$66)</f>
        <v>126</v>
      </c>
      <c r="F956" t="s">
        <v>62</v>
      </c>
      <c r="G956" s="4">
        <f>_xlfn.XLOOKUP(Table1[[#This Row], [DISGUISE]],Sheet1!$A$21:$A$23,Sheet1!$B$21:$B$23)*Table1[[#This Row], [NUM OF MEM]]*(1+_xlfn.XLOOKUP(Table1[[#This Row], [DISGUISE]],Sheet1!$A$21:$A$23,Sheet1!$C$21:$C$23))</f>
        <v>10400</v>
      </c>
      <c r="H956" s="13" t="s">
        <v>63</v>
      </c>
      <c r="I956" s="4">
        <f>_xlfn.XLOOKUP(Table1[[#This Row], [WEAPON]],Sheet1!$A$27:$A$29,Sheet1!$B$27:$B$29)*Table1[[#This Row], [NUM OF MEM]]*(1+_xlfn.XLOOKUP(Table1[[#This Row], [WEAPON]],Sheet1!$A$27:$A$29,Sheet1!$C$27:$C$29))</f>
        <v>46000</v>
      </c>
      <c r="J956" t="s">
        <v>60</v>
      </c>
      <c r="K956" s="9">
        <f>Table1[[#This Row], [NUM OF MEM]]*Table1[[#This Row], [TOTAL TIME TAKEN]]*_xlfn.XLOOKUP(Table1[[#This Row], [EXIT]],Sheet1!$A$70:$A$71,Sheet1!$B$70:$B$71)*(1+_xlfn.XLOOKUP(Table1[[#This Row], [EXIT]],Sheet1!$A$70:$A$71,Sheet1!$C$70:$C$71))</f>
        <v>1649553.7124999999</v>
      </c>
      <c r="L956" s="13" t="s">
        <v>65</v>
      </c>
      <c r="M956" s="4">
        <f>IF(Table1[[#This Row], [EQUIPMENT]]="YES",Sheet1!$C$44*(1+Sheet1!$D$44),0)</f>
        <v>307500</v>
      </c>
      <c r="N956" s="4">
        <f>_xlfn.XLOOKUP(Table1[[#This Row], [ROOM]],Sheet1!$A$47:$A$66,Sheet1!$F$47:$F$66)</f>
        <v>17550000</v>
      </c>
      <c r="O956" s="9">
        <f>_xlfn.XLOOKUP(_xlfn.CONCAT(Table1[[#This Row], [TEAM]],Table1[[#This Row], [ROOM]]),'ROOM TIME'!$H$2:$H$121,'ROOM TIME'!$J$2:$J$121)</f>
        <v>56.847499999999989</v>
      </c>
      <c r="P956" s="9">
        <f>(INDEX(Sheet1!$X$48:$Z$67,MATCH(Table1[[#This Row], [ROOM]],Sheet1!$P$48:$P$67,0),MATCH(Table1[[#This Row], [WEAPON]],Sheet1!$X$47:$Z$47,0)))/Table1[[#This Row], [NUM OF MEM]]</f>
        <v>7.4250000000000007</v>
      </c>
      <c r="Q956" s="9">
        <f>Table1[[#This Row], [ROOM TIME]]+Table1[[#This Row], [GUARD TIME]]</f>
        <v>64.272499999999994</v>
      </c>
      <c r="R956" s="4">
        <f>Sheet1!$K$3*_xlfn.XLOOKUP(Table1[[#This Row], [DISGUISE]],Sheet1!$A$21:$A$23,Sheet1!$D$21:$D$23)</f>
        <v>66</v>
      </c>
      <c r="S956" s="9">
        <f>Table1[[#This Row], [TOTAL TIME]]-Table1[[#This Row], [TOTAL TIME TAKEN]]</f>
        <v>1.7275000000000063</v>
      </c>
      <c r="T956" t="str">
        <f>IF(Table1[[#This Row], [TIME DIFFERENCE]]&gt;=0,"PASS","FAIL")</f>
        <v>PASS</v>
      </c>
      <c r="U956" s="9">
        <f>Table1[[#This Row], [TRC]]+Table1[[#This Row], [DRC]]+Table1[[#This Row], [WRC]]+Table1[[#This Row], [ERC]]+Table1[[#This Row], [EQRC]]</f>
        <v>7963053.7125000004</v>
      </c>
      <c r="V956" s="9">
        <f>Table1[[#This Row], [TOTAL COST]]+_xlfn.XLOOKUP(Table1[[#This Row], [TEAM]],Sheet1!$A$12:$A$17,Sheet1!$I$12:$I$17)</f>
        <v>8260533.7125000004</v>
      </c>
      <c r="W956" s="9">
        <f>Table1[[#This Row], [LOOT]]-Table1[[#This Row], [TOTAL COST]]</f>
        <v>9586946.2874999996</v>
      </c>
      <c r="X956" s="9">
        <f>IF(Table1[[#This Row], [PASS/FAIL]]="FAIL",0,Table1[[#This Row], [PROFIT]])</f>
        <v>9586946.2874999996</v>
      </c>
    </row>
    <row r="957" spans="1:24" ht="19.5" customHeight="1" x14ac:dyDescent="0.45">
      <c r="A957" t="s">
        <v>15</v>
      </c>
      <c r="B957" s="14">
        <f>_xlfn.XLOOKUP(Table1[[#This Row], [TEAM]],Sheet1!$A$12:$A$17,Sheet1!$F$12:$F$17)</f>
        <v>2</v>
      </c>
      <c r="C957" s="14">
        <f>_xlfn.XLOOKUP(Table1[[#This Row], [TEAM]],Sheet1!$A$12:$A$17,Sheet1!$G$12:$G$17)</f>
        <v>5932950</v>
      </c>
      <c r="D957" t="s">
        <v>30</v>
      </c>
      <c r="E957" s="4">
        <f>_xlfn.XLOOKUP(Table1[[#This Row], [ROOM]],Sheet1!$A$47:$A$66,Sheet1!$B$47:$B$66)</f>
        <v>246</v>
      </c>
      <c r="F957" t="s">
        <v>58</v>
      </c>
      <c r="G957" s="4">
        <f>_xlfn.XLOOKUP(Table1[[#This Row], [DISGUISE]],Sheet1!$A$21:$A$23,Sheet1!$B$21:$B$23)*Table1[[#This Row], [NUM OF MEM]]*(1+_xlfn.XLOOKUP(Table1[[#This Row], [DISGUISE]],Sheet1!$A$21:$A$23,Sheet1!$C$21:$C$23))</f>
        <v>25600</v>
      </c>
      <c r="H957" s="13" t="s">
        <v>66</v>
      </c>
      <c r="I957" s="4">
        <f>_xlfn.XLOOKUP(Table1[[#This Row], [WEAPON]],Sheet1!$A$27:$A$29,Sheet1!$B$27:$B$29)*Table1[[#This Row], [NUM OF MEM]]*(1+_xlfn.XLOOKUP(Table1[[#This Row], [WEAPON]],Sheet1!$A$27:$A$29,Sheet1!$C$27:$C$29))</f>
        <v>72000</v>
      </c>
      <c r="J957" t="s">
        <v>64</v>
      </c>
      <c r="K957" s="9">
        <f>Table1[[#This Row], [NUM OF MEM]]*Table1[[#This Row], [TOTAL TIME TAKEN]]*_xlfn.XLOOKUP(Table1[[#This Row], [EXIT]],Sheet1!$A$70:$A$71,Sheet1!$B$70:$B$71)*(1+_xlfn.XLOOKUP(Table1[[#This Row], [EXIT]],Sheet1!$A$70:$A$71,Sheet1!$C$70:$C$71))</f>
        <v>1675047.5999999996</v>
      </c>
      <c r="L957" s="13" t="s">
        <v>65</v>
      </c>
      <c r="M957" s="4">
        <f>IF(Table1[[#This Row], [EQUIPMENT]]="YES",Sheet1!$C$44*(1+Sheet1!$D$44),0)</f>
        <v>307500</v>
      </c>
      <c r="N957" s="4">
        <f>_xlfn.XLOOKUP(Table1[[#This Row], [ROOM]],Sheet1!$A$47:$A$66,Sheet1!$F$47:$F$66)</f>
        <v>17600000</v>
      </c>
      <c r="O957" s="9">
        <f>_xlfn.XLOOKUP(_xlfn.CONCAT(Table1[[#This Row], [TEAM]],Table1[[#This Row], [ROOM]]),'ROOM TIME'!$H$2:$H$121,'ROOM TIME'!$J$2:$J$121)</f>
        <v>57.123749999999987</v>
      </c>
      <c r="P957" s="9">
        <f>(INDEX(Sheet1!$X$48:$Z$67,MATCH(Table1[[#This Row], [ROOM]],Sheet1!$P$48:$P$67,0),MATCH(Table1[[#This Row], [WEAPON]],Sheet1!$X$47:$Z$47,0)))/Table1[[#This Row], [NUM OF MEM]]</f>
        <v>7.5</v>
      </c>
      <c r="Q957" s="9">
        <f>Table1[[#This Row], [ROOM TIME]]+Table1[[#This Row], [GUARD TIME]]</f>
        <v>64.623749999999987</v>
      </c>
      <c r="R957" s="4">
        <f>Sheet1!$K$3*_xlfn.XLOOKUP(Table1[[#This Row], [DISGUISE]],Sheet1!$A$21:$A$23,Sheet1!$D$21:$D$23)</f>
        <v>69</v>
      </c>
      <c r="S957" s="9">
        <f>Table1[[#This Row], [TOTAL TIME]]-Table1[[#This Row], [TOTAL TIME TAKEN]]</f>
        <v>4.3762500000000131</v>
      </c>
      <c r="T957" t="str">
        <f>IF(Table1[[#This Row], [TIME DIFFERENCE]]&gt;=0,"PASS","FAIL")</f>
        <v>PASS</v>
      </c>
      <c r="U957" s="9">
        <f>Table1[[#This Row], [TRC]]+Table1[[#This Row], [DRC]]+Table1[[#This Row], [WRC]]+Table1[[#This Row], [ERC]]+Table1[[#This Row], [EQRC]]</f>
        <v>8013097.5999999996</v>
      </c>
      <c r="V957" s="9">
        <f>Table1[[#This Row], [TOTAL COST]]+_xlfn.XLOOKUP(Table1[[#This Row], [TEAM]],Sheet1!$A$12:$A$17,Sheet1!$I$12:$I$17)</f>
        <v>8309745.0999999996</v>
      </c>
      <c r="W957" s="9">
        <f>Table1[[#This Row], [LOOT]]-Table1[[#This Row], [TOTAL COST]]</f>
        <v>9586902.4000000004</v>
      </c>
      <c r="X957" s="9">
        <f>IF(Table1[[#This Row], [PASS/FAIL]]="FAIL",0,Table1[[#This Row], [PROFIT]])</f>
        <v>9586902.4000000004</v>
      </c>
    </row>
    <row r="958" spans="1:24" ht="19.5" customHeight="1" x14ac:dyDescent="0.45">
      <c r="A958" t="s">
        <v>12</v>
      </c>
      <c r="B958" s="14">
        <f>_xlfn.XLOOKUP(Table1[[#This Row], [TEAM]],Sheet1!$A$12:$A$17,Sheet1!$F$12:$F$17)</f>
        <v>3</v>
      </c>
      <c r="C958" s="14">
        <f>_xlfn.XLOOKUP(Table1[[#This Row], [TEAM]],Sheet1!$A$12:$A$17,Sheet1!$G$12:$G$17)</f>
        <v>5988750</v>
      </c>
      <c r="D958" t="s">
        <v>10</v>
      </c>
      <c r="E958" s="4">
        <f>_xlfn.XLOOKUP(Table1[[#This Row], [ROOM]],Sheet1!$A$47:$A$66,Sheet1!$B$47:$B$66)</f>
        <v>123</v>
      </c>
      <c r="F958" t="s">
        <v>58</v>
      </c>
      <c r="G958" s="4">
        <f>_xlfn.XLOOKUP(Table1[[#This Row], [DISGUISE]],Sheet1!$A$21:$A$23,Sheet1!$B$21:$B$23)*Table1[[#This Row], [NUM OF MEM]]*(1+_xlfn.XLOOKUP(Table1[[#This Row], [DISGUISE]],Sheet1!$A$21:$A$23,Sheet1!$C$21:$C$23))</f>
        <v>38400</v>
      </c>
      <c r="H958" s="13" t="s">
        <v>59</v>
      </c>
      <c r="I958" s="4">
        <f>_xlfn.XLOOKUP(Table1[[#This Row], [WEAPON]],Sheet1!$A$27:$A$29,Sheet1!$B$27:$B$29)*Table1[[#This Row], [NUM OF MEM]]*(1+_xlfn.XLOOKUP(Table1[[#This Row], [WEAPON]],Sheet1!$A$27:$A$29,Sheet1!$C$27:$C$29))</f>
        <v>136500</v>
      </c>
      <c r="J958" t="s">
        <v>60</v>
      </c>
      <c r="K958" s="9">
        <f>Table1[[#This Row], [NUM OF MEM]]*Table1[[#This Row], [TOTAL TIME TAKEN]]*_xlfn.XLOOKUP(Table1[[#This Row], [EXIT]],Sheet1!$A$70:$A$71,Sheet1!$B$70:$B$71)*(1+_xlfn.XLOOKUP(Table1[[#This Row], [EXIT]],Sheet1!$A$70:$A$71,Sheet1!$C$70:$C$71))</f>
        <v>1792743.0249999992</v>
      </c>
      <c r="L958" s="13" t="s">
        <v>65</v>
      </c>
      <c r="M958" s="4">
        <f>IF(Table1[[#This Row], [EQUIPMENT]]="YES",Sheet1!$C$44*(1+Sheet1!$D$44),0)</f>
        <v>307500</v>
      </c>
      <c r="N958" s="4">
        <f>_xlfn.XLOOKUP(Table1[[#This Row], [ROOM]],Sheet1!$A$47:$A$66,Sheet1!$F$47:$F$66)</f>
        <v>17850000</v>
      </c>
      <c r="O958" s="9">
        <f>_xlfn.XLOOKUP(_xlfn.CONCAT(Table1[[#This Row], [TEAM]],Table1[[#This Row], [ROOM]]),'ROOM TIME'!$H$2:$H$121,'ROOM TIME'!$J$2:$J$121)</f>
        <v>41.967777777777762</v>
      </c>
      <c r="P958" s="9">
        <f>(INDEX(Sheet1!$X$48:$Z$67,MATCH(Table1[[#This Row], [ROOM]],Sheet1!$P$48:$P$67,0),MATCH(Table1[[#This Row], [WEAPON]],Sheet1!$X$47:$Z$47,0)))/Table1[[#This Row], [NUM OF MEM]]</f>
        <v>4.5999999999999996</v>
      </c>
      <c r="Q958" s="9">
        <f>Table1[[#This Row], [ROOM TIME]]+Table1[[#This Row], [GUARD TIME]]</f>
        <v>46.567777777777764</v>
      </c>
      <c r="R958" s="4">
        <f>Sheet1!$K$3*_xlfn.XLOOKUP(Table1[[#This Row], [DISGUISE]],Sheet1!$A$21:$A$23,Sheet1!$D$21:$D$23)</f>
        <v>69</v>
      </c>
      <c r="S958" s="9">
        <f>Table1[[#This Row], [TOTAL TIME]]-Table1[[#This Row], [TOTAL TIME TAKEN]]</f>
        <v>22.432222222222236</v>
      </c>
      <c r="T958" t="str">
        <f>IF(Table1[[#This Row], [TIME DIFFERENCE]]&gt;=0,"PASS","FAIL")</f>
        <v>PASS</v>
      </c>
      <c r="U958" s="9">
        <f>Table1[[#This Row], [TRC]]+Table1[[#This Row], [DRC]]+Table1[[#This Row], [WRC]]+Table1[[#This Row], [ERC]]+Table1[[#This Row], [EQRC]]</f>
        <v>8263893.0249999994</v>
      </c>
      <c r="V958" s="9">
        <f>Table1[[#This Row], [TOTAL COST]]+_xlfn.XLOOKUP(Table1[[#This Row], [TEAM]],Sheet1!$A$12:$A$17,Sheet1!$I$12:$I$17)</f>
        <v>8563330.5249999985</v>
      </c>
      <c r="W958" s="9">
        <f>Table1[[#This Row], [LOOT]]-Table1[[#This Row], [TOTAL COST]]</f>
        <v>9586106.9750000015</v>
      </c>
      <c r="X958" s="9">
        <f>IF(Table1[[#This Row], [PASS/FAIL]]="FAIL",0,Table1[[#This Row], [PROFIT]])</f>
        <v>9586106.9750000015</v>
      </c>
    </row>
    <row r="959" spans="1:24" ht="19.5" customHeight="1" x14ac:dyDescent="0.45">
      <c r="A959" t="s">
        <v>14</v>
      </c>
      <c r="B959" s="14">
        <f>_xlfn.XLOOKUP(Table1[[#This Row], [TEAM]],Sheet1!$A$12:$A$17,Sheet1!$F$12:$F$17)</f>
        <v>2</v>
      </c>
      <c r="C959" s="14">
        <f>_xlfn.XLOOKUP(Table1[[#This Row], [TEAM]],Sheet1!$A$12:$A$17,Sheet1!$G$12:$G$17)</f>
        <v>5949600</v>
      </c>
      <c r="D959" t="s">
        <v>30</v>
      </c>
      <c r="E959" s="4">
        <f>_xlfn.XLOOKUP(Table1[[#This Row], [ROOM]],Sheet1!$A$47:$A$66,Sheet1!$B$47:$B$66)</f>
        <v>246</v>
      </c>
      <c r="F959" t="s">
        <v>58</v>
      </c>
      <c r="G959" s="4">
        <f>_xlfn.XLOOKUP(Table1[[#This Row], [DISGUISE]],Sheet1!$A$21:$A$23,Sheet1!$B$21:$B$23)*Table1[[#This Row], [NUM OF MEM]]*(1+_xlfn.XLOOKUP(Table1[[#This Row], [DISGUISE]],Sheet1!$A$21:$A$23,Sheet1!$C$21:$C$23))</f>
        <v>25600</v>
      </c>
      <c r="H959" s="13" t="s">
        <v>66</v>
      </c>
      <c r="I959" s="4">
        <f>_xlfn.XLOOKUP(Table1[[#This Row], [WEAPON]],Sheet1!$A$27:$A$29,Sheet1!$B$27:$B$29)*Table1[[#This Row], [NUM OF MEM]]*(1+_xlfn.XLOOKUP(Table1[[#This Row], [WEAPON]],Sheet1!$A$27:$A$29,Sheet1!$C$27:$C$29))</f>
        <v>72000</v>
      </c>
      <c r="J959" t="s">
        <v>64</v>
      </c>
      <c r="K959" s="9">
        <f>Table1[[#This Row], [NUM OF MEM]]*Table1[[#This Row], [TOTAL TIME TAKEN]]*_xlfn.XLOOKUP(Table1[[#This Row], [EXIT]],Sheet1!$A$70:$A$71,Sheet1!$B$70:$B$71)*(1+_xlfn.XLOOKUP(Table1[[#This Row], [EXIT]],Sheet1!$A$70:$A$71,Sheet1!$C$70:$C$71))</f>
        <v>1659203.9999999998</v>
      </c>
      <c r="L959" s="13" t="s">
        <v>65</v>
      </c>
      <c r="M959" s="4">
        <f>IF(Table1[[#This Row], [EQUIPMENT]]="YES",Sheet1!$C$44*(1+Sheet1!$D$44),0)</f>
        <v>307500</v>
      </c>
      <c r="N959" s="4">
        <f>_xlfn.XLOOKUP(Table1[[#This Row], [ROOM]],Sheet1!$A$47:$A$66,Sheet1!$F$47:$F$66)</f>
        <v>17600000</v>
      </c>
      <c r="O959" s="9">
        <f>_xlfn.XLOOKUP(_xlfn.CONCAT(Table1[[#This Row], [TEAM]],Table1[[#This Row], [ROOM]]),'ROOM TIME'!$H$2:$H$121,'ROOM TIME'!$J$2:$J$121)</f>
        <v>56.512499999999982</v>
      </c>
      <c r="P959" s="9">
        <f>(INDEX(Sheet1!$X$48:$Z$67,MATCH(Table1[[#This Row], [ROOM]],Sheet1!$P$48:$P$67,0),MATCH(Table1[[#This Row], [WEAPON]],Sheet1!$X$47:$Z$47,0)))/Table1[[#This Row], [NUM OF MEM]]</f>
        <v>7.5</v>
      </c>
      <c r="Q959" s="9">
        <f>Table1[[#This Row], [ROOM TIME]]+Table1[[#This Row], [GUARD TIME]]</f>
        <v>64.012499999999989</v>
      </c>
      <c r="R959" s="4">
        <f>Sheet1!$K$3*_xlfn.XLOOKUP(Table1[[#This Row], [DISGUISE]],Sheet1!$A$21:$A$23,Sheet1!$D$21:$D$23)</f>
        <v>69</v>
      </c>
      <c r="S959" s="9">
        <f>Table1[[#This Row], [TOTAL TIME]]-Table1[[#This Row], [TOTAL TIME TAKEN]]</f>
        <v>4.9875000000000114</v>
      </c>
      <c r="T959" t="str">
        <f>IF(Table1[[#This Row], [TIME DIFFERENCE]]&gt;=0,"PASS","FAIL")</f>
        <v>PASS</v>
      </c>
      <c r="U959" s="4">
        <f>Table1[[#This Row], [TRC]]+Table1[[#This Row], [DRC]]+Table1[[#This Row], [WRC]]+Table1[[#This Row], [ERC]]+Table1[[#This Row], [EQRC]]</f>
        <v>8013904</v>
      </c>
      <c r="V959" s="4">
        <f>Table1[[#This Row], [TOTAL COST]]+_xlfn.XLOOKUP(Table1[[#This Row], [TEAM]],Sheet1!$A$12:$A$17,Sheet1!$I$12:$I$17)</f>
        <v>8311384</v>
      </c>
      <c r="W959" s="4">
        <f>Table1[[#This Row], [LOOT]]-Table1[[#This Row], [TOTAL COST]]</f>
        <v>9586096</v>
      </c>
      <c r="X959" s="4">
        <f>IF(Table1[[#This Row], [PASS/FAIL]]="FAIL",0,Table1[[#This Row], [PROFIT]])</f>
        <v>9586096</v>
      </c>
    </row>
    <row r="960" spans="1:24" ht="19.5" customHeight="1" x14ac:dyDescent="0.45">
      <c r="A960" t="s">
        <v>14</v>
      </c>
      <c r="B960" s="14">
        <f>_xlfn.XLOOKUP(Table1[[#This Row], [TEAM]],Sheet1!$A$12:$A$17,Sheet1!$F$12:$F$17)</f>
        <v>2</v>
      </c>
      <c r="C960" s="14">
        <f>_xlfn.XLOOKUP(Table1[[#This Row], [TEAM]],Sheet1!$A$12:$A$17,Sheet1!$G$12:$G$17)</f>
        <v>5949600</v>
      </c>
      <c r="D960" t="s">
        <v>17</v>
      </c>
      <c r="E960" s="4">
        <f>_xlfn.XLOOKUP(Table1[[#This Row], [ROOM]],Sheet1!$A$47:$A$66,Sheet1!$B$47:$B$66)</f>
        <v>125</v>
      </c>
      <c r="F960" t="s">
        <v>58</v>
      </c>
      <c r="G960" s="4">
        <f>_xlfn.XLOOKUP(Table1[[#This Row], [DISGUISE]],Sheet1!$A$21:$A$23,Sheet1!$B$21:$B$23)*Table1[[#This Row], [NUM OF MEM]]*(1+_xlfn.XLOOKUP(Table1[[#This Row], [DISGUISE]],Sheet1!$A$21:$A$23,Sheet1!$C$21:$C$23))</f>
        <v>25600</v>
      </c>
      <c r="H960" s="13" t="s">
        <v>66</v>
      </c>
      <c r="I960" s="4">
        <f>_xlfn.XLOOKUP(Table1[[#This Row], [WEAPON]],Sheet1!$A$27:$A$29,Sheet1!$B$27:$B$29)*Table1[[#This Row], [NUM OF MEM]]*(1+_xlfn.XLOOKUP(Table1[[#This Row], [WEAPON]],Sheet1!$A$27:$A$29,Sheet1!$C$27:$C$29))</f>
        <v>72000</v>
      </c>
      <c r="J960" t="s">
        <v>60</v>
      </c>
      <c r="K960" s="9">
        <f>Table1[[#This Row], [NUM OF MEM]]*Table1[[#This Row], [TOTAL TIME TAKEN]]*_xlfn.XLOOKUP(Table1[[#This Row], [EXIT]],Sheet1!$A$70:$A$71,Sheet1!$B$70:$B$71)*(1+_xlfn.XLOOKUP(Table1[[#This Row], [EXIT]],Sheet1!$A$70:$A$71,Sheet1!$C$70:$C$71))</f>
        <v>1717052.6624999996</v>
      </c>
      <c r="L960" s="13" t="s">
        <v>61</v>
      </c>
      <c r="M960" s="4">
        <f>IF(Table1[[#This Row], [EQUIPMENT]]="YES",Sheet1!$C$44*(1+Sheet1!$D$44),0)</f>
        <v>0</v>
      </c>
      <c r="N960" s="4">
        <f>_xlfn.XLOOKUP(Table1[[#This Row], [ROOM]],Sheet1!$A$47:$A$66,Sheet1!$F$47:$F$66)</f>
        <v>17350000</v>
      </c>
      <c r="O960" s="9">
        <f>_xlfn.XLOOKUP(_xlfn.CONCAT(Table1[[#This Row], [TEAM]],Table1[[#This Row], [ROOM]]),'ROOM TIME'!$H$2:$H$121,'ROOM TIME'!$J$2:$J$121)</f>
        <v>60.652499999999989</v>
      </c>
      <c r="P960" s="9">
        <f>(INDEX(Sheet1!$X$48:$Z$67,MATCH(Table1[[#This Row], [ROOM]],Sheet1!$P$48:$P$67,0),MATCH(Table1[[#This Row], [WEAPON]],Sheet1!$X$47:$Z$47,0)))/Table1[[#This Row], [NUM OF MEM]]</f>
        <v>6.25</v>
      </c>
      <c r="Q960" s="9">
        <f>Table1[[#This Row], [ROOM TIME]]+Table1[[#This Row], [GUARD TIME]]</f>
        <v>66.902499999999989</v>
      </c>
      <c r="R960" s="4">
        <f>Sheet1!$K$3*_xlfn.XLOOKUP(Table1[[#This Row], [DISGUISE]],Sheet1!$A$21:$A$23,Sheet1!$D$21:$D$23)</f>
        <v>69</v>
      </c>
      <c r="S960" s="9">
        <f>Table1[[#This Row], [TOTAL TIME]]-Table1[[#This Row], [TOTAL TIME TAKEN]]</f>
        <v>2.0975000000000108</v>
      </c>
      <c r="T960" t="str">
        <f>IF(Table1[[#This Row], [TIME DIFFERENCE]]&gt;=0,"PASS","FAIL")</f>
        <v>PASS</v>
      </c>
      <c r="U960" s="9">
        <f>Table1[[#This Row], [TRC]]+Table1[[#This Row], [DRC]]+Table1[[#This Row], [WRC]]+Table1[[#This Row], [ERC]]+Table1[[#This Row], [EQRC]]</f>
        <v>7764252.6624999996</v>
      </c>
      <c r="V960" s="9">
        <f>Table1[[#This Row], [TOTAL COST]]+_xlfn.XLOOKUP(Table1[[#This Row], [TEAM]],Sheet1!$A$12:$A$17,Sheet1!$I$12:$I$17)</f>
        <v>8061732.6624999996</v>
      </c>
      <c r="W960" s="9">
        <f>Table1[[#This Row], [LOOT]]-Table1[[#This Row], [TOTAL COST]]</f>
        <v>9585747.3375000004</v>
      </c>
      <c r="X960" s="9">
        <f>IF(Table1[[#This Row], [PASS/FAIL]]="FAIL",0,Table1[[#This Row], [PROFIT]])</f>
        <v>9585747.3375000004</v>
      </c>
    </row>
    <row r="961" spans="1:24" ht="19.5" customHeight="1" x14ac:dyDescent="0.45">
      <c r="A961" t="s">
        <v>13</v>
      </c>
      <c r="B961" s="14">
        <f>_xlfn.XLOOKUP(Table1[[#This Row], [TEAM]],Sheet1!$A$12:$A$17,Sheet1!$F$12:$F$17)</f>
        <v>3</v>
      </c>
      <c r="C961" s="14">
        <f>_xlfn.XLOOKUP(Table1[[#This Row], [TEAM]],Sheet1!$A$12:$A$17,Sheet1!$G$12:$G$17)</f>
        <v>5930000</v>
      </c>
      <c r="D961" t="s">
        <v>28</v>
      </c>
      <c r="E961" s="4">
        <f>_xlfn.XLOOKUP(Table1[[#This Row], [ROOM]],Sheet1!$A$47:$A$66,Sheet1!$B$47:$B$66)</f>
        <v>156</v>
      </c>
      <c r="F961" t="s">
        <v>58</v>
      </c>
      <c r="G961" s="4">
        <f>_xlfn.XLOOKUP(Table1[[#This Row], [DISGUISE]],Sheet1!$A$21:$A$23,Sheet1!$B$21:$B$23)*Table1[[#This Row], [NUM OF MEM]]*(1+_xlfn.XLOOKUP(Table1[[#This Row], [DISGUISE]],Sheet1!$A$21:$A$23,Sheet1!$C$21:$C$23))</f>
        <v>38400</v>
      </c>
      <c r="H961" s="13" t="s">
        <v>59</v>
      </c>
      <c r="I961" s="4">
        <f>_xlfn.XLOOKUP(Table1[[#This Row], [WEAPON]],Sheet1!$A$27:$A$29,Sheet1!$B$27:$B$29)*Table1[[#This Row], [NUM OF MEM]]*(1+_xlfn.XLOOKUP(Table1[[#This Row], [WEAPON]],Sheet1!$A$27:$A$29,Sheet1!$C$27:$C$29))</f>
        <v>136500</v>
      </c>
      <c r="J961" t="s">
        <v>64</v>
      </c>
      <c r="K961" s="9">
        <f>Table1[[#This Row], [NUM OF MEM]]*Table1[[#This Row], [TOTAL TIME TAKEN]]*_xlfn.XLOOKUP(Table1[[#This Row], [EXIT]],Sheet1!$A$70:$A$71,Sheet1!$B$70:$B$71)*(1+_xlfn.XLOOKUP(Table1[[#This Row], [EXIT]],Sheet1!$A$70:$A$71,Sheet1!$C$70:$C$71))</f>
        <v>1652248.7999999996</v>
      </c>
      <c r="L961" s="13" t="s">
        <v>65</v>
      </c>
      <c r="M961" s="4">
        <f>IF(Table1[[#This Row], [EQUIPMENT]]="YES",Sheet1!$C$44*(1+Sheet1!$D$44),0)</f>
        <v>307500</v>
      </c>
      <c r="N961" s="4">
        <f>_xlfn.XLOOKUP(Table1[[#This Row], [ROOM]],Sheet1!$A$47:$A$66,Sheet1!$F$47:$F$66)</f>
        <v>17650000</v>
      </c>
      <c r="O961" s="9">
        <f>_xlfn.XLOOKUP(_xlfn.CONCAT(Table1[[#This Row], [TEAM]],Table1[[#This Row], [ROOM]]),'ROOM TIME'!$H$2:$H$121,'ROOM TIME'!$J$2:$J$121)</f>
        <v>38.662777777777769</v>
      </c>
      <c r="P961" s="9">
        <f>(INDEX(Sheet1!$X$48:$Z$67,MATCH(Table1[[#This Row], [ROOM]],Sheet1!$P$48:$P$67,0),MATCH(Table1[[#This Row], [WEAPON]],Sheet1!$X$47:$Z$47,0)))/Table1[[#This Row], [NUM OF MEM]]</f>
        <v>3.8333333333333335</v>
      </c>
      <c r="Q961" s="9">
        <f>Table1[[#This Row], [ROOM TIME]]+Table1[[#This Row], [GUARD TIME]]</f>
        <v>42.496111111111105</v>
      </c>
      <c r="R961" s="4">
        <f>Sheet1!$K$3*_xlfn.XLOOKUP(Table1[[#This Row], [DISGUISE]],Sheet1!$A$21:$A$23,Sheet1!$D$21:$D$23)</f>
        <v>69</v>
      </c>
      <c r="S961" s="9">
        <f>Table1[[#This Row], [TOTAL TIME]]-Table1[[#This Row], [TOTAL TIME TAKEN]]</f>
        <v>26.503888888888895</v>
      </c>
      <c r="T961" t="str">
        <f>IF(Table1[[#This Row], [TIME DIFFERENCE]]&gt;=0,"PASS","FAIL")</f>
        <v>PASS</v>
      </c>
      <c r="U961" s="9">
        <f>Table1[[#This Row], [TRC]]+Table1[[#This Row], [DRC]]+Table1[[#This Row], [WRC]]+Table1[[#This Row], [ERC]]+Table1[[#This Row], [EQRC]]</f>
        <v>8064648.7999999998</v>
      </c>
      <c r="V961" s="9">
        <f>Table1[[#This Row], [TOTAL COST]]+_xlfn.XLOOKUP(Table1[[#This Row], [TEAM]],Sheet1!$A$12:$A$17,Sheet1!$I$12:$I$17)</f>
        <v>8361148.7999999998</v>
      </c>
      <c r="W961" s="9">
        <f>Table1[[#This Row], [LOOT]]-Table1[[#This Row], [TOTAL COST]]</f>
        <v>9585351.1999999993</v>
      </c>
      <c r="X961" s="9">
        <f>IF(Table1[[#This Row], [PASS/FAIL]]="FAIL",0,Table1[[#This Row], [PROFIT]])</f>
        <v>9585351.1999999993</v>
      </c>
    </row>
    <row r="962" spans="1:24" ht="19.5" customHeight="1" x14ac:dyDescent="0.45">
      <c r="A962" t="s">
        <v>13</v>
      </c>
      <c r="B962" s="14">
        <f>_xlfn.XLOOKUP(Table1[[#This Row], [TEAM]],Sheet1!$A$12:$A$17,Sheet1!$F$12:$F$17)</f>
        <v>3</v>
      </c>
      <c r="C962" s="14">
        <f>_xlfn.XLOOKUP(Table1[[#This Row], [TEAM]],Sheet1!$A$12:$A$17,Sheet1!$G$12:$G$17)</f>
        <v>5930000</v>
      </c>
      <c r="D962" t="s">
        <v>11</v>
      </c>
      <c r="E962" s="4">
        <f>_xlfn.XLOOKUP(Table1[[#This Row], [ROOM]],Sheet1!$A$47:$A$66,Sheet1!$B$47:$B$66)</f>
        <v>124</v>
      </c>
      <c r="F962" t="s">
        <v>58</v>
      </c>
      <c r="G962" s="4">
        <f>_xlfn.XLOOKUP(Table1[[#This Row], [DISGUISE]],Sheet1!$A$21:$A$23,Sheet1!$B$21:$B$23)*Table1[[#This Row], [NUM OF MEM]]*(1+_xlfn.XLOOKUP(Table1[[#This Row], [DISGUISE]],Sheet1!$A$21:$A$23,Sheet1!$C$21:$C$23))</f>
        <v>38400</v>
      </c>
      <c r="H962" s="13" t="s">
        <v>63</v>
      </c>
      <c r="I962" s="4">
        <f>_xlfn.XLOOKUP(Table1[[#This Row], [WEAPON]],Sheet1!$A$27:$A$29,Sheet1!$B$27:$B$29)*Table1[[#This Row], [NUM OF MEM]]*(1+_xlfn.XLOOKUP(Table1[[#This Row], [WEAPON]],Sheet1!$A$27:$A$29,Sheet1!$C$27:$C$29))</f>
        <v>69000</v>
      </c>
      <c r="J962" t="s">
        <v>60</v>
      </c>
      <c r="K962" s="9">
        <f>Table1[[#This Row], [NUM OF MEM]]*Table1[[#This Row], [TOTAL TIME TAKEN]]*_xlfn.XLOOKUP(Table1[[#This Row], [EXIT]],Sheet1!$A$70:$A$71,Sheet1!$B$70:$B$71)*(1+_xlfn.XLOOKUP(Table1[[#This Row], [EXIT]],Sheet1!$A$70:$A$71,Sheet1!$C$70:$C$71))</f>
        <v>1827519.0999999999</v>
      </c>
      <c r="L962" s="13" t="s">
        <v>61</v>
      </c>
      <c r="M962" s="4">
        <f>IF(Table1[[#This Row], [EQUIPMENT]]="YES",Sheet1!$C$44*(1+Sheet1!$D$44),0)</f>
        <v>0</v>
      </c>
      <c r="N962" s="4">
        <f>_xlfn.XLOOKUP(Table1[[#This Row], [ROOM]],Sheet1!$A$47:$A$66,Sheet1!$F$47:$F$66)</f>
        <v>17450000</v>
      </c>
      <c r="O962" s="9">
        <f>_xlfn.XLOOKUP(_xlfn.CONCAT(Table1[[#This Row], [TEAM]],Table1[[#This Row], [ROOM]]),'ROOM TIME'!$H$2:$H$121,'ROOM TIME'!$J$2:$J$121)</f>
        <v>42.521111111111104</v>
      </c>
      <c r="P962" s="9">
        <f>(INDEX(Sheet1!$X$48:$Z$67,MATCH(Table1[[#This Row], [ROOM]],Sheet1!$P$48:$P$67,0),MATCH(Table1[[#This Row], [WEAPON]],Sheet1!$X$47:$Z$47,0)))/Table1[[#This Row], [NUM OF MEM]]</f>
        <v>4.95</v>
      </c>
      <c r="Q962" s="9">
        <f>Table1[[#This Row], [ROOM TIME]]+Table1[[#This Row], [GUARD TIME]]</f>
        <v>47.471111111111107</v>
      </c>
      <c r="R962" s="4">
        <f>Sheet1!$K$3*_xlfn.XLOOKUP(Table1[[#This Row], [DISGUISE]],Sheet1!$A$21:$A$23,Sheet1!$D$21:$D$23)</f>
        <v>69</v>
      </c>
      <c r="S962" s="9">
        <f>Table1[[#This Row], [TOTAL TIME]]-Table1[[#This Row], [TOTAL TIME TAKEN]]</f>
        <v>21.528888888888893</v>
      </c>
      <c r="T962" t="str">
        <f>IF(Table1[[#This Row], [TIME DIFFERENCE]]&gt;=0,"PASS","FAIL")</f>
        <v>PASS</v>
      </c>
      <c r="U962" s="9">
        <f>Table1[[#This Row], [TRC]]+Table1[[#This Row], [DRC]]+Table1[[#This Row], [WRC]]+Table1[[#This Row], [ERC]]+Table1[[#This Row], [EQRC]]</f>
        <v>7864919.0999999996</v>
      </c>
      <c r="V962" s="9">
        <f>Table1[[#This Row], [TOTAL COST]]+_xlfn.XLOOKUP(Table1[[#This Row], [TEAM]],Sheet1!$A$12:$A$17,Sheet1!$I$12:$I$17)</f>
        <v>8161419.0999999996</v>
      </c>
      <c r="W962" s="9">
        <f>Table1[[#This Row], [LOOT]]-Table1[[#This Row], [TOTAL COST]]</f>
        <v>9585080.9000000004</v>
      </c>
      <c r="X962" s="9">
        <f>IF(Table1[[#This Row], [PASS/FAIL]]="FAIL",0,Table1[[#This Row], [PROFIT]])</f>
        <v>9585080.9000000004</v>
      </c>
    </row>
    <row r="963" spans="1:24" ht="19.5" customHeight="1" x14ac:dyDescent="0.45">
      <c r="A963" t="s">
        <v>9</v>
      </c>
      <c r="B963" s="14">
        <f>_xlfn.XLOOKUP(Table1[[#This Row], [TEAM]],Sheet1!$A$12:$A$17,Sheet1!$F$12:$F$17)</f>
        <v>3</v>
      </c>
      <c r="C963" s="14">
        <f>_xlfn.XLOOKUP(Table1[[#This Row], [TEAM]],Sheet1!$A$12:$A$17,Sheet1!$G$12:$G$17)</f>
        <v>6238750</v>
      </c>
      <c r="D963" t="s">
        <v>19</v>
      </c>
      <c r="E963" s="4">
        <f>_xlfn.XLOOKUP(Table1[[#This Row], [ROOM]],Sheet1!$A$47:$A$66,Sheet1!$B$47:$B$66)</f>
        <v>135</v>
      </c>
      <c r="F963" t="s">
        <v>62</v>
      </c>
      <c r="G963" s="4">
        <f>_xlfn.XLOOKUP(Table1[[#This Row], [DISGUISE]],Sheet1!$A$21:$A$23,Sheet1!$B$21:$B$23)*Table1[[#This Row], [NUM OF MEM]]*(1+_xlfn.XLOOKUP(Table1[[#This Row], [DISGUISE]],Sheet1!$A$21:$A$23,Sheet1!$C$21:$C$23))</f>
        <v>15600</v>
      </c>
      <c r="H963" s="13" t="s">
        <v>59</v>
      </c>
      <c r="I963" s="4">
        <f>_xlfn.XLOOKUP(Table1[[#This Row], [WEAPON]],Sheet1!$A$27:$A$29,Sheet1!$B$27:$B$29)*Table1[[#This Row], [NUM OF MEM]]*(1+_xlfn.XLOOKUP(Table1[[#This Row], [WEAPON]],Sheet1!$A$27:$A$29,Sheet1!$C$27:$C$29))</f>
        <v>136500</v>
      </c>
      <c r="J963" t="s">
        <v>64</v>
      </c>
      <c r="K963" s="9">
        <f>Table1[[#This Row], [NUM OF MEM]]*Table1[[#This Row], [TOTAL TIME TAKEN]]*_xlfn.XLOOKUP(Table1[[#This Row], [EXIT]],Sheet1!$A$70:$A$71,Sheet1!$B$70:$B$71)*(1+_xlfn.XLOOKUP(Table1[[#This Row], [EXIT]],Sheet1!$A$70:$A$71,Sheet1!$C$70:$C$71))</f>
        <v>1666634.3999999994</v>
      </c>
      <c r="L963" s="13" t="s">
        <v>65</v>
      </c>
      <c r="M963" s="4">
        <f>IF(Table1[[#This Row], [EQUIPMENT]]="YES",Sheet1!$C$44*(1+Sheet1!$D$44),0)</f>
        <v>307500</v>
      </c>
      <c r="N963" s="4">
        <f>_xlfn.XLOOKUP(Table1[[#This Row], [ROOM]],Sheet1!$A$47:$A$66,Sheet1!$F$47:$F$66)</f>
        <v>17950000</v>
      </c>
      <c r="O963" s="9">
        <f>_xlfn.XLOOKUP(_xlfn.CONCAT(Table1[[#This Row], [TEAM]],Table1[[#This Row], [ROOM]]),'ROOM TIME'!$H$2:$H$121,'ROOM TIME'!$J$2:$J$121)</f>
        <v>38.649444444444434</v>
      </c>
      <c r="P963" s="9">
        <f>(INDEX(Sheet1!$X$48:$Z$67,MATCH(Table1[[#This Row], [ROOM]],Sheet1!$P$48:$P$67,0),MATCH(Table1[[#This Row], [WEAPON]],Sheet1!$X$47:$Z$47,0)))/Table1[[#This Row], [NUM OF MEM]]</f>
        <v>4.2166666666666659</v>
      </c>
      <c r="Q963" s="9">
        <f>Table1[[#This Row], [ROOM TIME]]+Table1[[#This Row], [GUARD TIME]]</f>
        <v>42.866111111111103</v>
      </c>
      <c r="R963" s="4">
        <f>Sheet1!$K$3*_xlfn.XLOOKUP(Table1[[#This Row], [DISGUISE]],Sheet1!$A$21:$A$23,Sheet1!$D$21:$D$23)</f>
        <v>66</v>
      </c>
      <c r="S963" s="9">
        <f>Table1[[#This Row], [TOTAL TIME]]-Table1[[#This Row], [TOTAL TIME TAKEN]]</f>
        <v>23.133888888888897</v>
      </c>
      <c r="T963" t="str">
        <f>IF(Table1[[#This Row], [TIME DIFFERENCE]]&gt;=0,"PASS","FAIL")</f>
        <v>PASS</v>
      </c>
      <c r="U963" s="9">
        <f>Table1[[#This Row], [TRC]]+Table1[[#This Row], [DRC]]+Table1[[#This Row], [WRC]]+Table1[[#This Row], [ERC]]+Table1[[#This Row], [EQRC]]</f>
        <v>8364984.3999999994</v>
      </c>
      <c r="V963" s="9">
        <f>Table1[[#This Row], [TOTAL COST]]+_xlfn.XLOOKUP(Table1[[#This Row], [TEAM]],Sheet1!$A$12:$A$17,Sheet1!$I$12:$I$17)</f>
        <v>8676921.8999999985</v>
      </c>
      <c r="W963" s="9">
        <f>Table1[[#This Row], [LOOT]]-Table1[[#This Row], [TOTAL COST]]</f>
        <v>9585015.6000000015</v>
      </c>
      <c r="X963" s="9">
        <f>IF(Table1[[#This Row], [PASS/FAIL]]="FAIL",0,Table1[[#This Row], [PROFIT]])</f>
        <v>9585015.6000000015</v>
      </c>
    </row>
    <row r="964" spans="1:24" ht="19.5" customHeight="1" x14ac:dyDescent="0.45">
      <c r="A964" t="s">
        <v>13</v>
      </c>
      <c r="B964" s="14">
        <f>_xlfn.XLOOKUP(Table1[[#This Row], [TEAM]],Sheet1!$A$12:$A$17,Sheet1!$F$12:$F$17)</f>
        <v>3</v>
      </c>
      <c r="C964" s="14">
        <f>_xlfn.XLOOKUP(Table1[[#This Row], [TEAM]],Sheet1!$A$12:$A$17,Sheet1!$G$12:$G$17)</f>
        <v>5930000</v>
      </c>
      <c r="D964" t="s">
        <v>10</v>
      </c>
      <c r="E964" s="4">
        <f>_xlfn.XLOOKUP(Table1[[#This Row], [ROOM]],Sheet1!$A$47:$A$66,Sheet1!$B$47:$B$66)</f>
        <v>123</v>
      </c>
      <c r="F964" t="s">
        <v>62</v>
      </c>
      <c r="G964" s="4">
        <f>_xlfn.XLOOKUP(Table1[[#This Row], [DISGUISE]],Sheet1!$A$21:$A$23,Sheet1!$B$21:$B$23)*Table1[[#This Row], [NUM OF MEM]]*(1+_xlfn.XLOOKUP(Table1[[#This Row], [DISGUISE]],Sheet1!$A$21:$A$23,Sheet1!$C$21:$C$23))</f>
        <v>15600</v>
      </c>
      <c r="H964" s="13" t="s">
        <v>59</v>
      </c>
      <c r="I964" s="4">
        <f>_xlfn.XLOOKUP(Table1[[#This Row], [WEAPON]],Sheet1!$A$27:$A$29,Sheet1!$B$27:$B$29)*Table1[[#This Row], [NUM OF MEM]]*(1+_xlfn.XLOOKUP(Table1[[#This Row], [WEAPON]],Sheet1!$A$27:$A$29,Sheet1!$C$27:$C$29))</f>
        <v>136500</v>
      </c>
      <c r="J964" t="s">
        <v>64</v>
      </c>
      <c r="K964" s="9">
        <f>Table1[[#This Row], [NUM OF MEM]]*Table1[[#This Row], [TOTAL TIME TAKEN]]*_xlfn.XLOOKUP(Table1[[#This Row], [EXIT]],Sheet1!$A$70:$A$71,Sheet1!$B$70:$B$71)*(1+_xlfn.XLOOKUP(Table1[[#This Row], [EXIT]],Sheet1!$A$70:$A$71,Sheet1!$C$70:$C$71))</f>
        <v>1876132.7999999996</v>
      </c>
      <c r="L964" s="13" t="s">
        <v>65</v>
      </c>
      <c r="M964" s="4">
        <f>IF(Table1[[#This Row], [EQUIPMENT]]="YES",Sheet1!$C$44*(1+Sheet1!$D$44),0)</f>
        <v>307500</v>
      </c>
      <c r="N964" s="4">
        <f>_xlfn.XLOOKUP(Table1[[#This Row], [ROOM]],Sheet1!$A$47:$A$66,Sheet1!$F$47:$F$66)</f>
        <v>17850000</v>
      </c>
      <c r="O964" s="9">
        <f>_xlfn.XLOOKUP(_xlfn.CONCAT(Table1[[#This Row], [TEAM]],Table1[[#This Row], [ROOM]]),'ROOM TIME'!$H$2:$H$121,'ROOM TIME'!$J$2:$J$121)</f>
        <v>43.654444444444437</v>
      </c>
      <c r="P964" s="9">
        <f>(INDEX(Sheet1!$X$48:$Z$67,MATCH(Table1[[#This Row], [ROOM]],Sheet1!$P$48:$P$67,0),MATCH(Table1[[#This Row], [WEAPON]],Sheet1!$X$47:$Z$47,0)))/Table1[[#This Row], [NUM OF MEM]]</f>
        <v>4.5999999999999996</v>
      </c>
      <c r="Q964" s="9">
        <f>Table1[[#This Row], [ROOM TIME]]+Table1[[#This Row], [GUARD TIME]]</f>
        <v>48.254444444444438</v>
      </c>
      <c r="R964" s="4">
        <f>Sheet1!$K$3*_xlfn.XLOOKUP(Table1[[#This Row], [DISGUISE]],Sheet1!$A$21:$A$23,Sheet1!$D$21:$D$23)</f>
        <v>66</v>
      </c>
      <c r="S964" s="9">
        <f>Table1[[#This Row], [TOTAL TIME]]-Table1[[#This Row], [TOTAL TIME TAKEN]]</f>
        <v>17.745555555555562</v>
      </c>
      <c r="T964" t="str">
        <f>IF(Table1[[#This Row], [TIME DIFFERENCE]]&gt;=0,"PASS","FAIL")</f>
        <v>PASS</v>
      </c>
      <c r="U964" s="9">
        <f>Table1[[#This Row], [TRC]]+Table1[[#This Row], [DRC]]+Table1[[#This Row], [WRC]]+Table1[[#This Row], [ERC]]+Table1[[#This Row], [EQRC]]</f>
        <v>8265732.7999999998</v>
      </c>
      <c r="V964" s="9">
        <f>Table1[[#This Row], [TOTAL COST]]+_xlfn.XLOOKUP(Table1[[#This Row], [TEAM]],Sheet1!$A$12:$A$17,Sheet1!$I$12:$I$17)</f>
        <v>8562232.8000000007</v>
      </c>
      <c r="W964" s="9">
        <f>Table1[[#This Row], [LOOT]]-Table1[[#This Row], [TOTAL COST]]</f>
        <v>9584267.1999999993</v>
      </c>
      <c r="X964" s="9">
        <f>IF(Table1[[#This Row], [PASS/FAIL]]="FAIL",0,Table1[[#This Row], [PROFIT]])</f>
        <v>9584267.1999999993</v>
      </c>
    </row>
    <row r="965" spans="1:24" ht="19.5" customHeight="1" x14ac:dyDescent="0.45">
      <c r="A965" t="s">
        <v>16</v>
      </c>
      <c r="B965" s="14">
        <f>_xlfn.XLOOKUP(Table1[[#This Row], [TEAM]],Sheet1!$A$12:$A$17,Sheet1!$F$12:$F$17)</f>
        <v>2</v>
      </c>
      <c r="C965" s="14">
        <f>_xlfn.XLOOKUP(Table1[[#This Row], [TEAM]],Sheet1!$A$12:$A$17,Sheet1!$G$12:$G$17)</f>
        <v>6082800</v>
      </c>
      <c r="D965" t="s">
        <v>28</v>
      </c>
      <c r="E965" s="4">
        <f>_xlfn.XLOOKUP(Table1[[#This Row], [ROOM]],Sheet1!$A$47:$A$66,Sheet1!$B$47:$B$66)</f>
        <v>156</v>
      </c>
      <c r="F965" t="s">
        <v>62</v>
      </c>
      <c r="G965" s="4">
        <f>_xlfn.XLOOKUP(Table1[[#This Row], [DISGUISE]],Sheet1!$A$21:$A$23,Sheet1!$B$21:$B$23)*Table1[[#This Row], [NUM OF MEM]]*(1+_xlfn.XLOOKUP(Table1[[#This Row], [DISGUISE]],Sheet1!$A$21:$A$23,Sheet1!$C$21:$C$23))</f>
        <v>10400</v>
      </c>
      <c r="H965" s="13" t="s">
        <v>59</v>
      </c>
      <c r="I965" s="4">
        <f>_xlfn.XLOOKUP(Table1[[#This Row], [WEAPON]],Sheet1!$A$27:$A$29,Sheet1!$B$27:$B$29)*Table1[[#This Row], [NUM OF MEM]]*(1+_xlfn.XLOOKUP(Table1[[#This Row], [WEAPON]],Sheet1!$A$27:$A$29,Sheet1!$C$27:$C$29))</f>
        <v>91000</v>
      </c>
      <c r="J965" t="s">
        <v>60</v>
      </c>
      <c r="K965" s="9">
        <f>Table1[[#This Row], [NUM OF MEM]]*Table1[[#This Row], [TOTAL TIME TAKEN]]*_xlfn.XLOOKUP(Table1[[#This Row], [EXIT]],Sheet1!$A$70:$A$71,Sheet1!$B$70:$B$71)*(1+_xlfn.XLOOKUP(Table1[[#This Row], [EXIT]],Sheet1!$A$70:$A$71,Sheet1!$C$70:$C$71))</f>
        <v>1574579.8312499996</v>
      </c>
      <c r="L965" s="13" t="s">
        <v>65</v>
      </c>
      <c r="M965" s="4">
        <f>IF(Table1[[#This Row], [EQUIPMENT]]="YES",Sheet1!$C$44*(1+Sheet1!$D$44),0)</f>
        <v>307500</v>
      </c>
      <c r="N965" s="4">
        <f>_xlfn.XLOOKUP(Table1[[#This Row], [ROOM]],Sheet1!$A$47:$A$66,Sheet1!$F$47:$F$66)</f>
        <v>17650000</v>
      </c>
      <c r="O965" s="9">
        <f>_xlfn.XLOOKUP(_xlfn.CONCAT(Table1[[#This Row], [TEAM]],Table1[[#This Row], [ROOM]]),'ROOM TIME'!$H$2:$H$121,'ROOM TIME'!$J$2:$J$121)</f>
        <v>55.601249999999986</v>
      </c>
      <c r="P965" s="9">
        <f>(INDEX(Sheet1!$X$48:$Z$67,MATCH(Table1[[#This Row], [ROOM]],Sheet1!$P$48:$P$67,0),MATCH(Table1[[#This Row], [WEAPON]],Sheet1!$X$47:$Z$47,0)))/Table1[[#This Row], [NUM OF MEM]]</f>
        <v>5.75</v>
      </c>
      <c r="Q965" s="9">
        <f>Table1[[#This Row], [ROOM TIME]]+Table1[[#This Row], [GUARD TIME]]</f>
        <v>61.351249999999986</v>
      </c>
      <c r="R965" s="4">
        <f>Sheet1!$K$3*_xlfn.XLOOKUP(Table1[[#This Row], [DISGUISE]],Sheet1!$A$21:$A$23,Sheet1!$D$21:$D$23)</f>
        <v>66</v>
      </c>
      <c r="S965" s="9">
        <f>Table1[[#This Row], [TOTAL TIME]]-Table1[[#This Row], [TOTAL TIME TAKEN]]</f>
        <v>4.6487500000000139</v>
      </c>
      <c r="T965" t="str">
        <f>IF(Table1[[#This Row], [TIME DIFFERENCE]]&gt;=0,"PASS","FAIL")</f>
        <v>PASS</v>
      </c>
      <c r="U965" s="9">
        <f>Table1[[#This Row], [TRC]]+Table1[[#This Row], [DRC]]+Table1[[#This Row], [WRC]]+Table1[[#This Row], [ERC]]+Table1[[#This Row], [EQRC]]</f>
        <v>8066279.8312499998</v>
      </c>
      <c r="V965" s="9">
        <f>Table1[[#This Row], [TOTAL COST]]+_xlfn.XLOOKUP(Table1[[#This Row], [TEAM]],Sheet1!$A$12:$A$17,Sheet1!$I$12:$I$17)</f>
        <v>8370419.8312499998</v>
      </c>
      <c r="W965" s="9">
        <f>Table1[[#This Row], [LOOT]]-Table1[[#This Row], [TOTAL COST]]</f>
        <v>9583720.1687499993</v>
      </c>
      <c r="X965" s="9">
        <f>IF(Table1[[#This Row], [PASS/FAIL]]="FAIL",0,Table1[[#This Row], [PROFIT]])</f>
        <v>9583720.1687499993</v>
      </c>
    </row>
    <row r="966" spans="1:24" ht="19.5" customHeight="1" x14ac:dyDescent="0.45">
      <c r="A966" t="s">
        <v>13</v>
      </c>
      <c r="B966" s="14">
        <f>_xlfn.XLOOKUP(Table1[[#This Row], [TEAM]],Sheet1!$A$12:$A$17,Sheet1!$F$12:$F$17)</f>
        <v>3</v>
      </c>
      <c r="C966" s="14">
        <f>_xlfn.XLOOKUP(Table1[[#This Row], [TEAM]],Sheet1!$A$12:$A$17,Sheet1!$G$12:$G$17)</f>
        <v>5930000</v>
      </c>
      <c r="D966" t="s">
        <v>22</v>
      </c>
      <c r="E966" s="4">
        <f>_xlfn.XLOOKUP(Table1[[#This Row], [ROOM]],Sheet1!$A$47:$A$66,Sheet1!$B$47:$B$66)</f>
        <v>235</v>
      </c>
      <c r="F966" t="s">
        <v>58</v>
      </c>
      <c r="G966" s="4">
        <f>_xlfn.XLOOKUP(Table1[[#This Row], [DISGUISE]],Sheet1!$A$21:$A$23,Sheet1!$B$21:$B$23)*Table1[[#This Row], [NUM OF MEM]]*(1+_xlfn.XLOOKUP(Table1[[#This Row], [DISGUISE]],Sheet1!$A$21:$A$23,Sheet1!$C$21:$C$23))</f>
        <v>38400</v>
      </c>
      <c r="H966" s="13" t="s">
        <v>63</v>
      </c>
      <c r="I966" s="4">
        <f>_xlfn.XLOOKUP(Table1[[#This Row], [WEAPON]],Sheet1!$A$27:$A$29,Sheet1!$B$27:$B$29)*Table1[[#This Row], [NUM OF MEM]]*(1+_xlfn.XLOOKUP(Table1[[#This Row], [WEAPON]],Sheet1!$A$27:$A$29,Sheet1!$C$27:$C$29))</f>
        <v>69000</v>
      </c>
      <c r="J966" t="s">
        <v>60</v>
      </c>
      <c r="K966" s="9">
        <f>Table1[[#This Row], [NUM OF MEM]]*Table1[[#This Row], [TOTAL TIME TAKEN]]*_xlfn.XLOOKUP(Table1[[#This Row], [EXIT]],Sheet1!$A$70:$A$71,Sheet1!$B$70:$B$71)*(1+_xlfn.XLOOKUP(Table1[[#This Row], [EXIT]],Sheet1!$A$70:$A$71,Sheet1!$C$70:$C$71))</f>
        <v>1871427.6374999997</v>
      </c>
      <c r="L966" s="13" t="s">
        <v>65</v>
      </c>
      <c r="M966" s="4">
        <f>IF(Table1[[#This Row], [EQUIPMENT]]="YES",Sheet1!$C$44*(1+Sheet1!$D$44),0)</f>
        <v>307500</v>
      </c>
      <c r="N966" s="4">
        <f>_xlfn.XLOOKUP(Table1[[#This Row], [ROOM]],Sheet1!$A$47:$A$66,Sheet1!$F$47:$F$66)</f>
        <v>17800000</v>
      </c>
      <c r="O966" s="9">
        <f>_xlfn.XLOOKUP(_xlfn.CONCAT(Table1[[#This Row], [TEAM]],Table1[[#This Row], [ROOM]]),'ROOM TIME'!$H$2:$H$121,'ROOM TIME'!$J$2:$J$121)</f>
        <v>43.211666666666666</v>
      </c>
      <c r="P966" s="9">
        <f>(INDEX(Sheet1!$X$48:$Z$67,MATCH(Table1[[#This Row], [ROOM]],Sheet1!$P$48:$P$67,0),MATCH(Table1[[#This Row], [WEAPON]],Sheet1!$X$47:$Z$47,0)))/Table1[[#This Row], [NUM OF MEM]]</f>
        <v>5.4000000000000012</v>
      </c>
      <c r="Q966" s="9">
        <f>Table1[[#This Row], [ROOM TIME]]+Table1[[#This Row], [GUARD TIME]]</f>
        <v>48.611666666666665</v>
      </c>
      <c r="R966" s="4">
        <f>Sheet1!$K$3*_xlfn.XLOOKUP(Table1[[#This Row], [DISGUISE]],Sheet1!$A$21:$A$23,Sheet1!$D$21:$D$23)</f>
        <v>69</v>
      </c>
      <c r="S966" s="9">
        <f>Table1[[#This Row], [TOTAL TIME]]-Table1[[#This Row], [TOTAL TIME TAKEN]]</f>
        <v>20.388333333333335</v>
      </c>
      <c r="T966" t="str">
        <f>IF(Table1[[#This Row], [TIME DIFFERENCE]]&gt;=0,"PASS","FAIL")</f>
        <v>PASS</v>
      </c>
      <c r="U966" s="9">
        <f>Table1[[#This Row], [TRC]]+Table1[[#This Row], [DRC]]+Table1[[#This Row], [WRC]]+Table1[[#This Row], [ERC]]+Table1[[#This Row], [EQRC]]</f>
        <v>8216327.6374999993</v>
      </c>
      <c r="V966" s="9">
        <f>Table1[[#This Row], [TOTAL COST]]+_xlfn.XLOOKUP(Table1[[#This Row], [TEAM]],Sheet1!$A$12:$A$17,Sheet1!$I$12:$I$17)</f>
        <v>8512827.6374999993</v>
      </c>
      <c r="W966" s="9">
        <f>Table1[[#This Row], [LOOT]]-Table1[[#This Row], [TOTAL COST]]</f>
        <v>9583672.3625000007</v>
      </c>
      <c r="X966" s="9">
        <f>IF(Table1[[#This Row], [PASS/FAIL]]="FAIL",0,Table1[[#This Row], [PROFIT]])</f>
        <v>9583672.3625000007</v>
      </c>
    </row>
    <row r="967" spans="1:24" ht="19.5" customHeight="1" x14ac:dyDescent="0.45">
      <c r="A967" t="s">
        <v>15</v>
      </c>
      <c r="B967" s="14">
        <f>_xlfn.XLOOKUP(Table1[[#This Row], [TEAM]],Sheet1!$A$12:$A$17,Sheet1!$F$12:$F$17)</f>
        <v>2</v>
      </c>
      <c r="C967" s="14">
        <f>_xlfn.XLOOKUP(Table1[[#This Row], [TEAM]],Sheet1!$A$12:$A$17,Sheet1!$G$12:$G$17)</f>
        <v>5932950</v>
      </c>
      <c r="D967" t="s">
        <v>30</v>
      </c>
      <c r="E967" s="4">
        <f>_xlfn.XLOOKUP(Table1[[#This Row], [ROOM]],Sheet1!$A$47:$A$66,Sheet1!$B$47:$B$66)</f>
        <v>246</v>
      </c>
      <c r="F967" t="s">
        <v>58</v>
      </c>
      <c r="G967" s="4">
        <f>_xlfn.XLOOKUP(Table1[[#This Row], [DISGUISE]],Sheet1!$A$21:$A$23,Sheet1!$B$21:$B$23)*Table1[[#This Row], [NUM OF MEM]]*(1+_xlfn.XLOOKUP(Table1[[#This Row], [DISGUISE]],Sheet1!$A$21:$A$23,Sheet1!$C$21:$C$23))</f>
        <v>25600</v>
      </c>
      <c r="H967" s="13" t="s">
        <v>59</v>
      </c>
      <c r="I967" s="4">
        <f>_xlfn.XLOOKUP(Table1[[#This Row], [WEAPON]],Sheet1!$A$27:$A$29,Sheet1!$B$27:$B$29)*Table1[[#This Row], [NUM OF MEM]]*(1+_xlfn.XLOOKUP(Table1[[#This Row], [WEAPON]],Sheet1!$A$27:$A$29,Sheet1!$C$27:$C$29))</f>
        <v>91000</v>
      </c>
      <c r="J967" t="s">
        <v>64</v>
      </c>
      <c r="K967" s="9">
        <f>Table1[[#This Row], [NUM OF MEM]]*Table1[[#This Row], [TOTAL TIME TAKEN]]*_xlfn.XLOOKUP(Table1[[#This Row], [EXIT]],Sheet1!$A$70:$A$71,Sheet1!$B$70:$B$71)*(1+_xlfn.XLOOKUP(Table1[[#This Row], [EXIT]],Sheet1!$A$70:$A$71,Sheet1!$C$70:$C$71))</f>
        <v>1659495.5999999996</v>
      </c>
      <c r="L967" s="13" t="s">
        <v>65</v>
      </c>
      <c r="M967" s="4">
        <f>IF(Table1[[#This Row], [EQUIPMENT]]="YES",Sheet1!$C$44*(1+Sheet1!$D$44),0)</f>
        <v>307500</v>
      </c>
      <c r="N967" s="4">
        <f>_xlfn.XLOOKUP(Table1[[#This Row], [ROOM]],Sheet1!$A$47:$A$66,Sheet1!$F$47:$F$66)</f>
        <v>17600000</v>
      </c>
      <c r="O967" s="9">
        <f>_xlfn.XLOOKUP(_xlfn.CONCAT(Table1[[#This Row], [TEAM]],Table1[[#This Row], [ROOM]]),'ROOM TIME'!$H$2:$H$121,'ROOM TIME'!$J$2:$J$121)</f>
        <v>57.123749999999987</v>
      </c>
      <c r="P967" s="9">
        <f>(INDEX(Sheet1!$X$48:$Z$67,MATCH(Table1[[#This Row], [ROOM]],Sheet1!$P$48:$P$67,0),MATCH(Table1[[#This Row], [WEAPON]],Sheet1!$X$47:$Z$47,0)))/Table1[[#This Row], [NUM OF MEM]]</f>
        <v>6.8999999999999995</v>
      </c>
      <c r="Q967" s="9">
        <f>Table1[[#This Row], [ROOM TIME]]+Table1[[#This Row], [GUARD TIME]]</f>
        <v>64.023749999999993</v>
      </c>
      <c r="R967" s="4">
        <f>Sheet1!$K$3*_xlfn.XLOOKUP(Table1[[#This Row], [DISGUISE]],Sheet1!$A$21:$A$23,Sheet1!$D$21:$D$23)</f>
        <v>69</v>
      </c>
      <c r="S967" s="9">
        <f>Table1[[#This Row], [TOTAL TIME]]-Table1[[#This Row], [TOTAL TIME TAKEN]]</f>
        <v>4.9762500000000074</v>
      </c>
      <c r="T967" t="str">
        <f>IF(Table1[[#This Row], [TIME DIFFERENCE]]&gt;=0,"PASS","FAIL")</f>
        <v>PASS</v>
      </c>
      <c r="U967" s="9">
        <f>Table1[[#This Row], [TRC]]+Table1[[#This Row], [DRC]]+Table1[[#This Row], [WRC]]+Table1[[#This Row], [ERC]]+Table1[[#This Row], [EQRC]]</f>
        <v>8016545.5999999996</v>
      </c>
      <c r="V967" s="9">
        <f>Table1[[#This Row], [TOTAL COST]]+_xlfn.XLOOKUP(Table1[[#This Row], [TEAM]],Sheet1!$A$12:$A$17,Sheet1!$I$12:$I$17)</f>
        <v>8313193.0999999996</v>
      </c>
      <c r="W967" s="9">
        <f>Table1[[#This Row], [LOOT]]-Table1[[#This Row], [TOTAL COST]]</f>
        <v>9583454.4000000004</v>
      </c>
      <c r="X967" s="9">
        <f>IF(Table1[[#This Row], [PASS/FAIL]]="FAIL",0,Table1[[#This Row], [PROFIT]])</f>
        <v>9583454.4000000004</v>
      </c>
    </row>
    <row r="968" spans="1:24" ht="19.5" customHeight="1" x14ac:dyDescent="0.45">
      <c r="A968" t="s">
        <v>9</v>
      </c>
      <c r="B968" s="14">
        <f>_xlfn.XLOOKUP(Table1[[#This Row], [TEAM]],Sheet1!$A$12:$A$17,Sheet1!$F$12:$F$17)</f>
        <v>3</v>
      </c>
      <c r="C968" s="14">
        <f>_xlfn.XLOOKUP(Table1[[#This Row], [TEAM]],Sheet1!$A$12:$A$17,Sheet1!$G$12:$G$17)</f>
        <v>6238750</v>
      </c>
      <c r="D968" t="s">
        <v>20</v>
      </c>
      <c r="E968" s="4">
        <f>_xlfn.XLOOKUP(Table1[[#This Row], [ROOM]],Sheet1!$A$47:$A$66,Sheet1!$B$47:$B$66)</f>
        <v>145</v>
      </c>
      <c r="F968" t="s">
        <v>62</v>
      </c>
      <c r="G968" s="4">
        <f>_xlfn.XLOOKUP(Table1[[#This Row], [DISGUISE]],Sheet1!$A$21:$A$23,Sheet1!$B$21:$B$23)*Table1[[#This Row], [NUM OF MEM]]*(1+_xlfn.XLOOKUP(Table1[[#This Row], [DISGUISE]],Sheet1!$A$21:$A$23,Sheet1!$C$21:$C$23))</f>
        <v>15600</v>
      </c>
      <c r="H968" s="13" t="s">
        <v>63</v>
      </c>
      <c r="I968" s="4">
        <f>_xlfn.XLOOKUP(Table1[[#This Row], [WEAPON]],Sheet1!$A$27:$A$29,Sheet1!$B$27:$B$29)*Table1[[#This Row], [NUM OF MEM]]*(1+_xlfn.XLOOKUP(Table1[[#This Row], [WEAPON]],Sheet1!$A$27:$A$29,Sheet1!$C$27:$C$29))</f>
        <v>69000</v>
      </c>
      <c r="J968" t="s">
        <v>64</v>
      </c>
      <c r="K968" s="9">
        <f>Table1[[#This Row], [NUM OF MEM]]*Table1[[#This Row], [TOTAL TIME TAKEN]]*_xlfn.XLOOKUP(Table1[[#This Row], [EXIT]],Sheet1!$A$70:$A$71,Sheet1!$B$70:$B$71)*(1+_xlfn.XLOOKUP(Table1[[#This Row], [EXIT]],Sheet1!$A$70:$A$71,Sheet1!$C$70:$C$71))</f>
        <v>1643306.3999999997</v>
      </c>
      <c r="L968" s="13" t="s">
        <v>61</v>
      </c>
      <c r="M968" s="4">
        <f>IF(Table1[[#This Row], [EQUIPMENT]]="YES",Sheet1!$C$44*(1+Sheet1!$D$44),0)</f>
        <v>0</v>
      </c>
      <c r="N968" s="4">
        <f>_xlfn.XLOOKUP(Table1[[#This Row], [ROOM]],Sheet1!$A$47:$A$66,Sheet1!$F$47:$F$66)</f>
        <v>17550000</v>
      </c>
      <c r="O968" s="9">
        <f>_xlfn.XLOOKUP(_xlfn.CONCAT(Table1[[#This Row], [TEAM]],Table1[[#This Row], [ROOM]]),'ROOM TIME'!$H$2:$H$121,'ROOM TIME'!$J$2:$J$121)</f>
        <v>37.766111111111101</v>
      </c>
      <c r="P968" s="9">
        <f>(INDEX(Sheet1!$X$48:$Z$67,MATCH(Table1[[#This Row], [ROOM]],Sheet1!$P$48:$P$67,0),MATCH(Table1[[#This Row], [WEAPON]],Sheet1!$X$47:$Z$47,0)))/Table1[[#This Row], [NUM OF MEM]]</f>
        <v>4.5</v>
      </c>
      <c r="Q968" s="9">
        <f>Table1[[#This Row], [ROOM TIME]]+Table1[[#This Row], [GUARD TIME]]</f>
        <v>42.266111111111101</v>
      </c>
      <c r="R968" s="4">
        <f>Sheet1!$K$3*_xlfn.XLOOKUP(Table1[[#This Row], [DISGUISE]],Sheet1!$A$21:$A$23,Sheet1!$D$21:$D$23)</f>
        <v>66</v>
      </c>
      <c r="S968" s="9">
        <f>Table1[[#This Row], [TOTAL TIME]]-Table1[[#This Row], [TOTAL TIME TAKEN]]</f>
        <v>23.733888888888899</v>
      </c>
      <c r="T968" t="str">
        <f>IF(Table1[[#This Row], [TIME DIFFERENCE]]&gt;=0,"PASS","FAIL")</f>
        <v>PASS</v>
      </c>
      <c r="U968" s="9">
        <f>Table1[[#This Row], [TRC]]+Table1[[#This Row], [DRC]]+Table1[[#This Row], [WRC]]+Table1[[#This Row], [ERC]]+Table1[[#This Row], [EQRC]]</f>
        <v>7966656.3999999994</v>
      </c>
      <c r="V968" s="9">
        <f>Table1[[#This Row], [TOTAL COST]]+_xlfn.XLOOKUP(Table1[[#This Row], [TEAM]],Sheet1!$A$12:$A$17,Sheet1!$I$12:$I$17)</f>
        <v>8278593.8999999994</v>
      </c>
      <c r="W968" s="9">
        <f>Table1[[#This Row], [LOOT]]-Table1[[#This Row], [TOTAL COST]]</f>
        <v>9583343.6000000015</v>
      </c>
      <c r="X968" s="9">
        <f>IF(Table1[[#This Row], [PASS/FAIL]]="FAIL",0,Table1[[#This Row], [PROFIT]])</f>
        <v>9583343.6000000015</v>
      </c>
    </row>
    <row r="969" spans="1:24" ht="19.5" customHeight="1" x14ac:dyDescent="0.45">
      <c r="A969" t="s">
        <v>12</v>
      </c>
      <c r="B969" s="14">
        <f>_xlfn.XLOOKUP(Table1[[#This Row], [TEAM]],Sheet1!$A$12:$A$17,Sheet1!$F$12:$F$17)</f>
        <v>3</v>
      </c>
      <c r="C969" s="14">
        <f>_xlfn.XLOOKUP(Table1[[#This Row], [TEAM]],Sheet1!$A$12:$A$17,Sheet1!$G$12:$G$17)</f>
        <v>5988750</v>
      </c>
      <c r="D969" t="s">
        <v>11</v>
      </c>
      <c r="E969" s="4">
        <f>_xlfn.XLOOKUP(Table1[[#This Row], [ROOM]],Sheet1!$A$47:$A$66,Sheet1!$B$47:$B$66)</f>
        <v>124</v>
      </c>
      <c r="F969" t="s">
        <v>58</v>
      </c>
      <c r="G969" s="4">
        <f>_xlfn.XLOOKUP(Table1[[#This Row], [DISGUISE]],Sheet1!$A$21:$A$23,Sheet1!$B$21:$B$23)*Table1[[#This Row], [NUM OF MEM]]*(1+_xlfn.XLOOKUP(Table1[[#This Row], [DISGUISE]],Sheet1!$A$21:$A$23,Sheet1!$C$21:$C$23))</f>
        <v>38400</v>
      </c>
      <c r="H969" s="13" t="s">
        <v>66</v>
      </c>
      <c r="I969" s="4">
        <f>_xlfn.XLOOKUP(Table1[[#This Row], [WEAPON]],Sheet1!$A$27:$A$29,Sheet1!$B$27:$B$29)*Table1[[#This Row], [NUM OF MEM]]*(1+_xlfn.XLOOKUP(Table1[[#This Row], [WEAPON]],Sheet1!$A$27:$A$29,Sheet1!$C$27:$C$29))</f>
        <v>108000</v>
      </c>
      <c r="J969" t="s">
        <v>60</v>
      </c>
      <c r="K969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1731788.6499999997</v>
      </c>
      <c r="L969" s="13" t="s">
        <v>61</v>
      </c>
      <c r="M969" s="4">
        <f>IF(Table1[[#This Row], [EQUIPMENT]]="YES",Sheet1!$C$44*(1+Sheet1!$D$44),0)</f>
        <v>0</v>
      </c>
      <c r="N969" s="4">
        <f>_xlfn.XLOOKUP(Table1[[#This Row], [ROOM]],Sheet1!$A$47:$A$66,Sheet1!$F$47:$F$66)</f>
        <v>17450000</v>
      </c>
      <c r="O969" s="9">
        <f>_xlfn.XLOOKUP(_xlfn.CONCAT(Table1[[#This Row], [TEAM]],Table1[[#This Row], [ROOM]]),'ROOM TIME'!$H$2:$H$121,'ROOM TIME'!$J$2:$J$121)</f>
        <v>40.401111111111099</v>
      </c>
      <c r="P969" s="9">
        <f>(INDEX(Sheet1!$X$48:$Z$67,MATCH(Table1[[#This Row], [ROOM]],Sheet1!$P$48:$P$67,0),MATCH(Table1[[#This Row], [WEAPON]],Sheet1!$X$47:$Z$47,0)))/Table1[[#This Row], [NUM OF MEM]]</f>
        <v>4.583333333333333</v>
      </c>
      <c r="Q969" s="9">
        <f>Table1[[#This Row], [ROOM TIME]]+Table1[[#This Row], [GUARD TIME]]</f>
        <v>44.984444444444435</v>
      </c>
      <c r="R969" s="4">
        <f>Sheet1!$K$3*_xlfn.XLOOKUP(Table1[[#This Row], [DISGUISE]],Sheet1!$A$21:$A$23,Sheet1!$D$21:$D$23)</f>
        <v>69</v>
      </c>
      <c r="S969" s="9">
        <f>Table1[[#This Row], [TOTAL TIME]]-Table1[[#This Row], [TOTAL TIME TAKEN]]</f>
        <v>24.015555555555565</v>
      </c>
      <c r="T969" t="str">
        <f>IF(Table1[[#This Row], [TIME DIFFERENCE]]&gt;=0,"PASS","FAIL")</f>
        <v>PASS</v>
      </c>
      <c r="U969" s="9">
        <f>Table1[[#This Row], [TRC]]+Table1[[#This Row], [DRC]]+Table1[[#This Row], [WRC]]+Table1[[#This Row], [ERC]]+Table1[[#This Row], [EQRC]]</f>
        <v>7866938.6499999994</v>
      </c>
      <c r="V969" s="9">
        <f>Table1[[#This Row], [TOTAL COST]]+_xlfn.XLOOKUP(Table1[[#This Row], [TEAM]],Sheet1!$A$12:$A$17,Sheet1!$I$12:$I$17)</f>
        <v>8166376.1499999994</v>
      </c>
      <c r="W969" s="9">
        <f>Table1[[#This Row], [LOOT]]-Table1[[#This Row], [TOTAL COST]]</f>
        <v>9583061.3500000015</v>
      </c>
      <c r="X969" s="9">
        <f>IF(Table1[[#This Row], [PASS/FAIL]]="FAIL",0,Table1[[#This Row], [PROFIT]])</f>
        <v>9583061.3500000015</v>
      </c>
    </row>
    <row r="970" spans="1:24" ht="19.5" customHeight="1" x14ac:dyDescent="0.45">
      <c r="A970" t="s">
        <v>13</v>
      </c>
      <c r="B970" s="14">
        <f>_xlfn.XLOOKUP(Table1[[#This Row], [TEAM]],Sheet1!$A$12:$A$17,Sheet1!$F$12:$F$17)</f>
        <v>3</v>
      </c>
      <c r="C970" s="14">
        <f>_xlfn.XLOOKUP(Table1[[#This Row], [TEAM]],Sheet1!$A$12:$A$17,Sheet1!$G$12:$G$17)</f>
        <v>5930000</v>
      </c>
      <c r="D970" t="s">
        <v>11</v>
      </c>
      <c r="E970" s="4">
        <f>_xlfn.XLOOKUP(Table1[[#This Row], [ROOM]],Sheet1!$A$47:$A$66,Sheet1!$B$47:$B$66)</f>
        <v>124</v>
      </c>
      <c r="F970" t="s">
        <v>62</v>
      </c>
      <c r="G970" s="4">
        <f>_xlfn.XLOOKUP(Table1[[#This Row], [DISGUISE]],Sheet1!$A$21:$A$23,Sheet1!$B$21:$B$23)*Table1[[#This Row], [NUM OF MEM]]*(1+_xlfn.XLOOKUP(Table1[[#This Row], [DISGUISE]],Sheet1!$A$21:$A$23,Sheet1!$C$21:$C$23))</f>
        <v>15600</v>
      </c>
      <c r="H970" s="13" t="s">
        <v>66</v>
      </c>
      <c r="I970" s="4">
        <f>_xlfn.XLOOKUP(Table1[[#This Row], [WEAPON]],Sheet1!$A$27:$A$29,Sheet1!$B$27:$B$29)*Table1[[#This Row], [NUM OF MEM]]*(1+_xlfn.XLOOKUP(Table1[[#This Row], [WEAPON]],Sheet1!$A$27:$A$29,Sheet1!$C$27:$C$29))</f>
        <v>108000</v>
      </c>
      <c r="J970" t="s">
        <v>60</v>
      </c>
      <c r="K970" s="9">
        <f>Table1[[#This Row], [NUM OF MEM]]*Table1[[#This Row], [TOTAL TIME TAKEN]]*_xlfn.XLOOKUP(Table1[[#This Row], [EXIT]],Sheet1!$A$70:$A$71,Sheet1!$B$70:$B$71)*(1+_xlfn.XLOOKUP(Table1[[#This Row], [EXIT]],Sheet1!$A$70:$A$71,Sheet1!$C$70:$C$71))</f>
        <v>1813403.3499999999</v>
      </c>
      <c r="L970" s="13" t="s">
        <v>61</v>
      </c>
      <c r="M970" s="4">
        <f>IF(Table1[[#This Row], [EQUIPMENT]]="YES",Sheet1!$C$44*(1+Sheet1!$D$44),0)</f>
        <v>0</v>
      </c>
      <c r="N970" s="4">
        <f>_xlfn.XLOOKUP(Table1[[#This Row], [ROOM]],Sheet1!$A$47:$A$66,Sheet1!$F$47:$F$66)</f>
        <v>17450000</v>
      </c>
      <c r="O970" s="9">
        <f>_xlfn.XLOOKUP(_xlfn.CONCAT(Table1[[#This Row], [TEAM]],Table1[[#This Row], [ROOM]]),'ROOM TIME'!$H$2:$H$121,'ROOM TIME'!$J$2:$J$121)</f>
        <v>42.521111111111104</v>
      </c>
      <c r="P970" s="9">
        <f>(INDEX(Sheet1!$X$48:$Z$67,MATCH(Table1[[#This Row], [ROOM]],Sheet1!$P$48:$P$67,0),MATCH(Table1[[#This Row], [WEAPON]],Sheet1!$X$47:$Z$47,0)))/Table1[[#This Row], [NUM OF MEM]]</f>
        <v>4.583333333333333</v>
      </c>
      <c r="Q970" s="9">
        <f>Table1[[#This Row], [ROOM TIME]]+Table1[[#This Row], [GUARD TIME]]</f>
        <v>47.104444444444439</v>
      </c>
      <c r="R970" s="4">
        <f>Sheet1!$K$3*_xlfn.XLOOKUP(Table1[[#This Row], [DISGUISE]],Sheet1!$A$21:$A$23,Sheet1!$D$21:$D$23)</f>
        <v>66</v>
      </c>
      <c r="S970" s="9">
        <f>Table1[[#This Row], [TOTAL TIME]]-Table1[[#This Row], [TOTAL TIME TAKEN]]</f>
        <v>18.895555555555561</v>
      </c>
      <c r="T970" t="str">
        <f>IF(Table1[[#This Row], [TIME DIFFERENCE]]&gt;=0,"PASS","FAIL")</f>
        <v>PASS</v>
      </c>
      <c r="U970" s="9">
        <f>Table1[[#This Row], [TRC]]+Table1[[#This Row], [DRC]]+Table1[[#This Row], [WRC]]+Table1[[#This Row], [ERC]]+Table1[[#This Row], [EQRC]]</f>
        <v>7867003.3499999996</v>
      </c>
      <c r="V970" s="9">
        <f>Table1[[#This Row], [TOTAL COST]]+_xlfn.XLOOKUP(Table1[[#This Row], [TEAM]],Sheet1!$A$12:$A$17,Sheet1!$I$12:$I$17)</f>
        <v>8163503.3499999996</v>
      </c>
      <c r="W970" s="9">
        <f>Table1[[#This Row], [LOOT]]-Table1[[#This Row], [TOTAL COST]]</f>
        <v>9582996.6500000004</v>
      </c>
      <c r="X970" s="9">
        <f>IF(Table1[[#This Row], [PASS/FAIL]]="FAIL",0,Table1[[#This Row], [PROFIT]])</f>
        <v>9582996.6500000004</v>
      </c>
    </row>
    <row r="971" spans="1:24" ht="19.5" customHeight="1" x14ac:dyDescent="0.45">
      <c r="A971" t="s">
        <v>13</v>
      </c>
      <c r="B971" s="14">
        <f>_xlfn.XLOOKUP(Table1[[#This Row], [TEAM]],Sheet1!$A$12:$A$17,Sheet1!$F$12:$F$17)</f>
        <v>3</v>
      </c>
      <c r="C971" s="14">
        <f>_xlfn.XLOOKUP(Table1[[#This Row], [TEAM]],Sheet1!$A$12:$A$17,Sheet1!$G$12:$G$17)</f>
        <v>5930000</v>
      </c>
      <c r="D971" t="s">
        <v>22</v>
      </c>
      <c r="E971" s="4">
        <f>_xlfn.XLOOKUP(Table1[[#This Row], [ROOM]],Sheet1!$A$47:$A$66,Sheet1!$B$47:$B$66)</f>
        <v>235</v>
      </c>
      <c r="F971" t="s">
        <v>62</v>
      </c>
      <c r="G971" s="4">
        <f>_xlfn.XLOOKUP(Table1[[#This Row], [DISGUISE]],Sheet1!$A$21:$A$23,Sheet1!$B$21:$B$23)*Table1[[#This Row], [NUM OF MEM]]*(1+_xlfn.XLOOKUP(Table1[[#This Row], [DISGUISE]],Sheet1!$A$21:$A$23,Sheet1!$C$21:$C$23))</f>
        <v>15600</v>
      </c>
      <c r="H971" s="13" t="s">
        <v>66</v>
      </c>
      <c r="I971" s="4">
        <f>_xlfn.XLOOKUP(Table1[[#This Row], [WEAPON]],Sheet1!$A$27:$A$29,Sheet1!$B$27:$B$29)*Table1[[#This Row], [NUM OF MEM]]*(1+_xlfn.XLOOKUP(Table1[[#This Row], [WEAPON]],Sheet1!$A$27:$A$29,Sheet1!$C$27:$C$29))</f>
        <v>108000</v>
      </c>
      <c r="J971" t="s">
        <v>60</v>
      </c>
      <c r="K971" s="9">
        <f>Table1[[#This Row], [NUM OF MEM]]*Table1[[#This Row], [TOTAL TIME TAKEN]]*_xlfn.XLOOKUP(Table1[[#This Row], [EXIT]],Sheet1!$A$70:$A$71,Sheet1!$B$70:$B$71)*(1+_xlfn.XLOOKUP(Table1[[#This Row], [EXIT]],Sheet1!$A$70:$A$71,Sheet1!$C$70:$C$71))</f>
        <v>1856028.6375</v>
      </c>
      <c r="L971" s="13" t="s">
        <v>65</v>
      </c>
      <c r="M971" s="4">
        <f>IF(Table1[[#This Row], [EQUIPMENT]]="YES",Sheet1!$C$44*(1+Sheet1!$D$44),0)</f>
        <v>307500</v>
      </c>
      <c r="N971" s="4">
        <f>_xlfn.XLOOKUP(Table1[[#This Row], [ROOM]],Sheet1!$A$47:$A$66,Sheet1!$F$47:$F$66)</f>
        <v>17800000</v>
      </c>
      <c r="O971" s="9">
        <f>_xlfn.XLOOKUP(_xlfn.CONCAT(Table1[[#This Row], [TEAM]],Table1[[#This Row], [ROOM]]),'ROOM TIME'!$H$2:$H$121,'ROOM TIME'!$J$2:$J$121)</f>
        <v>43.211666666666666</v>
      </c>
      <c r="P971" s="4">
        <f>(INDEX(Sheet1!$X$48:$Z$67,MATCH(Table1[[#This Row], [ROOM]],Sheet1!$P$48:$P$67,0),MATCH(Table1[[#This Row], [WEAPON]],Sheet1!$X$47:$Z$47,0)))/Table1[[#This Row], [NUM OF MEM]]</f>
        <v>5</v>
      </c>
      <c r="Q971" s="9">
        <f>Table1[[#This Row], [ROOM TIME]]+Table1[[#This Row], [GUARD TIME]]</f>
        <v>48.211666666666666</v>
      </c>
      <c r="R971" s="4">
        <f>Sheet1!$K$3*_xlfn.XLOOKUP(Table1[[#This Row], [DISGUISE]],Sheet1!$A$21:$A$23,Sheet1!$D$21:$D$23)</f>
        <v>66</v>
      </c>
      <c r="S971" s="9">
        <f>Table1[[#This Row], [TOTAL TIME]]-Table1[[#This Row], [TOTAL TIME TAKEN]]</f>
        <v>17.788333333333334</v>
      </c>
      <c r="T971" t="str">
        <f>IF(Table1[[#This Row], [TIME DIFFERENCE]]&gt;=0,"PASS","FAIL")</f>
        <v>PASS</v>
      </c>
      <c r="U971" s="9">
        <f>Table1[[#This Row], [TRC]]+Table1[[#This Row], [DRC]]+Table1[[#This Row], [WRC]]+Table1[[#This Row], [ERC]]+Table1[[#This Row], [EQRC]]</f>
        <v>8217128.6375000002</v>
      </c>
      <c r="V971" s="9">
        <f>Table1[[#This Row], [TOTAL COST]]+_xlfn.XLOOKUP(Table1[[#This Row], [TEAM]],Sheet1!$A$12:$A$17,Sheet1!$I$12:$I$17)</f>
        <v>8513628.6374999993</v>
      </c>
      <c r="W971" s="9">
        <f>Table1[[#This Row], [LOOT]]-Table1[[#This Row], [TOTAL COST]]</f>
        <v>9582871.3625000007</v>
      </c>
      <c r="X971" s="9">
        <f>IF(Table1[[#This Row], [PASS/FAIL]]="FAIL",0,Table1[[#This Row], [PROFIT]])</f>
        <v>9582871.3625000007</v>
      </c>
    </row>
    <row r="972" spans="1:24" ht="19.5" customHeight="1" x14ac:dyDescent="0.45">
      <c r="A972" t="s">
        <v>14</v>
      </c>
      <c r="B972" s="14">
        <f>_xlfn.XLOOKUP(Table1[[#This Row], [TEAM]],Sheet1!$A$12:$A$17,Sheet1!$F$12:$F$17)</f>
        <v>2</v>
      </c>
      <c r="C972" s="14">
        <f>_xlfn.XLOOKUP(Table1[[#This Row], [TEAM]],Sheet1!$A$12:$A$17,Sheet1!$G$12:$G$17)</f>
        <v>5949600</v>
      </c>
      <c r="D972" t="s">
        <v>30</v>
      </c>
      <c r="E972" s="4">
        <f>_xlfn.XLOOKUP(Table1[[#This Row], [ROOM]],Sheet1!$A$47:$A$66,Sheet1!$B$47:$B$66)</f>
        <v>246</v>
      </c>
      <c r="F972" t="s">
        <v>58</v>
      </c>
      <c r="G972" s="4">
        <f>_xlfn.XLOOKUP(Table1[[#This Row], [DISGUISE]],Sheet1!$A$21:$A$23,Sheet1!$B$21:$B$23)*Table1[[#This Row], [NUM OF MEM]]*(1+_xlfn.XLOOKUP(Table1[[#This Row], [DISGUISE]],Sheet1!$A$21:$A$23,Sheet1!$C$21:$C$23))</f>
        <v>25600</v>
      </c>
      <c r="H972" s="13" t="s">
        <v>59</v>
      </c>
      <c r="I972" s="4">
        <f>_xlfn.XLOOKUP(Table1[[#This Row], [WEAPON]],Sheet1!$A$27:$A$29,Sheet1!$B$27:$B$29)*Table1[[#This Row], [NUM OF MEM]]*(1+_xlfn.XLOOKUP(Table1[[#This Row], [WEAPON]],Sheet1!$A$27:$A$29,Sheet1!$C$27:$C$29))</f>
        <v>91000</v>
      </c>
      <c r="J972" t="s">
        <v>64</v>
      </c>
      <c r="K972" s="9">
        <f>Table1[[#This Row], [NUM OF MEM]]*Table1[[#This Row], [TOTAL TIME TAKEN]]*_xlfn.XLOOKUP(Table1[[#This Row], [EXIT]],Sheet1!$A$70:$A$71,Sheet1!$B$70:$B$71)*(1+_xlfn.XLOOKUP(Table1[[#This Row], [EXIT]],Sheet1!$A$70:$A$71,Sheet1!$C$70:$C$71))</f>
        <v>1643651.9999999993</v>
      </c>
      <c r="L972" s="13" t="s">
        <v>65</v>
      </c>
      <c r="M972" s="4">
        <f>IF(Table1[[#This Row], [EQUIPMENT]]="YES",Sheet1!$C$44*(1+Sheet1!$D$44),0)</f>
        <v>307500</v>
      </c>
      <c r="N972" s="4">
        <f>_xlfn.XLOOKUP(Table1[[#This Row], [ROOM]],Sheet1!$A$47:$A$66,Sheet1!$F$47:$F$66)</f>
        <v>17600000</v>
      </c>
      <c r="O972" s="9">
        <f>_xlfn.XLOOKUP(_xlfn.CONCAT(Table1[[#This Row], [TEAM]],Table1[[#This Row], [ROOM]]),'ROOM TIME'!$H$2:$H$121,'ROOM TIME'!$J$2:$J$121)</f>
        <v>56.512499999999982</v>
      </c>
      <c r="P972" s="9">
        <f>(INDEX(Sheet1!$X$48:$Z$67,MATCH(Table1[[#This Row], [ROOM]],Sheet1!$P$48:$P$67,0),MATCH(Table1[[#This Row], [WEAPON]],Sheet1!$X$47:$Z$47,0)))/Table1[[#This Row], [NUM OF MEM]]</f>
        <v>6.8999999999999995</v>
      </c>
      <c r="Q972" s="9">
        <f>Table1[[#This Row], [ROOM TIME]]+Table1[[#This Row], [GUARD TIME]]</f>
        <v>63.41249999999998</v>
      </c>
      <c r="R972" s="4">
        <f>Sheet1!$K$3*_xlfn.XLOOKUP(Table1[[#This Row], [DISGUISE]],Sheet1!$A$21:$A$23,Sheet1!$D$21:$D$23)</f>
        <v>69</v>
      </c>
      <c r="S972" s="9">
        <f>Table1[[#This Row], [TOTAL TIME]]-Table1[[#This Row], [TOTAL TIME TAKEN]]</f>
        <v>5.5875000000000199</v>
      </c>
      <c r="T972" t="str">
        <f>IF(Table1[[#This Row], [TIME DIFFERENCE]]&gt;=0,"PASS","FAIL")</f>
        <v>PASS</v>
      </c>
      <c r="U972" s="9">
        <f>Table1[[#This Row], [TRC]]+Table1[[#This Row], [DRC]]+Table1[[#This Row], [WRC]]+Table1[[#This Row], [ERC]]+Table1[[#This Row], [EQRC]]</f>
        <v>8017351.9999999991</v>
      </c>
      <c r="V972" s="9">
        <f>Table1[[#This Row], [TOTAL COST]]+_xlfn.XLOOKUP(Table1[[#This Row], [TEAM]],Sheet1!$A$12:$A$17,Sheet1!$I$12:$I$17)</f>
        <v>8314831.9999999991</v>
      </c>
      <c r="W972" s="4">
        <f>Table1[[#This Row], [LOOT]]-Table1[[#This Row], [TOTAL COST]]</f>
        <v>9582648</v>
      </c>
      <c r="X972" s="4">
        <f>IF(Table1[[#This Row], [PASS/FAIL]]="FAIL",0,Table1[[#This Row], [PROFIT]])</f>
        <v>9582648</v>
      </c>
    </row>
    <row r="973" spans="1:24" ht="19.5" customHeight="1" x14ac:dyDescent="0.45">
      <c r="A973" t="s">
        <v>12</v>
      </c>
      <c r="B973" s="14">
        <f>_xlfn.XLOOKUP(Table1[[#This Row], [TEAM]],Sheet1!$A$12:$A$17,Sheet1!$F$12:$F$17)</f>
        <v>3</v>
      </c>
      <c r="C973" s="14">
        <f>_xlfn.XLOOKUP(Table1[[#This Row], [TEAM]],Sheet1!$A$12:$A$17,Sheet1!$G$12:$G$17)</f>
        <v>5988750</v>
      </c>
      <c r="D973" t="s">
        <v>23</v>
      </c>
      <c r="E973" s="4">
        <f>_xlfn.XLOOKUP(Table1[[#This Row], [ROOM]],Sheet1!$A$47:$A$66,Sheet1!$B$47:$B$66)</f>
        <v>245</v>
      </c>
      <c r="F973" t="s">
        <v>62</v>
      </c>
      <c r="G973" s="4">
        <f>_xlfn.XLOOKUP(Table1[[#This Row], [DISGUISE]],Sheet1!$A$21:$A$23,Sheet1!$B$21:$B$23)*Table1[[#This Row], [NUM OF MEM]]*(1+_xlfn.XLOOKUP(Table1[[#This Row], [DISGUISE]],Sheet1!$A$21:$A$23,Sheet1!$C$21:$C$23))</f>
        <v>15600</v>
      </c>
      <c r="H973" s="13" t="s">
        <v>63</v>
      </c>
      <c r="I973" s="4">
        <f>_xlfn.XLOOKUP(Table1[[#This Row], [WEAPON]],Sheet1!$A$27:$A$29,Sheet1!$B$27:$B$29)*Table1[[#This Row], [NUM OF MEM]]*(1+_xlfn.XLOOKUP(Table1[[#This Row], [WEAPON]],Sheet1!$A$27:$A$29,Sheet1!$C$27:$C$29))</f>
        <v>69000</v>
      </c>
      <c r="J973" t="s">
        <v>64</v>
      </c>
      <c r="K973" s="9">
        <f>Table1[[#This Row], [NUM OF MEM]]*Table1[[#This Row], [TOTAL TIME TAKEN]]*_xlfn.XLOOKUP(Table1[[#This Row], [EXIT]],Sheet1!$A$70:$A$71,Sheet1!$B$70:$B$71)*(1+_xlfn.XLOOKUP(Table1[[#This Row], [EXIT]],Sheet1!$A$70:$A$71,Sheet1!$C$70:$C$71))</f>
        <v>1744286.3999999997</v>
      </c>
      <c r="L973" s="13" t="s">
        <v>61</v>
      </c>
      <c r="M973" s="4">
        <f>IF(Table1[[#This Row], [EQUIPMENT]]="YES",Sheet1!$C$44*(1+Sheet1!$D$44),0)</f>
        <v>0</v>
      </c>
      <c r="N973" s="4">
        <f>_xlfn.XLOOKUP(Table1[[#This Row], [ROOM]],Sheet1!$A$47:$A$66,Sheet1!$F$47:$F$66)</f>
        <v>17400000</v>
      </c>
      <c r="O973" s="9">
        <f>_xlfn.XLOOKUP(_xlfn.CONCAT(Table1[[#This Row], [TEAM]],Table1[[#This Row], [ROOM]]),'ROOM TIME'!$H$2:$H$121,'ROOM TIME'!$J$2:$J$121)</f>
        <v>39.91333333333332</v>
      </c>
      <c r="P973" s="9">
        <f>(INDEX(Sheet1!$X$48:$Z$67,MATCH(Table1[[#This Row], [ROOM]],Sheet1!$P$48:$P$67,0),MATCH(Table1[[#This Row], [WEAPON]],Sheet1!$X$47:$Z$47,0)))/Table1[[#This Row], [NUM OF MEM]]</f>
        <v>4.95</v>
      </c>
      <c r="Q973" s="9">
        <f>Table1[[#This Row], [ROOM TIME]]+Table1[[#This Row], [GUARD TIME]]</f>
        <v>44.863333333333323</v>
      </c>
      <c r="R973" s="4">
        <f>Sheet1!$K$3*_xlfn.XLOOKUP(Table1[[#This Row], [DISGUISE]],Sheet1!$A$21:$A$23,Sheet1!$D$21:$D$23)</f>
        <v>66</v>
      </c>
      <c r="S973" s="9">
        <f>Table1[[#This Row], [TOTAL TIME]]-Table1[[#This Row], [TOTAL TIME TAKEN]]</f>
        <v>21.136666666666677</v>
      </c>
      <c r="T973" t="str">
        <f>IF(Table1[[#This Row], [TIME DIFFERENCE]]&gt;=0,"PASS","FAIL")</f>
        <v>PASS</v>
      </c>
      <c r="U973" s="9">
        <f>Table1[[#This Row], [TRC]]+Table1[[#This Row], [DRC]]+Table1[[#This Row], [WRC]]+Table1[[#This Row], [ERC]]+Table1[[#This Row], [EQRC]]</f>
        <v>7817636.3999999994</v>
      </c>
      <c r="V973" s="9">
        <f>Table1[[#This Row], [TOTAL COST]]+_xlfn.XLOOKUP(Table1[[#This Row], [TEAM]],Sheet1!$A$12:$A$17,Sheet1!$I$12:$I$17)</f>
        <v>8117073.8999999994</v>
      </c>
      <c r="W973" s="9">
        <f>Table1[[#This Row], [LOOT]]-Table1[[#This Row], [TOTAL COST]]</f>
        <v>9582363.6000000015</v>
      </c>
      <c r="X973" s="9">
        <f>IF(Table1[[#This Row], [PASS/FAIL]]="FAIL",0,Table1[[#This Row], [PROFIT]])</f>
        <v>9582363.6000000015</v>
      </c>
    </row>
    <row r="974" spans="1:24" ht="19.5" customHeight="1" x14ac:dyDescent="0.45">
      <c r="A974" t="s">
        <v>16</v>
      </c>
      <c r="B974" s="14">
        <f>_xlfn.XLOOKUP(Table1[[#This Row], [TEAM]],Sheet1!$A$12:$A$17,Sheet1!$F$12:$F$17)</f>
        <v>2</v>
      </c>
      <c r="C974" s="14">
        <f>_xlfn.XLOOKUP(Table1[[#This Row], [TEAM]],Sheet1!$A$12:$A$17,Sheet1!$G$12:$G$17)</f>
        <v>6082800</v>
      </c>
      <c r="D974" t="s">
        <v>34</v>
      </c>
      <c r="E974" s="4">
        <f>_xlfn.XLOOKUP(Table1[[#This Row], [ROOM]],Sheet1!$A$47:$A$66,Sheet1!$B$47:$B$66)</f>
        <v>456</v>
      </c>
      <c r="F974" t="s">
        <v>58</v>
      </c>
      <c r="G974" s="4">
        <f>_xlfn.XLOOKUP(Table1[[#This Row], [DISGUISE]],Sheet1!$A$21:$A$23,Sheet1!$B$21:$B$23)*Table1[[#This Row], [NUM OF MEM]]*(1+_xlfn.XLOOKUP(Table1[[#This Row], [DISGUISE]],Sheet1!$A$21:$A$23,Sheet1!$C$21:$C$23))</f>
        <v>25600</v>
      </c>
      <c r="H974" s="13" t="s">
        <v>59</v>
      </c>
      <c r="I974" s="4">
        <f>_xlfn.XLOOKUP(Table1[[#This Row], [WEAPON]],Sheet1!$A$27:$A$29,Sheet1!$B$27:$B$29)*Table1[[#This Row], [NUM OF MEM]]*(1+_xlfn.XLOOKUP(Table1[[#This Row], [WEAPON]],Sheet1!$A$27:$A$29,Sheet1!$C$27:$C$29))</f>
        <v>91000</v>
      </c>
      <c r="J974" t="s">
        <v>64</v>
      </c>
      <c r="K974" s="9">
        <f>Table1[[#This Row], [NUM OF MEM]]*Table1[[#This Row], [TOTAL TIME TAKEN]]*_xlfn.XLOOKUP(Table1[[#This Row], [EXIT]],Sheet1!$A$70:$A$71,Sheet1!$B$70:$B$71)*(1+_xlfn.XLOOKUP(Table1[[#This Row], [EXIT]],Sheet1!$A$70:$A$71,Sheet1!$C$70:$C$71))</f>
        <v>1610798.3999999994</v>
      </c>
      <c r="L974" s="13" t="s">
        <v>65</v>
      </c>
      <c r="M974" s="4">
        <f>IF(Table1[[#This Row], [EQUIPMENT]]="YES",Sheet1!$C$44*(1+Sheet1!$D$44),0)</f>
        <v>307500</v>
      </c>
      <c r="N974" s="4">
        <f>_xlfn.XLOOKUP(Table1[[#This Row], [ROOM]],Sheet1!$A$47:$A$66,Sheet1!$F$47:$F$66)</f>
        <v>17700000</v>
      </c>
      <c r="O974" s="9">
        <f>_xlfn.XLOOKUP(_xlfn.CONCAT(Table1[[#This Row], [TEAM]],Table1[[#This Row], [ROOM]]),'ROOM TIME'!$H$2:$H$121,'ROOM TIME'!$J$2:$J$121)</f>
        <v>55.819999999999986</v>
      </c>
      <c r="P974" s="9">
        <f>(INDEX(Sheet1!$X$48:$Z$67,MATCH(Table1[[#This Row], [ROOM]],Sheet1!$P$48:$P$67,0),MATCH(Table1[[#This Row], [WEAPON]],Sheet1!$X$47:$Z$47,0)))/Table1[[#This Row], [NUM OF MEM]]</f>
        <v>6.3249999999999993</v>
      </c>
      <c r="Q974" s="9">
        <f>Table1[[#This Row], [ROOM TIME]]+Table1[[#This Row], [GUARD TIME]]</f>
        <v>62.144999999999982</v>
      </c>
      <c r="R974" s="4">
        <f>Sheet1!$K$3*_xlfn.XLOOKUP(Table1[[#This Row], [DISGUISE]],Sheet1!$A$21:$A$23,Sheet1!$D$21:$D$23)</f>
        <v>69</v>
      </c>
      <c r="S974" s="9">
        <f>Table1[[#This Row], [TOTAL TIME]]-Table1[[#This Row], [TOTAL TIME TAKEN]]</f>
        <v>6.8550000000000182</v>
      </c>
      <c r="T974" t="str">
        <f>IF(Table1[[#This Row], [TIME DIFFERENCE]]&gt;=0,"PASS","FAIL")</f>
        <v>PASS</v>
      </c>
      <c r="U974" s="9">
        <f>Table1[[#This Row], [TRC]]+Table1[[#This Row], [DRC]]+Table1[[#This Row], [WRC]]+Table1[[#This Row], [ERC]]+Table1[[#This Row], [EQRC]]</f>
        <v>8117698.3999999994</v>
      </c>
      <c r="V974" s="9">
        <f>Table1[[#This Row], [TOTAL COST]]+_xlfn.XLOOKUP(Table1[[#This Row], [TEAM]],Sheet1!$A$12:$A$17,Sheet1!$I$12:$I$17)</f>
        <v>8421838.3999999985</v>
      </c>
      <c r="W974" s="9">
        <f>Table1[[#This Row], [LOOT]]-Table1[[#This Row], [TOTAL COST]]</f>
        <v>9582301.6000000015</v>
      </c>
      <c r="X974" s="9">
        <f>IF(Table1[[#This Row], [PASS/FAIL]]="FAIL",0,Table1[[#This Row], [PROFIT]])</f>
        <v>9582301.6000000015</v>
      </c>
    </row>
    <row r="975" spans="1:24" ht="19.5" customHeight="1" x14ac:dyDescent="0.45">
      <c r="A975" t="s">
        <v>14</v>
      </c>
      <c r="B975" s="14">
        <f>_xlfn.XLOOKUP(Table1[[#This Row], [TEAM]],Sheet1!$A$12:$A$17,Sheet1!$F$12:$F$17)</f>
        <v>2</v>
      </c>
      <c r="C975" s="14">
        <f>_xlfn.XLOOKUP(Table1[[#This Row], [TEAM]],Sheet1!$A$12:$A$17,Sheet1!$G$12:$G$17)</f>
        <v>5949600</v>
      </c>
      <c r="D975" t="s">
        <v>17</v>
      </c>
      <c r="E975" s="4">
        <f>_xlfn.XLOOKUP(Table1[[#This Row], [ROOM]],Sheet1!$A$47:$A$66,Sheet1!$B$47:$B$66)</f>
        <v>125</v>
      </c>
      <c r="F975" t="s">
        <v>58</v>
      </c>
      <c r="G975" s="4">
        <f>_xlfn.XLOOKUP(Table1[[#This Row], [DISGUISE]],Sheet1!$A$21:$A$23,Sheet1!$B$21:$B$23)*Table1[[#This Row], [NUM OF MEM]]*(1+_xlfn.XLOOKUP(Table1[[#This Row], [DISGUISE]],Sheet1!$A$21:$A$23,Sheet1!$C$21:$C$23))</f>
        <v>25600</v>
      </c>
      <c r="H975" s="13" t="s">
        <v>63</v>
      </c>
      <c r="I975" s="4">
        <f>_xlfn.XLOOKUP(Table1[[#This Row], [WEAPON]],Sheet1!$A$27:$A$29,Sheet1!$B$27:$B$29)*Table1[[#This Row], [NUM OF MEM]]*(1+_xlfn.XLOOKUP(Table1[[#This Row], [WEAPON]],Sheet1!$A$27:$A$29,Sheet1!$C$27:$C$29))</f>
        <v>46000</v>
      </c>
      <c r="J975" t="s">
        <v>64</v>
      </c>
      <c r="K975" s="9">
        <f>Table1[[#This Row], [NUM OF MEM]]*Table1[[#This Row], [TOTAL TIME TAKEN]]*_xlfn.XLOOKUP(Table1[[#This Row], [EXIT]],Sheet1!$A$70:$A$71,Sheet1!$B$70:$B$71)*(1+_xlfn.XLOOKUP(Table1[[#This Row], [EXIT]],Sheet1!$A$70:$A$71,Sheet1!$C$70:$C$71))</f>
        <v>1747072.7999999996</v>
      </c>
      <c r="L975" s="13" t="s">
        <v>61</v>
      </c>
      <c r="M975" s="4">
        <f>IF(Table1[[#This Row], [EQUIPMENT]]="YES",Sheet1!$C$44*(1+Sheet1!$D$44),0)</f>
        <v>0</v>
      </c>
      <c r="N975" s="4">
        <f>_xlfn.XLOOKUP(Table1[[#This Row], [ROOM]],Sheet1!$A$47:$A$66,Sheet1!$F$47:$F$66)</f>
        <v>17350000</v>
      </c>
      <c r="O975" s="9">
        <f>_xlfn.XLOOKUP(_xlfn.CONCAT(Table1[[#This Row], [TEAM]],Table1[[#This Row], [ROOM]]),'ROOM TIME'!$H$2:$H$121,'ROOM TIME'!$J$2:$J$121)</f>
        <v>60.652499999999989</v>
      </c>
      <c r="P975" s="9">
        <f>(INDEX(Sheet1!$X$48:$Z$67,MATCH(Table1[[#This Row], [ROOM]],Sheet1!$P$48:$P$67,0),MATCH(Table1[[#This Row], [WEAPON]],Sheet1!$X$47:$Z$47,0)))/Table1[[#This Row], [NUM OF MEM]]</f>
        <v>6.75</v>
      </c>
      <c r="Q975" s="9">
        <f>Table1[[#This Row], [ROOM TIME]]+Table1[[#This Row], [GUARD TIME]]</f>
        <v>67.402499999999989</v>
      </c>
      <c r="R975" s="4">
        <f>Sheet1!$K$3*_xlfn.XLOOKUP(Table1[[#This Row], [DISGUISE]],Sheet1!$A$21:$A$23,Sheet1!$D$21:$D$23)</f>
        <v>69</v>
      </c>
      <c r="S975" s="9">
        <f>Table1[[#This Row], [TOTAL TIME]]-Table1[[#This Row], [TOTAL TIME TAKEN]]</f>
        <v>1.5975000000000108</v>
      </c>
      <c r="T975" t="str">
        <f>IF(Table1[[#This Row], [TIME DIFFERENCE]]&gt;=0,"PASS","FAIL")</f>
        <v>PASS</v>
      </c>
      <c r="U975" s="9">
        <f>Table1[[#This Row], [TRC]]+Table1[[#This Row], [DRC]]+Table1[[#This Row], [WRC]]+Table1[[#This Row], [ERC]]+Table1[[#This Row], [EQRC]]</f>
        <v>7768272.7999999998</v>
      </c>
      <c r="V975" s="9">
        <f>Table1[[#This Row], [TOTAL COST]]+_xlfn.XLOOKUP(Table1[[#This Row], [TEAM]],Sheet1!$A$12:$A$17,Sheet1!$I$12:$I$17)</f>
        <v>8065752.7999999998</v>
      </c>
      <c r="W975" s="9">
        <f>Table1[[#This Row], [LOOT]]-Table1[[#This Row], [TOTAL COST]]</f>
        <v>9581727.1999999993</v>
      </c>
      <c r="X975" s="9">
        <f>IF(Table1[[#This Row], [PASS/FAIL]]="FAIL",0,Table1[[#This Row], [PROFIT]])</f>
        <v>9581727.1999999993</v>
      </c>
    </row>
    <row r="976" spans="1:24" ht="19.5" customHeight="1" x14ac:dyDescent="0.45">
      <c r="A976" t="s">
        <v>12</v>
      </c>
      <c r="B976" s="14">
        <f>_xlfn.XLOOKUP(Table1[[#This Row], [TEAM]],Sheet1!$A$12:$A$17,Sheet1!$F$12:$F$17)</f>
        <v>3</v>
      </c>
      <c r="C976" s="14">
        <f>_xlfn.XLOOKUP(Table1[[#This Row], [TEAM]],Sheet1!$A$12:$A$17,Sheet1!$G$12:$G$17)</f>
        <v>5988750</v>
      </c>
      <c r="D976" t="s">
        <v>10</v>
      </c>
      <c r="E976" s="4">
        <f>_xlfn.XLOOKUP(Table1[[#This Row], [ROOM]],Sheet1!$A$47:$A$66,Sheet1!$B$47:$B$66)</f>
        <v>123</v>
      </c>
      <c r="F976" t="s">
        <v>58</v>
      </c>
      <c r="G976" s="4">
        <f>_xlfn.XLOOKUP(Table1[[#This Row], [DISGUISE]],Sheet1!$A$21:$A$23,Sheet1!$B$21:$B$23)*Table1[[#This Row], [NUM OF MEM]]*(1+_xlfn.XLOOKUP(Table1[[#This Row], [DISGUISE]],Sheet1!$A$21:$A$23,Sheet1!$C$21:$C$23))</f>
        <v>38400</v>
      </c>
      <c r="H976" s="13" t="s">
        <v>66</v>
      </c>
      <c r="I976" s="4">
        <f>_xlfn.XLOOKUP(Table1[[#This Row], [WEAPON]],Sheet1!$A$27:$A$29,Sheet1!$B$27:$B$29)*Table1[[#This Row], [NUM OF MEM]]*(1+_xlfn.XLOOKUP(Table1[[#This Row], [WEAPON]],Sheet1!$A$27:$A$29,Sheet1!$C$27:$C$29))</f>
        <v>108000</v>
      </c>
      <c r="J976" t="s">
        <v>64</v>
      </c>
      <c r="K976" s="9">
        <f>Table1[[#This Row], [NUM OF MEM]]*Table1[[#This Row], [TOTAL TIME TAKEN]]*_xlfn.XLOOKUP(Table1[[#This Row], [EXIT]],Sheet1!$A$70:$A$71,Sheet1!$B$70:$B$71)*(1+_xlfn.XLOOKUP(Table1[[#This Row], [EXIT]],Sheet1!$A$70:$A$71,Sheet1!$C$70:$C$71))</f>
        <v>1826107.199999999</v>
      </c>
      <c r="L976" s="13" t="s">
        <v>65</v>
      </c>
      <c r="M976" s="4">
        <f>IF(Table1[[#This Row], [EQUIPMENT]]="YES",Sheet1!$C$44*(1+Sheet1!$D$44),0)</f>
        <v>307500</v>
      </c>
      <c r="N976" s="4">
        <f>_xlfn.XLOOKUP(Table1[[#This Row], [ROOM]],Sheet1!$A$47:$A$66,Sheet1!$F$47:$F$66)</f>
        <v>17850000</v>
      </c>
      <c r="O976" s="9">
        <f>_xlfn.XLOOKUP(_xlfn.CONCAT(Table1[[#This Row], [TEAM]],Table1[[#This Row], [ROOM]]),'ROOM TIME'!$H$2:$H$121,'ROOM TIME'!$J$2:$J$121)</f>
        <v>41.967777777777762</v>
      </c>
      <c r="P976" s="4">
        <f>(INDEX(Sheet1!$X$48:$Z$67,MATCH(Table1[[#This Row], [ROOM]],Sheet1!$P$48:$P$67,0),MATCH(Table1[[#This Row], [WEAPON]],Sheet1!$X$47:$Z$47,0)))/Table1[[#This Row], [NUM OF MEM]]</f>
        <v>5</v>
      </c>
      <c r="Q976" s="9">
        <f>Table1[[#This Row], [ROOM TIME]]+Table1[[#This Row], [GUARD TIME]]</f>
        <v>46.967777777777762</v>
      </c>
      <c r="R976" s="4">
        <f>Sheet1!$K$3*_xlfn.XLOOKUP(Table1[[#This Row], [DISGUISE]],Sheet1!$A$21:$A$23,Sheet1!$D$21:$D$23)</f>
        <v>69</v>
      </c>
      <c r="S976" s="9">
        <f>Table1[[#This Row], [TOTAL TIME]]-Table1[[#This Row], [TOTAL TIME TAKEN]]</f>
        <v>22.032222222222238</v>
      </c>
      <c r="T976" t="str">
        <f>IF(Table1[[#This Row], [TIME DIFFERENCE]]&gt;=0,"PASS","FAIL")</f>
        <v>PASS</v>
      </c>
      <c r="U976" s="9">
        <f>Table1[[#This Row], [TRC]]+Table1[[#This Row], [DRC]]+Table1[[#This Row], [WRC]]+Table1[[#This Row], [ERC]]+Table1[[#This Row], [EQRC]]</f>
        <v>8268757.1999999993</v>
      </c>
      <c r="V976" s="9">
        <f>Table1[[#This Row], [TOTAL COST]]+_xlfn.XLOOKUP(Table1[[#This Row], [TEAM]],Sheet1!$A$12:$A$17,Sheet1!$I$12:$I$17)</f>
        <v>8568194.6999999993</v>
      </c>
      <c r="W976" s="9">
        <f>Table1[[#This Row], [LOOT]]-Table1[[#This Row], [TOTAL COST]]</f>
        <v>9581242.8000000007</v>
      </c>
      <c r="X976" s="9">
        <f>IF(Table1[[#This Row], [PASS/FAIL]]="FAIL",0,Table1[[#This Row], [PROFIT]])</f>
        <v>9581242.8000000007</v>
      </c>
    </row>
    <row r="977" spans="1:24" ht="19.5" customHeight="1" x14ac:dyDescent="0.45">
      <c r="A977" t="s">
        <v>15</v>
      </c>
      <c r="B977" s="14">
        <f>_xlfn.XLOOKUP(Table1[[#This Row], [TEAM]],Sheet1!$A$12:$A$17,Sheet1!$F$12:$F$17)</f>
        <v>2</v>
      </c>
      <c r="C977" s="14">
        <f>_xlfn.XLOOKUP(Table1[[#This Row], [TEAM]],Sheet1!$A$12:$A$17,Sheet1!$G$12:$G$17)</f>
        <v>5932950</v>
      </c>
      <c r="D977" t="s">
        <v>25</v>
      </c>
      <c r="E977" s="4">
        <f>_xlfn.XLOOKUP(Table1[[#This Row], [ROOM]],Sheet1!$A$47:$A$66,Sheet1!$B$47:$B$66)</f>
        <v>126</v>
      </c>
      <c r="F977" t="s">
        <v>62</v>
      </c>
      <c r="G977" s="4">
        <f>_xlfn.XLOOKUP(Table1[[#This Row], [DISGUISE]],Sheet1!$A$21:$A$23,Sheet1!$B$21:$B$23)*Table1[[#This Row], [NUM OF MEM]]*(1+_xlfn.XLOOKUP(Table1[[#This Row], [DISGUISE]],Sheet1!$A$21:$A$23,Sheet1!$C$21:$C$23))</f>
        <v>10400</v>
      </c>
      <c r="H977" s="13" t="s">
        <v>66</v>
      </c>
      <c r="I977" s="4">
        <f>_xlfn.XLOOKUP(Table1[[#This Row], [WEAPON]],Sheet1!$A$27:$A$29,Sheet1!$B$27:$B$29)*Table1[[#This Row], [NUM OF MEM]]*(1+_xlfn.XLOOKUP(Table1[[#This Row], [WEAPON]],Sheet1!$A$27:$A$29,Sheet1!$C$27:$C$29))</f>
        <v>72000</v>
      </c>
      <c r="J977" t="s">
        <v>60</v>
      </c>
      <c r="K977" s="9">
        <f>Table1[[#This Row], [NUM OF MEM]]*Table1[[#This Row], [TOTAL TIME TAKEN]]*_xlfn.XLOOKUP(Table1[[#This Row], [EXIT]],Sheet1!$A$70:$A$71,Sheet1!$B$70:$B$71)*(1+_xlfn.XLOOKUP(Table1[[#This Row], [EXIT]],Sheet1!$A$70:$A$71,Sheet1!$C$70:$C$71))</f>
        <v>1646473.9124999996</v>
      </c>
      <c r="L977" s="13" t="s">
        <v>65</v>
      </c>
      <c r="M977" s="4">
        <f>IF(Table1[[#This Row], [EQUIPMENT]]="YES",Sheet1!$C$44*(1+Sheet1!$D$44),0)</f>
        <v>307500</v>
      </c>
      <c r="N977" s="4">
        <f>_xlfn.XLOOKUP(Table1[[#This Row], [ROOM]],Sheet1!$A$47:$A$66,Sheet1!$F$47:$F$66)</f>
        <v>17550000</v>
      </c>
      <c r="O977" s="9">
        <f>_xlfn.XLOOKUP(_xlfn.CONCAT(Table1[[#This Row], [TEAM]],Table1[[#This Row], [ROOM]]),'ROOM TIME'!$H$2:$H$121,'ROOM TIME'!$J$2:$J$121)</f>
        <v>57.277499999999989</v>
      </c>
      <c r="P977" s="9">
        <f>(INDEX(Sheet1!$X$48:$Z$67,MATCH(Table1[[#This Row], [ROOM]],Sheet1!$P$48:$P$67,0),MATCH(Table1[[#This Row], [WEAPON]],Sheet1!$X$47:$Z$47,0)))/Table1[[#This Row], [NUM OF MEM]]</f>
        <v>6.875</v>
      </c>
      <c r="Q977" s="9">
        <f>Table1[[#This Row], [ROOM TIME]]+Table1[[#This Row], [GUARD TIME]]</f>
        <v>64.152499999999989</v>
      </c>
      <c r="R977" s="4">
        <f>Sheet1!$K$3*_xlfn.XLOOKUP(Table1[[#This Row], [DISGUISE]],Sheet1!$A$21:$A$23,Sheet1!$D$21:$D$23)</f>
        <v>66</v>
      </c>
      <c r="S977" s="9">
        <f>Table1[[#This Row], [TOTAL TIME]]-Table1[[#This Row], [TOTAL TIME TAKEN]]</f>
        <v>1.8475000000000108</v>
      </c>
      <c r="T977" t="str">
        <f>IF(Table1[[#This Row], [TIME DIFFERENCE]]&gt;=0,"PASS","FAIL")</f>
        <v>PASS</v>
      </c>
      <c r="U977" s="9">
        <f>Table1[[#This Row], [TRC]]+Table1[[#This Row], [DRC]]+Table1[[#This Row], [WRC]]+Table1[[#This Row], [ERC]]+Table1[[#This Row], [EQRC]]</f>
        <v>7969323.9124999996</v>
      </c>
      <c r="V977" s="9">
        <f>Table1[[#This Row], [TOTAL COST]]+_xlfn.XLOOKUP(Table1[[#This Row], [TEAM]],Sheet1!$A$12:$A$17,Sheet1!$I$12:$I$17)</f>
        <v>8265971.4124999996</v>
      </c>
      <c r="W977" s="9">
        <f>Table1[[#This Row], [LOOT]]-Table1[[#This Row], [TOTAL COST]]</f>
        <v>9580676.0875000004</v>
      </c>
      <c r="X977" s="9">
        <f>IF(Table1[[#This Row], [PASS/FAIL]]="FAIL",0,Table1[[#This Row], [PROFIT]])</f>
        <v>9580676.0875000004</v>
      </c>
    </row>
    <row r="978" spans="1:24" ht="19.5" customHeight="1" x14ac:dyDescent="0.45">
      <c r="A978" t="s">
        <v>13</v>
      </c>
      <c r="B978" s="14">
        <f>_xlfn.XLOOKUP(Table1[[#This Row], [TEAM]],Sheet1!$A$12:$A$17,Sheet1!$F$12:$F$17)</f>
        <v>3</v>
      </c>
      <c r="C978" s="14">
        <f>_xlfn.XLOOKUP(Table1[[#This Row], [TEAM]],Sheet1!$A$12:$A$17,Sheet1!$G$12:$G$17)</f>
        <v>5930000</v>
      </c>
      <c r="D978" t="s">
        <v>10</v>
      </c>
      <c r="E978" s="4">
        <f>_xlfn.XLOOKUP(Table1[[#This Row], [ROOM]],Sheet1!$A$47:$A$66,Sheet1!$B$47:$B$66)</f>
        <v>123</v>
      </c>
      <c r="F978" t="s">
        <v>58</v>
      </c>
      <c r="G978" s="4">
        <f>_xlfn.XLOOKUP(Table1[[#This Row], [DISGUISE]],Sheet1!$A$21:$A$23,Sheet1!$B$21:$B$23)*Table1[[#This Row], [NUM OF MEM]]*(1+_xlfn.XLOOKUP(Table1[[#This Row], [DISGUISE]],Sheet1!$A$21:$A$23,Sheet1!$C$21:$C$23))</f>
        <v>38400</v>
      </c>
      <c r="H978" s="13" t="s">
        <v>59</v>
      </c>
      <c r="I978" s="4">
        <f>_xlfn.XLOOKUP(Table1[[#This Row], [WEAPON]],Sheet1!$A$27:$A$29,Sheet1!$B$27:$B$29)*Table1[[#This Row], [NUM OF MEM]]*(1+_xlfn.XLOOKUP(Table1[[#This Row], [WEAPON]],Sheet1!$A$27:$A$29,Sheet1!$C$27:$C$29))</f>
        <v>136500</v>
      </c>
      <c r="J978" t="s">
        <v>60</v>
      </c>
      <c r="K978" s="9">
        <f>Table1[[#This Row], [NUM OF MEM]]*Table1[[#This Row], [TOTAL TIME TAKEN]]*_xlfn.XLOOKUP(Table1[[#This Row], [EXIT]],Sheet1!$A$70:$A$71,Sheet1!$B$70:$B$71)*(1+_xlfn.XLOOKUP(Table1[[#This Row], [EXIT]],Sheet1!$A$70:$A$71,Sheet1!$C$70:$C$71))</f>
        <v>1857675.4749999999</v>
      </c>
      <c r="L978" s="13" t="s">
        <v>65</v>
      </c>
      <c r="M978" s="4">
        <f>IF(Table1[[#This Row], [EQUIPMENT]]="YES",Sheet1!$C$44*(1+Sheet1!$D$44),0)</f>
        <v>307500</v>
      </c>
      <c r="N978" s="4">
        <f>_xlfn.XLOOKUP(Table1[[#This Row], [ROOM]],Sheet1!$A$47:$A$66,Sheet1!$F$47:$F$66)</f>
        <v>17850000</v>
      </c>
      <c r="O978" s="9">
        <f>_xlfn.XLOOKUP(_xlfn.CONCAT(Table1[[#This Row], [TEAM]],Table1[[#This Row], [ROOM]]),'ROOM TIME'!$H$2:$H$121,'ROOM TIME'!$J$2:$J$121)</f>
        <v>43.654444444444437</v>
      </c>
      <c r="P978" s="9">
        <f>(INDEX(Sheet1!$X$48:$Z$67,MATCH(Table1[[#This Row], [ROOM]],Sheet1!$P$48:$P$67,0),MATCH(Table1[[#This Row], [WEAPON]],Sheet1!$X$47:$Z$47,0)))/Table1[[#This Row], [NUM OF MEM]]</f>
        <v>4.5999999999999996</v>
      </c>
      <c r="Q978" s="9">
        <f>Table1[[#This Row], [ROOM TIME]]+Table1[[#This Row], [GUARD TIME]]</f>
        <v>48.254444444444438</v>
      </c>
      <c r="R978" s="4">
        <f>Sheet1!$K$3*_xlfn.XLOOKUP(Table1[[#This Row], [DISGUISE]],Sheet1!$A$21:$A$23,Sheet1!$D$21:$D$23)</f>
        <v>69</v>
      </c>
      <c r="S978" s="9">
        <f>Table1[[#This Row], [TOTAL TIME]]-Table1[[#This Row], [TOTAL TIME TAKEN]]</f>
        <v>20.745555555555562</v>
      </c>
      <c r="T978" t="str">
        <f>IF(Table1[[#This Row], [TIME DIFFERENCE]]&gt;=0,"PASS","FAIL")</f>
        <v>PASS</v>
      </c>
      <c r="U978" s="9">
        <f>Table1[[#This Row], [TRC]]+Table1[[#This Row], [DRC]]+Table1[[#This Row], [WRC]]+Table1[[#This Row], [ERC]]+Table1[[#This Row], [EQRC]]</f>
        <v>8270075.4749999996</v>
      </c>
      <c r="V978" s="9">
        <f>Table1[[#This Row], [TOTAL COST]]+_xlfn.XLOOKUP(Table1[[#This Row], [TEAM]],Sheet1!$A$12:$A$17,Sheet1!$I$12:$I$17)</f>
        <v>8566575.4749999996</v>
      </c>
      <c r="W978" s="9">
        <f>Table1[[#This Row], [LOOT]]-Table1[[#This Row], [TOTAL COST]]</f>
        <v>9579924.5250000004</v>
      </c>
      <c r="X978" s="9">
        <f>IF(Table1[[#This Row], [PASS/FAIL]]="FAIL",0,Table1[[#This Row], [PROFIT]])</f>
        <v>9579924.5250000004</v>
      </c>
    </row>
    <row r="979" spans="1:24" ht="19.5" customHeight="1" x14ac:dyDescent="0.45">
      <c r="A979" t="s">
        <v>14</v>
      </c>
      <c r="B979" s="14">
        <f>_xlfn.XLOOKUP(Table1[[#This Row], [TEAM]],Sheet1!$A$12:$A$17,Sheet1!$F$12:$F$17)</f>
        <v>2</v>
      </c>
      <c r="C979" s="14">
        <f>_xlfn.XLOOKUP(Table1[[#This Row], [TEAM]],Sheet1!$A$12:$A$17,Sheet1!$G$12:$G$17)</f>
        <v>5949600</v>
      </c>
      <c r="D979" t="s">
        <v>17</v>
      </c>
      <c r="E979" s="4">
        <f>_xlfn.XLOOKUP(Table1[[#This Row], [ROOM]],Sheet1!$A$47:$A$66,Sheet1!$B$47:$B$66)</f>
        <v>125</v>
      </c>
      <c r="F979" t="s">
        <v>58</v>
      </c>
      <c r="G979" s="4">
        <f>_xlfn.XLOOKUP(Table1[[#This Row], [DISGUISE]],Sheet1!$A$21:$A$23,Sheet1!$B$21:$B$23)*Table1[[#This Row], [NUM OF MEM]]*(1+_xlfn.XLOOKUP(Table1[[#This Row], [DISGUISE]],Sheet1!$A$21:$A$23,Sheet1!$C$21:$C$23))</f>
        <v>25600</v>
      </c>
      <c r="H979" s="13" t="s">
        <v>59</v>
      </c>
      <c r="I979" s="4">
        <f>_xlfn.XLOOKUP(Table1[[#This Row], [WEAPON]],Sheet1!$A$27:$A$29,Sheet1!$B$27:$B$29)*Table1[[#This Row], [NUM OF MEM]]*(1+_xlfn.XLOOKUP(Table1[[#This Row], [WEAPON]],Sheet1!$A$27:$A$29,Sheet1!$C$27:$C$29))</f>
        <v>91000</v>
      </c>
      <c r="J979" t="s">
        <v>60</v>
      </c>
      <c r="K979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1704220.1624999996</v>
      </c>
      <c r="L979" s="13" t="s">
        <v>61</v>
      </c>
      <c r="M979" s="4">
        <f>IF(Table1[[#This Row], [EQUIPMENT]]="YES",Sheet1!$C$44*(1+Sheet1!$D$44),0)</f>
        <v>0</v>
      </c>
      <c r="N979" s="4">
        <f>_xlfn.XLOOKUP(Table1[[#This Row], [ROOM]],Sheet1!$A$47:$A$66,Sheet1!$F$47:$F$66)</f>
        <v>17350000</v>
      </c>
      <c r="O979" s="9">
        <f>_xlfn.XLOOKUP(_xlfn.CONCAT(Table1[[#This Row], [TEAM]],Table1[[#This Row], [ROOM]]),'ROOM TIME'!$H$2:$H$121,'ROOM TIME'!$J$2:$J$121)</f>
        <v>60.652499999999989</v>
      </c>
      <c r="P979" s="9">
        <f>(INDEX(Sheet1!$X$48:$Z$67,MATCH(Table1[[#This Row], [ROOM]],Sheet1!$P$48:$P$67,0),MATCH(Table1[[#This Row], [WEAPON]],Sheet1!$X$47:$Z$47,0)))/Table1[[#This Row], [NUM OF MEM]]</f>
        <v>5.75</v>
      </c>
      <c r="Q979" s="9">
        <f>Table1[[#This Row], [ROOM TIME]]+Table1[[#This Row], [GUARD TIME]]</f>
        <v>66.402499999999989</v>
      </c>
      <c r="R979" s="4">
        <f>Sheet1!$K$3*_xlfn.XLOOKUP(Table1[[#This Row], [DISGUISE]],Sheet1!$A$21:$A$23,Sheet1!$D$21:$D$23)</f>
        <v>69</v>
      </c>
      <c r="S979" s="9">
        <f>Table1[[#This Row], [TOTAL TIME]]-Table1[[#This Row], [TOTAL TIME TAKEN]]</f>
        <v>2.5975000000000108</v>
      </c>
      <c r="T979" t="str">
        <f>IF(Table1[[#This Row], [TIME DIFFERENCE]]&gt;=0,"PASS","FAIL")</f>
        <v>PASS</v>
      </c>
      <c r="U979" s="9">
        <f>Table1[[#This Row], [TRC]]+Table1[[#This Row], [DRC]]+Table1[[#This Row], [WRC]]+Table1[[#This Row], [ERC]]+Table1[[#This Row], [EQRC]]</f>
        <v>7770420.1624999996</v>
      </c>
      <c r="V979" s="9">
        <f>Table1[[#This Row], [TOTAL COST]]+_xlfn.XLOOKUP(Table1[[#This Row], [TEAM]],Sheet1!$A$12:$A$17,Sheet1!$I$12:$I$17)</f>
        <v>8067900.1624999996</v>
      </c>
      <c r="W979" s="9">
        <f>Table1[[#This Row], [LOOT]]-Table1[[#This Row], [TOTAL COST]]</f>
        <v>9579579.8375000004</v>
      </c>
      <c r="X979" s="9">
        <f>IF(Table1[[#This Row], [PASS/FAIL]]="FAIL",0,Table1[[#This Row], [PROFIT]])</f>
        <v>9579579.8375000004</v>
      </c>
    </row>
    <row r="980" spans="1:24" ht="19.5" customHeight="1" x14ac:dyDescent="0.45">
      <c r="A980" t="s">
        <v>9</v>
      </c>
      <c r="B980" s="14">
        <f>_xlfn.XLOOKUP(Table1[[#This Row], [TEAM]],Sheet1!$A$12:$A$17,Sheet1!$F$12:$F$17)</f>
        <v>3</v>
      </c>
      <c r="C980" s="14">
        <f>_xlfn.XLOOKUP(Table1[[#This Row], [TEAM]],Sheet1!$A$12:$A$17,Sheet1!$G$12:$G$17)</f>
        <v>6238750</v>
      </c>
      <c r="D980" t="s">
        <v>19</v>
      </c>
      <c r="E980" s="4">
        <f>_xlfn.XLOOKUP(Table1[[#This Row], [ROOM]],Sheet1!$A$47:$A$66,Sheet1!$B$47:$B$66)</f>
        <v>135</v>
      </c>
      <c r="F980" t="s">
        <v>58</v>
      </c>
      <c r="G980" s="4">
        <f>_xlfn.XLOOKUP(Table1[[#This Row], [DISGUISE]],Sheet1!$A$21:$A$23,Sheet1!$B$21:$B$23)*Table1[[#This Row], [NUM OF MEM]]*(1+_xlfn.XLOOKUP(Table1[[#This Row], [DISGUISE]],Sheet1!$A$21:$A$23,Sheet1!$C$21:$C$23))</f>
        <v>38400</v>
      </c>
      <c r="H980" s="13" t="s">
        <v>59</v>
      </c>
      <c r="I980" s="4">
        <f>_xlfn.XLOOKUP(Table1[[#This Row], [WEAPON]],Sheet1!$A$27:$A$29,Sheet1!$B$27:$B$29)*Table1[[#This Row], [NUM OF MEM]]*(1+_xlfn.XLOOKUP(Table1[[#This Row], [WEAPON]],Sheet1!$A$27:$A$29,Sheet1!$C$27:$C$29))</f>
        <v>136500</v>
      </c>
      <c r="J980" t="s">
        <v>60</v>
      </c>
      <c r="K980" s="9">
        <f>Table1[[#This Row], [NUM OF MEM]]*Table1[[#This Row], [TOTAL TIME TAKEN]]*_xlfn.XLOOKUP(Table1[[#This Row], [EXIT]],Sheet1!$A$70:$A$71,Sheet1!$B$70:$B$71)*(1+_xlfn.XLOOKUP(Table1[[#This Row], [EXIT]],Sheet1!$A$70:$A$71,Sheet1!$C$70:$C$71))</f>
        <v>1650238.1124999996</v>
      </c>
      <c r="L980" s="13" t="s">
        <v>65</v>
      </c>
      <c r="M980" s="4">
        <f>IF(Table1[[#This Row], [EQUIPMENT]]="YES",Sheet1!$C$44*(1+Sheet1!$D$44),0)</f>
        <v>307500</v>
      </c>
      <c r="N980" s="4">
        <f>_xlfn.XLOOKUP(Table1[[#This Row], [ROOM]],Sheet1!$A$47:$A$66,Sheet1!$F$47:$F$66)</f>
        <v>17950000</v>
      </c>
      <c r="O980" s="9">
        <f>_xlfn.XLOOKUP(_xlfn.CONCAT(Table1[[#This Row], [TEAM]],Table1[[#This Row], [ROOM]]),'ROOM TIME'!$H$2:$H$121,'ROOM TIME'!$J$2:$J$121)</f>
        <v>38.649444444444434</v>
      </c>
      <c r="P980" s="9">
        <f>(INDEX(Sheet1!$X$48:$Z$67,MATCH(Table1[[#This Row], [ROOM]],Sheet1!$P$48:$P$67,0),MATCH(Table1[[#This Row], [WEAPON]],Sheet1!$X$47:$Z$47,0)))/Table1[[#This Row], [NUM OF MEM]]</f>
        <v>4.2166666666666659</v>
      </c>
      <c r="Q980" s="9">
        <f>Table1[[#This Row], [ROOM TIME]]+Table1[[#This Row], [GUARD TIME]]</f>
        <v>42.866111111111103</v>
      </c>
      <c r="R980" s="4">
        <f>Sheet1!$K$3*_xlfn.XLOOKUP(Table1[[#This Row], [DISGUISE]],Sheet1!$A$21:$A$23,Sheet1!$D$21:$D$23)</f>
        <v>69</v>
      </c>
      <c r="S980" s="9">
        <f>Table1[[#This Row], [TOTAL TIME]]-Table1[[#This Row], [TOTAL TIME TAKEN]]</f>
        <v>26.133888888888897</v>
      </c>
      <c r="T980" t="str">
        <f>IF(Table1[[#This Row], [TIME DIFFERENCE]]&gt;=0,"PASS","FAIL")</f>
        <v>PASS</v>
      </c>
      <c r="U980" s="9">
        <f>Table1[[#This Row], [TRC]]+Table1[[#This Row], [DRC]]+Table1[[#This Row], [WRC]]+Table1[[#This Row], [ERC]]+Table1[[#This Row], [EQRC]]</f>
        <v>8371388.1124999998</v>
      </c>
      <c r="V980" s="9">
        <f>Table1[[#This Row], [TOTAL COST]]+_xlfn.XLOOKUP(Table1[[#This Row], [TEAM]],Sheet1!$A$12:$A$17,Sheet1!$I$12:$I$17)</f>
        <v>8683325.6125000007</v>
      </c>
      <c r="W980" s="9">
        <f>Table1[[#This Row], [LOOT]]-Table1[[#This Row], [TOTAL COST]]</f>
        <v>9578611.8874999993</v>
      </c>
      <c r="X980" s="9">
        <f>IF(Table1[[#This Row], [PASS/FAIL]]="FAIL",0,Table1[[#This Row], [PROFIT]])</f>
        <v>9578611.8874999993</v>
      </c>
    </row>
    <row r="981" spans="1:24" ht="19.5" customHeight="1" x14ac:dyDescent="0.45">
      <c r="A981" t="s">
        <v>12</v>
      </c>
      <c r="B981" s="14">
        <f>_xlfn.XLOOKUP(Table1[[#This Row], [TEAM]],Sheet1!$A$12:$A$17,Sheet1!$F$12:$F$17)</f>
        <v>3</v>
      </c>
      <c r="C981" s="14">
        <f>_xlfn.XLOOKUP(Table1[[#This Row], [TEAM]],Sheet1!$A$12:$A$17,Sheet1!$G$12:$G$17)</f>
        <v>5988750</v>
      </c>
      <c r="D981" t="s">
        <v>22</v>
      </c>
      <c r="E981" s="4">
        <f>_xlfn.XLOOKUP(Table1[[#This Row], [ROOM]],Sheet1!$A$47:$A$66,Sheet1!$B$47:$B$66)</f>
        <v>235</v>
      </c>
      <c r="F981" t="s">
        <v>62</v>
      </c>
      <c r="G981" s="4">
        <f>_xlfn.XLOOKUP(Table1[[#This Row], [DISGUISE]],Sheet1!$A$21:$A$23,Sheet1!$B$21:$B$23)*Table1[[#This Row], [NUM OF MEM]]*(1+_xlfn.XLOOKUP(Table1[[#This Row], [DISGUISE]],Sheet1!$A$21:$A$23,Sheet1!$C$21:$C$23))</f>
        <v>15600</v>
      </c>
      <c r="H981" s="13" t="s">
        <v>59</v>
      </c>
      <c r="I981" s="4">
        <f>_xlfn.XLOOKUP(Table1[[#This Row], [WEAPON]],Sheet1!$A$27:$A$29,Sheet1!$B$27:$B$29)*Table1[[#This Row], [NUM OF MEM]]*(1+_xlfn.XLOOKUP(Table1[[#This Row], [WEAPON]],Sheet1!$A$27:$A$29,Sheet1!$C$27:$C$29))</f>
        <v>136500</v>
      </c>
      <c r="J981" t="s">
        <v>60</v>
      </c>
      <c r="K981" s="9">
        <f>Table1[[#This Row], [NUM OF MEM]]*Table1[[#This Row], [TOTAL TIME TAKEN]]*_xlfn.XLOOKUP(Table1[[#This Row], [EXIT]],Sheet1!$A$70:$A$71,Sheet1!$B$70:$B$71)*(1+_xlfn.XLOOKUP(Table1[[#This Row], [EXIT]],Sheet1!$A$70:$A$71,Sheet1!$C$70:$C$71))</f>
        <v>1773964.7999999993</v>
      </c>
      <c r="L981" s="13" t="s">
        <v>65</v>
      </c>
      <c r="M981" s="4">
        <f>IF(Table1[[#This Row], [EQUIPMENT]]="YES",Sheet1!$C$44*(1+Sheet1!$D$44),0)</f>
        <v>307500</v>
      </c>
      <c r="N981" s="4">
        <f>_xlfn.XLOOKUP(Table1[[#This Row], [ROOM]],Sheet1!$A$47:$A$66,Sheet1!$F$47:$F$66)</f>
        <v>17800000</v>
      </c>
      <c r="O981" s="9">
        <f>_xlfn.XLOOKUP(_xlfn.CONCAT(Table1[[#This Row], [TEAM]],Table1[[#This Row], [ROOM]]),'ROOM TIME'!$H$2:$H$121,'ROOM TIME'!$J$2:$J$121)</f>
        <v>41.479999999999983</v>
      </c>
      <c r="P981" s="9">
        <f>(INDEX(Sheet1!$X$48:$Z$67,MATCH(Table1[[#This Row], [ROOM]],Sheet1!$P$48:$P$67,0),MATCH(Table1[[#This Row], [WEAPON]],Sheet1!$X$47:$Z$47,0)))/Table1[[#This Row], [NUM OF MEM]]</f>
        <v>4.5999999999999996</v>
      </c>
      <c r="Q981" s="9">
        <f>Table1[[#This Row], [ROOM TIME]]+Table1[[#This Row], [GUARD TIME]]</f>
        <v>46.079999999999984</v>
      </c>
      <c r="R981" s="4">
        <f>Sheet1!$K$3*_xlfn.XLOOKUP(Table1[[#This Row], [DISGUISE]],Sheet1!$A$21:$A$23,Sheet1!$D$21:$D$23)</f>
        <v>66</v>
      </c>
      <c r="S981" s="9">
        <f>Table1[[#This Row], [TOTAL TIME]]-Table1[[#This Row], [TOTAL TIME TAKEN]]</f>
        <v>19.920000000000016</v>
      </c>
      <c r="T981" t="str">
        <f>IF(Table1[[#This Row], [TIME DIFFERENCE]]&gt;=0,"PASS","FAIL")</f>
        <v>PASS</v>
      </c>
      <c r="U981" s="9">
        <f>Table1[[#This Row], [TRC]]+Table1[[#This Row], [DRC]]+Table1[[#This Row], [WRC]]+Table1[[#This Row], [ERC]]+Table1[[#This Row], [EQRC]]</f>
        <v>8222314.7999999989</v>
      </c>
      <c r="V981" s="9">
        <f>Table1[[#This Row], [TOTAL COST]]+_xlfn.XLOOKUP(Table1[[#This Row], [TEAM]],Sheet1!$A$12:$A$17,Sheet1!$I$12:$I$17)</f>
        <v>8521752.2999999989</v>
      </c>
      <c r="W981" s="9">
        <f>Table1[[#This Row], [LOOT]]-Table1[[#This Row], [TOTAL COST]]</f>
        <v>9577685.2000000011</v>
      </c>
      <c r="X981" s="9">
        <f>IF(Table1[[#This Row], [PASS/FAIL]]="FAIL",0,Table1[[#This Row], [PROFIT]])</f>
        <v>9577685.2000000011</v>
      </c>
    </row>
    <row r="982" spans="1:24" ht="19.5" customHeight="1" x14ac:dyDescent="0.45">
      <c r="A982" t="s">
        <v>15</v>
      </c>
      <c r="B982" s="14">
        <f>_xlfn.XLOOKUP(Table1[[#This Row], [TEAM]],Sheet1!$A$12:$A$17,Sheet1!$F$12:$F$17)</f>
        <v>2</v>
      </c>
      <c r="C982" s="14">
        <f>_xlfn.XLOOKUP(Table1[[#This Row], [TEAM]],Sheet1!$A$12:$A$17,Sheet1!$G$12:$G$17)</f>
        <v>5932950</v>
      </c>
      <c r="D982" t="s">
        <v>25</v>
      </c>
      <c r="E982" s="4">
        <f>_xlfn.XLOOKUP(Table1[[#This Row], [ROOM]],Sheet1!$A$47:$A$66,Sheet1!$B$47:$B$66)</f>
        <v>126</v>
      </c>
      <c r="F982" t="s">
        <v>58</v>
      </c>
      <c r="G982" s="4">
        <f>_xlfn.XLOOKUP(Table1[[#This Row], [DISGUISE]],Sheet1!$A$21:$A$23,Sheet1!$B$21:$B$23)*Table1[[#This Row], [NUM OF MEM]]*(1+_xlfn.XLOOKUP(Table1[[#This Row], [DISGUISE]],Sheet1!$A$21:$A$23,Sheet1!$C$21:$C$23))</f>
        <v>25600</v>
      </c>
      <c r="H982" s="13" t="s">
        <v>63</v>
      </c>
      <c r="I982" s="4">
        <f>_xlfn.XLOOKUP(Table1[[#This Row], [WEAPON]],Sheet1!$A$27:$A$29,Sheet1!$B$27:$B$29)*Table1[[#This Row], [NUM OF MEM]]*(1+_xlfn.XLOOKUP(Table1[[#This Row], [WEAPON]],Sheet1!$A$27:$A$29,Sheet1!$C$27:$C$29))</f>
        <v>46000</v>
      </c>
      <c r="J982" t="s">
        <v>60</v>
      </c>
      <c r="K982" s="9">
        <f>Table1[[#This Row], [NUM OF MEM]]*Table1[[#This Row], [TOTAL TIME TAKEN]]*_xlfn.XLOOKUP(Table1[[#This Row], [EXIT]],Sheet1!$A$70:$A$71,Sheet1!$B$70:$B$71)*(1+_xlfn.XLOOKUP(Table1[[#This Row], [EXIT]],Sheet1!$A$70:$A$71,Sheet1!$C$70:$C$71))</f>
        <v>1660589.6624999996</v>
      </c>
      <c r="L982" s="13" t="s">
        <v>65</v>
      </c>
      <c r="M982" s="4">
        <f>IF(Table1[[#This Row], [EQUIPMENT]]="YES",Sheet1!$C$44*(1+Sheet1!$D$44),0)</f>
        <v>307500</v>
      </c>
      <c r="N982" s="4">
        <f>_xlfn.XLOOKUP(Table1[[#This Row], [ROOM]],Sheet1!$A$47:$A$66,Sheet1!$F$47:$F$66)</f>
        <v>17550000</v>
      </c>
      <c r="O982" s="9">
        <f>_xlfn.XLOOKUP(_xlfn.CONCAT(Table1[[#This Row], [TEAM]],Table1[[#This Row], [ROOM]]),'ROOM TIME'!$H$2:$H$121,'ROOM TIME'!$J$2:$J$121)</f>
        <v>57.277499999999989</v>
      </c>
      <c r="P982" s="9">
        <f>(INDEX(Sheet1!$X$48:$Z$67,MATCH(Table1[[#This Row], [ROOM]],Sheet1!$P$48:$P$67,0),MATCH(Table1[[#This Row], [WEAPON]],Sheet1!$X$47:$Z$47,0)))/Table1[[#This Row], [NUM OF MEM]]</f>
        <v>7.4250000000000007</v>
      </c>
      <c r="Q982" s="9">
        <f>Table1[[#This Row], [ROOM TIME]]+Table1[[#This Row], [GUARD TIME]]</f>
        <v>64.702499999999986</v>
      </c>
      <c r="R982" s="4">
        <f>Sheet1!$K$3*_xlfn.XLOOKUP(Table1[[#This Row], [DISGUISE]],Sheet1!$A$21:$A$23,Sheet1!$D$21:$D$23)</f>
        <v>69</v>
      </c>
      <c r="S982" s="9">
        <f>Table1[[#This Row], [TOTAL TIME]]-Table1[[#This Row], [TOTAL TIME TAKEN]]</f>
        <v>4.2975000000000136</v>
      </c>
      <c r="T982" t="str">
        <f>IF(Table1[[#This Row], [TIME DIFFERENCE]]&gt;=0,"PASS","FAIL")</f>
        <v>PASS</v>
      </c>
      <c r="U982" s="9">
        <f>Table1[[#This Row], [TRC]]+Table1[[#This Row], [DRC]]+Table1[[#This Row], [WRC]]+Table1[[#This Row], [ERC]]+Table1[[#This Row], [EQRC]]</f>
        <v>7972639.6624999996</v>
      </c>
      <c r="V982" s="9">
        <f>Table1[[#This Row], [TOTAL COST]]+_xlfn.XLOOKUP(Table1[[#This Row], [TEAM]],Sheet1!$A$12:$A$17,Sheet1!$I$12:$I$17)</f>
        <v>8269287.1624999996</v>
      </c>
      <c r="W982" s="9">
        <f>Table1[[#This Row], [LOOT]]-Table1[[#This Row], [TOTAL COST]]</f>
        <v>9577360.3375000004</v>
      </c>
      <c r="X982" s="9">
        <f>IF(Table1[[#This Row], [PASS/FAIL]]="FAIL",0,Table1[[#This Row], [PROFIT]])</f>
        <v>9577360.3375000004</v>
      </c>
    </row>
    <row r="983" spans="1:24" ht="19.5" customHeight="1" x14ac:dyDescent="0.45">
      <c r="A983" t="s">
        <v>12</v>
      </c>
      <c r="B983" s="14">
        <f>_xlfn.XLOOKUP(Table1[[#This Row], [TEAM]],Sheet1!$A$12:$A$17,Sheet1!$F$12:$F$17)</f>
        <v>3</v>
      </c>
      <c r="C983" s="14">
        <f>_xlfn.XLOOKUP(Table1[[#This Row], [TEAM]],Sheet1!$A$12:$A$17,Sheet1!$G$12:$G$17)</f>
        <v>5988750</v>
      </c>
      <c r="D983" t="s">
        <v>23</v>
      </c>
      <c r="E983" s="4">
        <f>_xlfn.XLOOKUP(Table1[[#This Row], [ROOM]],Sheet1!$A$47:$A$66,Sheet1!$B$47:$B$66)</f>
        <v>245</v>
      </c>
      <c r="F983" t="s">
        <v>58</v>
      </c>
      <c r="G983" s="4">
        <f>_xlfn.XLOOKUP(Table1[[#This Row], [DISGUISE]],Sheet1!$A$21:$A$23,Sheet1!$B$21:$B$23)*Table1[[#This Row], [NUM OF MEM]]*(1+_xlfn.XLOOKUP(Table1[[#This Row], [DISGUISE]],Sheet1!$A$21:$A$23,Sheet1!$C$21:$C$23))</f>
        <v>38400</v>
      </c>
      <c r="H983" s="13" t="s">
        <v>63</v>
      </c>
      <c r="I983" s="4">
        <f>_xlfn.XLOOKUP(Table1[[#This Row], [WEAPON]],Sheet1!$A$27:$A$29,Sheet1!$B$27:$B$29)*Table1[[#This Row], [NUM OF MEM]]*(1+_xlfn.XLOOKUP(Table1[[#This Row], [WEAPON]],Sheet1!$A$27:$A$29,Sheet1!$C$27:$C$29))</f>
        <v>69000</v>
      </c>
      <c r="J983" t="s">
        <v>60</v>
      </c>
      <c r="K983" s="9">
        <f>Table1[[#This Row], [NUM OF MEM]]*Table1[[#This Row], [TOTAL TIME TAKEN]]*_xlfn.XLOOKUP(Table1[[#This Row], [EXIT]],Sheet1!$A$70:$A$71,Sheet1!$B$70:$B$71)*(1+_xlfn.XLOOKUP(Table1[[#This Row], [EXIT]],Sheet1!$A$70:$A$71,Sheet1!$C$70:$C$71))</f>
        <v>1727126.1749999996</v>
      </c>
      <c r="L983" s="13" t="s">
        <v>61</v>
      </c>
      <c r="M983" s="4">
        <f>IF(Table1[[#This Row], [EQUIPMENT]]="YES",Sheet1!$C$44*(1+Sheet1!$D$44),0)</f>
        <v>0</v>
      </c>
      <c r="N983" s="4">
        <f>_xlfn.XLOOKUP(Table1[[#This Row], [ROOM]],Sheet1!$A$47:$A$66,Sheet1!$F$47:$F$66)</f>
        <v>17400000</v>
      </c>
      <c r="O983" s="9">
        <f>_xlfn.XLOOKUP(_xlfn.CONCAT(Table1[[#This Row], [TEAM]],Table1[[#This Row], [ROOM]]),'ROOM TIME'!$H$2:$H$121,'ROOM TIME'!$J$2:$J$121)</f>
        <v>39.91333333333332</v>
      </c>
      <c r="P983" s="9">
        <f>(INDEX(Sheet1!$X$48:$Z$67,MATCH(Table1[[#This Row], [ROOM]],Sheet1!$P$48:$P$67,0),MATCH(Table1[[#This Row], [WEAPON]],Sheet1!$X$47:$Z$47,0)))/Table1[[#This Row], [NUM OF MEM]]</f>
        <v>4.95</v>
      </c>
      <c r="Q983" s="9">
        <f>Table1[[#This Row], [ROOM TIME]]+Table1[[#This Row], [GUARD TIME]]</f>
        <v>44.863333333333323</v>
      </c>
      <c r="R983" s="4">
        <f>Sheet1!$K$3*_xlfn.XLOOKUP(Table1[[#This Row], [DISGUISE]],Sheet1!$A$21:$A$23,Sheet1!$D$21:$D$23)</f>
        <v>69</v>
      </c>
      <c r="S983" s="9">
        <f>Table1[[#This Row], [TOTAL TIME]]-Table1[[#This Row], [TOTAL TIME TAKEN]]</f>
        <v>24.136666666666677</v>
      </c>
      <c r="T983" t="str">
        <f>IF(Table1[[#This Row], [TIME DIFFERENCE]]&gt;=0,"PASS","FAIL")</f>
        <v>PASS</v>
      </c>
      <c r="U983" s="9">
        <f>Table1[[#This Row], [TRC]]+Table1[[#This Row], [DRC]]+Table1[[#This Row], [WRC]]+Table1[[#This Row], [ERC]]+Table1[[#This Row], [EQRC]]</f>
        <v>7823276.1749999998</v>
      </c>
      <c r="V983" s="9">
        <f>Table1[[#This Row], [TOTAL COST]]+_xlfn.XLOOKUP(Table1[[#This Row], [TEAM]],Sheet1!$A$12:$A$17,Sheet1!$I$12:$I$17)</f>
        <v>8122713.6749999998</v>
      </c>
      <c r="W983" s="9">
        <f>Table1[[#This Row], [LOOT]]-Table1[[#This Row], [TOTAL COST]]</f>
        <v>9576723.8249999993</v>
      </c>
      <c r="X983" s="9">
        <f>IF(Table1[[#This Row], [PASS/FAIL]]="FAIL",0,Table1[[#This Row], [PROFIT]])</f>
        <v>9576723.8249999993</v>
      </c>
    </row>
    <row r="984" spans="1:24" ht="19.5" customHeight="1" x14ac:dyDescent="0.45">
      <c r="A984" t="s">
        <v>9</v>
      </c>
      <c r="B984" s="14">
        <f>_xlfn.XLOOKUP(Table1[[#This Row], [TEAM]],Sheet1!$A$12:$A$17,Sheet1!$F$12:$F$17)</f>
        <v>3</v>
      </c>
      <c r="C984" s="14">
        <f>_xlfn.XLOOKUP(Table1[[#This Row], [TEAM]],Sheet1!$A$12:$A$17,Sheet1!$G$12:$G$17)</f>
        <v>6238750</v>
      </c>
      <c r="D984" t="s">
        <v>20</v>
      </c>
      <c r="E984" s="4">
        <f>_xlfn.XLOOKUP(Table1[[#This Row], [ROOM]],Sheet1!$A$47:$A$66,Sheet1!$B$47:$B$66)</f>
        <v>145</v>
      </c>
      <c r="F984" t="s">
        <v>58</v>
      </c>
      <c r="G984" s="4">
        <f>_xlfn.XLOOKUP(Table1[[#This Row], [DISGUISE]],Sheet1!$A$21:$A$23,Sheet1!$B$21:$B$23)*Table1[[#This Row], [NUM OF MEM]]*(1+_xlfn.XLOOKUP(Table1[[#This Row], [DISGUISE]],Sheet1!$A$21:$A$23,Sheet1!$C$21:$C$23))</f>
        <v>38400</v>
      </c>
      <c r="H984" s="13" t="s">
        <v>63</v>
      </c>
      <c r="I984" s="4">
        <f>_xlfn.XLOOKUP(Table1[[#This Row], [WEAPON]],Sheet1!$A$27:$A$29,Sheet1!$B$27:$B$29)*Table1[[#This Row], [NUM OF MEM]]*(1+_xlfn.XLOOKUP(Table1[[#This Row], [WEAPON]],Sheet1!$A$27:$A$29,Sheet1!$C$27:$C$29))</f>
        <v>69000</v>
      </c>
      <c r="J984" t="s">
        <v>60</v>
      </c>
      <c r="K984" s="9">
        <f>Table1[[#This Row], [NUM OF MEM]]*Table1[[#This Row], [TOTAL TIME TAKEN]]*_xlfn.XLOOKUP(Table1[[#This Row], [EXIT]],Sheet1!$A$70:$A$71,Sheet1!$B$70:$B$71)*(1+_xlfn.XLOOKUP(Table1[[#This Row], [EXIT]],Sheet1!$A$70:$A$71,Sheet1!$C$70:$C$71))</f>
        <v>1627139.6124999996</v>
      </c>
      <c r="L984" s="13" t="s">
        <v>61</v>
      </c>
      <c r="M984" s="4">
        <f>IF(Table1[[#This Row], [EQUIPMENT]]="YES",Sheet1!$C$44*(1+Sheet1!$D$44),0)</f>
        <v>0</v>
      </c>
      <c r="N984" s="4">
        <f>_xlfn.XLOOKUP(Table1[[#This Row], [ROOM]],Sheet1!$A$47:$A$66,Sheet1!$F$47:$F$66)</f>
        <v>17550000</v>
      </c>
      <c r="O984" s="9">
        <f>_xlfn.XLOOKUP(_xlfn.CONCAT(Table1[[#This Row], [TEAM]],Table1[[#This Row], [ROOM]]),'ROOM TIME'!$H$2:$H$121,'ROOM TIME'!$J$2:$J$121)</f>
        <v>37.766111111111101</v>
      </c>
      <c r="P984" s="9">
        <f>(INDEX(Sheet1!$X$48:$Z$67,MATCH(Table1[[#This Row], [ROOM]],Sheet1!$P$48:$P$67,0),MATCH(Table1[[#This Row], [WEAPON]],Sheet1!$X$47:$Z$47,0)))/Table1[[#This Row], [NUM OF MEM]]</f>
        <v>4.5</v>
      </c>
      <c r="Q984" s="9">
        <f>Table1[[#This Row], [ROOM TIME]]+Table1[[#This Row], [GUARD TIME]]</f>
        <v>42.266111111111101</v>
      </c>
      <c r="R984" s="4">
        <f>Sheet1!$K$3*_xlfn.XLOOKUP(Table1[[#This Row], [DISGUISE]],Sheet1!$A$21:$A$23,Sheet1!$D$21:$D$23)</f>
        <v>69</v>
      </c>
      <c r="S984" s="9">
        <f>Table1[[#This Row], [TOTAL TIME]]-Table1[[#This Row], [TOTAL TIME TAKEN]]</f>
        <v>26.733888888888899</v>
      </c>
      <c r="T984" t="str">
        <f>IF(Table1[[#This Row], [TIME DIFFERENCE]]&gt;=0,"PASS","FAIL")</f>
        <v>PASS</v>
      </c>
      <c r="U984" s="9">
        <f>Table1[[#This Row], [TRC]]+Table1[[#This Row], [DRC]]+Table1[[#This Row], [WRC]]+Table1[[#This Row], [ERC]]+Table1[[#This Row], [EQRC]]</f>
        <v>7973289.6124999998</v>
      </c>
      <c r="V984" s="9">
        <f>Table1[[#This Row], [TOTAL COST]]+_xlfn.XLOOKUP(Table1[[#This Row], [TEAM]],Sheet1!$A$12:$A$17,Sheet1!$I$12:$I$17)</f>
        <v>8285227.1124999998</v>
      </c>
      <c r="W984" s="9">
        <f>Table1[[#This Row], [LOOT]]-Table1[[#This Row], [TOTAL COST]]</f>
        <v>9576710.3874999993</v>
      </c>
      <c r="X984" s="9">
        <f>IF(Table1[[#This Row], [PASS/FAIL]]="FAIL",0,Table1[[#This Row], [PROFIT]])</f>
        <v>9576710.3874999993</v>
      </c>
    </row>
    <row r="985" spans="1:24" ht="19.5" customHeight="1" x14ac:dyDescent="0.45">
      <c r="A985" t="s">
        <v>9</v>
      </c>
      <c r="B985" s="14">
        <f>_xlfn.XLOOKUP(Table1[[#This Row], [TEAM]],Sheet1!$A$12:$A$17,Sheet1!$F$12:$F$17)</f>
        <v>3</v>
      </c>
      <c r="C985" s="14">
        <f>_xlfn.XLOOKUP(Table1[[#This Row], [TEAM]],Sheet1!$A$12:$A$17,Sheet1!$G$12:$G$17)</f>
        <v>6238750</v>
      </c>
      <c r="D985" t="s">
        <v>19</v>
      </c>
      <c r="E985" s="4">
        <f>_xlfn.XLOOKUP(Table1[[#This Row], [ROOM]],Sheet1!$A$47:$A$66,Sheet1!$B$47:$B$66)</f>
        <v>135</v>
      </c>
      <c r="F985" t="s">
        <v>58</v>
      </c>
      <c r="G985" s="4">
        <f>_xlfn.XLOOKUP(Table1[[#This Row], [DISGUISE]],Sheet1!$A$21:$A$23,Sheet1!$B$21:$B$23)*Table1[[#This Row], [NUM OF MEM]]*(1+_xlfn.XLOOKUP(Table1[[#This Row], [DISGUISE]],Sheet1!$A$21:$A$23,Sheet1!$C$21:$C$23))</f>
        <v>38400</v>
      </c>
      <c r="H985" s="13" t="s">
        <v>66</v>
      </c>
      <c r="I985" s="4">
        <f>_xlfn.XLOOKUP(Table1[[#This Row], [WEAPON]],Sheet1!$A$27:$A$29,Sheet1!$B$27:$B$29)*Table1[[#This Row], [NUM OF MEM]]*(1+_xlfn.XLOOKUP(Table1[[#This Row], [WEAPON]],Sheet1!$A$27:$A$29,Sheet1!$C$27:$C$29))</f>
        <v>108000</v>
      </c>
      <c r="J985" t="s">
        <v>64</v>
      </c>
      <c r="K985" s="9">
        <f>Table1[[#This Row], [NUM OF MEM]]*Table1[[#This Row], [TOTAL TIME TAKEN]]*_xlfn.XLOOKUP(Table1[[#This Row], [EXIT]],Sheet1!$A$70:$A$71,Sheet1!$B$70:$B$71)*(1+_xlfn.XLOOKUP(Table1[[#This Row], [EXIT]],Sheet1!$A$70:$A$71,Sheet1!$C$70:$C$71))</f>
        <v>1680890.4</v>
      </c>
      <c r="L985" s="13" t="s">
        <v>65</v>
      </c>
      <c r="M985" s="4">
        <f>IF(Table1[[#This Row], [EQUIPMENT]]="YES",Sheet1!$C$44*(1+Sheet1!$D$44),0)</f>
        <v>307500</v>
      </c>
      <c r="N985" s="4">
        <f>_xlfn.XLOOKUP(Table1[[#This Row], [ROOM]],Sheet1!$A$47:$A$66,Sheet1!$F$47:$F$66)</f>
        <v>17950000</v>
      </c>
      <c r="O985" s="9">
        <f>_xlfn.XLOOKUP(_xlfn.CONCAT(Table1[[#This Row], [TEAM]],Table1[[#This Row], [ROOM]]),'ROOM TIME'!$H$2:$H$121,'ROOM TIME'!$J$2:$J$121)</f>
        <v>38.649444444444434</v>
      </c>
      <c r="P985" s="9">
        <f>(INDEX(Sheet1!$X$48:$Z$67,MATCH(Table1[[#This Row], [ROOM]],Sheet1!$P$48:$P$67,0),MATCH(Table1[[#This Row], [WEAPON]],Sheet1!$X$47:$Z$47,0)))/Table1[[#This Row], [NUM OF MEM]]</f>
        <v>4.583333333333333</v>
      </c>
      <c r="Q985" s="9">
        <f>Table1[[#This Row], [ROOM TIME]]+Table1[[#This Row], [GUARD TIME]]</f>
        <v>43.23277777777777</v>
      </c>
      <c r="R985" s="4">
        <f>Sheet1!$K$3*_xlfn.XLOOKUP(Table1[[#This Row], [DISGUISE]],Sheet1!$A$21:$A$23,Sheet1!$D$21:$D$23)</f>
        <v>69</v>
      </c>
      <c r="S985" s="9">
        <f>Table1[[#This Row], [TOTAL TIME]]-Table1[[#This Row], [TOTAL TIME TAKEN]]</f>
        <v>25.76722222222223</v>
      </c>
      <c r="T985" t="str">
        <f>IF(Table1[[#This Row], [TIME DIFFERENCE]]&gt;=0,"PASS","FAIL")</f>
        <v>PASS</v>
      </c>
      <c r="U985" s="9">
        <f>Table1[[#This Row], [TRC]]+Table1[[#This Row], [DRC]]+Table1[[#This Row], [WRC]]+Table1[[#This Row], [ERC]]+Table1[[#This Row], [EQRC]]</f>
        <v>8373540.4000000004</v>
      </c>
      <c r="V985" s="9">
        <f>Table1[[#This Row], [TOTAL COST]]+_xlfn.XLOOKUP(Table1[[#This Row], [TEAM]],Sheet1!$A$12:$A$17,Sheet1!$I$12:$I$17)</f>
        <v>8685477.9000000004</v>
      </c>
      <c r="W985" s="9">
        <f>Table1[[#This Row], [LOOT]]-Table1[[#This Row], [TOTAL COST]]</f>
        <v>9576459.5999999996</v>
      </c>
      <c r="X985" s="9">
        <f>IF(Table1[[#This Row], [PASS/FAIL]]="FAIL",0,Table1[[#This Row], [PROFIT]])</f>
        <v>9576459.5999999996</v>
      </c>
    </row>
    <row r="986" spans="1:24" ht="19.5" customHeight="1" x14ac:dyDescent="0.45">
      <c r="A986" t="s">
        <v>15</v>
      </c>
      <c r="B986" s="14">
        <f>_xlfn.XLOOKUP(Table1[[#This Row], [TEAM]],Sheet1!$A$12:$A$17,Sheet1!$F$12:$F$17)</f>
        <v>2</v>
      </c>
      <c r="C986" s="14">
        <f>_xlfn.XLOOKUP(Table1[[#This Row], [TEAM]],Sheet1!$A$12:$A$17,Sheet1!$G$12:$G$17)</f>
        <v>5932950</v>
      </c>
      <c r="D986" t="s">
        <v>25</v>
      </c>
      <c r="E986" s="4">
        <f>_xlfn.XLOOKUP(Table1[[#This Row], [ROOM]],Sheet1!$A$47:$A$66,Sheet1!$B$47:$B$66)</f>
        <v>126</v>
      </c>
      <c r="F986" t="s">
        <v>62</v>
      </c>
      <c r="G986" s="4">
        <f>_xlfn.XLOOKUP(Table1[[#This Row], [DISGUISE]],Sheet1!$A$21:$A$23,Sheet1!$B$21:$B$23)*Table1[[#This Row], [NUM OF MEM]]*(1+_xlfn.XLOOKUP(Table1[[#This Row], [DISGUISE]],Sheet1!$A$21:$A$23,Sheet1!$C$21:$C$23))</f>
        <v>10400</v>
      </c>
      <c r="H986" s="13" t="s">
        <v>63</v>
      </c>
      <c r="I986" s="4">
        <f>_xlfn.XLOOKUP(Table1[[#This Row], [WEAPON]],Sheet1!$A$27:$A$29,Sheet1!$B$27:$B$29)*Table1[[#This Row], [NUM OF MEM]]*(1+_xlfn.XLOOKUP(Table1[[#This Row], [WEAPON]],Sheet1!$A$27:$A$29,Sheet1!$C$27:$C$29))</f>
        <v>46000</v>
      </c>
      <c r="J986" t="s">
        <v>64</v>
      </c>
      <c r="K986" s="9">
        <f>Table1[[#This Row], [NUM OF MEM]]*Table1[[#This Row], [TOTAL TIME TAKEN]]*_xlfn.XLOOKUP(Table1[[#This Row], [EXIT]],Sheet1!$A$70:$A$71,Sheet1!$B$70:$B$71)*(1+_xlfn.XLOOKUP(Table1[[#This Row], [EXIT]],Sheet1!$A$70:$A$71,Sheet1!$C$70:$C$71))</f>
        <v>1677088.7999999996</v>
      </c>
      <c r="L986" s="13" t="s">
        <v>65</v>
      </c>
      <c r="M986" s="4">
        <f>IF(Table1[[#This Row], [EQUIPMENT]]="YES",Sheet1!$C$44*(1+Sheet1!$D$44),0)</f>
        <v>307500</v>
      </c>
      <c r="N986" s="4">
        <f>_xlfn.XLOOKUP(Table1[[#This Row], [ROOM]],Sheet1!$A$47:$A$66,Sheet1!$F$47:$F$66)</f>
        <v>17550000</v>
      </c>
      <c r="O986" s="9">
        <f>_xlfn.XLOOKUP(_xlfn.CONCAT(Table1[[#This Row], [TEAM]],Table1[[#This Row], [ROOM]]),'ROOM TIME'!$H$2:$H$121,'ROOM TIME'!$J$2:$J$121)</f>
        <v>57.277499999999989</v>
      </c>
      <c r="P986" s="9">
        <f>(INDEX(Sheet1!$X$48:$Z$67,MATCH(Table1[[#This Row], [ROOM]],Sheet1!$P$48:$P$67,0),MATCH(Table1[[#This Row], [WEAPON]],Sheet1!$X$47:$Z$47,0)))/Table1[[#This Row], [NUM OF MEM]]</f>
        <v>7.4250000000000007</v>
      </c>
      <c r="Q986" s="9">
        <f>Table1[[#This Row], [ROOM TIME]]+Table1[[#This Row], [GUARD TIME]]</f>
        <v>64.702499999999986</v>
      </c>
      <c r="R986" s="4">
        <f>Sheet1!$K$3*_xlfn.XLOOKUP(Table1[[#This Row], [DISGUISE]],Sheet1!$A$21:$A$23,Sheet1!$D$21:$D$23)</f>
        <v>66</v>
      </c>
      <c r="S986" s="9">
        <f>Table1[[#This Row], [TOTAL TIME]]-Table1[[#This Row], [TOTAL TIME TAKEN]]</f>
        <v>1.2975000000000136</v>
      </c>
      <c r="T986" t="str">
        <f>IF(Table1[[#This Row], [TIME DIFFERENCE]]&gt;=0,"PASS","FAIL")</f>
        <v>PASS</v>
      </c>
      <c r="U986" s="9">
        <f>Table1[[#This Row], [TRC]]+Table1[[#This Row], [DRC]]+Table1[[#This Row], [WRC]]+Table1[[#This Row], [ERC]]+Table1[[#This Row], [EQRC]]</f>
        <v>7973938.7999999998</v>
      </c>
      <c r="V986" s="9">
        <f>Table1[[#This Row], [TOTAL COST]]+_xlfn.XLOOKUP(Table1[[#This Row], [TEAM]],Sheet1!$A$12:$A$17,Sheet1!$I$12:$I$17)</f>
        <v>8270586.2999999998</v>
      </c>
      <c r="W986" s="9">
        <f>Table1[[#This Row], [LOOT]]-Table1[[#This Row], [TOTAL COST]]</f>
        <v>9576061.1999999993</v>
      </c>
      <c r="X986" s="9">
        <f>IF(Table1[[#This Row], [PASS/FAIL]]="FAIL",0,Table1[[#This Row], [PROFIT]])</f>
        <v>9576061.1999999993</v>
      </c>
    </row>
    <row r="987" spans="1:24" ht="19.5" customHeight="1" x14ac:dyDescent="0.45">
      <c r="A987" t="s">
        <v>15</v>
      </c>
      <c r="B987" s="14">
        <f>_xlfn.XLOOKUP(Table1[[#This Row], [TEAM]],Sheet1!$A$12:$A$17,Sheet1!$F$12:$F$17)</f>
        <v>2</v>
      </c>
      <c r="C987" s="14">
        <f>_xlfn.XLOOKUP(Table1[[#This Row], [TEAM]],Sheet1!$A$12:$A$17,Sheet1!$G$12:$G$17)</f>
        <v>5932950</v>
      </c>
      <c r="D987" t="s">
        <v>25</v>
      </c>
      <c r="E987" s="4">
        <f>_xlfn.XLOOKUP(Table1[[#This Row], [ROOM]],Sheet1!$A$47:$A$66,Sheet1!$B$47:$B$66)</f>
        <v>126</v>
      </c>
      <c r="F987" t="s">
        <v>62</v>
      </c>
      <c r="G987" s="4">
        <f>_xlfn.XLOOKUP(Table1[[#This Row], [DISGUISE]],Sheet1!$A$21:$A$23,Sheet1!$B$21:$B$23)*Table1[[#This Row], [NUM OF MEM]]*(1+_xlfn.XLOOKUP(Table1[[#This Row], [DISGUISE]],Sheet1!$A$21:$A$23,Sheet1!$C$21:$C$23))</f>
        <v>10400</v>
      </c>
      <c r="H987" s="13" t="s">
        <v>59</v>
      </c>
      <c r="I987" s="4">
        <f>_xlfn.XLOOKUP(Table1[[#This Row], [WEAPON]],Sheet1!$A$27:$A$29,Sheet1!$B$27:$B$29)*Table1[[#This Row], [NUM OF MEM]]*(1+_xlfn.XLOOKUP(Table1[[#This Row], [WEAPON]],Sheet1!$A$27:$A$29,Sheet1!$C$27:$C$29))</f>
        <v>91000</v>
      </c>
      <c r="J987" t="s">
        <v>60</v>
      </c>
      <c r="K987" s="9">
        <f>Table1[[#This Row], [NUM OF MEM]]*Table1[[#This Row], [TOTAL TIME TAKEN]]*_xlfn.XLOOKUP(Table1[[#This Row], [EXIT]],Sheet1!$A$70:$A$71,Sheet1!$B$70:$B$71)*(1+_xlfn.XLOOKUP(Table1[[#This Row], [EXIT]],Sheet1!$A$70:$A$71,Sheet1!$C$70:$C$71))</f>
        <v>1632358.1624999996</v>
      </c>
      <c r="L987" s="13" t="s">
        <v>65</v>
      </c>
      <c r="M987" s="4">
        <f>IF(Table1[[#This Row], [EQUIPMENT]]="YES",Sheet1!$C$44*(1+Sheet1!$D$44),0)</f>
        <v>307500</v>
      </c>
      <c r="N987" s="4">
        <f>_xlfn.XLOOKUP(Table1[[#This Row], [ROOM]],Sheet1!$A$47:$A$66,Sheet1!$F$47:$F$66)</f>
        <v>17550000</v>
      </c>
      <c r="O987" s="9">
        <f>_xlfn.XLOOKUP(_xlfn.CONCAT(Table1[[#This Row], [TEAM]],Table1[[#This Row], [ROOM]]),'ROOM TIME'!$H$2:$H$121,'ROOM TIME'!$J$2:$J$121)</f>
        <v>57.277499999999989</v>
      </c>
      <c r="P987" s="9">
        <f>(INDEX(Sheet1!$X$48:$Z$67,MATCH(Table1[[#This Row], [ROOM]],Sheet1!$P$48:$P$67,0),MATCH(Table1[[#This Row], [WEAPON]],Sheet1!$X$47:$Z$47,0)))/Table1[[#This Row], [NUM OF MEM]]</f>
        <v>6.3249999999999993</v>
      </c>
      <c r="Q987" s="9">
        <f>Table1[[#This Row], [ROOM TIME]]+Table1[[#This Row], [GUARD TIME]]</f>
        <v>63.602499999999992</v>
      </c>
      <c r="R987" s="4">
        <f>Sheet1!$K$3*_xlfn.XLOOKUP(Table1[[#This Row], [DISGUISE]],Sheet1!$A$21:$A$23,Sheet1!$D$21:$D$23)</f>
        <v>66</v>
      </c>
      <c r="S987" s="9">
        <f>Table1[[#This Row], [TOTAL TIME]]-Table1[[#This Row], [TOTAL TIME TAKEN]]</f>
        <v>2.397500000000008</v>
      </c>
      <c r="T987" t="str">
        <f>IF(Table1[[#This Row], [TIME DIFFERENCE]]&gt;=0,"PASS","FAIL")</f>
        <v>PASS</v>
      </c>
      <c r="U987" s="9">
        <f>Table1[[#This Row], [TRC]]+Table1[[#This Row], [DRC]]+Table1[[#This Row], [WRC]]+Table1[[#This Row], [ERC]]+Table1[[#This Row], [EQRC]]</f>
        <v>7974208.1624999996</v>
      </c>
      <c r="V987" s="9">
        <f>Table1[[#This Row], [TOTAL COST]]+_xlfn.XLOOKUP(Table1[[#This Row], [TEAM]],Sheet1!$A$12:$A$17,Sheet1!$I$12:$I$17)</f>
        <v>8270855.6624999996</v>
      </c>
      <c r="W987" s="9">
        <f>Table1[[#This Row], [LOOT]]-Table1[[#This Row], [TOTAL COST]]</f>
        <v>9575791.8375000004</v>
      </c>
      <c r="X987" s="9">
        <f>IF(Table1[[#This Row], [PASS/FAIL]]="FAIL",0,Table1[[#This Row], [PROFIT]])</f>
        <v>9575791.8375000004</v>
      </c>
    </row>
    <row r="988" spans="1:24" ht="19.5" customHeight="1" x14ac:dyDescent="0.45">
      <c r="A988" t="s">
        <v>14</v>
      </c>
      <c r="B988" s="14">
        <f>_xlfn.XLOOKUP(Table1[[#This Row], [TEAM]],Sheet1!$A$12:$A$17,Sheet1!$F$12:$F$17)</f>
        <v>2</v>
      </c>
      <c r="C988" s="14">
        <f>_xlfn.XLOOKUP(Table1[[#This Row], [TEAM]],Sheet1!$A$12:$A$17,Sheet1!$G$12:$G$17)</f>
        <v>5949600</v>
      </c>
      <c r="D988" t="s">
        <v>25</v>
      </c>
      <c r="E988" s="4">
        <f>_xlfn.XLOOKUP(Table1[[#This Row], [ROOM]],Sheet1!$A$47:$A$66,Sheet1!$B$47:$B$66)</f>
        <v>126</v>
      </c>
      <c r="F988" t="s">
        <v>62</v>
      </c>
      <c r="G988" s="4">
        <f>_xlfn.XLOOKUP(Table1[[#This Row], [DISGUISE]],Sheet1!$A$21:$A$23,Sheet1!$B$21:$B$23)*Table1[[#This Row], [NUM OF MEM]]*(1+_xlfn.XLOOKUP(Table1[[#This Row], [DISGUISE]],Sheet1!$A$21:$A$23,Sheet1!$C$21:$C$23))</f>
        <v>10400</v>
      </c>
      <c r="H988" s="13" t="s">
        <v>66</v>
      </c>
      <c r="I988" s="4">
        <f>_xlfn.XLOOKUP(Table1[[#This Row], [WEAPON]],Sheet1!$A$27:$A$29,Sheet1!$B$27:$B$29)*Table1[[#This Row], [NUM OF MEM]]*(1+_xlfn.XLOOKUP(Table1[[#This Row], [WEAPON]],Sheet1!$A$27:$A$29,Sheet1!$C$27:$C$29))</f>
        <v>72000</v>
      </c>
      <c r="J988" t="s">
        <v>60</v>
      </c>
      <c r="K988" s="9">
        <f>Table1[[#This Row], [NUM OF MEM]]*Table1[[#This Row], [TOTAL TIME TAKEN]]*_xlfn.XLOOKUP(Table1[[#This Row], [EXIT]],Sheet1!$A$70:$A$71,Sheet1!$B$70:$B$71)*(1+_xlfn.XLOOKUP(Table1[[#This Row], [EXIT]],Sheet1!$A$70:$A$71,Sheet1!$C$70:$C$71))</f>
        <v>1635437.9624999997</v>
      </c>
      <c r="L988" s="13" t="s">
        <v>65</v>
      </c>
      <c r="M988" s="4">
        <f>IF(Table1[[#This Row], [EQUIPMENT]]="YES",Sheet1!$C$44*(1+Sheet1!$D$44),0)</f>
        <v>307500</v>
      </c>
      <c r="N988" s="4">
        <f>_xlfn.XLOOKUP(Table1[[#This Row], [ROOM]],Sheet1!$A$47:$A$66,Sheet1!$F$47:$F$66)</f>
        <v>17550000</v>
      </c>
      <c r="O988" s="9">
        <f>_xlfn.XLOOKUP(_xlfn.CONCAT(Table1[[#This Row], [TEAM]],Table1[[#This Row], [ROOM]]),'ROOM TIME'!$H$2:$H$121,'ROOM TIME'!$J$2:$J$121)</f>
        <v>56.847499999999989</v>
      </c>
      <c r="P988" s="9">
        <f>(INDEX(Sheet1!$X$48:$Z$67,MATCH(Table1[[#This Row], [ROOM]],Sheet1!$P$48:$P$67,0),MATCH(Table1[[#This Row], [WEAPON]],Sheet1!$X$47:$Z$47,0)))/Table1[[#This Row], [NUM OF MEM]]</f>
        <v>6.875</v>
      </c>
      <c r="Q988" s="9">
        <f>Table1[[#This Row], [ROOM TIME]]+Table1[[#This Row], [GUARD TIME]]</f>
        <v>63.722499999999989</v>
      </c>
      <c r="R988" s="4">
        <f>Sheet1!$K$3*_xlfn.XLOOKUP(Table1[[#This Row], [DISGUISE]],Sheet1!$A$21:$A$23,Sheet1!$D$21:$D$23)</f>
        <v>66</v>
      </c>
      <c r="S988" s="9">
        <f>Table1[[#This Row], [TOTAL TIME]]-Table1[[#This Row], [TOTAL TIME TAKEN]]</f>
        <v>2.2775000000000105</v>
      </c>
      <c r="T988" t="str">
        <f>IF(Table1[[#This Row], [TIME DIFFERENCE]]&gt;=0,"PASS","FAIL")</f>
        <v>PASS</v>
      </c>
      <c r="U988" s="9">
        <f>Table1[[#This Row], [TRC]]+Table1[[#This Row], [DRC]]+Table1[[#This Row], [WRC]]+Table1[[#This Row], [ERC]]+Table1[[#This Row], [EQRC]]</f>
        <v>7974937.9624999994</v>
      </c>
      <c r="V988" s="9">
        <f>Table1[[#This Row], [TOTAL COST]]+_xlfn.XLOOKUP(Table1[[#This Row], [TEAM]],Sheet1!$A$12:$A$17,Sheet1!$I$12:$I$17)</f>
        <v>8272417.9624999994</v>
      </c>
      <c r="W988" s="9">
        <f>Table1[[#This Row], [LOOT]]-Table1[[#This Row], [TOTAL COST]]</f>
        <v>9575062.0375000015</v>
      </c>
      <c r="X988" s="9">
        <f>IF(Table1[[#This Row], [PASS/FAIL]]="FAIL",0,Table1[[#This Row], [PROFIT]])</f>
        <v>9575062.0375000015</v>
      </c>
    </row>
    <row r="989" spans="1:24" ht="19.5" customHeight="1" x14ac:dyDescent="0.45">
      <c r="A989" t="s">
        <v>13</v>
      </c>
      <c r="B989" s="14">
        <f>_xlfn.XLOOKUP(Table1[[#This Row], [TEAM]],Sheet1!$A$12:$A$17,Sheet1!$F$12:$F$17)</f>
        <v>3</v>
      </c>
      <c r="C989" s="14">
        <f>_xlfn.XLOOKUP(Table1[[#This Row], [TEAM]],Sheet1!$A$12:$A$17,Sheet1!$G$12:$G$17)</f>
        <v>5930000</v>
      </c>
      <c r="D989" t="s">
        <v>23</v>
      </c>
      <c r="E989" s="4">
        <f>_xlfn.XLOOKUP(Table1[[#This Row], [ROOM]],Sheet1!$A$47:$A$66,Sheet1!$B$47:$B$66)</f>
        <v>245</v>
      </c>
      <c r="F989" t="s">
        <v>62</v>
      </c>
      <c r="G989" s="4">
        <f>_xlfn.XLOOKUP(Table1[[#This Row], [DISGUISE]],Sheet1!$A$21:$A$23,Sheet1!$B$21:$B$23)*Table1[[#This Row], [NUM OF MEM]]*(1+_xlfn.XLOOKUP(Table1[[#This Row], [DISGUISE]],Sheet1!$A$21:$A$23,Sheet1!$C$21:$C$23))</f>
        <v>15600</v>
      </c>
      <c r="H989" s="13" t="s">
        <v>63</v>
      </c>
      <c r="I989" s="4">
        <f>_xlfn.XLOOKUP(Table1[[#This Row], [WEAPON]],Sheet1!$A$27:$A$29,Sheet1!$B$27:$B$29)*Table1[[#This Row], [NUM OF MEM]]*(1+_xlfn.XLOOKUP(Table1[[#This Row], [WEAPON]],Sheet1!$A$27:$A$29,Sheet1!$C$27:$C$29))</f>
        <v>69000</v>
      </c>
      <c r="J989" t="s">
        <v>60</v>
      </c>
      <c r="K989" s="9">
        <f>Table1[[#This Row], [NUM OF MEM]]*Table1[[#This Row], [TOTAL TIME TAKEN]]*_xlfn.XLOOKUP(Table1[[#This Row], [EXIT]],Sheet1!$A$70:$A$71,Sheet1!$B$70:$B$71)*(1+_xlfn.XLOOKUP(Table1[[#This Row], [EXIT]],Sheet1!$A$70:$A$71,Sheet1!$C$70:$C$71))</f>
        <v>1810473.2624999997</v>
      </c>
      <c r="L989" s="13" t="s">
        <v>61</v>
      </c>
      <c r="M989" s="4">
        <f>IF(Table1[[#This Row], [EQUIPMENT]]="YES",Sheet1!$C$44*(1+Sheet1!$D$44),0)</f>
        <v>0</v>
      </c>
      <c r="N989" s="4">
        <f>_xlfn.XLOOKUP(Table1[[#This Row], [ROOM]],Sheet1!$A$47:$A$66,Sheet1!$F$47:$F$66)</f>
        <v>17400000</v>
      </c>
      <c r="O989" s="9">
        <f>_xlfn.XLOOKUP(_xlfn.CONCAT(Table1[[#This Row], [TEAM]],Table1[[#This Row], [ROOM]]),'ROOM TIME'!$H$2:$H$121,'ROOM TIME'!$J$2:$J$121)</f>
        <v>42.078333333333326</v>
      </c>
      <c r="P989" s="9">
        <f>(INDEX(Sheet1!$X$48:$Z$67,MATCH(Table1[[#This Row], [ROOM]],Sheet1!$P$48:$P$67,0),MATCH(Table1[[#This Row], [WEAPON]],Sheet1!$X$47:$Z$47,0)))/Table1[[#This Row], [NUM OF MEM]]</f>
        <v>4.95</v>
      </c>
      <c r="Q989" s="9">
        <f>Table1[[#This Row], [ROOM TIME]]+Table1[[#This Row], [GUARD TIME]]</f>
        <v>47.028333333333329</v>
      </c>
      <c r="R989" s="4">
        <f>Sheet1!$K$3*_xlfn.XLOOKUP(Table1[[#This Row], [DISGUISE]],Sheet1!$A$21:$A$23,Sheet1!$D$21:$D$23)</f>
        <v>66</v>
      </c>
      <c r="S989" s="9">
        <f>Table1[[#This Row], [TOTAL TIME]]-Table1[[#This Row], [TOTAL TIME TAKEN]]</f>
        <v>18.971666666666671</v>
      </c>
      <c r="T989" t="str">
        <f>IF(Table1[[#This Row], [TIME DIFFERENCE]]&gt;=0,"PASS","FAIL")</f>
        <v>PASS</v>
      </c>
      <c r="U989" s="9">
        <f>Table1[[#This Row], [TRC]]+Table1[[#This Row], [DRC]]+Table1[[#This Row], [WRC]]+Table1[[#This Row], [ERC]]+Table1[[#This Row], [EQRC]]</f>
        <v>7825073.2624999993</v>
      </c>
      <c r="V989" s="9">
        <f>Table1[[#This Row], [TOTAL COST]]+_xlfn.XLOOKUP(Table1[[#This Row], [TEAM]],Sheet1!$A$12:$A$17,Sheet1!$I$12:$I$17)</f>
        <v>8121573.2624999993</v>
      </c>
      <c r="W989" s="9">
        <f>Table1[[#This Row], [LOOT]]-Table1[[#This Row], [TOTAL COST]]</f>
        <v>9574926.7375000007</v>
      </c>
      <c r="X989" s="9">
        <f>IF(Table1[[#This Row], [PASS/FAIL]]="FAIL",0,Table1[[#This Row], [PROFIT]])</f>
        <v>9574926.7375000007</v>
      </c>
    </row>
    <row r="990" spans="1:24" ht="19.5" customHeight="1" x14ac:dyDescent="0.45">
      <c r="A990" t="s">
        <v>16</v>
      </c>
      <c r="B990" s="14">
        <f>_xlfn.XLOOKUP(Table1[[#This Row], [TEAM]],Sheet1!$A$12:$A$17,Sheet1!$F$12:$F$17)</f>
        <v>2</v>
      </c>
      <c r="C990" s="14">
        <f>_xlfn.XLOOKUP(Table1[[#This Row], [TEAM]],Sheet1!$A$12:$A$17,Sheet1!$G$12:$G$17)</f>
        <v>6082800</v>
      </c>
      <c r="D990" t="s">
        <v>28</v>
      </c>
      <c r="E990" s="4">
        <f>_xlfn.XLOOKUP(Table1[[#This Row], [ROOM]],Sheet1!$A$47:$A$66,Sheet1!$B$47:$B$66)</f>
        <v>156</v>
      </c>
      <c r="F990" t="s">
        <v>58</v>
      </c>
      <c r="G990" s="4">
        <f>_xlfn.XLOOKUP(Table1[[#This Row], [DISGUISE]],Sheet1!$A$21:$A$23,Sheet1!$B$21:$B$23)*Table1[[#This Row], [NUM OF MEM]]*(1+_xlfn.XLOOKUP(Table1[[#This Row], [DISGUISE]],Sheet1!$A$21:$A$23,Sheet1!$C$21:$C$23))</f>
        <v>25600</v>
      </c>
      <c r="H990" s="13" t="s">
        <v>66</v>
      </c>
      <c r="I990" s="4">
        <f>_xlfn.XLOOKUP(Table1[[#This Row], [WEAPON]],Sheet1!$A$27:$A$29,Sheet1!$B$27:$B$29)*Table1[[#This Row], [NUM OF MEM]]*(1+_xlfn.XLOOKUP(Table1[[#This Row], [WEAPON]],Sheet1!$A$27:$A$29,Sheet1!$C$27:$C$29))</f>
        <v>72000</v>
      </c>
      <c r="J990" t="s">
        <v>60</v>
      </c>
      <c r="K990" s="9">
        <f>Table1[[#This Row], [NUM OF MEM]]*Table1[[#This Row], [TOTAL TIME TAKEN]]*_xlfn.XLOOKUP(Table1[[#This Row], [EXIT]],Sheet1!$A$70:$A$71,Sheet1!$B$70:$B$71)*(1+_xlfn.XLOOKUP(Table1[[#This Row], [EXIT]],Sheet1!$A$70:$A$71,Sheet1!$C$70:$C$71))</f>
        <v>1587412.3312499996</v>
      </c>
      <c r="L990" s="13" t="s">
        <v>65</v>
      </c>
      <c r="M990" s="4">
        <f>IF(Table1[[#This Row], [EQUIPMENT]]="YES",Sheet1!$C$44*(1+Sheet1!$D$44),0)</f>
        <v>307500</v>
      </c>
      <c r="N990" s="4">
        <f>_xlfn.XLOOKUP(Table1[[#This Row], [ROOM]],Sheet1!$A$47:$A$66,Sheet1!$F$47:$F$66)</f>
        <v>17650000</v>
      </c>
      <c r="O990" s="9">
        <f>_xlfn.XLOOKUP(_xlfn.CONCAT(Table1[[#This Row], [TEAM]],Table1[[#This Row], [ROOM]]),'ROOM TIME'!$H$2:$H$121,'ROOM TIME'!$J$2:$J$121)</f>
        <v>55.601249999999986</v>
      </c>
      <c r="P990" s="9">
        <f>(INDEX(Sheet1!$X$48:$Z$67,MATCH(Table1[[#This Row], [ROOM]],Sheet1!$P$48:$P$67,0),MATCH(Table1[[#This Row], [WEAPON]],Sheet1!$X$47:$Z$47,0)))/Table1[[#This Row], [NUM OF MEM]]</f>
        <v>6.25</v>
      </c>
      <c r="Q990" s="9">
        <f>Table1[[#This Row], [ROOM TIME]]+Table1[[#This Row], [GUARD TIME]]</f>
        <v>61.851249999999986</v>
      </c>
      <c r="R990" s="4">
        <f>Sheet1!$K$3*_xlfn.XLOOKUP(Table1[[#This Row], [DISGUISE]],Sheet1!$A$21:$A$23,Sheet1!$D$21:$D$23)</f>
        <v>69</v>
      </c>
      <c r="S990" s="9">
        <f>Table1[[#This Row], [TOTAL TIME]]-Table1[[#This Row], [TOTAL TIME TAKEN]]</f>
        <v>7.1487500000000139</v>
      </c>
      <c r="T990" t="str">
        <f>IF(Table1[[#This Row], [TIME DIFFERENCE]]&gt;=0,"PASS","FAIL")</f>
        <v>PASS</v>
      </c>
      <c r="U990" s="9">
        <f>Table1[[#This Row], [TRC]]+Table1[[#This Row], [DRC]]+Table1[[#This Row], [WRC]]+Table1[[#This Row], [ERC]]+Table1[[#This Row], [EQRC]]</f>
        <v>8075312.3312499998</v>
      </c>
      <c r="V990" s="9">
        <f>Table1[[#This Row], [TOTAL COST]]+_xlfn.XLOOKUP(Table1[[#This Row], [TEAM]],Sheet1!$A$12:$A$17,Sheet1!$I$12:$I$17)</f>
        <v>8379452.3312499998</v>
      </c>
      <c r="W990" s="9">
        <f>Table1[[#This Row], [LOOT]]-Table1[[#This Row], [TOTAL COST]]</f>
        <v>9574687.6687499993</v>
      </c>
      <c r="X990" s="9">
        <f>IF(Table1[[#This Row], [PASS/FAIL]]="FAIL",0,Table1[[#This Row], [PROFIT]])</f>
        <v>9574687.6687499993</v>
      </c>
    </row>
    <row r="991" spans="1:24" ht="19.5" customHeight="1" x14ac:dyDescent="0.45">
      <c r="A991" t="s">
        <v>12</v>
      </c>
      <c r="B991" s="14">
        <f>_xlfn.XLOOKUP(Table1[[#This Row], [TEAM]],Sheet1!$A$12:$A$17,Sheet1!$F$12:$F$17)</f>
        <v>3</v>
      </c>
      <c r="C991" s="14">
        <f>_xlfn.XLOOKUP(Table1[[#This Row], [TEAM]],Sheet1!$A$12:$A$17,Sheet1!$G$12:$G$17)</f>
        <v>5988750</v>
      </c>
      <c r="D991" t="s">
        <v>23</v>
      </c>
      <c r="E991" s="4">
        <f>_xlfn.XLOOKUP(Table1[[#This Row], [ROOM]],Sheet1!$A$47:$A$66,Sheet1!$B$47:$B$66)</f>
        <v>245</v>
      </c>
      <c r="F991" t="s">
        <v>62</v>
      </c>
      <c r="G991" s="4">
        <f>_xlfn.XLOOKUP(Table1[[#This Row], [DISGUISE]],Sheet1!$A$21:$A$23,Sheet1!$B$21:$B$23)*Table1[[#This Row], [NUM OF MEM]]*(1+_xlfn.XLOOKUP(Table1[[#This Row], [DISGUISE]],Sheet1!$A$21:$A$23,Sheet1!$C$21:$C$23))</f>
        <v>15600</v>
      </c>
      <c r="H991" s="13" t="s">
        <v>66</v>
      </c>
      <c r="I991" s="4">
        <f>_xlfn.XLOOKUP(Table1[[#This Row], [WEAPON]],Sheet1!$A$27:$A$29,Sheet1!$B$27:$B$29)*Table1[[#This Row], [NUM OF MEM]]*(1+_xlfn.XLOOKUP(Table1[[#This Row], [WEAPON]],Sheet1!$A$27:$A$29,Sheet1!$C$27:$C$29))</f>
        <v>108000</v>
      </c>
      <c r="J991" t="s">
        <v>60</v>
      </c>
      <c r="K991" s="9">
        <f>Table1[[#This Row], [NUM OF MEM]]*Table1[[#This Row], [TOTAL TIME TAKEN]]*_xlfn.XLOOKUP(Table1[[#This Row], [EXIT]],Sheet1!$A$70:$A$71,Sheet1!$B$70:$B$71)*(1+_xlfn.XLOOKUP(Table1[[#This Row], [EXIT]],Sheet1!$A$70:$A$71,Sheet1!$C$70:$C$71))</f>
        <v>1713010.4249999993</v>
      </c>
      <c r="L991" s="13" t="s">
        <v>61</v>
      </c>
      <c r="M991" s="4">
        <f>IF(Table1[[#This Row], [EQUIPMENT]]="YES",Sheet1!$C$44*(1+Sheet1!$D$44),0)</f>
        <v>0</v>
      </c>
      <c r="N991" s="4">
        <f>_xlfn.XLOOKUP(Table1[[#This Row], [ROOM]],Sheet1!$A$47:$A$66,Sheet1!$F$47:$F$66)</f>
        <v>17400000</v>
      </c>
      <c r="O991" s="9">
        <f>_xlfn.XLOOKUP(_xlfn.CONCAT(Table1[[#This Row], [TEAM]],Table1[[#This Row], [ROOM]]),'ROOM TIME'!$H$2:$H$121,'ROOM TIME'!$J$2:$J$121)</f>
        <v>39.91333333333332</v>
      </c>
      <c r="P991" s="9">
        <f>(INDEX(Sheet1!$X$48:$Z$67,MATCH(Table1[[#This Row], [ROOM]],Sheet1!$P$48:$P$67,0),MATCH(Table1[[#This Row], [WEAPON]],Sheet1!$X$47:$Z$47,0)))/Table1[[#This Row], [NUM OF MEM]]</f>
        <v>4.583333333333333</v>
      </c>
      <c r="Q991" s="9">
        <f>Table1[[#This Row], [ROOM TIME]]+Table1[[#This Row], [GUARD TIME]]</f>
        <v>44.496666666666655</v>
      </c>
      <c r="R991" s="4">
        <f>Sheet1!$K$3*_xlfn.XLOOKUP(Table1[[#This Row], [DISGUISE]],Sheet1!$A$21:$A$23,Sheet1!$D$21:$D$23)</f>
        <v>66</v>
      </c>
      <c r="S991" s="9">
        <f>Table1[[#This Row], [TOTAL TIME]]-Table1[[#This Row], [TOTAL TIME TAKEN]]</f>
        <v>21.503333333333345</v>
      </c>
      <c r="T991" t="str">
        <f>IF(Table1[[#This Row], [TIME DIFFERENCE]]&gt;=0,"PASS","FAIL")</f>
        <v>PASS</v>
      </c>
      <c r="U991" s="9">
        <f>Table1[[#This Row], [TRC]]+Table1[[#This Row], [DRC]]+Table1[[#This Row], [WRC]]+Table1[[#This Row], [ERC]]+Table1[[#This Row], [EQRC]]</f>
        <v>7825360.4249999989</v>
      </c>
      <c r="V991" s="9">
        <f>Table1[[#This Row], [TOTAL COST]]+_xlfn.XLOOKUP(Table1[[#This Row], [TEAM]],Sheet1!$A$12:$A$17,Sheet1!$I$12:$I$17)</f>
        <v>8124797.9249999989</v>
      </c>
      <c r="W991" s="9">
        <f>Table1[[#This Row], [LOOT]]-Table1[[#This Row], [TOTAL COST]]</f>
        <v>9574639.5750000011</v>
      </c>
      <c r="X991" s="9">
        <f>IF(Table1[[#This Row], [PASS/FAIL]]="FAIL",0,Table1[[#This Row], [PROFIT]])</f>
        <v>9574639.5750000011</v>
      </c>
    </row>
    <row r="992" spans="1:24" ht="19.5" customHeight="1" x14ac:dyDescent="0.45">
      <c r="A992" t="s">
        <v>13</v>
      </c>
      <c r="B992" s="14">
        <f>_xlfn.XLOOKUP(Table1[[#This Row], [TEAM]],Sheet1!$A$12:$A$17,Sheet1!$F$12:$F$17)</f>
        <v>3</v>
      </c>
      <c r="C992" s="14">
        <f>_xlfn.XLOOKUP(Table1[[#This Row], [TEAM]],Sheet1!$A$12:$A$17,Sheet1!$G$12:$G$17)</f>
        <v>5930000</v>
      </c>
      <c r="D992" t="s">
        <v>10</v>
      </c>
      <c r="E992" s="4">
        <f>_xlfn.XLOOKUP(Table1[[#This Row], [ROOM]],Sheet1!$A$47:$A$66,Sheet1!$B$47:$B$66)</f>
        <v>123</v>
      </c>
      <c r="F992" t="s">
        <v>58</v>
      </c>
      <c r="G992" s="4">
        <f>_xlfn.XLOOKUP(Table1[[#This Row], [DISGUISE]],Sheet1!$A$21:$A$23,Sheet1!$B$21:$B$23)*Table1[[#This Row], [NUM OF MEM]]*(1+_xlfn.XLOOKUP(Table1[[#This Row], [DISGUISE]],Sheet1!$A$21:$A$23,Sheet1!$C$21:$C$23))</f>
        <v>38400</v>
      </c>
      <c r="H992" s="13" t="s">
        <v>66</v>
      </c>
      <c r="I992" s="4">
        <f>_xlfn.XLOOKUP(Table1[[#This Row], [WEAPON]],Sheet1!$A$27:$A$29,Sheet1!$B$27:$B$29)*Table1[[#This Row], [NUM OF MEM]]*(1+_xlfn.XLOOKUP(Table1[[#This Row], [WEAPON]],Sheet1!$A$27:$A$29,Sheet1!$C$27:$C$29))</f>
        <v>108000</v>
      </c>
      <c r="J992" t="s">
        <v>64</v>
      </c>
      <c r="K992" s="9">
        <f>Table1[[#This Row], [NUM OF MEM]]*Table1[[#This Row], [TOTAL TIME TAKEN]]*_xlfn.XLOOKUP(Table1[[#This Row], [EXIT]],Sheet1!$A$70:$A$71,Sheet1!$B$70:$B$71)*(1+_xlfn.XLOOKUP(Table1[[#This Row], [EXIT]],Sheet1!$A$70:$A$71,Sheet1!$C$70:$C$71))</f>
        <v>1891684.7999999996</v>
      </c>
      <c r="L992" s="13" t="s">
        <v>65</v>
      </c>
      <c r="M992" s="4">
        <f>IF(Table1[[#This Row], [EQUIPMENT]]="YES",Sheet1!$C$44*(1+Sheet1!$D$44),0)</f>
        <v>307500</v>
      </c>
      <c r="N992" s="4">
        <f>_xlfn.XLOOKUP(Table1[[#This Row], [ROOM]],Sheet1!$A$47:$A$66,Sheet1!$F$47:$F$66)</f>
        <v>17850000</v>
      </c>
      <c r="O992" s="9">
        <f>_xlfn.XLOOKUP(_xlfn.CONCAT(Table1[[#This Row], [TEAM]],Table1[[#This Row], [ROOM]]),'ROOM TIME'!$H$2:$H$121,'ROOM TIME'!$J$2:$J$121)</f>
        <v>43.654444444444437</v>
      </c>
      <c r="P992" s="4">
        <f>(INDEX(Sheet1!$X$48:$Z$67,MATCH(Table1[[#This Row], [ROOM]],Sheet1!$P$48:$P$67,0),MATCH(Table1[[#This Row], [WEAPON]],Sheet1!$X$47:$Z$47,0)))/Table1[[#This Row], [NUM OF MEM]]</f>
        <v>5</v>
      </c>
      <c r="Q992" s="9">
        <f>Table1[[#This Row], [ROOM TIME]]+Table1[[#This Row], [GUARD TIME]]</f>
        <v>48.654444444444437</v>
      </c>
      <c r="R992" s="4">
        <f>Sheet1!$K$3*_xlfn.XLOOKUP(Table1[[#This Row], [DISGUISE]],Sheet1!$A$21:$A$23,Sheet1!$D$21:$D$23)</f>
        <v>69</v>
      </c>
      <c r="S992" s="9">
        <f>Table1[[#This Row], [TOTAL TIME]]-Table1[[#This Row], [TOTAL TIME TAKEN]]</f>
        <v>20.345555555555563</v>
      </c>
      <c r="T992" t="str">
        <f>IF(Table1[[#This Row], [TIME DIFFERENCE]]&gt;=0,"PASS","FAIL")</f>
        <v>PASS</v>
      </c>
      <c r="U992" s="9">
        <f>Table1[[#This Row], [TRC]]+Table1[[#This Row], [DRC]]+Table1[[#This Row], [WRC]]+Table1[[#This Row], [ERC]]+Table1[[#This Row], [EQRC]]</f>
        <v>8275584.7999999998</v>
      </c>
      <c r="V992" s="9">
        <f>Table1[[#This Row], [TOTAL COST]]+_xlfn.XLOOKUP(Table1[[#This Row], [TEAM]],Sheet1!$A$12:$A$17,Sheet1!$I$12:$I$17)</f>
        <v>8572084.8000000007</v>
      </c>
      <c r="W992" s="9">
        <f>Table1[[#This Row], [LOOT]]-Table1[[#This Row], [TOTAL COST]]</f>
        <v>9574415.1999999993</v>
      </c>
      <c r="X992" s="9">
        <f>IF(Table1[[#This Row], [PASS/FAIL]]="FAIL",0,Table1[[#This Row], [PROFIT]])</f>
        <v>9574415.1999999993</v>
      </c>
    </row>
    <row r="993" spans="1:24" ht="19.5" customHeight="1" x14ac:dyDescent="0.45">
      <c r="A993" t="s">
        <v>12</v>
      </c>
      <c r="B993" s="14">
        <f>_xlfn.XLOOKUP(Table1[[#This Row], [TEAM]],Sheet1!$A$12:$A$17,Sheet1!$F$12:$F$17)</f>
        <v>3</v>
      </c>
      <c r="C993" s="14">
        <f>_xlfn.XLOOKUP(Table1[[#This Row], [TEAM]],Sheet1!$A$12:$A$17,Sheet1!$G$12:$G$17)</f>
        <v>5988750</v>
      </c>
      <c r="D993" t="s">
        <v>11</v>
      </c>
      <c r="E993" s="4">
        <f>_xlfn.XLOOKUP(Table1[[#This Row], [ROOM]],Sheet1!$A$47:$A$66,Sheet1!$B$47:$B$66)</f>
        <v>124</v>
      </c>
      <c r="F993" t="s">
        <v>62</v>
      </c>
      <c r="G993" s="4">
        <f>_xlfn.XLOOKUP(Table1[[#This Row], [DISGUISE]],Sheet1!$A$21:$A$23,Sheet1!$B$21:$B$23)*Table1[[#This Row], [NUM OF MEM]]*(1+_xlfn.XLOOKUP(Table1[[#This Row], [DISGUISE]],Sheet1!$A$21:$A$23,Sheet1!$C$21:$C$23))</f>
        <v>15600</v>
      </c>
      <c r="H993" s="13" t="s">
        <v>59</v>
      </c>
      <c r="I993" s="4">
        <f>_xlfn.XLOOKUP(Table1[[#This Row], [WEAPON]],Sheet1!$A$27:$A$29,Sheet1!$B$27:$B$29)*Table1[[#This Row], [NUM OF MEM]]*(1+_xlfn.XLOOKUP(Table1[[#This Row], [WEAPON]],Sheet1!$A$27:$A$29,Sheet1!$C$27:$C$29))</f>
        <v>136500</v>
      </c>
      <c r="J993" t="s">
        <v>64</v>
      </c>
      <c r="K993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1734739.1999999995</v>
      </c>
      <c r="L993" s="13" t="s">
        <v>61</v>
      </c>
      <c r="M993" s="4">
        <f>IF(Table1[[#This Row], [EQUIPMENT]]="YES",Sheet1!$C$44*(1+Sheet1!$D$44),0)</f>
        <v>0</v>
      </c>
      <c r="N993" s="4">
        <f>_xlfn.XLOOKUP(Table1[[#This Row], [ROOM]],Sheet1!$A$47:$A$66,Sheet1!$F$47:$F$66)</f>
        <v>17450000</v>
      </c>
      <c r="O993" s="9">
        <f>_xlfn.XLOOKUP(_xlfn.CONCAT(Table1[[#This Row], [TEAM]],Table1[[#This Row], [ROOM]]),'ROOM TIME'!$H$2:$H$121,'ROOM TIME'!$J$2:$J$121)</f>
        <v>40.401111111111099</v>
      </c>
      <c r="P993" s="9">
        <f>(INDEX(Sheet1!$X$48:$Z$67,MATCH(Table1[[#This Row], [ROOM]],Sheet1!$P$48:$P$67,0),MATCH(Table1[[#This Row], [WEAPON]],Sheet1!$X$47:$Z$47,0)))/Table1[[#This Row], [NUM OF MEM]]</f>
        <v>4.2166666666666659</v>
      </c>
      <c r="Q993" s="9">
        <f>Table1[[#This Row], [ROOM TIME]]+Table1[[#This Row], [GUARD TIME]]</f>
        <v>44.617777777777768</v>
      </c>
      <c r="R993" s="4">
        <f>Sheet1!$K$3*_xlfn.XLOOKUP(Table1[[#This Row], [DISGUISE]],Sheet1!$A$21:$A$23,Sheet1!$D$21:$D$23)</f>
        <v>66</v>
      </c>
      <c r="S993" s="9">
        <f>Table1[[#This Row], [TOTAL TIME]]-Table1[[#This Row], [TOTAL TIME TAKEN]]</f>
        <v>21.382222222222232</v>
      </c>
      <c r="T993" t="str">
        <f>IF(Table1[[#This Row], [TIME DIFFERENCE]]&gt;=0,"PASS","FAIL")</f>
        <v>PASS</v>
      </c>
      <c r="U993" s="9">
        <f>Table1[[#This Row], [TRC]]+Table1[[#This Row], [DRC]]+Table1[[#This Row], [WRC]]+Table1[[#This Row], [ERC]]+Table1[[#This Row], [EQRC]]</f>
        <v>7875589.1999999993</v>
      </c>
      <c r="V993" s="9">
        <f>Table1[[#This Row], [TOTAL COST]]+_xlfn.XLOOKUP(Table1[[#This Row], [TEAM]],Sheet1!$A$12:$A$17,Sheet1!$I$12:$I$17)</f>
        <v>8175026.6999999993</v>
      </c>
      <c r="W993" s="9">
        <f>Table1[[#This Row], [LOOT]]-Table1[[#This Row], [TOTAL COST]]</f>
        <v>9574410.8000000007</v>
      </c>
      <c r="X993" s="9">
        <f>IF(Table1[[#This Row], [PASS/FAIL]]="FAIL",0,Table1[[#This Row], [PROFIT]])</f>
        <v>9574410.8000000007</v>
      </c>
    </row>
    <row r="994" spans="1:24" ht="19.5" customHeight="1" x14ac:dyDescent="0.45">
      <c r="A994" t="s">
        <v>16</v>
      </c>
      <c r="B994" s="14">
        <f>_xlfn.XLOOKUP(Table1[[#This Row], [TEAM]],Sheet1!$A$12:$A$17,Sheet1!$F$12:$F$17)</f>
        <v>2</v>
      </c>
      <c r="C994" s="14">
        <f>_xlfn.XLOOKUP(Table1[[#This Row], [TEAM]],Sheet1!$A$12:$A$17,Sheet1!$G$12:$G$17)</f>
        <v>6082800</v>
      </c>
      <c r="D994" t="s">
        <v>28</v>
      </c>
      <c r="E994" s="4">
        <f>_xlfn.XLOOKUP(Table1[[#This Row], [ROOM]],Sheet1!$A$47:$A$66,Sheet1!$B$47:$B$66)</f>
        <v>156</v>
      </c>
      <c r="F994" t="s">
        <v>62</v>
      </c>
      <c r="G994" s="4">
        <f>_xlfn.XLOOKUP(Table1[[#This Row], [DISGUISE]],Sheet1!$A$21:$A$23,Sheet1!$B$21:$B$23)*Table1[[#This Row], [NUM OF MEM]]*(1+_xlfn.XLOOKUP(Table1[[#This Row], [DISGUISE]],Sheet1!$A$21:$A$23,Sheet1!$C$21:$C$23))</f>
        <v>10400</v>
      </c>
      <c r="H994" s="13" t="s">
        <v>66</v>
      </c>
      <c r="I994" s="4">
        <f>_xlfn.XLOOKUP(Table1[[#This Row], [WEAPON]],Sheet1!$A$27:$A$29,Sheet1!$B$27:$B$29)*Table1[[#This Row], [NUM OF MEM]]*(1+_xlfn.XLOOKUP(Table1[[#This Row], [WEAPON]],Sheet1!$A$27:$A$29,Sheet1!$C$27:$C$29))</f>
        <v>72000</v>
      </c>
      <c r="J994" t="s">
        <v>64</v>
      </c>
      <c r="K994" s="9">
        <f>Table1[[#This Row], [NUM OF MEM]]*Table1[[#This Row], [TOTAL TIME TAKEN]]*_xlfn.XLOOKUP(Table1[[#This Row], [EXIT]],Sheet1!$A$70:$A$71,Sheet1!$B$70:$B$71)*(1+_xlfn.XLOOKUP(Table1[[#This Row], [EXIT]],Sheet1!$A$70:$A$71,Sheet1!$C$70:$C$71))</f>
        <v>1603184.3999999997</v>
      </c>
      <c r="L994" s="13" t="s">
        <v>65</v>
      </c>
      <c r="M994" s="4">
        <f>IF(Table1[[#This Row], [EQUIPMENT]]="YES",Sheet1!$C$44*(1+Sheet1!$D$44),0)</f>
        <v>307500</v>
      </c>
      <c r="N994" s="4">
        <f>_xlfn.XLOOKUP(Table1[[#This Row], [ROOM]],Sheet1!$A$47:$A$66,Sheet1!$F$47:$F$66)</f>
        <v>17650000</v>
      </c>
      <c r="O994" s="9">
        <f>_xlfn.XLOOKUP(_xlfn.CONCAT(Table1[[#This Row], [TEAM]],Table1[[#This Row], [ROOM]]),'ROOM TIME'!$H$2:$H$121,'ROOM TIME'!$J$2:$J$121)</f>
        <v>55.601249999999986</v>
      </c>
      <c r="P994" s="9">
        <f>(INDEX(Sheet1!$X$48:$Z$67,MATCH(Table1[[#This Row], [ROOM]],Sheet1!$P$48:$P$67,0),MATCH(Table1[[#This Row], [WEAPON]],Sheet1!$X$47:$Z$47,0)))/Table1[[#This Row], [NUM OF MEM]]</f>
        <v>6.25</v>
      </c>
      <c r="Q994" s="9">
        <f>Table1[[#This Row], [ROOM TIME]]+Table1[[#This Row], [GUARD TIME]]</f>
        <v>61.851249999999986</v>
      </c>
      <c r="R994" s="4">
        <f>Sheet1!$K$3*_xlfn.XLOOKUP(Table1[[#This Row], [DISGUISE]],Sheet1!$A$21:$A$23,Sheet1!$D$21:$D$23)</f>
        <v>66</v>
      </c>
      <c r="S994" s="9">
        <f>Table1[[#This Row], [TOTAL TIME]]-Table1[[#This Row], [TOTAL TIME TAKEN]]</f>
        <v>4.1487500000000139</v>
      </c>
      <c r="T994" t="str">
        <f>IF(Table1[[#This Row], [TIME DIFFERENCE]]&gt;=0,"PASS","FAIL")</f>
        <v>PASS</v>
      </c>
      <c r="U994" s="9">
        <f>Table1[[#This Row], [TRC]]+Table1[[#This Row], [DRC]]+Table1[[#This Row], [WRC]]+Table1[[#This Row], [ERC]]+Table1[[#This Row], [EQRC]]</f>
        <v>8075884.3999999994</v>
      </c>
      <c r="V994" s="9">
        <f>Table1[[#This Row], [TOTAL COST]]+_xlfn.XLOOKUP(Table1[[#This Row], [TEAM]],Sheet1!$A$12:$A$17,Sheet1!$I$12:$I$17)</f>
        <v>8380024.3999999994</v>
      </c>
      <c r="W994" s="9">
        <f>Table1[[#This Row], [LOOT]]-Table1[[#This Row], [TOTAL COST]]</f>
        <v>9574115.6000000015</v>
      </c>
      <c r="X994" s="9">
        <f>IF(Table1[[#This Row], [PASS/FAIL]]="FAIL",0,Table1[[#This Row], [PROFIT]])</f>
        <v>9574115.6000000015</v>
      </c>
    </row>
    <row r="995" spans="1:24" ht="19.5" customHeight="1" x14ac:dyDescent="0.45">
      <c r="A995" t="s">
        <v>12</v>
      </c>
      <c r="B995" s="14">
        <f>_xlfn.XLOOKUP(Table1[[#This Row], [TEAM]],Sheet1!$A$12:$A$17,Sheet1!$F$12:$F$17)</f>
        <v>3</v>
      </c>
      <c r="C995" s="14">
        <f>_xlfn.XLOOKUP(Table1[[#This Row], [TEAM]],Sheet1!$A$12:$A$17,Sheet1!$G$12:$G$17)</f>
        <v>5988750</v>
      </c>
      <c r="D995" t="s">
        <v>22</v>
      </c>
      <c r="E995" s="4">
        <f>_xlfn.XLOOKUP(Table1[[#This Row], [ROOM]],Sheet1!$A$47:$A$66,Sheet1!$B$47:$B$66)</f>
        <v>235</v>
      </c>
      <c r="F995" t="s">
        <v>58</v>
      </c>
      <c r="G995" s="4">
        <f>_xlfn.XLOOKUP(Table1[[#This Row], [DISGUISE]],Sheet1!$A$21:$A$23,Sheet1!$B$21:$B$23)*Table1[[#This Row], [NUM OF MEM]]*(1+_xlfn.XLOOKUP(Table1[[#This Row], [DISGUISE]],Sheet1!$A$21:$A$23,Sheet1!$C$21:$C$23))</f>
        <v>38400</v>
      </c>
      <c r="H995" s="13" t="s">
        <v>63</v>
      </c>
      <c r="I995" s="4">
        <f>_xlfn.XLOOKUP(Table1[[#This Row], [WEAPON]],Sheet1!$A$27:$A$29,Sheet1!$B$27:$B$29)*Table1[[#This Row], [NUM OF MEM]]*(1+_xlfn.XLOOKUP(Table1[[#This Row], [WEAPON]],Sheet1!$A$27:$A$29,Sheet1!$C$27:$C$29))</f>
        <v>69000</v>
      </c>
      <c r="J995" t="s">
        <v>64</v>
      </c>
      <c r="K995" s="9">
        <f>Table1[[#This Row], [NUM OF MEM]]*Table1[[#This Row], [TOTAL TIME TAKEN]]*_xlfn.XLOOKUP(Table1[[#This Row], [EXIT]],Sheet1!$A$70:$A$71,Sheet1!$B$70:$B$71)*(1+_xlfn.XLOOKUP(Table1[[#This Row], [EXIT]],Sheet1!$A$70:$A$71,Sheet1!$C$70:$C$71))</f>
        <v>1822694.3999999992</v>
      </c>
      <c r="L995" s="13" t="s">
        <v>65</v>
      </c>
      <c r="M995" s="4">
        <f>IF(Table1[[#This Row], [EQUIPMENT]]="YES",Sheet1!$C$44*(1+Sheet1!$D$44),0)</f>
        <v>307500</v>
      </c>
      <c r="N995" s="4">
        <f>_xlfn.XLOOKUP(Table1[[#This Row], [ROOM]],Sheet1!$A$47:$A$66,Sheet1!$F$47:$F$66)</f>
        <v>17800000</v>
      </c>
      <c r="O995" s="9">
        <f>_xlfn.XLOOKUP(_xlfn.CONCAT(Table1[[#This Row], [TEAM]],Table1[[#This Row], [ROOM]]),'ROOM TIME'!$H$2:$H$121,'ROOM TIME'!$J$2:$J$121)</f>
        <v>41.479999999999983</v>
      </c>
      <c r="P995" s="9">
        <f>(INDEX(Sheet1!$X$48:$Z$67,MATCH(Table1[[#This Row], [ROOM]],Sheet1!$P$48:$P$67,0),MATCH(Table1[[#This Row], [WEAPON]],Sheet1!$X$47:$Z$47,0)))/Table1[[#This Row], [NUM OF MEM]]</f>
        <v>5.4000000000000012</v>
      </c>
      <c r="Q995" s="9">
        <f>Table1[[#This Row], [ROOM TIME]]+Table1[[#This Row], [GUARD TIME]]</f>
        <v>46.879999999999981</v>
      </c>
      <c r="R995" s="4">
        <f>Sheet1!$K$3*_xlfn.XLOOKUP(Table1[[#This Row], [DISGUISE]],Sheet1!$A$21:$A$23,Sheet1!$D$21:$D$23)</f>
        <v>69</v>
      </c>
      <c r="S995" s="9">
        <f>Table1[[#This Row], [TOTAL TIME]]-Table1[[#This Row], [TOTAL TIME TAKEN]]</f>
        <v>22.120000000000019</v>
      </c>
      <c r="T995" t="str">
        <f>IF(Table1[[#This Row], [TIME DIFFERENCE]]&gt;=0,"PASS","FAIL")</f>
        <v>PASS</v>
      </c>
      <c r="U995" s="9">
        <f>Table1[[#This Row], [TRC]]+Table1[[#This Row], [DRC]]+Table1[[#This Row], [WRC]]+Table1[[#This Row], [ERC]]+Table1[[#This Row], [EQRC]]</f>
        <v>8226344.3999999994</v>
      </c>
      <c r="V995" s="9">
        <f>Table1[[#This Row], [TOTAL COST]]+_xlfn.XLOOKUP(Table1[[#This Row], [TEAM]],Sheet1!$A$12:$A$17,Sheet1!$I$12:$I$17)</f>
        <v>8525781.8999999985</v>
      </c>
      <c r="W995" s="9">
        <f>Table1[[#This Row], [LOOT]]-Table1[[#This Row], [TOTAL COST]]</f>
        <v>9573655.6000000015</v>
      </c>
      <c r="X995" s="9">
        <f>IF(Table1[[#This Row], [PASS/FAIL]]="FAIL",0,Table1[[#This Row], [PROFIT]])</f>
        <v>9573655.6000000015</v>
      </c>
    </row>
    <row r="996" spans="1:24" ht="19.5" customHeight="1" x14ac:dyDescent="0.45">
      <c r="A996" t="s">
        <v>9</v>
      </c>
      <c r="B996" s="14">
        <f>_xlfn.XLOOKUP(Table1[[#This Row], [TEAM]],Sheet1!$A$12:$A$17,Sheet1!$F$12:$F$17)</f>
        <v>3</v>
      </c>
      <c r="C996" s="14">
        <f>_xlfn.XLOOKUP(Table1[[#This Row], [TEAM]],Sheet1!$A$12:$A$17,Sheet1!$G$12:$G$17)</f>
        <v>6238750</v>
      </c>
      <c r="D996" t="s">
        <v>20</v>
      </c>
      <c r="E996" s="4">
        <f>_xlfn.XLOOKUP(Table1[[#This Row], [ROOM]],Sheet1!$A$47:$A$66,Sheet1!$B$47:$B$66)</f>
        <v>145</v>
      </c>
      <c r="F996" t="s">
        <v>62</v>
      </c>
      <c r="G996" s="4">
        <f>_xlfn.XLOOKUP(Table1[[#This Row], [DISGUISE]],Sheet1!$A$21:$A$23,Sheet1!$B$21:$B$23)*Table1[[#This Row], [NUM OF MEM]]*(1+_xlfn.XLOOKUP(Table1[[#This Row], [DISGUISE]],Sheet1!$A$21:$A$23,Sheet1!$C$21:$C$23))</f>
        <v>15600</v>
      </c>
      <c r="H996" s="13" t="s">
        <v>66</v>
      </c>
      <c r="I996" s="4">
        <f>_xlfn.XLOOKUP(Table1[[#This Row], [WEAPON]],Sheet1!$A$27:$A$29,Sheet1!$B$27:$B$29)*Table1[[#This Row], [NUM OF MEM]]*(1+_xlfn.XLOOKUP(Table1[[#This Row], [WEAPON]],Sheet1!$A$27:$A$29,Sheet1!$C$27:$C$29))</f>
        <v>108000</v>
      </c>
      <c r="J996" t="s">
        <v>60</v>
      </c>
      <c r="K996" s="9">
        <f>Table1[[#This Row], [NUM OF MEM]]*Table1[[#This Row], [TOTAL TIME TAKEN]]*_xlfn.XLOOKUP(Table1[[#This Row], [EXIT]],Sheet1!$A$70:$A$71,Sheet1!$B$70:$B$71)*(1+_xlfn.XLOOKUP(Table1[[#This Row], [EXIT]],Sheet1!$A$70:$A$71,Sheet1!$C$70:$C$71))</f>
        <v>1614307.1124999993</v>
      </c>
      <c r="L996" s="13" t="s">
        <v>61</v>
      </c>
      <c r="M996" s="4">
        <f>IF(Table1[[#This Row], [EQUIPMENT]]="YES",Sheet1!$C$44*(1+Sheet1!$D$44),0)</f>
        <v>0</v>
      </c>
      <c r="N996" s="4">
        <f>_xlfn.XLOOKUP(Table1[[#This Row], [ROOM]],Sheet1!$A$47:$A$66,Sheet1!$F$47:$F$66)</f>
        <v>17550000</v>
      </c>
      <c r="O996" s="9">
        <f>_xlfn.XLOOKUP(_xlfn.CONCAT(Table1[[#This Row], [TEAM]],Table1[[#This Row], [ROOM]]),'ROOM TIME'!$H$2:$H$121,'ROOM TIME'!$J$2:$J$121)</f>
        <v>37.766111111111101</v>
      </c>
      <c r="P996" s="9">
        <f>(INDEX(Sheet1!$X$48:$Z$67,MATCH(Table1[[#This Row], [ROOM]],Sheet1!$P$48:$P$67,0),MATCH(Table1[[#This Row], [WEAPON]],Sheet1!$X$47:$Z$47,0)))/Table1[[#This Row], [NUM OF MEM]]</f>
        <v>4.166666666666667</v>
      </c>
      <c r="Q996" s="9">
        <f>Table1[[#This Row], [ROOM TIME]]+Table1[[#This Row], [GUARD TIME]]</f>
        <v>41.932777777777765</v>
      </c>
      <c r="R996" s="4">
        <f>Sheet1!$K$3*_xlfn.XLOOKUP(Table1[[#This Row], [DISGUISE]],Sheet1!$A$21:$A$23,Sheet1!$D$21:$D$23)</f>
        <v>66</v>
      </c>
      <c r="S996" s="9">
        <f>Table1[[#This Row], [TOTAL TIME]]-Table1[[#This Row], [TOTAL TIME TAKEN]]</f>
        <v>24.067222222222235</v>
      </c>
      <c r="T996" t="str">
        <f>IF(Table1[[#This Row], [TIME DIFFERENCE]]&gt;=0,"PASS","FAIL")</f>
        <v>PASS</v>
      </c>
      <c r="U996" s="9">
        <f>Table1[[#This Row], [TRC]]+Table1[[#This Row], [DRC]]+Table1[[#This Row], [WRC]]+Table1[[#This Row], [ERC]]+Table1[[#This Row], [EQRC]]</f>
        <v>7976657.1124999989</v>
      </c>
      <c r="V996" s="9">
        <f>Table1[[#This Row], [TOTAL COST]]+_xlfn.XLOOKUP(Table1[[#This Row], [TEAM]],Sheet1!$A$12:$A$17,Sheet1!$I$12:$I$17)</f>
        <v>8288594.6124999989</v>
      </c>
      <c r="W996" s="9">
        <f>Table1[[#This Row], [LOOT]]-Table1[[#This Row], [TOTAL COST]]</f>
        <v>9573342.8875000011</v>
      </c>
      <c r="X996" s="9">
        <f>IF(Table1[[#This Row], [PASS/FAIL]]="FAIL",0,Table1[[#This Row], [PROFIT]])</f>
        <v>9573342.8875000011</v>
      </c>
    </row>
    <row r="997" spans="1:24" ht="19.5" customHeight="1" x14ac:dyDescent="0.45">
      <c r="A997" t="s">
        <v>12</v>
      </c>
      <c r="B997" s="14">
        <f>_xlfn.XLOOKUP(Table1[[#This Row], [TEAM]],Sheet1!$A$12:$A$17,Sheet1!$F$12:$F$17)</f>
        <v>3</v>
      </c>
      <c r="C997" s="14">
        <f>_xlfn.XLOOKUP(Table1[[#This Row], [TEAM]],Sheet1!$A$12:$A$17,Sheet1!$G$12:$G$17)</f>
        <v>5988750</v>
      </c>
      <c r="D997" t="s">
        <v>22</v>
      </c>
      <c r="E997" s="4">
        <f>_xlfn.XLOOKUP(Table1[[#This Row], [ROOM]],Sheet1!$A$47:$A$66,Sheet1!$B$47:$B$66)</f>
        <v>235</v>
      </c>
      <c r="F997" t="s">
        <v>62</v>
      </c>
      <c r="G997" s="4">
        <f>_xlfn.XLOOKUP(Table1[[#This Row], [DISGUISE]],Sheet1!$A$21:$A$23,Sheet1!$B$21:$B$23)*Table1[[#This Row], [NUM OF MEM]]*(1+_xlfn.XLOOKUP(Table1[[#This Row], [DISGUISE]],Sheet1!$A$21:$A$23,Sheet1!$C$21:$C$23))</f>
        <v>15600</v>
      </c>
      <c r="H997" s="13" t="s">
        <v>66</v>
      </c>
      <c r="I997" s="4">
        <f>_xlfn.XLOOKUP(Table1[[#This Row], [WEAPON]],Sheet1!$A$27:$A$29,Sheet1!$B$27:$B$29)*Table1[[#This Row], [NUM OF MEM]]*(1+_xlfn.XLOOKUP(Table1[[#This Row], [WEAPON]],Sheet1!$A$27:$A$29,Sheet1!$C$27:$C$29))</f>
        <v>108000</v>
      </c>
      <c r="J997" t="s">
        <v>64</v>
      </c>
      <c r="K997" s="9">
        <f>Table1[[#This Row], [NUM OF MEM]]*Table1[[#This Row], [TOTAL TIME TAKEN]]*_xlfn.XLOOKUP(Table1[[#This Row], [EXIT]],Sheet1!$A$70:$A$71,Sheet1!$B$70:$B$71)*(1+_xlfn.XLOOKUP(Table1[[#This Row], [EXIT]],Sheet1!$A$70:$A$71,Sheet1!$C$70:$C$71))</f>
        <v>1807142.3999999992</v>
      </c>
      <c r="L997" s="13" t="s">
        <v>65</v>
      </c>
      <c r="M997" s="4">
        <f>IF(Table1[[#This Row], [EQUIPMENT]]="YES",Sheet1!$C$44*(1+Sheet1!$D$44),0)</f>
        <v>307500</v>
      </c>
      <c r="N997" s="4">
        <f>_xlfn.XLOOKUP(Table1[[#This Row], [ROOM]],Sheet1!$A$47:$A$66,Sheet1!$F$47:$F$66)</f>
        <v>17800000</v>
      </c>
      <c r="O997" s="9">
        <f>_xlfn.XLOOKUP(_xlfn.CONCAT(Table1[[#This Row], [TEAM]],Table1[[#This Row], [ROOM]]),'ROOM TIME'!$H$2:$H$121,'ROOM TIME'!$J$2:$J$121)</f>
        <v>41.479999999999983</v>
      </c>
      <c r="P997" s="4">
        <f>(INDEX(Sheet1!$X$48:$Z$67,MATCH(Table1[[#This Row], [ROOM]],Sheet1!$P$48:$P$67,0),MATCH(Table1[[#This Row], [WEAPON]],Sheet1!$X$47:$Z$47,0)))/Table1[[#This Row], [NUM OF MEM]]</f>
        <v>5</v>
      </c>
      <c r="Q997" s="9">
        <f>Table1[[#This Row], [ROOM TIME]]+Table1[[#This Row], [GUARD TIME]]</f>
        <v>46.479999999999983</v>
      </c>
      <c r="R997" s="4">
        <f>Sheet1!$K$3*_xlfn.XLOOKUP(Table1[[#This Row], [DISGUISE]],Sheet1!$A$21:$A$23,Sheet1!$D$21:$D$23)</f>
        <v>66</v>
      </c>
      <c r="S997" s="9">
        <f>Table1[[#This Row], [TOTAL TIME]]-Table1[[#This Row], [TOTAL TIME TAKEN]]</f>
        <v>19.520000000000017</v>
      </c>
      <c r="T997" t="str">
        <f>IF(Table1[[#This Row], [TIME DIFFERENCE]]&gt;=0,"PASS","FAIL")</f>
        <v>PASS</v>
      </c>
      <c r="U997" s="9">
        <f>Table1[[#This Row], [TRC]]+Table1[[#This Row], [DRC]]+Table1[[#This Row], [WRC]]+Table1[[#This Row], [ERC]]+Table1[[#This Row], [EQRC]]</f>
        <v>8226992.3999999994</v>
      </c>
      <c r="V997" s="9">
        <f>Table1[[#This Row], [TOTAL COST]]+_xlfn.XLOOKUP(Table1[[#This Row], [TEAM]],Sheet1!$A$12:$A$17,Sheet1!$I$12:$I$17)</f>
        <v>8526429.8999999985</v>
      </c>
      <c r="W997" s="9">
        <f>Table1[[#This Row], [LOOT]]-Table1[[#This Row], [TOTAL COST]]</f>
        <v>9573007.6000000015</v>
      </c>
      <c r="X997" s="9">
        <f>IF(Table1[[#This Row], [PASS/FAIL]]="FAIL",0,Table1[[#This Row], [PROFIT]])</f>
        <v>9573007.6000000015</v>
      </c>
    </row>
    <row r="998" spans="1:24" ht="19.5" customHeight="1" x14ac:dyDescent="0.45">
      <c r="A998" t="s">
        <v>16</v>
      </c>
      <c r="B998" s="14">
        <f>_xlfn.XLOOKUP(Table1[[#This Row], [TEAM]],Sheet1!$A$12:$A$17,Sheet1!$F$12:$F$17)</f>
        <v>2</v>
      </c>
      <c r="C998" s="14">
        <f>_xlfn.XLOOKUP(Table1[[#This Row], [TEAM]],Sheet1!$A$12:$A$17,Sheet1!$G$12:$G$17)</f>
        <v>6082800</v>
      </c>
      <c r="D998" t="s">
        <v>28</v>
      </c>
      <c r="E998" s="4">
        <f>_xlfn.XLOOKUP(Table1[[#This Row], [ROOM]],Sheet1!$A$47:$A$66,Sheet1!$B$47:$B$66)</f>
        <v>156</v>
      </c>
      <c r="F998" t="s">
        <v>58</v>
      </c>
      <c r="G998" s="4">
        <f>_xlfn.XLOOKUP(Table1[[#This Row], [DISGUISE]],Sheet1!$A$21:$A$23,Sheet1!$B$21:$B$23)*Table1[[#This Row], [NUM OF MEM]]*(1+_xlfn.XLOOKUP(Table1[[#This Row], [DISGUISE]],Sheet1!$A$21:$A$23,Sheet1!$C$21:$C$23))</f>
        <v>25600</v>
      </c>
      <c r="H998" s="13" t="s">
        <v>63</v>
      </c>
      <c r="I998" s="4">
        <f>_xlfn.XLOOKUP(Table1[[#This Row], [WEAPON]],Sheet1!$A$27:$A$29,Sheet1!$B$27:$B$29)*Table1[[#This Row], [NUM OF MEM]]*(1+_xlfn.XLOOKUP(Table1[[#This Row], [WEAPON]],Sheet1!$A$27:$A$29,Sheet1!$C$27:$C$29))</f>
        <v>46000</v>
      </c>
      <c r="J998" t="s">
        <v>64</v>
      </c>
      <c r="K998" s="9">
        <f>Table1[[#This Row], [NUM OF MEM]]*Table1[[#This Row], [TOTAL TIME TAKEN]]*_xlfn.XLOOKUP(Table1[[#This Row], [EXIT]],Sheet1!$A$70:$A$71,Sheet1!$B$70:$B$71)*(1+_xlfn.XLOOKUP(Table1[[#This Row], [EXIT]],Sheet1!$A$70:$A$71,Sheet1!$C$70:$C$71))</f>
        <v>1616144.3999999997</v>
      </c>
      <c r="L998" s="13" t="s">
        <v>65</v>
      </c>
      <c r="M998" s="4">
        <f>IF(Table1[[#This Row], [EQUIPMENT]]="YES",Sheet1!$C$44*(1+Sheet1!$D$44),0)</f>
        <v>307500</v>
      </c>
      <c r="N998" s="4">
        <f>_xlfn.XLOOKUP(Table1[[#This Row], [ROOM]],Sheet1!$A$47:$A$66,Sheet1!$F$47:$F$66)</f>
        <v>17650000</v>
      </c>
      <c r="O998" s="9">
        <f>_xlfn.XLOOKUP(_xlfn.CONCAT(Table1[[#This Row], [TEAM]],Table1[[#This Row], [ROOM]]),'ROOM TIME'!$H$2:$H$121,'ROOM TIME'!$J$2:$J$121)</f>
        <v>55.601249999999986</v>
      </c>
      <c r="P998" s="9">
        <f>(INDEX(Sheet1!$X$48:$Z$67,MATCH(Table1[[#This Row], [ROOM]],Sheet1!$P$48:$P$67,0),MATCH(Table1[[#This Row], [WEAPON]],Sheet1!$X$47:$Z$47,0)))/Table1[[#This Row], [NUM OF MEM]]</f>
        <v>6.75</v>
      </c>
      <c r="Q998" s="9">
        <f>Table1[[#This Row], [ROOM TIME]]+Table1[[#This Row], [GUARD TIME]]</f>
        <v>62.351249999999986</v>
      </c>
      <c r="R998" s="4">
        <f>Sheet1!$K$3*_xlfn.XLOOKUP(Table1[[#This Row], [DISGUISE]],Sheet1!$A$21:$A$23,Sheet1!$D$21:$D$23)</f>
        <v>69</v>
      </c>
      <c r="S998" s="9">
        <f>Table1[[#This Row], [TOTAL TIME]]-Table1[[#This Row], [TOTAL TIME TAKEN]]</f>
        <v>6.6487500000000139</v>
      </c>
      <c r="T998" t="str">
        <f>IF(Table1[[#This Row], [TIME DIFFERENCE]]&gt;=0,"PASS","FAIL")</f>
        <v>PASS</v>
      </c>
      <c r="U998" s="9">
        <f>Table1[[#This Row], [TRC]]+Table1[[#This Row], [DRC]]+Table1[[#This Row], [WRC]]+Table1[[#This Row], [ERC]]+Table1[[#This Row], [EQRC]]</f>
        <v>8078044.3999999994</v>
      </c>
      <c r="V998" s="9">
        <f>Table1[[#This Row], [TOTAL COST]]+_xlfn.XLOOKUP(Table1[[#This Row], [TEAM]],Sheet1!$A$12:$A$17,Sheet1!$I$12:$I$17)</f>
        <v>8382184.3999999994</v>
      </c>
      <c r="W998" s="9">
        <f>Table1[[#This Row], [LOOT]]-Table1[[#This Row], [TOTAL COST]]</f>
        <v>9571955.6000000015</v>
      </c>
      <c r="X998" s="9">
        <f>IF(Table1[[#This Row], [PASS/FAIL]]="FAIL",0,Table1[[#This Row], [PROFIT]])</f>
        <v>9571955.6000000015</v>
      </c>
    </row>
    <row r="999" spans="1:24" ht="19.5" customHeight="1" x14ac:dyDescent="0.45">
      <c r="A999" t="s">
        <v>14</v>
      </c>
      <c r="B999" s="14">
        <f>_xlfn.XLOOKUP(Table1[[#This Row], [TEAM]],Sheet1!$A$12:$A$17,Sheet1!$F$12:$F$17)</f>
        <v>2</v>
      </c>
      <c r="C999" s="14">
        <f>_xlfn.XLOOKUP(Table1[[#This Row], [TEAM]],Sheet1!$A$12:$A$17,Sheet1!$G$12:$G$17)</f>
        <v>5949600</v>
      </c>
      <c r="D999" t="s">
        <v>25</v>
      </c>
      <c r="E999" s="4">
        <f>_xlfn.XLOOKUP(Table1[[#This Row], [ROOM]],Sheet1!$A$47:$A$66,Sheet1!$B$47:$B$66)</f>
        <v>126</v>
      </c>
      <c r="F999" t="s">
        <v>58</v>
      </c>
      <c r="G999" s="4">
        <f>_xlfn.XLOOKUP(Table1[[#This Row], [DISGUISE]],Sheet1!$A$21:$A$23,Sheet1!$B$21:$B$23)*Table1[[#This Row], [NUM OF MEM]]*(1+_xlfn.XLOOKUP(Table1[[#This Row], [DISGUISE]],Sheet1!$A$21:$A$23,Sheet1!$C$21:$C$23))</f>
        <v>25600</v>
      </c>
      <c r="H999" s="13" t="s">
        <v>63</v>
      </c>
      <c r="I999" s="4">
        <f>_xlfn.XLOOKUP(Table1[[#This Row], [WEAPON]],Sheet1!$A$27:$A$29,Sheet1!$B$27:$B$29)*Table1[[#This Row], [NUM OF MEM]]*(1+_xlfn.XLOOKUP(Table1[[#This Row], [WEAPON]],Sheet1!$A$27:$A$29,Sheet1!$C$27:$C$29))</f>
        <v>46000</v>
      </c>
      <c r="J999" t="s">
        <v>60</v>
      </c>
      <c r="K999" s="9">
        <f>Table1[[#This Row], [NUM OF MEM]]*Table1[[#This Row], [TOTAL TIME TAKEN]]*_xlfn.XLOOKUP(Table1[[#This Row], [EXIT]],Sheet1!$A$70:$A$71,Sheet1!$B$70:$B$71)*(1+_xlfn.XLOOKUP(Table1[[#This Row], [EXIT]],Sheet1!$A$70:$A$71,Sheet1!$C$70:$C$71))</f>
        <v>1649553.7124999999</v>
      </c>
      <c r="L999" s="13" t="s">
        <v>65</v>
      </c>
      <c r="M999" s="4">
        <f>IF(Table1[[#This Row], [EQUIPMENT]]="YES",Sheet1!$C$44*(1+Sheet1!$D$44),0)</f>
        <v>307500</v>
      </c>
      <c r="N999" s="4">
        <f>_xlfn.XLOOKUP(Table1[[#This Row], [ROOM]],Sheet1!$A$47:$A$66,Sheet1!$F$47:$F$66)</f>
        <v>17550000</v>
      </c>
      <c r="O999" s="9">
        <f>_xlfn.XLOOKUP(_xlfn.CONCAT(Table1[[#This Row], [TEAM]],Table1[[#This Row], [ROOM]]),'ROOM TIME'!$H$2:$H$121,'ROOM TIME'!$J$2:$J$121)</f>
        <v>56.847499999999989</v>
      </c>
      <c r="P999" s="9">
        <f>(INDEX(Sheet1!$X$48:$Z$67,MATCH(Table1[[#This Row], [ROOM]],Sheet1!$P$48:$P$67,0),MATCH(Table1[[#This Row], [WEAPON]],Sheet1!$X$47:$Z$47,0)))/Table1[[#This Row], [NUM OF MEM]]</f>
        <v>7.4250000000000007</v>
      </c>
      <c r="Q999" s="9">
        <f>Table1[[#This Row], [ROOM TIME]]+Table1[[#This Row], [GUARD TIME]]</f>
        <v>64.272499999999994</v>
      </c>
      <c r="R999" s="4">
        <f>Sheet1!$K$3*_xlfn.XLOOKUP(Table1[[#This Row], [DISGUISE]],Sheet1!$A$21:$A$23,Sheet1!$D$21:$D$23)</f>
        <v>69</v>
      </c>
      <c r="S999" s="9">
        <f>Table1[[#This Row], [TOTAL TIME]]-Table1[[#This Row], [TOTAL TIME TAKEN]]</f>
        <v>4.7275000000000063</v>
      </c>
      <c r="T999" t="str">
        <f>IF(Table1[[#This Row], [TIME DIFFERENCE]]&gt;=0,"PASS","FAIL")</f>
        <v>PASS</v>
      </c>
      <c r="U999" s="9">
        <f>Table1[[#This Row], [TRC]]+Table1[[#This Row], [DRC]]+Table1[[#This Row], [WRC]]+Table1[[#This Row], [ERC]]+Table1[[#This Row], [EQRC]]</f>
        <v>7978253.7125000004</v>
      </c>
      <c r="V999" s="9">
        <f>Table1[[#This Row], [TOTAL COST]]+_xlfn.XLOOKUP(Table1[[#This Row], [TEAM]],Sheet1!$A$12:$A$17,Sheet1!$I$12:$I$17)</f>
        <v>8275733.7125000004</v>
      </c>
      <c r="W999" s="9">
        <f>Table1[[#This Row], [LOOT]]-Table1[[#This Row], [TOTAL COST]]</f>
        <v>9571746.2874999996</v>
      </c>
      <c r="X999" s="9">
        <f>IF(Table1[[#This Row], [PASS/FAIL]]="FAIL",0,Table1[[#This Row], [PROFIT]])</f>
        <v>9571746.2874999996</v>
      </c>
    </row>
    <row r="1000" spans="1:24" ht="19.5" customHeight="1" x14ac:dyDescent="0.45">
      <c r="A1000" t="s">
        <v>14</v>
      </c>
      <c r="B1000" s="14">
        <f>_xlfn.XLOOKUP(Table1[[#This Row], [TEAM]],Sheet1!$A$12:$A$17,Sheet1!$F$12:$F$17)</f>
        <v>2</v>
      </c>
      <c r="C1000" s="14">
        <f>_xlfn.XLOOKUP(Table1[[#This Row], [TEAM]],Sheet1!$A$12:$A$17,Sheet1!$G$12:$G$17)</f>
        <v>5949600</v>
      </c>
      <c r="D1000" t="s">
        <v>25</v>
      </c>
      <c r="E1000" s="4">
        <f>_xlfn.XLOOKUP(Table1[[#This Row], [ROOM]],Sheet1!$A$47:$A$66,Sheet1!$B$47:$B$66)</f>
        <v>126</v>
      </c>
      <c r="F1000" t="s">
        <v>62</v>
      </c>
      <c r="G1000" s="4">
        <f>_xlfn.XLOOKUP(Table1[[#This Row], [DISGUISE]],Sheet1!$A$21:$A$23,Sheet1!$B$21:$B$23)*Table1[[#This Row], [NUM OF MEM]]*(1+_xlfn.XLOOKUP(Table1[[#This Row], [DISGUISE]],Sheet1!$A$21:$A$23,Sheet1!$C$21:$C$23))</f>
        <v>10400</v>
      </c>
      <c r="H1000" s="13" t="s">
        <v>63</v>
      </c>
      <c r="I1000" s="4">
        <f>_xlfn.XLOOKUP(Table1[[#This Row], [WEAPON]],Sheet1!$A$27:$A$29,Sheet1!$B$27:$B$29)*Table1[[#This Row], [NUM OF MEM]]*(1+_xlfn.XLOOKUP(Table1[[#This Row], [WEAPON]],Sheet1!$A$27:$A$29,Sheet1!$C$27:$C$29))</f>
        <v>46000</v>
      </c>
      <c r="J1000" t="s">
        <v>64</v>
      </c>
      <c r="K1000" s="9">
        <f>Table1[[#This Row], [NUM OF MEM]]*Table1[[#This Row], [TOTAL TIME TAKEN]]*_xlfn.XLOOKUP(Table1[[#This Row], [EXIT]],Sheet1!$A$70:$A$71,Sheet1!$B$70:$B$71)*(1+_xlfn.XLOOKUP(Table1[[#This Row], [EXIT]],Sheet1!$A$70:$A$71,Sheet1!$C$70:$C$71))</f>
        <v>1665943.1999999997</v>
      </c>
      <c r="L1000" s="13" t="s">
        <v>65</v>
      </c>
      <c r="M1000" s="4">
        <f>IF(Table1[[#This Row], [EQUIPMENT]]="YES",Sheet1!$C$44*(1+Sheet1!$D$44),0)</f>
        <v>307500</v>
      </c>
      <c r="N1000" s="4">
        <f>_xlfn.XLOOKUP(Table1[[#This Row], [ROOM]],Sheet1!$A$47:$A$66,Sheet1!$F$47:$F$66)</f>
        <v>17550000</v>
      </c>
      <c r="O1000" s="9">
        <f>_xlfn.XLOOKUP(_xlfn.CONCAT(Table1[[#This Row], [TEAM]],Table1[[#This Row], [ROOM]]),'ROOM TIME'!$H$2:$H$121,'ROOM TIME'!$J$2:$J$121)</f>
        <v>56.847499999999989</v>
      </c>
      <c r="P1000" s="9">
        <f>(INDEX(Sheet1!$X$48:$Z$67,MATCH(Table1[[#This Row], [ROOM]],Sheet1!$P$48:$P$67,0),MATCH(Table1[[#This Row], [WEAPON]],Sheet1!$X$47:$Z$47,0)))/Table1[[#This Row], [NUM OF MEM]]</f>
        <v>7.4250000000000007</v>
      </c>
      <c r="Q1000" s="9">
        <f>Table1[[#This Row], [ROOM TIME]]+Table1[[#This Row], [GUARD TIME]]</f>
        <v>64.272499999999994</v>
      </c>
      <c r="R1000" s="4">
        <f>Sheet1!$K$3*_xlfn.XLOOKUP(Table1[[#This Row], [DISGUISE]],Sheet1!$A$21:$A$23,Sheet1!$D$21:$D$23)</f>
        <v>66</v>
      </c>
      <c r="S1000" s="9">
        <f>Table1[[#This Row], [TOTAL TIME]]-Table1[[#This Row], [TOTAL TIME TAKEN]]</f>
        <v>1.7275000000000063</v>
      </c>
      <c r="T1000" t="str">
        <f>IF(Table1[[#This Row], [TIME DIFFERENCE]]&gt;=0,"PASS","FAIL")</f>
        <v>PASS</v>
      </c>
      <c r="U1000" s="9">
        <f>Table1[[#This Row], [TRC]]+Table1[[#This Row], [DRC]]+Table1[[#This Row], [WRC]]+Table1[[#This Row], [ERC]]+Table1[[#This Row], [EQRC]]</f>
        <v>7979443.1999999993</v>
      </c>
      <c r="V1000" s="9">
        <f>Table1[[#This Row], [TOTAL COST]]+_xlfn.XLOOKUP(Table1[[#This Row], [TEAM]],Sheet1!$A$12:$A$17,Sheet1!$I$12:$I$17)</f>
        <v>8276923.1999999993</v>
      </c>
      <c r="W1000" s="9">
        <f>Table1[[#This Row], [LOOT]]-Table1[[#This Row], [TOTAL COST]]</f>
        <v>9570556.8000000007</v>
      </c>
      <c r="X1000" s="9">
        <f>IF(Table1[[#This Row], [PASS/FAIL]]="FAIL",0,Table1[[#This Row], [PROFIT]])</f>
        <v>9570556.8000000007</v>
      </c>
    </row>
    <row r="1001" spans="1:24" ht="19.5" customHeight="1" x14ac:dyDescent="0.45">
      <c r="A1001" t="s">
        <v>14</v>
      </c>
      <c r="B1001" s="14">
        <f>_xlfn.XLOOKUP(Table1[[#This Row], [TEAM]],Sheet1!$A$12:$A$17,Sheet1!$F$12:$F$17)</f>
        <v>2</v>
      </c>
      <c r="C1001" s="14">
        <f>_xlfn.XLOOKUP(Table1[[#This Row], [TEAM]],Sheet1!$A$12:$A$17,Sheet1!$G$12:$G$17)</f>
        <v>5949600</v>
      </c>
      <c r="D1001" t="s">
        <v>25</v>
      </c>
      <c r="E1001" s="4">
        <f>_xlfn.XLOOKUP(Table1[[#This Row], [ROOM]],Sheet1!$A$47:$A$66,Sheet1!$B$47:$B$66)</f>
        <v>126</v>
      </c>
      <c r="F1001" t="s">
        <v>62</v>
      </c>
      <c r="G1001" s="4">
        <f>_xlfn.XLOOKUP(Table1[[#This Row], [DISGUISE]],Sheet1!$A$21:$A$23,Sheet1!$B$21:$B$23)*Table1[[#This Row], [NUM OF MEM]]*(1+_xlfn.XLOOKUP(Table1[[#This Row], [DISGUISE]],Sheet1!$A$21:$A$23,Sheet1!$C$21:$C$23))</f>
        <v>10400</v>
      </c>
      <c r="H1001" s="13" t="s">
        <v>59</v>
      </c>
      <c r="I1001" s="4">
        <f>_xlfn.XLOOKUP(Table1[[#This Row], [WEAPON]],Sheet1!$A$27:$A$29,Sheet1!$B$27:$B$29)*Table1[[#This Row], [NUM OF MEM]]*(1+_xlfn.XLOOKUP(Table1[[#This Row], [WEAPON]],Sheet1!$A$27:$A$29,Sheet1!$C$27:$C$29))</f>
        <v>91000</v>
      </c>
      <c r="J1001" t="s">
        <v>60</v>
      </c>
      <c r="K1001" s="9">
        <f>Table1[[#This Row], [NUM OF MEM]]*Table1[[#This Row], [TOTAL TIME TAKEN]]*_xlfn.XLOOKUP(Table1[[#This Row], [EXIT]],Sheet1!$A$70:$A$71,Sheet1!$B$70:$B$71)*(1+_xlfn.XLOOKUP(Table1[[#This Row], [EXIT]],Sheet1!$A$70:$A$71,Sheet1!$C$70:$C$71))</f>
        <v>1621322.2124999997</v>
      </c>
      <c r="L1001" s="13" t="s">
        <v>65</v>
      </c>
      <c r="M1001" s="4">
        <f>IF(Table1[[#This Row], [EQUIPMENT]]="YES",Sheet1!$C$44*(1+Sheet1!$D$44),0)</f>
        <v>307500</v>
      </c>
      <c r="N1001" s="4">
        <f>_xlfn.XLOOKUP(Table1[[#This Row], [ROOM]],Sheet1!$A$47:$A$66,Sheet1!$F$47:$F$66)</f>
        <v>17550000</v>
      </c>
      <c r="O1001" s="9">
        <f>_xlfn.XLOOKUP(_xlfn.CONCAT(Table1[[#This Row], [TEAM]],Table1[[#This Row], [ROOM]]),'ROOM TIME'!$H$2:$H$121,'ROOM TIME'!$J$2:$J$121)</f>
        <v>56.847499999999989</v>
      </c>
      <c r="P1001" s="9">
        <f>(INDEX(Sheet1!$X$48:$Z$67,MATCH(Table1[[#This Row], [ROOM]],Sheet1!$P$48:$P$67,0),MATCH(Table1[[#This Row], [WEAPON]],Sheet1!$X$47:$Z$47,0)))/Table1[[#This Row], [NUM OF MEM]]</f>
        <v>6.3249999999999993</v>
      </c>
      <c r="Q1001" s="9">
        <f>Table1[[#This Row], [ROOM TIME]]+Table1[[#This Row], [GUARD TIME]]</f>
        <v>63.172499999999985</v>
      </c>
      <c r="R1001" s="4">
        <f>Sheet1!$K$3*_xlfn.XLOOKUP(Table1[[#This Row], [DISGUISE]],Sheet1!$A$21:$A$23,Sheet1!$D$21:$D$23)</f>
        <v>66</v>
      </c>
      <c r="S1001" s="9">
        <f>Table1[[#This Row], [TOTAL TIME]]-Table1[[#This Row], [TOTAL TIME TAKEN]]</f>
        <v>2.8275000000000148</v>
      </c>
      <c r="T1001" t="str">
        <f>IF(Table1[[#This Row], [TIME DIFFERENCE]]&gt;=0,"PASS","FAIL")</f>
        <v>PASS</v>
      </c>
      <c r="U1001" s="9">
        <f>Table1[[#This Row], [TRC]]+Table1[[#This Row], [DRC]]+Table1[[#This Row], [WRC]]+Table1[[#This Row], [ERC]]+Table1[[#This Row], [EQRC]]</f>
        <v>7979822.2124999994</v>
      </c>
      <c r="V1001" s="9">
        <f>Table1[[#This Row], [TOTAL COST]]+_xlfn.XLOOKUP(Table1[[#This Row], [TEAM]],Sheet1!$A$12:$A$17,Sheet1!$I$12:$I$17)</f>
        <v>8277302.2124999994</v>
      </c>
      <c r="W1001" s="9">
        <f>Table1[[#This Row], [LOOT]]-Table1[[#This Row], [TOTAL COST]]</f>
        <v>9570177.7875000015</v>
      </c>
      <c r="X1001" s="9">
        <f>IF(Table1[[#This Row], [PASS/FAIL]]="FAIL",0,Table1[[#This Row], [PROFIT]])</f>
        <v>9570177.7875000015</v>
      </c>
    </row>
    <row r="1002" spans="1:24" ht="19.5" customHeight="1" x14ac:dyDescent="0.45">
      <c r="A1002" t="s">
        <v>15</v>
      </c>
      <c r="B1002" s="14">
        <f>_xlfn.XLOOKUP(Table1[[#This Row], [TEAM]],Sheet1!$A$12:$A$17,Sheet1!$F$12:$F$17)</f>
        <v>2</v>
      </c>
      <c r="C1002" s="14">
        <f>_xlfn.XLOOKUP(Table1[[#This Row], [TEAM]],Sheet1!$A$12:$A$17,Sheet1!$G$12:$G$17)</f>
        <v>5932950</v>
      </c>
      <c r="D1002" t="s">
        <v>31</v>
      </c>
      <c r="E1002" s="4">
        <f>_xlfn.XLOOKUP(Table1[[#This Row], [ROOM]],Sheet1!$A$47:$A$66,Sheet1!$B$47:$B$66)</f>
        <v>256</v>
      </c>
      <c r="F1002" t="s">
        <v>62</v>
      </c>
      <c r="G1002" s="4">
        <f>_xlfn.XLOOKUP(Table1[[#This Row], [DISGUISE]],Sheet1!$A$21:$A$23,Sheet1!$B$21:$B$23)*Table1[[#This Row], [NUM OF MEM]]*(1+_xlfn.XLOOKUP(Table1[[#This Row], [DISGUISE]],Sheet1!$A$21:$A$23,Sheet1!$C$21:$C$23))</f>
        <v>10400</v>
      </c>
      <c r="H1002" s="13" t="s">
        <v>63</v>
      </c>
      <c r="I1002" s="4">
        <f>_xlfn.XLOOKUP(Table1[[#This Row], [WEAPON]],Sheet1!$A$27:$A$29,Sheet1!$B$27:$B$29)*Table1[[#This Row], [NUM OF MEM]]*(1+_xlfn.XLOOKUP(Table1[[#This Row], [WEAPON]],Sheet1!$A$27:$A$29,Sheet1!$C$27:$C$29))</f>
        <v>46000</v>
      </c>
      <c r="J1002" t="s">
        <v>60</v>
      </c>
      <c r="K1002" s="9">
        <f>Table1[[#This Row], [NUM OF MEM]]*Table1[[#This Row], [TOTAL TIME TAKEN]]*_xlfn.XLOOKUP(Table1[[#This Row], [EXIT]],Sheet1!$A$70:$A$71,Sheet1!$B$70:$B$71)*(1+_xlfn.XLOOKUP(Table1[[#This Row], [EXIT]],Sheet1!$A$70:$A$71,Sheet1!$C$70:$C$71))</f>
        <v>1633063.9499999997</v>
      </c>
      <c r="L1002" s="13" t="s">
        <v>65</v>
      </c>
      <c r="M1002" s="4">
        <f>IF(Table1[[#This Row], [EQUIPMENT]]="YES",Sheet1!$C$44*(1+Sheet1!$D$44),0)</f>
        <v>307500</v>
      </c>
      <c r="N1002" s="4">
        <f>_xlfn.XLOOKUP(Table1[[#This Row], [ROOM]],Sheet1!$A$47:$A$66,Sheet1!$F$47:$F$66)</f>
        <v>17500000</v>
      </c>
      <c r="O1002" s="9">
        <f>_xlfn.XLOOKUP(_xlfn.CONCAT(Table1[[#This Row], [TEAM]],Table1[[#This Row], [ROOM]]),'ROOM TIME'!$H$2:$H$121,'ROOM TIME'!$J$2:$J$121)</f>
        <v>56.204999999999984</v>
      </c>
      <c r="P1002" s="9">
        <f>(INDEX(Sheet1!$X$48:$Z$67,MATCH(Table1[[#This Row], [ROOM]],Sheet1!$P$48:$P$67,0),MATCH(Table1[[#This Row], [WEAPON]],Sheet1!$X$47:$Z$47,0)))/Table1[[#This Row], [NUM OF MEM]]</f>
        <v>7.4250000000000007</v>
      </c>
      <c r="Q1002" s="9">
        <f>Table1[[#This Row], [ROOM TIME]]+Table1[[#This Row], [GUARD TIME]]</f>
        <v>63.629999999999981</v>
      </c>
      <c r="R1002" s="4">
        <f>Sheet1!$K$3*_xlfn.XLOOKUP(Table1[[#This Row], [DISGUISE]],Sheet1!$A$21:$A$23,Sheet1!$D$21:$D$23)</f>
        <v>66</v>
      </c>
      <c r="S1002" s="9">
        <f>Table1[[#This Row], [TOTAL TIME]]-Table1[[#This Row], [TOTAL TIME TAKEN]]</f>
        <v>2.3700000000000188</v>
      </c>
      <c r="T1002" t="str">
        <f>IF(Table1[[#This Row], [TIME DIFFERENCE]]&gt;=0,"PASS","FAIL")</f>
        <v>PASS</v>
      </c>
      <c r="U1002" s="9">
        <f>Table1[[#This Row], [TRC]]+Table1[[#This Row], [DRC]]+Table1[[#This Row], [WRC]]+Table1[[#This Row], [ERC]]+Table1[[#This Row], [EQRC]]</f>
        <v>7929913.9499999993</v>
      </c>
      <c r="V1002" s="9">
        <f>Table1[[#This Row], [TOTAL COST]]+_xlfn.XLOOKUP(Table1[[#This Row], [TEAM]],Sheet1!$A$12:$A$17,Sheet1!$I$12:$I$17)</f>
        <v>8226561.4499999993</v>
      </c>
      <c r="W1002" s="9">
        <f>Table1[[#This Row], [LOOT]]-Table1[[#This Row], [TOTAL COST]]</f>
        <v>9570086.0500000007</v>
      </c>
      <c r="X1002" s="9">
        <f>IF(Table1[[#This Row], [PASS/FAIL]]="FAIL",0,Table1[[#This Row], [PROFIT]])</f>
        <v>9570086.0500000007</v>
      </c>
    </row>
    <row r="1003" spans="1:24" ht="19.5" customHeight="1" x14ac:dyDescent="0.45">
      <c r="A1003" t="s">
        <v>13</v>
      </c>
      <c r="B1003" s="14">
        <f>_xlfn.XLOOKUP(Table1[[#This Row], [TEAM]],Sheet1!$A$12:$A$17,Sheet1!$F$12:$F$17)</f>
        <v>3</v>
      </c>
      <c r="C1003" s="14">
        <f>_xlfn.XLOOKUP(Table1[[#This Row], [TEAM]],Sheet1!$A$12:$A$17,Sheet1!$G$12:$G$17)</f>
        <v>5930000</v>
      </c>
      <c r="D1003" t="s">
        <v>22</v>
      </c>
      <c r="E1003" s="4">
        <f>_xlfn.XLOOKUP(Table1[[#This Row], [ROOM]],Sheet1!$A$47:$A$66,Sheet1!$B$47:$B$66)</f>
        <v>235</v>
      </c>
      <c r="F1003" t="s">
        <v>62</v>
      </c>
      <c r="G10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003" s="13" t="s">
        <v>59</v>
      </c>
      <c r="I1003" s="4">
        <f>_xlfn.XLOOKUP(Table1[[#This Row], [WEAPON]],Sheet1!$A$27:$A$29,Sheet1!$B$27:$B$29)*Table1[[#This Row], [NUM OF MEM]]*(1+_xlfn.XLOOKUP(Table1[[#This Row], [WEAPON]],Sheet1!$A$27:$A$29,Sheet1!$C$27:$C$29))</f>
        <v>136500</v>
      </c>
      <c r="J1003" t="s">
        <v>60</v>
      </c>
      <c r="K1003" s="9">
        <f>Table1[[#This Row], [NUM OF MEM]]*Table1[[#This Row], [TOTAL TIME TAKEN]]*_xlfn.XLOOKUP(Table1[[#This Row], [EXIT]],Sheet1!$A$70:$A$71,Sheet1!$B$70:$B$71)*(1+_xlfn.XLOOKUP(Table1[[#This Row], [EXIT]],Sheet1!$A$70:$A$71,Sheet1!$C$70:$C$71))</f>
        <v>1840629.6375</v>
      </c>
      <c r="L1003" s="13" t="s">
        <v>65</v>
      </c>
      <c r="M1003" s="4">
        <f>IF(Table1[[#This Row], [EQUIPMENT]]="YES",Sheet1!$C$44*(1+Sheet1!$D$44),0)</f>
        <v>307500</v>
      </c>
      <c r="N1003" s="4">
        <f>_xlfn.XLOOKUP(Table1[[#This Row], [ROOM]],Sheet1!$A$47:$A$66,Sheet1!$F$47:$F$66)</f>
        <v>17800000</v>
      </c>
      <c r="O1003" s="9">
        <f>_xlfn.XLOOKUP(_xlfn.CONCAT(Table1[[#This Row], [TEAM]],Table1[[#This Row], [ROOM]]),'ROOM TIME'!$H$2:$H$121,'ROOM TIME'!$J$2:$J$121)</f>
        <v>43.211666666666666</v>
      </c>
      <c r="P1003" s="9">
        <f>(INDEX(Sheet1!$X$48:$Z$67,MATCH(Table1[[#This Row], [ROOM]],Sheet1!$P$48:$P$67,0),MATCH(Table1[[#This Row], [WEAPON]],Sheet1!$X$47:$Z$47,0)))/Table1[[#This Row], [NUM OF MEM]]</f>
        <v>4.5999999999999996</v>
      </c>
      <c r="Q1003" s="9">
        <f>Table1[[#This Row], [ROOM TIME]]+Table1[[#This Row], [GUARD TIME]]</f>
        <v>47.811666666666667</v>
      </c>
      <c r="R1003" s="4">
        <f>Sheet1!$K$3*_xlfn.XLOOKUP(Table1[[#This Row], [DISGUISE]],Sheet1!$A$21:$A$23,Sheet1!$D$21:$D$23)</f>
        <v>66</v>
      </c>
      <c r="S1003" s="9">
        <f>Table1[[#This Row], [TOTAL TIME]]-Table1[[#This Row], [TOTAL TIME TAKEN]]</f>
        <v>18.188333333333333</v>
      </c>
      <c r="T1003" t="str">
        <f>IF(Table1[[#This Row], [TIME DIFFERENCE]]&gt;=0,"PASS","FAIL")</f>
        <v>PASS</v>
      </c>
      <c r="U1003" s="9">
        <f>Table1[[#This Row], [TRC]]+Table1[[#This Row], [DRC]]+Table1[[#This Row], [WRC]]+Table1[[#This Row], [ERC]]+Table1[[#This Row], [EQRC]]</f>
        <v>8230229.6375000002</v>
      </c>
      <c r="V1003" s="9">
        <f>Table1[[#This Row], [TOTAL COST]]+_xlfn.XLOOKUP(Table1[[#This Row], [TEAM]],Sheet1!$A$12:$A$17,Sheet1!$I$12:$I$17)</f>
        <v>8526729.6374999993</v>
      </c>
      <c r="W1003" s="9">
        <f>Table1[[#This Row], [LOOT]]-Table1[[#This Row], [TOTAL COST]]</f>
        <v>9569770.3625000007</v>
      </c>
      <c r="X1003" s="9">
        <f>IF(Table1[[#This Row], [PASS/FAIL]]="FAIL",0,Table1[[#This Row], [PROFIT]])</f>
        <v>9569770.3625000007</v>
      </c>
    </row>
    <row r="1004" spans="1:24" ht="19.5" customHeight="1" x14ac:dyDescent="0.45">
      <c r="A1004" t="s">
        <v>14</v>
      </c>
      <c r="B1004" s="14">
        <f>_xlfn.XLOOKUP(Table1[[#This Row], [TEAM]],Sheet1!$A$12:$A$17,Sheet1!$F$12:$F$17)</f>
        <v>2</v>
      </c>
      <c r="C1004" s="14">
        <f>_xlfn.XLOOKUP(Table1[[#This Row], [TEAM]],Sheet1!$A$12:$A$17,Sheet1!$G$12:$G$17)</f>
        <v>5949600</v>
      </c>
      <c r="D1004" t="s">
        <v>17</v>
      </c>
      <c r="E1004" s="4">
        <f>_xlfn.XLOOKUP(Table1[[#This Row], [ROOM]],Sheet1!$A$47:$A$66,Sheet1!$B$47:$B$66)</f>
        <v>125</v>
      </c>
      <c r="F1004" t="s">
        <v>58</v>
      </c>
      <c r="G1004" s="4">
        <f>_xlfn.XLOOKUP(Table1[[#This Row], [DISGUISE]],Sheet1!$A$21:$A$23,Sheet1!$B$21:$B$23)*Table1[[#This Row], [NUM OF MEM]]*(1+_xlfn.XLOOKUP(Table1[[#This Row], [DISGUISE]],Sheet1!$A$21:$A$23,Sheet1!$C$21:$C$23))</f>
        <v>25600</v>
      </c>
      <c r="H1004" s="13" t="s">
        <v>66</v>
      </c>
      <c r="I1004" s="4">
        <f>_xlfn.XLOOKUP(Table1[[#This Row], [WEAPON]],Sheet1!$A$27:$A$29,Sheet1!$B$27:$B$29)*Table1[[#This Row], [NUM OF MEM]]*(1+_xlfn.XLOOKUP(Table1[[#This Row], [WEAPON]],Sheet1!$A$27:$A$29,Sheet1!$C$27:$C$29))</f>
        <v>72000</v>
      </c>
      <c r="J1004" t="s">
        <v>64</v>
      </c>
      <c r="K1004" s="9">
        <f>Table1[[#This Row], [NUM OF MEM]]*Table1[[#This Row], [TOTAL TIME TAKEN]]*_xlfn.XLOOKUP(Table1[[#This Row], [EXIT]],Sheet1!$A$70:$A$71,Sheet1!$B$70:$B$71)*(1+_xlfn.XLOOKUP(Table1[[#This Row], [EXIT]],Sheet1!$A$70:$A$71,Sheet1!$C$70:$C$71))</f>
        <v>1734112.7999999996</v>
      </c>
      <c r="L1004" s="13" t="s">
        <v>61</v>
      </c>
      <c r="M1004" s="4">
        <f>IF(Table1[[#This Row], [EQUIPMENT]]="YES",Sheet1!$C$44*(1+Sheet1!$D$44),0)</f>
        <v>0</v>
      </c>
      <c r="N1004" s="4">
        <f>_xlfn.XLOOKUP(Table1[[#This Row], [ROOM]],Sheet1!$A$47:$A$66,Sheet1!$F$47:$F$66)</f>
        <v>17350000</v>
      </c>
      <c r="O1004" s="9">
        <f>_xlfn.XLOOKUP(_xlfn.CONCAT(Table1[[#This Row], [TEAM]],Table1[[#This Row], [ROOM]]),'ROOM TIME'!$H$2:$H$121,'ROOM TIME'!$J$2:$J$121)</f>
        <v>60.652499999999989</v>
      </c>
      <c r="P1004" s="9">
        <f>(INDEX(Sheet1!$X$48:$Z$67,MATCH(Table1[[#This Row], [ROOM]],Sheet1!$P$48:$P$67,0),MATCH(Table1[[#This Row], [WEAPON]],Sheet1!$X$47:$Z$47,0)))/Table1[[#This Row], [NUM OF MEM]]</f>
        <v>6.25</v>
      </c>
      <c r="Q1004" s="9">
        <f>Table1[[#This Row], [ROOM TIME]]+Table1[[#This Row], [GUARD TIME]]</f>
        <v>66.902499999999989</v>
      </c>
      <c r="R1004" s="4">
        <f>Sheet1!$K$3*_xlfn.XLOOKUP(Table1[[#This Row], [DISGUISE]],Sheet1!$A$21:$A$23,Sheet1!$D$21:$D$23)</f>
        <v>69</v>
      </c>
      <c r="S1004" s="9">
        <f>Table1[[#This Row], [TOTAL TIME]]-Table1[[#This Row], [TOTAL TIME TAKEN]]</f>
        <v>2.0975000000000108</v>
      </c>
      <c r="T1004" t="str">
        <f>IF(Table1[[#This Row], [TIME DIFFERENCE]]&gt;=0,"PASS","FAIL")</f>
        <v>PASS</v>
      </c>
      <c r="U1004" s="9">
        <f>Table1[[#This Row], [TRC]]+Table1[[#This Row], [DRC]]+Table1[[#This Row], [WRC]]+Table1[[#This Row], [ERC]]+Table1[[#This Row], [EQRC]]</f>
        <v>7781312.7999999998</v>
      </c>
      <c r="V1004" s="9">
        <f>Table1[[#This Row], [TOTAL COST]]+_xlfn.XLOOKUP(Table1[[#This Row], [TEAM]],Sheet1!$A$12:$A$17,Sheet1!$I$12:$I$17)</f>
        <v>8078792.7999999998</v>
      </c>
      <c r="W1004" s="9">
        <f>Table1[[#This Row], [LOOT]]-Table1[[#This Row], [TOTAL COST]]</f>
        <v>9568687.1999999993</v>
      </c>
      <c r="X1004" s="9">
        <f>IF(Table1[[#This Row], [PASS/FAIL]]="FAIL",0,Table1[[#This Row], [PROFIT]])</f>
        <v>9568687.1999999993</v>
      </c>
    </row>
    <row r="1005" spans="1:24" ht="19.5" customHeight="1" x14ac:dyDescent="0.45">
      <c r="A1005" t="s">
        <v>12</v>
      </c>
      <c r="B1005" s="14">
        <f>_xlfn.XLOOKUP(Table1[[#This Row], [TEAM]],Sheet1!$A$12:$A$17,Sheet1!$F$12:$F$17)</f>
        <v>3</v>
      </c>
      <c r="C1005" s="14">
        <f>_xlfn.XLOOKUP(Table1[[#This Row], [TEAM]],Sheet1!$A$12:$A$17,Sheet1!$G$12:$G$17)</f>
        <v>5988750</v>
      </c>
      <c r="D1005" t="s">
        <v>11</v>
      </c>
      <c r="E1005" s="4">
        <f>_xlfn.XLOOKUP(Table1[[#This Row], [ROOM]],Sheet1!$A$47:$A$66,Sheet1!$B$47:$B$66)</f>
        <v>124</v>
      </c>
      <c r="F1005" t="s">
        <v>58</v>
      </c>
      <c r="G1005" s="4">
        <f>_xlfn.XLOOKUP(Table1[[#This Row], [DISGUISE]],Sheet1!$A$21:$A$23,Sheet1!$B$21:$B$23)*Table1[[#This Row], [NUM OF MEM]]*(1+_xlfn.XLOOKUP(Table1[[#This Row], [DISGUISE]],Sheet1!$A$21:$A$23,Sheet1!$C$21:$C$23))</f>
        <v>38400</v>
      </c>
      <c r="H1005" s="13" t="s">
        <v>59</v>
      </c>
      <c r="I1005" s="4">
        <f>_xlfn.XLOOKUP(Table1[[#This Row], [WEAPON]],Sheet1!$A$27:$A$29,Sheet1!$B$27:$B$29)*Table1[[#This Row], [NUM OF MEM]]*(1+_xlfn.XLOOKUP(Table1[[#This Row], [WEAPON]],Sheet1!$A$27:$A$29,Sheet1!$C$27:$C$29))</f>
        <v>136500</v>
      </c>
      <c r="J1005" t="s">
        <v>60</v>
      </c>
      <c r="K1005" s="9">
        <f>Table1[[#This Row], [NUM OF MEM]]*Table1[[#This Row], [TOTAL TIME TAKEN]]*_xlfn.XLOOKUP(Table1[[#This Row], [EXIT]],Sheet1!$A$70:$A$71,Sheet1!$B$70:$B$71)*(1+_xlfn.XLOOKUP(Table1[[#This Row], [EXIT]],Sheet1!$A$70:$A$71,Sheet1!$C$70:$C$71))</f>
        <v>1717672.8999999997</v>
      </c>
      <c r="L1005" s="13" t="s">
        <v>61</v>
      </c>
      <c r="M1005" s="4">
        <f>IF(Table1[[#This Row], [EQUIPMENT]]="YES",Sheet1!$C$44*(1+Sheet1!$D$44),0)</f>
        <v>0</v>
      </c>
      <c r="N1005" s="4">
        <f>_xlfn.XLOOKUP(Table1[[#This Row], [ROOM]],Sheet1!$A$47:$A$66,Sheet1!$F$47:$F$66)</f>
        <v>17450000</v>
      </c>
      <c r="O1005" s="9">
        <f>_xlfn.XLOOKUP(_xlfn.CONCAT(Table1[[#This Row], [TEAM]],Table1[[#This Row], [ROOM]]),'ROOM TIME'!$H$2:$H$121,'ROOM TIME'!$J$2:$J$121)</f>
        <v>40.401111111111099</v>
      </c>
      <c r="P1005" s="9">
        <f>(INDEX(Sheet1!$X$48:$Z$67,MATCH(Table1[[#This Row], [ROOM]],Sheet1!$P$48:$P$67,0),MATCH(Table1[[#This Row], [WEAPON]],Sheet1!$X$47:$Z$47,0)))/Table1[[#This Row], [NUM OF MEM]]</f>
        <v>4.2166666666666659</v>
      </c>
      <c r="Q1005" s="9">
        <f>Table1[[#This Row], [ROOM TIME]]+Table1[[#This Row], [GUARD TIME]]</f>
        <v>44.617777777777768</v>
      </c>
      <c r="R1005" s="4">
        <f>Sheet1!$K$3*_xlfn.XLOOKUP(Table1[[#This Row], [DISGUISE]],Sheet1!$A$21:$A$23,Sheet1!$D$21:$D$23)</f>
        <v>69</v>
      </c>
      <c r="S1005" s="9">
        <f>Table1[[#This Row], [TOTAL TIME]]-Table1[[#This Row], [TOTAL TIME TAKEN]]</f>
        <v>24.382222222222232</v>
      </c>
      <c r="T1005" t="str">
        <f>IF(Table1[[#This Row], [TIME DIFFERENCE]]&gt;=0,"PASS","FAIL")</f>
        <v>PASS</v>
      </c>
      <c r="U1005" s="9">
        <f>Table1[[#This Row], [TRC]]+Table1[[#This Row], [DRC]]+Table1[[#This Row], [WRC]]+Table1[[#This Row], [ERC]]+Table1[[#This Row], [EQRC]]</f>
        <v>7881322.8999999994</v>
      </c>
      <c r="V1005" s="9">
        <f>Table1[[#This Row], [TOTAL COST]]+_xlfn.XLOOKUP(Table1[[#This Row], [TEAM]],Sheet1!$A$12:$A$17,Sheet1!$I$12:$I$17)</f>
        <v>8180760.3999999994</v>
      </c>
      <c r="W1005" s="9">
        <f>Table1[[#This Row], [LOOT]]-Table1[[#This Row], [TOTAL COST]]</f>
        <v>9568677.1000000015</v>
      </c>
      <c r="X1005" s="9">
        <f>IF(Table1[[#This Row], [PASS/FAIL]]="FAIL",0,Table1[[#This Row], [PROFIT]])</f>
        <v>9568677.1000000015</v>
      </c>
    </row>
    <row r="1006" spans="1:24" ht="19.5" customHeight="1" x14ac:dyDescent="0.45">
      <c r="A1006" t="s">
        <v>13</v>
      </c>
      <c r="B1006" s="14">
        <f>_xlfn.XLOOKUP(Table1[[#This Row], [TEAM]],Sheet1!$A$12:$A$17,Sheet1!$F$12:$F$17)</f>
        <v>3</v>
      </c>
      <c r="C1006" s="14">
        <f>_xlfn.XLOOKUP(Table1[[#This Row], [TEAM]],Sheet1!$A$12:$A$17,Sheet1!$G$12:$G$17)</f>
        <v>5930000</v>
      </c>
      <c r="D1006" t="s">
        <v>11</v>
      </c>
      <c r="E1006" s="4">
        <f>_xlfn.XLOOKUP(Table1[[#This Row], [ROOM]],Sheet1!$A$47:$A$66,Sheet1!$B$47:$B$66)</f>
        <v>124</v>
      </c>
      <c r="F1006" t="s">
        <v>62</v>
      </c>
      <c r="G1006" s="4">
        <f>_xlfn.XLOOKUP(Table1[[#This Row], [DISGUISE]],Sheet1!$A$21:$A$23,Sheet1!$B$21:$B$23)*Table1[[#This Row], [NUM OF MEM]]*(1+_xlfn.XLOOKUP(Table1[[#This Row], [DISGUISE]],Sheet1!$A$21:$A$23,Sheet1!$C$21:$C$23))</f>
        <v>15600</v>
      </c>
      <c r="H1006" s="13" t="s">
        <v>59</v>
      </c>
      <c r="I1006" s="4">
        <f>_xlfn.XLOOKUP(Table1[[#This Row], [WEAPON]],Sheet1!$A$27:$A$29,Sheet1!$B$27:$B$29)*Table1[[#This Row], [NUM OF MEM]]*(1+_xlfn.XLOOKUP(Table1[[#This Row], [WEAPON]],Sheet1!$A$27:$A$29,Sheet1!$C$27:$C$29))</f>
        <v>136500</v>
      </c>
      <c r="J1006" t="s">
        <v>60</v>
      </c>
      <c r="K1006" s="9">
        <f>Table1[[#This Row], [NUM OF MEM]]*Table1[[#This Row], [TOTAL TIME TAKEN]]*_xlfn.XLOOKUP(Table1[[#This Row], [EXIT]],Sheet1!$A$70:$A$71,Sheet1!$B$70:$B$71)*(1+_xlfn.XLOOKUP(Table1[[#This Row], [EXIT]],Sheet1!$A$70:$A$71,Sheet1!$C$70:$C$71))</f>
        <v>1799287.5999999996</v>
      </c>
      <c r="L1006" s="13" t="s">
        <v>61</v>
      </c>
      <c r="M1006" s="4">
        <f>IF(Table1[[#This Row], [EQUIPMENT]]="YES",Sheet1!$C$44*(1+Sheet1!$D$44),0)</f>
        <v>0</v>
      </c>
      <c r="N1006" s="4">
        <f>_xlfn.XLOOKUP(Table1[[#This Row], [ROOM]],Sheet1!$A$47:$A$66,Sheet1!$F$47:$F$66)</f>
        <v>17450000</v>
      </c>
      <c r="O1006" s="9">
        <f>_xlfn.XLOOKUP(_xlfn.CONCAT(Table1[[#This Row], [TEAM]],Table1[[#This Row], [ROOM]]),'ROOM TIME'!$H$2:$H$121,'ROOM TIME'!$J$2:$J$121)</f>
        <v>42.521111111111104</v>
      </c>
      <c r="P1006" s="9">
        <f>(INDEX(Sheet1!$X$48:$Z$67,MATCH(Table1[[#This Row], [ROOM]],Sheet1!$P$48:$P$67,0),MATCH(Table1[[#This Row], [WEAPON]],Sheet1!$X$47:$Z$47,0)))/Table1[[#This Row], [NUM OF MEM]]</f>
        <v>4.2166666666666659</v>
      </c>
      <c r="Q1006" s="9">
        <f>Table1[[#This Row], [ROOM TIME]]+Table1[[#This Row], [GUARD TIME]]</f>
        <v>46.737777777777772</v>
      </c>
      <c r="R1006" s="4">
        <f>Sheet1!$K$3*_xlfn.XLOOKUP(Table1[[#This Row], [DISGUISE]],Sheet1!$A$21:$A$23,Sheet1!$D$21:$D$23)</f>
        <v>66</v>
      </c>
      <c r="S1006" s="9">
        <f>Table1[[#This Row], [TOTAL TIME]]-Table1[[#This Row], [TOTAL TIME TAKEN]]</f>
        <v>19.262222222222228</v>
      </c>
      <c r="T1006" t="str">
        <f>IF(Table1[[#This Row], [TIME DIFFERENCE]]&gt;=0,"PASS","FAIL")</f>
        <v>PASS</v>
      </c>
      <c r="U1006" s="9">
        <f>Table1[[#This Row], [TRC]]+Table1[[#This Row], [DRC]]+Table1[[#This Row], [WRC]]+Table1[[#This Row], [ERC]]+Table1[[#This Row], [EQRC]]</f>
        <v>7881387.5999999996</v>
      </c>
      <c r="V1006" s="9">
        <f>Table1[[#This Row], [TOTAL COST]]+_xlfn.XLOOKUP(Table1[[#This Row], [TEAM]],Sheet1!$A$12:$A$17,Sheet1!$I$12:$I$17)</f>
        <v>8177887.5999999996</v>
      </c>
      <c r="W1006" s="9">
        <f>Table1[[#This Row], [LOOT]]-Table1[[#This Row], [TOTAL COST]]</f>
        <v>9568612.4000000004</v>
      </c>
      <c r="X1006" s="9">
        <f>IF(Table1[[#This Row], [PASS/FAIL]]="FAIL",0,Table1[[#This Row], [PROFIT]])</f>
        <v>9568612.4000000004</v>
      </c>
    </row>
    <row r="1007" spans="1:24" ht="19.5" customHeight="1" x14ac:dyDescent="0.45">
      <c r="A1007" t="s">
        <v>16</v>
      </c>
      <c r="B1007" s="14">
        <f>_xlfn.XLOOKUP(Table1[[#This Row], [TEAM]],Sheet1!$A$12:$A$17,Sheet1!$F$12:$F$17)</f>
        <v>2</v>
      </c>
      <c r="C1007" s="14">
        <f>_xlfn.XLOOKUP(Table1[[#This Row], [TEAM]],Sheet1!$A$12:$A$17,Sheet1!$G$12:$G$17)</f>
        <v>6082800</v>
      </c>
      <c r="D1007" t="s">
        <v>28</v>
      </c>
      <c r="E1007" s="4">
        <f>_xlfn.XLOOKUP(Table1[[#This Row], [ROOM]],Sheet1!$A$47:$A$66,Sheet1!$B$47:$B$66)</f>
        <v>156</v>
      </c>
      <c r="F1007" t="s">
        <v>58</v>
      </c>
      <c r="G1007" s="4">
        <f>_xlfn.XLOOKUP(Table1[[#This Row], [DISGUISE]],Sheet1!$A$21:$A$23,Sheet1!$B$21:$B$23)*Table1[[#This Row], [NUM OF MEM]]*(1+_xlfn.XLOOKUP(Table1[[#This Row], [DISGUISE]],Sheet1!$A$21:$A$23,Sheet1!$C$21:$C$23))</f>
        <v>25600</v>
      </c>
      <c r="H1007" s="13" t="s">
        <v>59</v>
      </c>
      <c r="I1007" s="4">
        <f>_xlfn.XLOOKUP(Table1[[#This Row], [WEAPON]],Sheet1!$A$27:$A$29,Sheet1!$B$27:$B$29)*Table1[[#This Row], [NUM OF MEM]]*(1+_xlfn.XLOOKUP(Table1[[#This Row], [WEAPON]],Sheet1!$A$27:$A$29,Sheet1!$C$27:$C$29))</f>
        <v>91000</v>
      </c>
      <c r="J1007" t="s">
        <v>60</v>
      </c>
      <c r="K1007" s="9">
        <f>Table1[[#This Row], [NUM OF MEM]]*Table1[[#This Row], [TOTAL TIME TAKEN]]*_xlfn.XLOOKUP(Table1[[#This Row], [EXIT]],Sheet1!$A$70:$A$71,Sheet1!$B$70:$B$71)*(1+_xlfn.XLOOKUP(Table1[[#This Row], [EXIT]],Sheet1!$A$70:$A$71,Sheet1!$C$70:$C$71))</f>
        <v>1574579.8312499996</v>
      </c>
      <c r="L1007" s="13" t="s">
        <v>65</v>
      </c>
      <c r="M1007" s="4">
        <f>IF(Table1[[#This Row], [EQUIPMENT]]="YES",Sheet1!$C$44*(1+Sheet1!$D$44),0)</f>
        <v>307500</v>
      </c>
      <c r="N1007" s="4">
        <f>_xlfn.XLOOKUP(Table1[[#This Row], [ROOM]],Sheet1!$A$47:$A$66,Sheet1!$F$47:$F$66)</f>
        <v>17650000</v>
      </c>
      <c r="O1007" s="9">
        <f>_xlfn.XLOOKUP(_xlfn.CONCAT(Table1[[#This Row], [TEAM]],Table1[[#This Row], [ROOM]]),'ROOM TIME'!$H$2:$H$121,'ROOM TIME'!$J$2:$J$121)</f>
        <v>55.601249999999986</v>
      </c>
      <c r="P1007" s="9">
        <f>(INDEX(Sheet1!$X$48:$Z$67,MATCH(Table1[[#This Row], [ROOM]],Sheet1!$P$48:$P$67,0),MATCH(Table1[[#This Row], [WEAPON]],Sheet1!$X$47:$Z$47,0)))/Table1[[#This Row], [NUM OF MEM]]</f>
        <v>5.75</v>
      </c>
      <c r="Q1007" s="9">
        <f>Table1[[#This Row], [ROOM TIME]]+Table1[[#This Row], [GUARD TIME]]</f>
        <v>61.351249999999986</v>
      </c>
      <c r="R1007" s="4">
        <f>Sheet1!$K$3*_xlfn.XLOOKUP(Table1[[#This Row], [DISGUISE]],Sheet1!$A$21:$A$23,Sheet1!$D$21:$D$23)</f>
        <v>69</v>
      </c>
      <c r="S1007" s="9">
        <f>Table1[[#This Row], [TOTAL TIME]]-Table1[[#This Row], [TOTAL TIME TAKEN]]</f>
        <v>7.6487500000000139</v>
      </c>
      <c r="T1007" t="str">
        <f>IF(Table1[[#This Row], [TIME DIFFERENCE]]&gt;=0,"PASS","FAIL")</f>
        <v>PASS</v>
      </c>
      <c r="U1007" s="9">
        <f>Table1[[#This Row], [TRC]]+Table1[[#This Row], [DRC]]+Table1[[#This Row], [WRC]]+Table1[[#This Row], [ERC]]+Table1[[#This Row], [EQRC]]</f>
        <v>8081479.8312499998</v>
      </c>
      <c r="V1007" s="9">
        <f>Table1[[#This Row], [TOTAL COST]]+_xlfn.XLOOKUP(Table1[[#This Row], [TEAM]],Sheet1!$A$12:$A$17,Sheet1!$I$12:$I$17)</f>
        <v>8385619.8312499998</v>
      </c>
      <c r="W1007" s="9">
        <f>Table1[[#This Row], [LOOT]]-Table1[[#This Row], [TOTAL COST]]</f>
        <v>9568520.1687499993</v>
      </c>
      <c r="X1007" s="9">
        <f>IF(Table1[[#This Row], [PASS/FAIL]]="FAIL",0,Table1[[#This Row], [PROFIT]])</f>
        <v>9568520.1687499993</v>
      </c>
    </row>
    <row r="1008" spans="1:24" ht="19.5" customHeight="1" x14ac:dyDescent="0.45">
      <c r="A1008" t="s">
        <v>12</v>
      </c>
      <c r="B1008" s="14">
        <f>_xlfn.XLOOKUP(Table1[[#This Row], [TEAM]],Sheet1!$A$12:$A$17,Sheet1!$F$12:$F$17)</f>
        <v>3</v>
      </c>
      <c r="C1008" s="14">
        <f>_xlfn.XLOOKUP(Table1[[#This Row], [TEAM]],Sheet1!$A$12:$A$17,Sheet1!$G$12:$G$17)</f>
        <v>5988750</v>
      </c>
      <c r="D1008" t="s">
        <v>10</v>
      </c>
      <c r="E1008" s="4">
        <f>_xlfn.XLOOKUP(Table1[[#This Row], [ROOM]],Sheet1!$A$47:$A$66,Sheet1!$B$47:$B$66)</f>
        <v>123</v>
      </c>
      <c r="F1008" t="s">
        <v>58</v>
      </c>
      <c r="G1008" s="4">
        <f>_xlfn.XLOOKUP(Table1[[#This Row], [DISGUISE]],Sheet1!$A$21:$A$23,Sheet1!$B$21:$B$23)*Table1[[#This Row], [NUM OF MEM]]*(1+_xlfn.XLOOKUP(Table1[[#This Row], [DISGUISE]],Sheet1!$A$21:$A$23,Sheet1!$C$21:$C$23))</f>
        <v>38400</v>
      </c>
      <c r="H1008" s="13" t="s">
        <v>59</v>
      </c>
      <c r="I1008" s="4">
        <f>_xlfn.XLOOKUP(Table1[[#This Row], [WEAPON]],Sheet1!$A$27:$A$29,Sheet1!$B$27:$B$29)*Table1[[#This Row], [NUM OF MEM]]*(1+_xlfn.XLOOKUP(Table1[[#This Row], [WEAPON]],Sheet1!$A$27:$A$29,Sheet1!$C$27:$C$29))</f>
        <v>136500</v>
      </c>
      <c r="J1008" t="s">
        <v>64</v>
      </c>
      <c r="K1008" s="9">
        <f>Table1[[#This Row], [NUM OF MEM]]*Table1[[#This Row], [TOTAL TIME TAKEN]]*_xlfn.XLOOKUP(Table1[[#This Row], [EXIT]],Sheet1!$A$70:$A$71,Sheet1!$B$70:$B$71)*(1+_xlfn.XLOOKUP(Table1[[#This Row], [EXIT]],Sheet1!$A$70:$A$71,Sheet1!$C$70:$C$71))</f>
        <v>1810555.1999999995</v>
      </c>
      <c r="L1008" s="13" t="s">
        <v>65</v>
      </c>
      <c r="M1008" s="4">
        <f>IF(Table1[[#This Row], [EQUIPMENT]]="YES",Sheet1!$C$44*(1+Sheet1!$D$44),0)</f>
        <v>307500</v>
      </c>
      <c r="N1008" s="4">
        <f>_xlfn.XLOOKUP(Table1[[#This Row], [ROOM]],Sheet1!$A$47:$A$66,Sheet1!$F$47:$F$66)</f>
        <v>17850000</v>
      </c>
      <c r="O1008" s="9">
        <f>_xlfn.XLOOKUP(_xlfn.CONCAT(Table1[[#This Row], [TEAM]],Table1[[#This Row], [ROOM]]),'ROOM TIME'!$H$2:$H$121,'ROOM TIME'!$J$2:$J$121)</f>
        <v>41.967777777777762</v>
      </c>
      <c r="P1008" s="9">
        <f>(INDEX(Sheet1!$X$48:$Z$67,MATCH(Table1[[#This Row], [ROOM]],Sheet1!$P$48:$P$67,0),MATCH(Table1[[#This Row], [WEAPON]],Sheet1!$X$47:$Z$47,0)))/Table1[[#This Row], [NUM OF MEM]]</f>
        <v>4.5999999999999996</v>
      </c>
      <c r="Q1008" s="9">
        <f>Table1[[#This Row], [ROOM TIME]]+Table1[[#This Row], [GUARD TIME]]</f>
        <v>46.567777777777764</v>
      </c>
      <c r="R1008" s="4">
        <f>Sheet1!$K$3*_xlfn.XLOOKUP(Table1[[#This Row], [DISGUISE]],Sheet1!$A$21:$A$23,Sheet1!$D$21:$D$23)</f>
        <v>69</v>
      </c>
      <c r="S1008" s="9">
        <f>Table1[[#This Row], [TOTAL TIME]]-Table1[[#This Row], [TOTAL TIME TAKEN]]</f>
        <v>22.432222222222236</v>
      </c>
      <c r="T1008" t="str">
        <f>IF(Table1[[#This Row], [TIME DIFFERENCE]]&gt;=0,"PASS","FAIL")</f>
        <v>PASS</v>
      </c>
      <c r="U1008" s="9">
        <f>Table1[[#This Row], [TRC]]+Table1[[#This Row], [DRC]]+Table1[[#This Row], [WRC]]+Table1[[#This Row], [ERC]]+Table1[[#This Row], [EQRC]]</f>
        <v>8281705.1999999993</v>
      </c>
      <c r="V1008" s="9">
        <f>Table1[[#This Row], [TOTAL COST]]+_xlfn.XLOOKUP(Table1[[#This Row], [TEAM]],Sheet1!$A$12:$A$17,Sheet1!$I$12:$I$17)</f>
        <v>8581142.6999999993</v>
      </c>
      <c r="W1008" s="9">
        <f>Table1[[#This Row], [LOOT]]-Table1[[#This Row], [TOTAL COST]]</f>
        <v>9568294.8000000007</v>
      </c>
      <c r="X1008" s="9">
        <f>IF(Table1[[#This Row], [PASS/FAIL]]="FAIL",0,Table1[[#This Row], [PROFIT]])</f>
        <v>9568294.8000000007</v>
      </c>
    </row>
    <row r="1009" spans="1:24" ht="19.5" customHeight="1" x14ac:dyDescent="0.45">
      <c r="A1009" t="s">
        <v>16</v>
      </c>
      <c r="B1009" s="14">
        <f>_xlfn.XLOOKUP(Table1[[#This Row], [TEAM]],Sheet1!$A$12:$A$17,Sheet1!$F$12:$F$17)</f>
        <v>2</v>
      </c>
      <c r="C1009" s="14">
        <f>_xlfn.XLOOKUP(Table1[[#This Row], [TEAM]],Sheet1!$A$12:$A$17,Sheet1!$G$12:$G$17)</f>
        <v>6082800</v>
      </c>
      <c r="D1009" t="s">
        <v>28</v>
      </c>
      <c r="E1009" s="4">
        <f>_xlfn.XLOOKUP(Table1[[#This Row], [ROOM]],Sheet1!$A$47:$A$66,Sheet1!$B$47:$B$66)</f>
        <v>156</v>
      </c>
      <c r="F1009" t="s">
        <v>62</v>
      </c>
      <c r="G1009" s="4">
        <f>_xlfn.XLOOKUP(Table1[[#This Row], [DISGUISE]],Sheet1!$A$21:$A$23,Sheet1!$B$21:$B$23)*Table1[[#This Row], [NUM OF MEM]]*(1+_xlfn.XLOOKUP(Table1[[#This Row], [DISGUISE]],Sheet1!$A$21:$A$23,Sheet1!$C$21:$C$23))</f>
        <v>10400</v>
      </c>
      <c r="H1009" s="13" t="s">
        <v>59</v>
      </c>
      <c r="I1009" s="4">
        <f>_xlfn.XLOOKUP(Table1[[#This Row], [WEAPON]],Sheet1!$A$27:$A$29,Sheet1!$B$27:$B$29)*Table1[[#This Row], [NUM OF MEM]]*(1+_xlfn.XLOOKUP(Table1[[#This Row], [WEAPON]],Sheet1!$A$27:$A$29,Sheet1!$C$27:$C$29))</f>
        <v>91000</v>
      </c>
      <c r="J1009" t="s">
        <v>64</v>
      </c>
      <c r="K1009" s="9">
        <f>Table1[[#This Row], [NUM OF MEM]]*Table1[[#This Row], [TOTAL TIME TAKEN]]*_xlfn.XLOOKUP(Table1[[#This Row], [EXIT]],Sheet1!$A$70:$A$71,Sheet1!$B$70:$B$71)*(1+_xlfn.XLOOKUP(Table1[[#This Row], [EXIT]],Sheet1!$A$70:$A$71,Sheet1!$C$70:$C$71))</f>
        <v>1590224.3999999997</v>
      </c>
      <c r="L1009" s="13" t="s">
        <v>65</v>
      </c>
      <c r="M1009" s="4">
        <f>IF(Table1[[#This Row], [EQUIPMENT]]="YES",Sheet1!$C$44*(1+Sheet1!$D$44),0)</f>
        <v>307500</v>
      </c>
      <c r="N1009" s="4">
        <f>_xlfn.XLOOKUP(Table1[[#This Row], [ROOM]],Sheet1!$A$47:$A$66,Sheet1!$F$47:$F$66)</f>
        <v>17650000</v>
      </c>
      <c r="O1009" s="9">
        <f>_xlfn.XLOOKUP(_xlfn.CONCAT(Table1[[#This Row], [TEAM]],Table1[[#This Row], [ROOM]]),'ROOM TIME'!$H$2:$H$121,'ROOM TIME'!$J$2:$J$121)</f>
        <v>55.601249999999986</v>
      </c>
      <c r="P1009" s="9">
        <f>(INDEX(Sheet1!$X$48:$Z$67,MATCH(Table1[[#This Row], [ROOM]],Sheet1!$P$48:$P$67,0),MATCH(Table1[[#This Row], [WEAPON]],Sheet1!$X$47:$Z$47,0)))/Table1[[#This Row], [NUM OF MEM]]</f>
        <v>5.75</v>
      </c>
      <c r="Q1009" s="9">
        <f>Table1[[#This Row], [ROOM TIME]]+Table1[[#This Row], [GUARD TIME]]</f>
        <v>61.351249999999986</v>
      </c>
      <c r="R1009" s="4">
        <f>Sheet1!$K$3*_xlfn.XLOOKUP(Table1[[#This Row], [DISGUISE]],Sheet1!$A$21:$A$23,Sheet1!$D$21:$D$23)</f>
        <v>66</v>
      </c>
      <c r="S1009" s="9">
        <f>Table1[[#This Row], [TOTAL TIME]]-Table1[[#This Row], [TOTAL TIME TAKEN]]</f>
        <v>4.6487500000000139</v>
      </c>
      <c r="T1009" t="str">
        <f>IF(Table1[[#This Row], [TIME DIFFERENCE]]&gt;=0,"PASS","FAIL")</f>
        <v>PASS</v>
      </c>
      <c r="U1009" s="9">
        <f>Table1[[#This Row], [TRC]]+Table1[[#This Row], [DRC]]+Table1[[#This Row], [WRC]]+Table1[[#This Row], [ERC]]+Table1[[#This Row], [EQRC]]</f>
        <v>8081924.3999999994</v>
      </c>
      <c r="V1009" s="9">
        <f>Table1[[#This Row], [TOTAL COST]]+_xlfn.XLOOKUP(Table1[[#This Row], [TEAM]],Sheet1!$A$12:$A$17,Sheet1!$I$12:$I$17)</f>
        <v>8386064.3999999994</v>
      </c>
      <c r="W1009" s="9">
        <f>Table1[[#This Row], [LOOT]]-Table1[[#This Row], [TOTAL COST]]</f>
        <v>9568075.6000000015</v>
      </c>
      <c r="X1009" s="9">
        <f>IF(Table1[[#This Row], [PASS/FAIL]]="FAIL",0,Table1[[#This Row], [PROFIT]])</f>
        <v>9568075.6000000015</v>
      </c>
    </row>
    <row r="1010" spans="1:24" ht="19.5" customHeight="1" x14ac:dyDescent="0.45">
      <c r="A1010" t="s">
        <v>12</v>
      </c>
      <c r="B1010" s="14">
        <f>_xlfn.XLOOKUP(Table1[[#This Row], [TEAM]],Sheet1!$A$12:$A$17,Sheet1!$F$12:$F$17)</f>
        <v>3</v>
      </c>
      <c r="C1010" s="14">
        <f>_xlfn.XLOOKUP(Table1[[#This Row], [TEAM]],Sheet1!$A$12:$A$17,Sheet1!$G$12:$G$17)</f>
        <v>5988750</v>
      </c>
      <c r="D1010" t="s">
        <v>22</v>
      </c>
      <c r="E1010" s="4">
        <f>_xlfn.XLOOKUP(Table1[[#This Row], [ROOM]],Sheet1!$A$47:$A$66,Sheet1!$B$47:$B$66)</f>
        <v>235</v>
      </c>
      <c r="F1010" t="s">
        <v>58</v>
      </c>
      <c r="G1010" s="4">
        <f>_xlfn.XLOOKUP(Table1[[#This Row], [DISGUISE]],Sheet1!$A$21:$A$23,Sheet1!$B$21:$B$23)*Table1[[#This Row], [NUM OF MEM]]*(1+_xlfn.XLOOKUP(Table1[[#This Row], [DISGUISE]],Sheet1!$A$21:$A$23,Sheet1!$C$21:$C$23))</f>
        <v>38400</v>
      </c>
      <c r="H1010" s="13" t="s">
        <v>66</v>
      </c>
      <c r="I1010" s="4">
        <f>_xlfn.XLOOKUP(Table1[[#This Row], [WEAPON]],Sheet1!$A$27:$A$29,Sheet1!$B$27:$B$29)*Table1[[#This Row], [NUM OF MEM]]*(1+_xlfn.XLOOKUP(Table1[[#This Row], [WEAPON]],Sheet1!$A$27:$A$29,Sheet1!$C$27:$C$29))</f>
        <v>108000</v>
      </c>
      <c r="J1010" t="s">
        <v>60</v>
      </c>
      <c r="K1010" s="9">
        <f>Table1[[#This Row], [NUM OF MEM]]*Table1[[#This Row], [TOTAL TIME TAKEN]]*_xlfn.XLOOKUP(Table1[[#This Row], [EXIT]],Sheet1!$A$70:$A$71,Sheet1!$B$70:$B$71)*(1+_xlfn.XLOOKUP(Table1[[#This Row], [EXIT]],Sheet1!$A$70:$A$71,Sheet1!$C$70:$C$71))</f>
        <v>1789363.7999999993</v>
      </c>
      <c r="L1010" s="13" t="s">
        <v>65</v>
      </c>
      <c r="M1010" s="4">
        <f>IF(Table1[[#This Row], [EQUIPMENT]]="YES",Sheet1!$C$44*(1+Sheet1!$D$44),0)</f>
        <v>307500</v>
      </c>
      <c r="N1010" s="4">
        <f>_xlfn.XLOOKUP(Table1[[#This Row], [ROOM]],Sheet1!$A$47:$A$66,Sheet1!$F$47:$F$66)</f>
        <v>17800000</v>
      </c>
      <c r="O1010" s="9">
        <f>_xlfn.XLOOKUP(_xlfn.CONCAT(Table1[[#This Row], [TEAM]],Table1[[#This Row], [ROOM]]),'ROOM TIME'!$H$2:$H$121,'ROOM TIME'!$J$2:$J$121)</f>
        <v>41.479999999999983</v>
      </c>
      <c r="P1010" s="4">
        <f>(INDEX(Sheet1!$X$48:$Z$67,MATCH(Table1[[#This Row], [ROOM]],Sheet1!$P$48:$P$67,0),MATCH(Table1[[#This Row], [WEAPON]],Sheet1!$X$47:$Z$47,0)))/Table1[[#This Row], [NUM OF MEM]]</f>
        <v>5</v>
      </c>
      <c r="Q1010" s="9">
        <f>Table1[[#This Row], [ROOM TIME]]+Table1[[#This Row], [GUARD TIME]]</f>
        <v>46.479999999999983</v>
      </c>
      <c r="R1010" s="4">
        <f>Sheet1!$K$3*_xlfn.XLOOKUP(Table1[[#This Row], [DISGUISE]],Sheet1!$A$21:$A$23,Sheet1!$D$21:$D$23)</f>
        <v>69</v>
      </c>
      <c r="S1010" s="9">
        <f>Table1[[#This Row], [TOTAL TIME]]-Table1[[#This Row], [TOTAL TIME TAKEN]]</f>
        <v>22.520000000000017</v>
      </c>
      <c r="T1010" t="str">
        <f>IF(Table1[[#This Row], [TIME DIFFERENCE]]&gt;=0,"PASS","FAIL")</f>
        <v>PASS</v>
      </c>
      <c r="U1010" s="9">
        <f>Table1[[#This Row], [TRC]]+Table1[[#This Row], [DRC]]+Table1[[#This Row], [WRC]]+Table1[[#This Row], [ERC]]+Table1[[#This Row], [EQRC]]</f>
        <v>8232013.7999999989</v>
      </c>
      <c r="V1010" s="9">
        <f>Table1[[#This Row], [TOTAL COST]]+_xlfn.XLOOKUP(Table1[[#This Row], [TEAM]],Sheet1!$A$12:$A$17,Sheet1!$I$12:$I$17)</f>
        <v>8531451.2999999989</v>
      </c>
      <c r="W1010" s="9">
        <f>Table1[[#This Row], [LOOT]]-Table1[[#This Row], [TOTAL COST]]</f>
        <v>9567986.2000000011</v>
      </c>
      <c r="X1010" s="9">
        <f>IF(Table1[[#This Row], [PASS/FAIL]]="FAIL",0,Table1[[#This Row], [PROFIT]])</f>
        <v>9567986.2000000011</v>
      </c>
    </row>
    <row r="1011" spans="1:24" ht="19.5" customHeight="1" x14ac:dyDescent="0.45">
      <c r="A1011" t="s">
        <v>13</v>
      </c>
      <c r="B1011" s="14">
        <f>_xlfn.XLOOKUP(Table1[[#This Row], [TEAM]],Sheet1!$A$12:$A$17,Sheet1!$F$12:$F$17)</f>
        <v>3</v>
      </c>
      <c r="C1011" s="14">
        <f>_xlfn.XLOOKUP(Table1[[#This Row], [TEAM]],Sheet1!$A$12:$A$17,Sheet1!$G$12:$G$17)</f>
        <v>5930000</v>
      </c>
      <c r="D1011" t="s">
        <v>11</v>
      </c>
      <c r="E1011" s="4">
        <f>_xlfn.XLOOKUP(Table1[[#This Row], [ROOM]],Sheet1!$A$47:$A$66,Sheet1!$B$47:$B$66)</f>
        <v>124</v>
      </c>
      <c r="F1011" t="s">
        <v>58</v>
      </c>
      <c r="G101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11" s="13" t="s">
        <v>63</v>
      </c>
      <c r="I1011" s="4">
        <f>_xlfn.XLOOKUP(Table1[[#This Row], [WEAPON]],Sheet1!$A$27:$A$29,Sheet1!$B$27:$B$29)*Table1[[#This Row], [NUM OF MEM]]*(1+_xlfn.XLOOKUP(Table1[[#This Row], [WEAPON]],Sheet1!$A$27:$A$29,Sheet1!$C$27:$C$29))</f>
        <v>69000</v>
      </c>
      <c r="J1011" t="s">
        <v>64</v>
      </c>
      <c r="K1011" s="9">
        <f>Table1[[#This Row], [NUM OF MEM]]*Table1[[#This Row], [TOTAL TIME TAKEN]]*_xlfn.XLOOKUP(Table1[[#This Row], [EXIT]],Sheet1!$A$70:$A$71,Sheet1!$B$70:$B$71)*(1+_xlfn.XLOOKUP(Table1[[#This Row], [EXIT]],Sheet1!$A$70:$A$71,Sheet1!$C$70:$C$71))</f>
        <v>1845676.8</v>
      </c>
      <c r="L1011" s="13" t="s">
        <v>61</v>
      </c>
      <c r="M1011" s="4">
        <f>IF(Table1[[#This Row], [EQUIPMENT]]="YES",Sheet1!$C$44*(1+Sheet1!$D$44),0)</f>
        <v>0</v>
      </c>
      <c r="N1011" s="4">
        <f>_xlfn.XLOOKUP(Table1[[#This Row], [ROOM]],Sheet1!$A$47:$A$66,Sheet1!$F$47:$F$66)</f>
        <v>17450000</v>
      </c>
      <c r="O1011" s="9">
        <f>_xlfn.XLOOKUP(_xlfn.CONCAT(Table1[[#This Row], [TEAM]],Table1[[#This Row], [ROOM]]),'ROOM TIME'!$H$2:$H$121,'ROOM TIME'!$J$2:$J$121)</f>
        <v>42.521111111111104</v>
      </c>
      <c r="P1011" s="9">
        <f>(INDEX(Sheet1!$X$48:$Z$67,MATCH(Table1[[#This Row], [ROOM]],Sheet1!$P$48:$P$67,0),MATCH(Table1[[#This Row], [WEAPON]],Sheet1!$X$47:$Z$47,0)))/Table1[[#This Row], [NUM OF MEM]]</f>
        <v>4.95</v>
      </c>
      <c r="Q1011" s="9">
        <f>Table1[[#This Row], [ROOM TIME]]+Table1[[#This Row], [GUARD TIME]]</f>
        <v>47.471111111111107</v>
      </c>
      <c r="R1011" s="4">
        <f>Sheet1!$K$3*_xlfn.XLOOKUP(Table1[[#This Row], [DISGUISE]],Sheet1!$A$21:$A$23,Sheet1!$D$21:$D$23)</f>
        <v>69</v>
      </c>
      <c r="S1011" s="9">
        <f>Table1[[#This Row], [TOTAL TIME]]-Table1[[#This Row], [TOTAL TIME TAKEN]]</f>
        <v>21.528888888888893</v>
      </c>
      <c r="T1011" t="str">
        <f>IF(Table1[[#This Row], [TIME DIFFERENCE]]&gt;=0,"PASS","FAIL")</f>
        <v>PASS</v>
      </c>
      <c r="U1011" s="9">
        <f>Table1[[#This Row], [TRC]]+Table1[[#This Row], [DRC]]+Table1[[#This Row], [WRC]]+Table1[[#This Row], [ERC]]+Table1[[#This Row], [EQRC]]</f>
        <v>7883076.7999999998</v>
      </c>
      <c r="V1011" s="9">
        <f>Table1[[#This Row], [TOTAL COST]]+_xlfn.XLOOKUP(Table1[[#This Row], [TEAM]],Sheet1!$A$12:$A$17,Sheet1!$I$12:$I$17)</f>
        <v>8179576.7999999998</v>
      </c>
      <c r="W1011" s="9">
        <f>Table1[[#This Row], [LOOT]]-Table1[[#This Row], [TOTAL COST]]</f>
        <v>9566923.1999999993</v>
      </c>
      <c r="X1011" s="9">
        <f>IF(Table1[[#This Row], [PASS/FAIL]]="FAIL",0,Table1[[#This Row], [PROFIT]])</f>
        <v>9566923.1999999993</v>
      </c>
    </row>
    <row r="1012" spans="1:24" ht="19.5" customHeight="1" x14ac:dyDescent="0.45">
      <c r="A1012" t="s">
        <v>12</v>
      </c>
      <c r="B1012" s="14">
        <f>_xlfn.XLOOKUP(Table1[[#This Row], [TEAM]],Sheet1!$A$12:$A$17,Sheet1!$F$12:$F$17)</f>
        <v>3</v>
      </c>
      <c r="C1012" s="14">
        <f>_xlfn.XLOOKUP(Table1[[#This Row], [TEAM]],Sheet1!$A$12:$A$17,Sheet1!$G$12:$G$17)</f>
        <v>5988750</v>
      </c>
      <c r="D1012" t="s">
        <v>11</v>
      </c>
      <c r="E1012" s="4">
        <f>_xlfn.XLOOKUP(Table1[[#This Row], [ROOM]],Sheet1!$A$47:$A$66,Sheet1!$B$47:$B$66)</f>
        <v>124</v>
      </c>
      <c r="F1012" t="s">
        <v>58</v>
      </c>
      <c r="G101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12" s="13" t="s">
        <v>66</v>
      </c>
      <c r="I1012" s="4">
        <f>_xlfn.XLOOKUP(Table1[[#This Row], [WEAPON]],Sheet1!$A$27:$A$29,Sheet1!$B$27:$B$29)*Table1[[#This Row], [NUM OF MEM]]*(1+_xlfn.XLOOKUP(Table1[[#This Row], [WEAPON]],Sheet1!$A$27:$A$29,Sheet1!$C$27:$C$29))</f>
        <v>108000</v>
      </c>
      <c r="J1012" t="s">
        <v>64</v>
      </c>
      <c r="K1012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1748995.1999999997</v>
      </c>
      <c r="L1012" s="13" t="s">
        <v>61</v>
      </c>
      <c r="M1012" s="4">
        <f>IF(Table1[[#This Row], [EQUIPMENT]]="YES",Sheet1!$C$44*(1+Sheet1!$D$44),0)</f>
        <v>0</v>
      </c>
      <c r="N1012" s="4">
        <f>_xlfn.XLOOKUP(Table1[[#This Row], [ROOM]],Sheet1!$A$47:$A$66,Sheet1!$F$47:$F$66)</f>
        <v>17450000</v>
      </c>
      <c r="O1012" s="9">
        <f>_xlfn.XLOOKUP(_xlfn.CONCAT(Table1[[#This Row], [TEAM]],Table1[[#This Row], [ROOM]]),'ROOM TIME'!$H$2:$H$121,'ROOM TIME'!$J$2:$J$121)</f>
        <v>40.401111111111099</v>
      </c>
      <c r="P1012" s="9">
        <f>(INDEX(Sheet1!$X$48:$Z$67,MATCH(Table1[[#This Row], [ROOM]],Sheet1!$P$48:$P$67,0),MATCH(Table1[[#This Row], [WEAPON]],Sheet1!$X$47:$Z$47,0)))/Table1[[#This Row], [NUM OF MEM]]</f>
        <v>4.583333333333333</v>
      </c>
      <c r="Q1012" s="9">
        <f>Table1[[#This Row], [ROOM TIME]]+Table1[[#This Row], [GUARD TIME]]</f>
        <v>44.984444444444435</v>
      </c>
      <c r="R1012" s="4">
        <f>Sheet1!$K$3*_xlfn.XLOOKUP(Table1[[#This Row], [DISGUISE]],Sheet1!$A$21:$A$23,Sheet1!$D$21:$D$23)</f>
        <v>69</v>
      </c>
      <c r="S1012" s="9">
        <f>Table1[[#This Row], [TOTAL TIME]]-Table1[[#This Row], [TOTAL TIME TAKEN]]</f>
        <v>24.015555555555565</v>
      </c>
      <c r="T1012" t="str">
        <f>IF(Table1[[#This Row], [TIME DIFFERENCE]]&gt;=0,"PASS","FAIL")</f>
        <v>PASS</v>
      </c>
      <c r="U1012" s="9">
        <f>Table1[[#This Row], [TRC]]+Table1[[#This Row], [DRC]]+Table1[[#This Row], [WRC]]+Table1[[#This Row], [ERC]]+Table1[[#This Row], [EQRC]]</f>
        <v>7884145.1999999993</v>
      </c>
      <c r="V1012" s="9">
        <f>Table1[[#This Row], [TOTAL COST]]+_xlfn.XLOOKUP(Table1[[#This Row], [TEAM]],Sheet1!$A$12:$A$17,Sheet1!$I$12:$I$17)</f>
        <v>8183582.6999999993</v>
      </c>
      <c r="W1012" s="9">
        <f>Table1[[#This Row], [LOOT]]-Table1[[#This Row], [TOTAL COST]]</f>
        <v>9565854.8000000007</v>
      </c>
      <c r="X1012" s="9">
        <f>IF(Table1[[#This Row], [PASS/FAIL]]="FAIL",0,Table1[[#This Row], [PROFIT]])</f>
        <v>9565854.8000000007</v>
      </c>
    </row>
    <row r="1013" spans="1:24" ht="19.5" customHeight="1" x14ac:dyDescent="0.45">
      <c r="A1013" t="s">
        <v>15</v>
      </c>
      <c r="B1013" s="14">
        <f>_xlfn.XLOOKUP(Table1[[#This Row], [TEAM]],Sheet1!$A$12:$A$17,Sheet1!$F$12:$F$17)</f>
        <v>2</v>
      </c>
      <c r="C1013" s="14">
        <f>_xlfn.XLOOKUP(Table1[[#This Row], [TEAM]],Sheet1!$A$12:$A$17,Sheet1!$G$12:$G$17)</f>
        <v>5932950</v>
      </c>
      <c r="D1013" t="s">
        <v>25</v>
      </c>
      <c r="E1013" s="4">
        <f>_xlfn.XLOOKUP(Table1[[#This Row], [ROOM]],Sheet1!$A$47:$A$66,Sheet1!$B$47:$B$66)</f>
        <v>126</v>
      </c>
      <c r="F1013" t="s">
        <v>58</v>
      </c>
      <c r="G101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13" s="13" t="s">
        <v>66</v>
      </c>
      <c r="I1013" s="4">
        <f>_xlfn.XLOOKUP(Table1[[#This Row], [WEAPON]],Sheet1!$A$27:$A$29,Sheet1!$B$27:$B$29)*Table1[[#This Row], [NUM OF MEM]]*(1+_xlfn.XLOOKUP(Table1[[#This Row], [WEAPON]],Sheet1!$A$27:$A$29,Sheet1!$C$27:$C$29))</f>
        <v>72000</v>
      </c>
      <c r="J1013" t="s">
        <v>60</v>
      </c>
      <c r="K1013" s="9">
        <f>Table1[[#This Row], [NUM OF MEM]]*Table1[[#This Row], [TOTAL TIME TAKEN]]*_xlfn.XLOOKUP(Table1[[#This Row], [EXIT]],Sheet1!$A$70:$A$71,Sheet1!$B$70:$B$71)*(1+_xlfn.XLOOKUP(Table1[[#This Row], [EXIT]],Sheet1!$A$70:$A$71,Sheet1!$C$70:$C$71))</f>
        <v>1646473.9124999996</v>
      </c>
      <c r="L1013" s="13" t="s">
        <v>65</v>
      </c>
      <c r="M1013" s="4">
        <f>IF(Table1[[#This Row], [EQUIPMENT]]="YES",Sheet1!$C$44*(1+Sheet1!$D$44),0)</f>
        <v>307500</v>
      </c>
      <c r="N1013" s="4">
        <f>_xlfn.XLOOKUP(Table1[[#This Row], [ROOM]],Sheet1!$A$47:$A$66,Sheet1!$F$47:$F$66)</f>
        <v>17550000</v>
      </c>
      <c r="O1013" s="9">
        <f>_xlfn.XLOOKUP(_xlfn.CONCAT(Table1[[#This Row], [TEAM]],Table1[[#This Row], [ROOM]]),'ROOM TIME'!$H$2:$H$121,'ROOM TIME'!$J$2:$J$121)</f>
        <v>57.277499999999989</v>
      </c>
      <c r="P1013" s="9">
        <f>(INDEX(Sheet1!$X$48:$Z$67,MATCH(Table1[[#This Row], [ROOM]],Sheet1!$P$48:$P$67,0),MATCH(Table1[[#This Row], [WEAPON]],Sheet1!$X$47:$Z$47,0)))/Table1[[#This Row], [NUM OF MEM]]</f>
        <v>6.875</v>
      </c>
      <c r="Q1013" s="9">
        <f>Table1[[#This Row], [ROOM TIME]]+Table1[[#This Row], [GUARD TIME]]</f>
        <v>64.152499999999989</v>
      </c>
      <c r="R1013" s="4">
        <f>Sheet1!$K$3*_xlfn.XLOOKUP(Table1[[#This Row], [DISGUISE]],Sheet1!$A$21:$A$23,Sheet1!$D$21:$D$23)</f>
        <v>69</v>
      </c>
      <c r="S1013" s="9">
        <f>Table1[[#This Row], [TOTAL TIME]]-Table1[[#This Row], [TOTAL TIME TAKEN]]</f>
        <v>4.8475000000000108</v>
      </c>
      <c r="T1013" t="str">
        <f>IF(Table1[[#This Row], [TIME DIFFERENCE]]&gt;=0,"PASS","FAIL")</f>
        <v>PASS</v>
      </c>
      <c r="U1013" s="9">
        <f>Table1[[#This Row], [TRC]]+Table1[[#This Row], [DRC]]+Table1[[#This Row], [WRC]]+Table1[[#This Row], [ERC]]+Table1[[#This Row], [EQRC]]</f>
        <v>7984523.9124999996</v>
      </c>
      <c r="V1013" s="9">
        <f>Table1[[#This Row], [TOTAL COST]]+_xlfn.XLOOKUP(Table1[[#This Row], [TEAM]],Sheet1!$A$12:$A$17,Sheet1!$I$12:$I$17)</f>
        <v>8281171.4124999996</v>
      </c>
      <c r="W1013" s="9">
        <f>Table1[[#This Row], [LOOT]]-Table1[[#This Row], [TOTAL COST]]</f>
        <v>9565476.0875000004</v>
      </c>
      <c r="X1013" s="9">
        <f>IF(Table1[[#This Row], [PASS/FAIL]]="FAIL",0,Table1[[#This Row], [PROFIT]])</f>
        <v>9565476.0875000004</v>
      </c>
    </row>
    <row r="1014" spans="1:24" ht="19.5" customHeight="1" x14ac:dyDescent="0.45">
      <c r="A1014" t="s">
        <v>13</v>
      </c>
      <c r="B1014" s="14">
        <f>_xlfn.XLOOKUP(Table1[[#This Row], [TEAM]],Sheet1!$A$12:$A$17,Sheet1!$F$12:$F$17)</f>
        <v>3</v>
      </c>
      <c r="C1014" s="14">
        <f>_xlfn.XLOOKUP(Table1[[#This Row], [TEAM]],Sheet1!$A$12:$A$17,Sheet1!$G$12:$G$17)</f>
        <v>5930000</v>
      </c>
      <c r="D1014" t="s">
        <v>22</v>
      </c>
      <c r="E1014" s="4">
        <f>_xlfn.XLOOKUP(Table1[[#This Row], [ROOM]],Sheet1!$A$47:$A$66,Sheet1!$B$47:$B$66)</f>
        <v>235</v>
      </c>
      <c r="F1014" t="s">
        <v>58</v>
      </c>
      <c r="G1014" s="4">
        <f>_xlfn.XLOOKUP(Table1[[#This Row], [DISGUISE]],Sheet1!$A$21:$A$23,Sheet1!$B$21:$B$23)*Table1[[#This Row], [NUM OF MEM]]*(1+_xlfn.XLOOKUP(Table1[[#This Row], [DISGUISE]],Sheet1!$A$21:$A$23,Sheet1!$C$21:$C$23))</f>
        <v>38400</v>
      </c>
      <c r="H1014" s="13" t="s">
        <v>63</v>
      </c>
      <c r="I1014" s="4">
        <f>_xlfn.XLOOKUP(Table1[[#This Row], [WEAPON]],Sheet1!$A$27:$A$29,Sheet1!$B$27:$B$29)*Table1[[#This Row], [NUM OF MEM]]*(1+_xlfn.XLOOKUP(Table1[[#This Row], [WEAPON]],Sheet1!$A$27:$A$29,Sheet1!$C$27:$C$29))</f>
        <v>69000</v>
      </c>
      <c r="J1014" t="s">
        <v>64</v>
      </c>
      <c r="K1014" s="9">
        <f>Table1[[#This Row], [NUM OF MEM]]*Table1[[#This Row], [TOTAL TIME TAKEN]]*_xlfn.XLOOKUP(Table1[[#This Row], [EXIT]],Sheet1!$A$70:$A$71,Sheet1!$B$70:$B$71)*(1+_xlfn.XLOOKUP(Table1[[#This Row], [EXIT]],Sheet1!$A$70:$A$71,Sheet1!$C$70:$C$71))</f>
        <v>1890021.5999999996</v>
      </c>
      <c r="L1014" s="13" t="s">
        <v>65</v>
      </c>
      <c r="M1014" s="4">
        <f>IF(Table1[[#This Row], [EQUIPMENT]]="YES",Sheet1!$C$44*(1+Sheet1!$D$44),0)</f>
        <v>307500</v>
      </c>
      <c r="N1014" s="4">
        <f>_xlfn.XLOOKUP(Table1[[#This Row], [ROOM]],Sheet1!$A$47:$A$66,Sheet1!$F$47:$F$66)</f>
        <v>17800000</v>
      </c>
      <c r="O1014" s="9">
        <f>_xlfn.XLOOKUP(_xlfn.CONCAT(Table1[[#This Row], [TEAM]],Table1[[#This Row], [ROOM]]),'ROOM TIME'!$H$2:$H$121,'ROOM TIME'!$J$2:$J$121)</f>
        <v>43.211666666666666</v>
      </c>
      <c r="P1014" s="9">
        <f>(INDEX(Sheet1!$X$48:$Z$67,MATCH(Table1[[#This Row], [ROOM]],Sheet1!$P$48:$P$67,0),MATCH(Table1[[#This Row], [WEAPON]],Sheet1!$X$47:$Z$47,0)))/Table1[[#This Row], [NUM OF MEM]]</f>
        <v>5.4000000000000012</v>
      </c>
      <c r="Q1014" s="9">
        <f>Table1[[#This Row], [ROOM TIME]]+Table1[[#This Row], [GUARD TIME]]</f>
        <v>48.611666666666665</v>
      </c>
      <c r="R1014" s="4">
        <f>Sheet1!$K$3*_xlfn.XLOOKUP(Table1[[#This Row], [DISGUISE]],Sheet1!$A$21:$A$23,Sheet1!$D$21:$D$23)</f>
        <v>69</v>
      </c>
      <c r="S1014" s="9">
        <f>Table1[[#This Row], [TOTAL TIME]]-Table1[[#This Row], [TOTAL TIME TAKEN]]</f>
        <v>20.388333333333335</v>
      </c>
      <c r="T1014" t="str">
        <f>IF(Table1[[#This Row], [TIME DIFFERENCE]]&gt;=0,"PASS","FAIL")</f>
        <v>PASS</v>
      </c>
      <c r="U1014" s="9">
        <f>Table1[[#This Row], [TRC]]+Table1[[#This Row], [DRC]]+Table1[[#This Row], [WRC]]+Table1[[#This Row], [ERC]]+Table1[[#This Row], [EQRC]]</f>
        <v>8234921.5999999996</v>
      </c>
      <c r="V1014" s="9">
        <f>Table1[[#This Row], [TOTAL COST]]+_xlfn.XLOOKUP(Table1[[#This Row], [TEAM]],Sheet1!$A$12:$A$17,Sheet1!$I$12:$I$17)</f>
        <v>8531421.5999999996</v>
      </c>
      <c r="W1014" s="9">
        <f>Table1[[#This Row], [LOOT]]-Table1[[#This Row], [TOTAL COST]]</f>
        <v>9565078.4000000004</v>
      </c>
      <c r="X1014" s="9">
        <f>IF(Table1[[#This Row], [PASS/FAIL]]="FAIL",0,Table1[[#This Row], [PROFIT]])</f>
        <v>9565078.4000000004</v>
      </c>
    </row>
    <row r="1015" spans="1:24" ht="19.5" customHeight="1" x14ac:dyDescent="0.45">
      <c r="A1015" t="s">
        <v>13</v>
      </c>
      <c r="B1015" s="14">
        <f>_xlfn.XLOOKUP(Table1[[#This Row], [TEAM]],Sheet1!$A$12:$A$17,Sheet1!$F$12:$F$17)</f>
        <v>3</v>
      </c>
      <c r="C1015" s="14">
        <f>_xlfn.XLOOKUP(Table1[[#This Row], [TEAM]],Sheet1!$A$12:$A$17,Sheet1!$G$12:$G$17)</f>
        <v>5930000</v>
      </c>
      <c r="D1015" t="s">
        <v>11</v>
      </c>
      <c r="E1015" s="4">
        <f>_xlfn.XLOOKUP(Table1[[#This Row], [ROOM]],Sheet1!$A$47:$A$66,Sheet1!$B$47:$B$66)</f>
        <v>124</v>
      </c>
      <c r="F1015" t="s">
        <v>62</v>
      </c>
      <c r="G1015" s="4">
        <f>_xlfn.XLOOKUP(Table1[[#This Row], [DISGUISE]],Sheet1!$A$21:$A$23,Sheet1!$B$21:$B$23)*Table1[[#This Row], [NUM OF MEM]]*(1+_xlfn.XLOOKUP(Table1[[#This Row], [DISGUISE]],Sheet1!$A$21:$A$23,Sheet1!$C$21:$C$23))</f>
        <v>15600</v>
      </c>
      <c r="H1015" s="13" t="s">
        <v>66</v>
      </c>
      <c r="I1015" s="4">
        <f>_xlfn.XLOOKUP(Table1[[#This Row], [WEAPON]],Sheet1!$A$27:$A$29,Sheet1!$B$27:$B$29)*Table1[[#This Row], [NUM OF MEM]]*(1+_xlfn.XLOOKUP(Table1[[#This Row], [WEAPON]],Sheet1!$A$27:$A$29,Sheet1!$C$27:$C$29))</f>
        <v>108000</v>
      </c>
      <c r="J1015" t="s">
        <v>64</v>
      </c>
      <c r="K1015" s="9">
        <f>Table1[[#This Row], [NUM OF MEM]]*Table1[[#This Row], [TOTAL TIME TAKEN]]*_xlfn.XLOOKUP(Table1[[#This Row], [EXIT]],Sheet1!$A$70:$A$71,Sheet1!$B$70:$B$71)*(1+_xlfn.XLOOKUP(Table1[[#This Row], [EXIT]],Sheet1!$A$70:$A$71,Sheet1!$C$70:$C$71))</f>
        <v>1831420.8</v>
      </c>
      <c r="L1015" s="13" t="s">
        <v>61</v>
      </c>
      <c r="M1015" s="4">
        <f>IF(Table1[[#This Row], [EQUIPMENT]]="YES",Sheet1!$C$44*(1+Sheet1!$D$44),0)</f>
        <v>0</v>
      </c>
      <c r="N1015" s="4">
        <f>_xlfn.XLOOKUP(Table1[[#This Row], [ROOM]],Sheet1!$A$47:$A$66,Sheet1!$F$47:$F$66)</f>
        <v>17450000</v>
      </c>
      <c r="O1015" s="9">
        <f>_xlfn.XLOOKUP(_xlfn.CONCAT(Table1[[#This Row], [TEAM]],Table1[[#This Row], [ROOM]]),'ROOM TIME'!$H$2:$H$121,'ROOM TIME'!$J$2:$J$121)</f>
        <v>42.521111111111104</v>
      </c>
      <c r="P1015" s="9">
        <f>(INDEX(Sheet1!$X$48:$Z$67,MATCH(Table1[[#This Row], [ROOM]],Sheet1!$P$48:$P$67,0),MATCH(Table1[[#This Row], [WEAPON]],Sheet1!$X$47:$Z$47,0)))/Table1[[#This Row], [NUM OF MEM]]</f>
        <v>4.583333333333333</v>
      </c>
      <c r="Q1015" s="9">
        <f>Table1[[#This Row], [ROOM TIME]]+Table1[[#This Row], [GUARD TIME]]</f>
        <v>47.104444444444439</v>
      </c>
      <c r="R1015" s="4">
        <f>Sheet1!$K$3*_xlfn.XLOOKUP(Table1[[#This Row], [DISGUISE]],Sheet1!$A$21:$A$23,Sheet1!$D$21:$D$23)</f>
        <v>66</v>
      </c>
      <c r="S1015" s="9">
        <f>Table1[[#This Row], [TOTAL TIME]]-Table1[[#This Row], [TOTAL TIME TAKEN]]</f>
        <v>18.895555555555561</v>
      </c>
      <c r="T1015" t="str">
        <f>IF(Table1[[#This Row], [TIME DIFFERENCE]]&gt;=0,"PASS","FAIL")</f>
        <v>PASS</v>
      </c>
      <c r="U1015" s="9">
        <f>Table1[[#This Row], [TRC]]+Table1[[#This Row], [DRC]]+Table1[[#This Row], [WRC]]+Table1[[#This Row], [ERC]]+Table1[[#This Row], [EQRC]]</f>
        <v>7885020.7999999998</v>
      </c>
      <c r="V1015" s="9">
        <f>Table1[[#This Row], [TOTAL COST]]+_xlfn.XLOOKUP(Table1[[#This Row], [TEAM]],Sheet1!$A$12:$A$17,Sheet1!$I$12:$I$17)</f>
        <v>8181520.7999999998</v>
      </c>
      <c r="W1015" s="9">
        <f>Table1[[#This Row], [LOOT]]-Table1[[#This Row], [TOTAL COST]]</f>
        <v>9564979.1999999993</v>
      </c>
      <c r="X1015" s="9">
        <f>IF(Table1[[#This Row], [PASS/FAIL]]="FAIL",0,Table1[[#This Row], [PROFIT]])</f>
        <v>9564979.1999999993</v>
      </c>
    </row>
    <row r="1016" spans="1:24" ht="19.5" customHeight="1" x14ac:dyDescent="0.45">
      <c r="A1016" t="s">
        <v>12</v>
      </c>
      <c r="B1016" s="14">
        <f>_xlfn.XLOOKUP(Table1[[#This Row], [TEAM]],Sheet1!$A$12:$A$17,Sheet1!$F$12:$F$17)</f>
        <v>3</v>
      </c>
      <c r="C1016" s="14">
        <f>_xlfn.XLOOKUP(Table1[[#This Row], [TEAM]],Sheet1!$A$12:$A$17,Sheet1!$G$12:$G$17)</f>
        <v>5988750</v>
      </c>
      <c r="D1016" t="s">
        <v>30</v>
      </c>
      <c r="E1016" s="4">
        <f>_xlfn.XLOOKUP(Table1[[#This Row], [ROOM]],Sheet1!$A$47:$A$66,Sheet1!$B$47:$B$66)</f>
        <v>246</v>
      </c>
      <c r="F1016" t="s">
        <v>62</v>
      </c>
      <c r="G1016" s="4">
        <f>_xlfn.XLOOKUP(Table1[[#This Row], [DISGUISE]],Sheet1!$A$21:$A$23,Sheet1!$B$21:$B$23)*Table1[[#This Row], [NUM OF MEM]]*(1+_xlfn.XLOOKUP(Table1[[#This Row], [DISGUISE]],Sheet1!$A$21:$A$23,Sheet1!$C$21:$C$23))</f>
        <v>15600</v>
      </c>
      <c r="H1016" s="13" t="s">
        <v>63</v>
      </c>
      <c r="I1016" s="4">
        <f>_xlfn.XLOOKUP(Table1[[#This Row], [WEAPON]],Sheet1!$A$27:$A$29,Sheet1!$B$27:$B$29)*Table1[[#This Row], [NUM OF MEM]]*(1+_xlfn.XLOOKUP(Table1[[#This Row], [WEAPON]],Sheet1!$A$27:$A$29,Sheet1!$C$27:$C$29))</f>
        <v>69000</v>
      </c>
      <c r="J1016" t="s">
        <v>60</v>
      </c>
      <c r="K1016" s="9">
        <f>Table1[[#This Row], [NUM OF MEM]]*Table1[[#This Row], [TOTAL TIME TAKEN]]*_xlfn.XLOOKUP(Table1[[#This Row], [EXIT]],Sheet1!$A$70:$A$71,Sheet1!$B$70:$B$71)*(1+_xlfn.XLOOKUP(Table1[[#This Row], [EXIT]],Sheet1!$A$70:$A$71,Sheet1!$C$70:$C$71))</f>
        <v>1654708.0999999992</v>
      </c>
      <c r="L1016" s="13" t="s">
        <v>65</v>
      </c>
      <c r="M1016" s="4">
        <f>IF(Table1[[#This Row], [EQUIPMENT]]="YES",Sheet1!$C$44*(1+Sheet1!$D$44),0)</f>
        <v>307500</v>
      </c>
      <c r="N1016" s="4">
        <f>_xlfn.XLOOKUP(Table1[[#This Row], [ROOM]],Sheet1!$A$47:$A$66,Sheet1!$F$47:$F$66)</f>
        <v>17600000</v>
      </c>
      <c r="O1016" s="9">
        <f>_xlfn.XLOOKUP(_xlfn.CONCAT(Table1[[#This Row], [TEAM]],Table1[[#This Row], [ROOM]]),'ROOM TIME'!$H$2:$H$121,'ROOM TIME'!$J$2:$J$121)</f>
        <v>37.582222222222207</v>
      </c>
      <c r="P1016" s="9">
        <f>(INDEX(Sheet1!$X$48:$Z$67,MATCH(Table1[[#This Row], [ROOM]],Sheet1!$P$48:$P$67,0),MATCH(Table1[[#This Row], [WEAPON]],Sheet1!$X$47:$Z$47,0)))/Table1[[#This Row], [NUM OF MEM]]</f>
        <v>5.4000000000000012</v>
      </c>
      <c r="Q1016" s="9">
        <f>Table1[[#This Row], [ROOM TIME]]+Table1[[#This Row], [GUARD TIME]]</f>
        <v>42.982222222222205</v>
      </c>
      <c r="R1016" s="4">
        <f>Sheet1!$K$3*_xlfn.XLOOKUP(Table1[[#This Row], [DISGUISE]],Sheet1!$A$21:$A$23,Sheet1!$D$21:$D$23)</f>
        <v>66</v>
      </c>
      <c r="S1016" s="9">
        <f>Table1[[#This Row], [TOTAL TIME]]-Table1[[#This Row], [TOTAL TIME TAKEN]]</f>
        <v>23.017777777777795</v>
      </c>
      <c r="T1016" t="str">
        <f>IF(Table1[[#This Row], [TIME DIFFERENCE]]&gt;=0,"PASS","FAIL")</f>
        <v>PASS</v>
      </c>
      <c r="U1016" s="9">
        <f>Table1[[#This Row], [TRC]]+Table1[[#This Row], [DRC]]+Table1[[#This Row], [WRC]]+Table1[[#This Row], [ERC]]+Table1[[#This Row], [EQRC]]</f>
        <v>8035558.0999999996</v>
      </c>
      <c r="V1016" s="9">
        <f>Table1[[#This Row], [TOTAL COST]]+_xlfn.XLOOKUP(Table1[[#This Row], [TEAM]],Sheet1!$A$12:$A$17,Sheet1!$I$12:$I$17)</f>
        <v>8334995.5999999996</v>
      </c>
      <c r="W1016" s="9">
        <f>Table1[[#This Row], [LOOT]]-Table1[[#This Row], [TOTAL COST]]</f>
        <v>9564441.9000000004</v>
      </c>
      <c r="X1016" s="9">
        <f>IF(Table1[[#This Row], [PASS/FAIL]]="FAIL",0,Table1[[#This Row], [PROFIT]])</f>
        <v>9564441.9000000004</v>
      </c>
    </row>
    <row r="1017" spans="1:24" ht="19.5" customHeight="1" x14ac:dyDescent="0.45">
      <c r="A1017" t="s">
        <v>13</v>
      </c>
      <c r="B1017" s="14">
        <f>_xlfn.XLOOKUP(Table1[[#This Row], [TEAM]],Sheet1!$A$12:$A$17,Sheet1!$F$12:$F$17)</f>
        <v>3</v>
      </c>
      <c r="C1017" s="14">
        <f>_xlfn.XLOOKUP(Table1[[#This Row], [TEAM]],Sheet1!$A$12:$A$17,Sheet1!$G$12:$G$17)</f>
        <v>5930000</v>
      </c>
      <c r="D1017" t="s">
        <v>22</v>
      </c>
      <c r="E1017" s="4">
        <f>_xlfn.XLOOKUP(Table1[[#This Row], [ROOM]],Sheet1!$A$47:$A$66,Sheet1!$B$47:$B$66)</f>
        <v>235</v>
      </c>
      <c r="F1017" t="s">
        <v>62</v>
      </c>
      <c r="G101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17" s="13" t="s">
        <v>66</v>
      </c>
      <c r="I1017" s="4">
        <f>_xlfn.XLOOKUP(Table1[[#This Row], [WEAPON]],Sheet1!$A$27:$A$29,Sheet1!$B$27:$B$29)*Table1[[#This Row], [NUM OF MEM]]*(1+_xlfn.XLOOKUP(Table1[[#This Row], [WEAPON]],Sheet1!$A$27:$A$29,Sheet1!$C$27:$C$29))</f>
        <v>108000</v>
      </c>
      <c r="J1017" t="s">
        <v>64</v>
      </c>
      <c r="K1017" s="9">
        <f>Table1[[#This Row], [NUM OF MEM]]*Table1[[#This Row], [TOTAL TIME TAKEN]]*_xlfn.XLOOKUP(Table1[[#This Row], [EXIT]],Sheet1!$A$70:$A$71,Sheet1!$B$70:$B$71)*(1+_xlfn.XLOOKUP(Table1[[#This Row], [EXIT]],Sheet1!$A$70:$A$71,Sheet1!$C$70:$C$71))</f>
        <v>1874469.5999999999</v>
      </c>
      <c r="L1017" s="13" t="s">
        <v>65</v>
      </c>
      <c r="M1017" s="4">
        <f>IF(Table1[[#This Row], [EQUIPMENT]]="YES",Sheet1!$C$44*(1+Sheet1!$D$44),0)</f>
        <v>307500</v>
      </c>
      <c r="N1017" s="4">
        <f>_xlfn.XLOOKUP(Table1[[#This Row], [ROOM]],Sheet1!$A$47:$A$66,Sheet1!$F$47:$F$66)</f>
        <v>17800000</v>
      </c>
      <c r="O1017" s="9">
        <f>_xlfn.XLOOKUP(_xlfn.CONCAT(Table1[[#This Row], [TEAM]],Table1[[#This Row], [ROOM]]),'ROOM TIME'!$H$2:$H$121,'ROOM TIME'!$J$2:$J$121)</f>
        <v>43.211666666666666</v>
      </c>
      <c r="P1017" s="4">
        <f>(INDEX(Sheet1!$X$48:$Z$67,MATCH(Table1[[#This Row], [ROOM]],Sheet1!$P$48:$P$67,0),MATCH(Table1[[#This Row], [WEAPON]],Sheet1!$X$47:$Z$47,0)))/Table1[[#This Row], [NUM OF MEM]]</f>
        <v>5</v>
      </c>
      <c r="Q1017" s="9">
        <f>Table1[[#This Row], [ROOM TIME]]+Table1[[#This Row], [GUARD TIME]]</f>
        <v>48.211666666666666</v>
      </c>
      <c r="R1017" s="4">
        <f>Sheet1!$K$3*_xlfn.XLOOKUP(Table1[[#This Row], [DISGUISE]],Sheet1!$A$21:$A$23,Sheet1!$D$21:$D$23)</f>
        <v>66</v>
      </c>
      <c r="S1017" s="9">
        <f>Table1[[#This Row], [TOTAL TIME]]-Table1[[#This Row], [TOTAL TIME TAKEN]]</f>
        <v>17.788333333333334</v>
      </c>
      <c r="T1017" t="str">
        <f>IF(Table1[[#This Row], [TIME DIFFERENCE]]&gt;=0,"PASS","FAIL")</f>
        <v>PASS</v>
      </c>
      <c r="U1017" s="9">
        <f>Table1[[#This Row], [TRC]]+Table1[[#This Row], [DRC]]+Table1[[#This Row], [WRC]]+Table1[[#This Row], [ERC]]+Table1[[#This Row], [EQRC]]</f>
        <v>8235569.5999999996</v>
      </c>
      <c r="V1017" s="9">
        <f>Table1[[#This Row], [TOTAL COST]]+_xlfn.XLOOKUP(Table1[[#This Row], [TEAM]],Sheet1!$A$12:$A$17,Sheet1!$I$12:$I$17)</f>
        <v>8532069.5999999996</v>
      </c>
      <c r="W1017" s="9">
        <f>Table1[[#This Row], [LOOT]]-Table1[[#This Row], [TOTAL COST]]</f>
        <v>9564430.4000000004</v>
      </c>
      <c r="X1017" s="9">
        <f>IF(Table1[[#This Row], [PASS/FAIL]]="FAIL",0,Table1[[#This Row], [PROFIT]])</f>
        <v>9564430.4000000004</v>
      </c>
    </row>
    <row r="1018" spans="1:24" ht="19.5" customHeight="1" x14ac:dyDescent="0.45">
      <c r="A1018" t="s">
        <v>15</v>
      </c>
      <c r="B1018" s="14">
        <f>_xlfn.XLOOKUP(Table1[[#This Row], [TEAM]],Sheet1!$A$12:$A$17,Sheet1!$F$12:$F$17)</f>
        <v>2</v>
      </c>
      <c r="C1018" s="14">
        <f>_xlfn.XLOOKUP(Table1[[#This Row], [TEAM]],Sheet1!$A$12:$A$17,Sheet1!$G$12:$G$17)</f>
        <v>5932950</v>
      </c>
      <c r="D1018" t="s">
        <v>25</v>
      </c>
      <c r="E1018" s="4">
        <f>_xlfn.XLOOKUP(Table1[[#This Row], [ROOM]],Sheet1!$A$47:$A$66,Sheet1!$B$47:$B$66)</f>
        <v>126</v>
      </c>
      <c r="F1018" t="s">
        <v>62</v>
      </c>
      <c r="G1018" s="4">
        <f>_xlfn.XLOOKUP(Table1[[#This Row], [DISGUISE]],Sheet1!$A$21:$A$23,Sheet1!$B$21:$B$23)*Table1[[#This Row], [NUM OF MEM]]*(1+_xlfn.XLOOKUP(Table1[[#This Row], [DISGUISE]],Sheet1!$A$21:$A$23,Sheet1!$C$21:$C$23))</f>
        <v>10400</v>
      </c>
      <c r="H1018" s="13" t="s">
        <v>66</v>
      </c>
      <c r="I1018" s="4">
        <f>_xlfn.XLOOKUP(Table1[[#This Row], [WEAPON]],Sheet1!$A$27:$A$29,Sheet1!$B$27:$B$29)*Table1[[#This Row], [NUM OF MEM]]*(1+_xlfn.XLOOKUP(Table1[[#This Row], [WEAPON]],Sheet1!$A$27:$A$29,Sheet1!$C$27:$C$29))</f>
        <v>72000</v>
      </c>
      <c r="J1018" t="s">
        <v>64</v>
      </c>
      <c r="K1018" s="9">
        <f>Table1[[#This Row], [NUM OF MEM]]*Table1[[#This Row], [TOTAL TIME TAKEN]]*_xlfn.XLOOKUP(Table1[[#This Row], [EXIT]],Sheet1!$A$70:$A$71,Sheet1!$B$70:$B$71)*(1+_xlfn.XLOOKUP(Table1[[#This Row], [EXIT]],Sheet1!$A$70:$A$71,Sheet1!$C$70:$C$71))</f>
        <v>1662832.7999999996</v>
      </c>
      <c r="L1018" s="13" t="s">
        <v>65</v>
      </c>
      <c r="M1018" s="4">
        <f>IF(Table1[[#This Row], [EQUIPMENT]]="YES",Sheet1!$C$44*(1+Sheet1!$D$44),0)</f>
        <v>307500</v>
      </c>
      <c r="N1018" s="4">
        <f>_xlfn.XLOOKUP(Table1[[#This Row], [ROOM]],Sheet1!$A$47:$A$66,Sheet1!$F$47:$F$66)</f>
        <v>17550000</v>
      </c>
      <c r="O1018" s="9">
        <f>_xlfn.XLOOKUP(_xlfn.CONCAT(Table1[[#This Row], [TEAM]],Table1[[#This Row], [ROOM]]),'ROOM TIME'!$H$2:$H$121,'ROOM TIME'!$J$2:$J$121)</f>
        <v>57.277499999999989</v>
      </c>
      <c r="P1018" s="9">
        <f>(INDEX(Sheet1!$X$48:$Z$67,MATCH(Table1[[#This Row], [ROOM]],Sheet1!$P$48:$P$67,0),MATCH(Table1[[#This Row], [WEAPON]],Sheet1!$X$47:$Z$47,0)))/Table1[[#This Row], [NUM OF MEM]]</f>
        <v>6.875</v>
      </c>
      <c r="Q1018" s="9">
        <f>Table1[[#This Row], [ROOM TIME]]+Table1[[#This Row], [GUARD TIME]]</f>
        <v>64.152499999999989</v>
      </c>
      <c r="R1018" s="4">
        <f>Sheet1!$K$3*_xlfn.XLOOKUP(Table1[[#This Row], [DISGUISE]],Sheet1!$A$21:$A$23,Sheet1!$D$21:$D$23)</f>
        <v>66</v>
      </c>
      <c r="S1018" s="9">
        <f>Table1[[#This Row], [TOTAL TIME]]-Table1[[#This Row], [TOTAL TIME TAKEN]]</f>
        <v>1.8475000000000108</v>
      </c>
      <c r="T1018" t="str">
        <f>IF(Table1[[#This Row], [TIME DIFFERENCE]]&gt;=0,"PASS","FAIL")</f>
        <v>PASS</v>
      </c>
      <c r="U1018" s="9">
        <f>Table1[[#This Row], [TRC]]+Table1[[#This Row], [DRC]]+Table1[[#This Row], [WRC]]+Table1[[#This Row], [ERC]]+Table1[[#This Row], [EQRC]]</f>
        <v>7985682.7999999998</v>
      </c>
      <c r="V1018" s="9">
        <f>Table1[[#This Row], [TOTAL COST]]+_xlfn.XLOOKUP(Table1[[#This Row], [TEAM]],Sheet1!$A$12:$A$17,Sheet1!$I$12:$I$17)</f>
        <v>8282330.2999999998</v>
      </c>
      <c r="W1018" s="9">
        <f>Table1[[#This Row], [LOOT]]-Table1[[#This Row], [TOTAL COST]]</f>
        <v>9564317.1999999993</v>
      </c>
      <c r="X1018" s="9">
        <f>IF(Table1[[#This Row], [PASS/FAIL]]="FAIL",0,Table1[[#This Row], [PROFIT]])</f>
        <v>9564317.1999999993</v>
      </c>
    </row>
    <row r="1019" spans="1:24" ht="19.5" customHeight="1" x14ac:dyDescent="0.45">
      <c r="A1019" t="s">
        <v>14</v>
      </c>
      <c r="B1019" s="14">
        <f>_xlfn.XLOOKUP(Table1[[#This Row], [TEAM]],Sheet1!$A$12:$A$17,Sheet1!$F$12:$F$17)</f>
        <v>2</v>
      </c>
      <c r="C1019" s="14">
        <f>_xlfn.XLOOKUP(Table1[[#This Row], [TEAM]],Sheet1!$A$12:$A$17,Sheet1!$G$12:$G$17)</f>
        <v>5949600</v>
      </c>
      <c r="D1019" t="s">
        <v>17</v>
      </c>
      <c r="E1019" s="4">
        <f>_xlfn.XLOOKUP(Table1[[#This Row], [ROOM]],Sheet1!$A$47:$A$66,Sheet1!$B$47:$B$66)</f>
        <v>125</v>
      </c>
      <c r="F1019" t="s">
        <v>58</v>
      </c>
      <c r="G1019" s="4">
        <f>_xlfn.XLOOKUP(Table1[[#This Row], [DISGUISE]],Sheet1!$A$21:$A$23,Sheet1!$B$21:$B$23)*Table1[[#This Row], [NUM OF MEM]]*(1+_xlfn.XLOOKUP(Table1[[#This Row], [DISGUISE]],Sheet1!$A$21:$A$23,Sheet1!$C$21:$C$23))</f>
        <v>25600</v>
      </c>
      <c r="H1019" s="13" t="s">
        <v>59</v>
      </c>
      <c r="I1019" s="4">
        <f>_xlfn.XLOOKUP(Table1[[#This Row], [WEAPON]],Sheet1!$A$27:$A$29,Sheet1!$B$27:$B$29)*Table1[[#This Row], [NUM OF MEM]]*(1+_xlfn.XLOOKUP(Table1[[#This Row], [WEAPON]],Sheet1!$A$27:$A$29,Sheet1!$C$27:$C$29))</f>
        <v>91000</v>
      </c>
      <c r="J1019" t="s">
        <v>64</v>
      </c>
      <c r="K1019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1721152.7999999996</v>
      </c>
      <c r="L1019" s="13" t="s">
        <v>61</v>
      </c>
      <c r="M1019" s="4">
        <f>IF(Table1[[#This Row], [EQUIPMENT]]="YES",Sheet1!$C$44*(1+Sheet1!$D$44),0)</f>
        <v>0</v>
      </c>
      <c r="N1019" s="4">
        <f>_xlfn.XLOOKUP(Table1[[#This Row], [ROOM]],Sheet1!$A$47:$A$66,Sheet1!$F$47:$F$66)</f>
        <v>17350000</v>
      </c>
      <c r="O1019" s="9">
        <f>_xlfn.XLOOKUP(_xlfn.CONCAT(Table1[[#This Row], [TEAM]],Table1[[#This Row], [ROOM]]),'ROOM TIME'!$H$2:$H$121,'ROOM TIME'!$J$2:$J$121)</f>
        <v>60.652499999999989</v>
      </c>
      <c r="P1019" s="9">
        <f>(INDEX(Sheet1!$X$48:$Z$67,MATCH(Table1[[#This Row], [ROOM]],Sheet1!$P$48:$P$67,0),MATCH(Table1[[#This Row], [WEAPON]],Sheet1!$X$47:$Z$47,0)))/Table1[[#This Row], [NUM OF MEM]]</f>
        <v>5.75</v>
      </c>
      <c r="Q1019" s="9">
        <f>Table1[[#This Row], [ROOM TIME]]+Table1[[#This Row], [GUARD TIME]]</f>
        <v>66.402499999999989</v>
      </c>
      <c r="R1019" s="4">
        <f>Sheet1!$K$3*_xlfn.XLOOKUP(Table1[[#This Row], [DISGUISE]],Sheet1!$A$21:$A$23,Sheet1!$D$21:$D$23)</f>
        <v>69</v>
      </c>
      <c r="S1019" s="9">
        <f>Table1[[#This Row], [TOTAL TIME]]-Table1[[#This Row], [TOTAL TIME TAKEN]]</f>
        <v>2.5975000000000108</v>
      </c>
      <c r="T1019" t="str">
        <f>IF(Table1[[#This Row], [TIME DIFFERENCE]]&gt;=0,"PASS","FAIL")</f>
        <v>PASS</v>
      </c>
      <c r="U1019" s="9">
        <f>Table1[[#This Row], [TRC]]+Table1[[#This Row], [DRC]]+Table1[[#This Row], [WRC]]+Table1[[#This Row], [ERC]]+Table1[[#This Row], [EQRC]]</f>
        <v>7787352.7999999998</v>
      </c>
      <c r="V1019" s="9">
        <f>Table1[[#This Row], [TOTAL COST]]+_xlfn.XLOOKUP(Table1[[#This Row], [TEAM]],Sheet1!$A$12:$A$17,Sheet1!$I$12:$I$17)</f>
        <v>8084832.7999999998</v>
      </c>
      <c r="W1019" s="9">
        <f>Table1[[#This Row], [LOOT]]-Table1[[#This Row], [TOTAL COST]]</f>
        <v>9562647.1999999993</v>
      </c>
      <c r="X1019" s="9">
        <f>IF(Table1[[#This Row], [PASS/FAIL]]="FAIL",0,Table1[[#This Row], [PROFIT]])</f>
        <v>9562647.1999999993</v>
      </c>
    </row>
    <row r="1020" spans="1:24" ht="19.5" customHeight="1" x14ac:dyDescent="0.45">
      <c r="A1020" t="s">
        <v>9</v>
      </c>
      <c r="B1020" s="14">
        <f>_xlfn.XLOOKUP(Table1[[#This Row], [TEAM]],Sheet1!$A$12:$A$17,Sheet1!$F$12:$F$17)</f>
        <v>3</v>
      </c>
      <c r="C1020" s="14">
        <f>_xlfn.XLOOKUP(Table1[[#This Row], [TEAM]],Sheet1!$A$12:$A$17,Sheet1!$G$12:$G$17)</f>
        <v>6238750</v>
      </c>
      <c r="D1020" t="s">
        <v>19</v>
      </c>
      <c r="E1020" s="4">
        <f>_xlfn.XLOOKUP(Table1[[#This Row], [ROOM]],Sheet1!$A$47:$A$66,Sheet1!$B$47:$B$66)</f>
        <v>135</v>
      </c>
      <c r="F1020" t="s">
        <v>58</v>
      </c>
      <c r="G1020" s="4">
        <f>_xlfn.XLOOKUP(Table1[[#This Row], [DISGUISE]],Sheet1!$A$21:$A$23,Sheet1!$B$21:$B$23)*Table1[[#This Row], [NUM OF MEM]]*(1+_xlfn.XLOOKUP(Table1[[#This Row], [DISGUISE]],Sheet1!$A$21:$A$23,Sheet1!$C$21:$C$23))</f>
        <v>38400</v>
      </c>
      <c r="H1020" s="13" t="s">
        <v>59</v>
      </c>
      <c r="I1020" s="4">
        <f>_xlfn.XLOOKUP(Table1[[#This Row], [WEAPON]],Sheet1!$A$27:$A$29,Sheet1!$B$27:$B$29)*Table1[[#This Row], [NUM OF MEM]]*(1+_xlfn.XLOOKUP(Table1[[#This Row], [WEAPON]],Sheet1!$A$27:$A$29,Sheet1!$C$27:$C$29))</f>
        <v>136500</v>
      </c>
      <c r="J1020" t="s">
        <v>64</v>
      </c>
      <c r="K1020" s="9">
        <f>Table1[[#This Row], [NUM OF MEM]]*Table1[[#This Row], [TOTAL TIME TAKEN]]*_xlfn.XLOOKUP(Table1[[#This Row], [EXIT]],Sheet1!$A$70:$A$71,Sheet1!$B$70:$B$71)*(1+_xlfn.XLOOKUP(Table1[[#This Row], [EXIT]],Sheet1!$A$70:$A$71,Sheet1!$C$70:$C$71))</f>
        <v>1666634.3999999994</v>
      </c>
      <c r="L1020" s="13" t="s">
        <v>65</v>
      </c>
      <c r="M1020" s="4">
        <f>IF(Table1[[#This Row], [EQUIPMENT]]="YES",Sheet1!$C$44*(1+Sheet1!$D$44),0)</f>
        <v>307500</v>
      </c>
      <c r="N1020" s="4">
        <f>_xlfn.XLOOKUP(Table1[[#This Row], [ROOM]],Sheet1!$A$47:$A$66,Sheet1!$F$47:$F$66)</f>
        <v>17950000</v>
      </c>
      <c r="O1020" s="9">
        <f>_xlfn.XLOOKUP(_xlfn.CONCAT(Table1[[#This Row], [TEAM]],Table1[[#This Row], [ROOM]]),'ROOM TIME'!$H$2:$H$121,'ROOM TIME'!$J$2:$J$121)</f>
        <v>38.649444444444434</v>
      </c>
      <c r="P1020" s="9">
        <f>(INDEX(Sheet1!$X$48:$Z$67,MATCH(Table1[[#This Row], [ROOM]],Sheet1!$P$48:$P$67,0),MATCH(Table1[[#This Row], [WEAPON]],Sheet1!$X$47:$Z$47,0)))/Table1[[#This Row], [NUM OF MEM]]</f>
        <v>4.2166666666666659</v>
      </c>
      <c r="Q1020" s="9">
        <f>Table1[[#This Row], [ROOM TIME]]+Table1[[#This Row], [GUARD TIME]]</f>
        <v>42.866111111111103</v>
      </c>
      <c r="R1020" s="4">
        <f>Sheet1!$K$3*_xlfn.XLOOKUP(Table1[[#This Row], [DISGUISE]],Sheet1!$A$21:$A$23,Sheet1!$D$21:$D$23)</f>
        <v>69</v>
      </c>
      <c r="S1020" s="9">
        <f>Table1[[#This Row], [TOTAL TIME]]-Table1[[#This Row], [TOTAL TIME TAKEN]]</f>
        <v>26.133888888888897</v>
      </c>
      <c r="T1020" t="str">
        <f>IF(Table1[[#This Row], [TIME DIFFERENCE]]&gt;=0,"PASS","FAIL")</f>
        <v>PASS</v>
      </c>
      <c r="U1020" s="9">
        <f>Table1[[#This Row], [TRC]]+Table1[[#This Row], [DRC]]+Table1[[#This Row], [WRC]]+Table1[[#This Row], [ERC]]+Table1[[#This Row], [EQRC]]</f>
        <v>8387784.3999999994</v>
      </c>
      <c r="V1020" s="9">
        <f>Table1[[#This Row], [TOTAL COST]]+_xlfn.XLOOKUP(Table1[[#This Row], [TEAM]],Sheet1!$A$12:$A$17,Sheet1!$I$12:$I$17)</f>
        <v>8699721.8999999985</v>
      </c>
      <c r="W1020" s="9">
        <f>Table1[[#This Row], [LOOT]]-Table1[[#This Row], [TOTAL COST]]</f>
        <v>9562215.6000000015</v>
      </c>
      <c r="X1020" s="9">
        <f>IF(Table1[[#This Row], [PASS/FAIL]]="FAIL",0,Table1[[#This Row], [PROFIT]])</f>
        <v>9562215.6000000015</v>
      </c>
    </row>
    <row r="1021" spans="1:24" ht="19.5" customHeight="1" x14ac:dyDescent="0.45">
      <c r="A1021" t="s">
        <v>13</v>
      </c>
      <c r="B1021" s="14">
        <f>_xlfn.XLOOKUP(Table1[[#This Row], [TEAM]],Sheet1!$A$12:$A$17,Sheet1!$F$12:$F$17)</f>
        <v>3</v>
      </c>
      <c r="C1021" s="14">
        <f>_xlfn.XLOOKUP(Table1[[#This Row], [TEAM]],Sheet1!$A$12:$A$17,Sheet1!$G$12:$G$17)</f>
        <v>5930000</v>
      </c>
      <c r="D1021" t="s">
        <v>10</v>
      </c>
      <c r="E1021" s="4">
        <f>_xlfn.XLOOKUP(Table1[[#This Row], [ROOM]],Sheet1!$A$47:$A$66,Sheet1!$B$47:$B$66)</f>
        <v>123</v>
      </c>
      <c r="F1021" t="s">
        <v>58</v>
      </c>
      <c r="G102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21" s="13" t="s">
        <v>59</v>
      </c>
      <c r="I1021" s="4">
        <f>_xlfn.XLOOKUP(Table1[[#This Row], [WEAPON]],Sheet1!$A$27:$A$29,Sheet1!$B$27:$B$29)*Table1[[#This Row], [NUM OF MEM]]*(1+_xlfn.XLOOKUP(Table1[[#This Row], [WEAPON]],Sheet1!$A$27:$A$29,Sheet1!$C$27:$C$29))</f>
        <v>136500</v>
      </c>
      <c r="J1021" t="s">
        <v>64</v>
      </c>
      <c r="K1021" s="9">
        <f>Table1[[#This Row], [NUM OF MEM]]*Table1[[#This Row], [TOTAL TIME TAKEN]]*_xlfn.XLOOKUP(Table1[[#This Row], [EXIT]],Sheet1!$A$70:$A$71,Sheet1!$B$70:$B$71)*(1+_xlfn.XLOOKUP(Table1[[#This Row], [EXIT]],Sheet1!$A$70:$A$71,Sheet1!$C$70:$C$71))</f>
        <v>1876132.7999999996</v>
      </c>
      <c r="L1021" s="13" t="s">
        <v>65</v>
      </c>
      <c r="M1021" s="4">
        <f>IF(Table1[[#This Row], [EQUIPMENT]]="YES",Sheet1!$C$44*(1+Sheet1!$D$44),0)</f>
        <v>307500</v>
      </c>
      <c r="N1021" s="4">
        <f>_xlfn.XLOOKUP(Table1[[#This Row], [ROOM]],Sheet1!$A$47:$A$66,Sheet1!$F$47:$F$66)</f>
        <v>17850000</v>
      </c>
      <c r="O1021" s="9">
        <f>_xlfn.XLOOKUP(_xlfn.CONCAT(Table1[[#This Row], [TEAM]],Table1[[#This Row], [ROOM]]),'ROOM TIME'!$H$2:$H$121,'ROOM TIME'!$J$2:$J$121)</f>
        <v>43.654444444444437</v>
      </c>
      <c r="P1021" s="9">
        <f>(INDEX(Sheet1!$X$48:$Z$67,MATCH(Table1[[#This Row], [ROOM]],Sheet1!$P$48:$P$67,0),MATCH(Table1[[#This Row], [WEAPON]],Sheet1!$X$47:$Z$47,0)))/Table1[[#This Row], [NUM OF MEM]]</f>
        <v>4.5999999999999996</v>
      </c>
      <c r="Q1021" s="9">
        <f>Table1[[#This Row], [ROOM TIME]]+Table1[[#This Row], [GUARD TIME]]</f>
        <v>48.254444444444438</v>
      </c>
      <c r="R1021" s="4">
        <f>Sheet1!$K$3*_xlfn.XLOOKUP(Table1[[#This Row], [DISGUISE]],Sheet1!$A$21:$A$23,Sheet1!$D$21:$D$23)</f>
        <v>69</v>
      </c>
      <c r="S1021" s="9">
        <f>Table1[[#This Row], [TOTAL TIME]]-Table1[[#This Row], [TOTAL TIME TAKEN]]</f>
        <v>20.745555555555562</v>
      </c>
      <c r="T1021" t="str">
        <f>IF(Table1[[#This Row], [TIME DIFFERENCE]]&gt;=0,"PASS","FAIL")</f>
        <v>PASS</v>
      </c>
      <c r="U1021" s="9">
        <f>Table1[[#This Row], [TRC]]+Table1[[#This Row], [DRC]]+Table1[[#This Row], [WRC]]+Table1[[#This Row], [ERC]]+Table1[[#This Row], [EQRC]]</f>
        <v>8288532.7999999998</v>
      </c>
      <c r="V1021" s="9">
        <f>Table1[[#This Row], [TOTAL COST]]+_xlfn.XLOOKUP(Table1[[#This Row], [TEAM]],Sheet1!$A$12:$A$17,Sheet1!$I$12:$I$17)</f>
        <v>8585032.8000000007</v>
      </c>
      <c r="W1021" s="9">
        <f>Table1[[#This Row], [LOOT]]-Table1[[#This Row], [TOTAL COST]]</f>
        <v>9561467.1999999993</v>
      </c>
      <c r="X1021" s="9">
        <f>IF(Table1[[#This Row], [PASS/FAIL]]="FAIL",0,Table1[[#This Row], [PROFIT]])</f>
        <v>9561467.1999999993</v>
      </c>
    </row>
    <row r="1022" spans="1:24" ht="19.5" customHeight="1" x14ac:dyDescent="0.45">
      <c r="A1022" t="s">
        <v>15</v>
      </c>
      <c r="B1022" s="14">
        <f>_xlfn.XLOOKUP(Table1[[#This Row], [TEAM]],Sheet1!$A$12:$A$17,Sheet1!$F$12:$F$17)</f>
        <v>2</v>
      </c>
      <c r="C1022" s="14">
        <f>_xlfn.XLOOKUP(Table1[[#This Row], [TEAM]],Sheet1!$A$12:$A$17,Sheet1!$G$12:$G$17)</f>
        <v>5932950</v>
      </c>
      <c r="D1022" t="s">
        <v>25</v>
      </c>
      <c r="E1022" s="4">
        <f>_xlfn.XLOOKUP(Table1[[#This Row], [ROOM]],Sheet1!$A$47:$A$66,Sheet1!$B$47:$B$66)</f>
        <v>126</v>
      </c>
      <c r="F1022" t="s">
        <v>58</v>
      </c>
      <c r="G1022" s="4">
        <f>_xlfn.XLOOKUP(Table1[[#This Row], [DISGUISE]],Sheet1!$A$21:$A$23,Sheet1!$B$21:$B$23)*Table1[[#This Row], [NUM OF MEM]]*(1+_xlfn.XLOOKUP(Table1[[#This Row], [DISGUISE]],Sheet1!$A$21:$A$23,Sheet1!$C$21:$C$23))</f>
        <v>25600</v>
      </c>
      <c r="H1022" s="13" t="s">
        <v>63</v>
      </c>
      <c r="I1022" s="4">
        <f>_xlfn.XLOOKUP(Table1[[#This Row], [WEAPON]],Sheet1!$A$27:$A$29,Sheet1!$B$27:$B$29)*Table1[[#This Row], [NUM OF MEM]]*(1+_xlfn.XLOOKUP(Table1[[#This Row], [WEAPON]],Sheet1!$A$27:$A$29,Sheet1!$C$27:$C$29))</f>
        <v>46000</v>
      </c>
      <c r="J1022" t="s">
        <v>64</v>
      </c>
      <c r="K1022" s="9">
        <f>Table1[[#This Row], [NUM OF MEM]]*Table1[[#This Row], [TOTAL TIME TAKEN]]*_xlfn.XLOOKUP(Table1[[#This Row], [EXIT]],Sheet1!$A$70:$A$71,Sheet1!$B$70:$B$71)*(1+_xlfn.XLOOKUP(Table1[[#This Row], [EXIT]],Sheet1!$A$70:$A$71,Sheet1!$C$70:$C$71))</f>
        <v>1677088.7999999996</v>
      </c>
      <c r="L1022" s="13" t="s">
        <v>65</v>
      </c>
      <c r="M1022" s="4">
        <f>IF(Table1[[#This Row], [EQUIPMENT]]="YES",Sheet1!$C$44*(1+Sheet1!$D$44),0)</f>
        <v>307500</v>
      </c>
      <c r="N1022" s="4">
        <f>_xlfn.XLOOKUP(Table1[[#This Row], [ROOM]],Sheet1!$A$47:$A$66,Sheet1!$F$47:$F$66)</f>
        <v>17550000</v>
      </c>
      <c r="O1022" s="9">
        <f>_xlfn.XLOOKUP(_xlfn.CONCAT(Table1[[#This Row], [TEAM]],Table1[[#This Row], [ROOM]]),'ROOM TIME'!$H$2:$H$121,'ROOM TIME'!$J$2:$J$121)</f>
        <v>57.277499999999989</v>
      </c>
      <c r="P1022" s="9">
        <f>(INDEX(Sheet1!$X$48:$Z$67,MATCH(Table1[[#This Row], [ROOM]],Sheet1!$P$48:$P$67,0),MATCH(Table1[[#This Row], [WEAPON]],Sheet1!$X$47:$Z$47,0)))/Table1[[#This Row], [NUM OF MEM]]</f>
        <v>7.4250000000000007</v>
      </c>
      <c r="Q1022" s="9">
        <f>Table1[[#This Row], [ROOM TIME]]+Table1[[#This Row], [GUARD TIME]]</f>
        <v>64.702499999999986</v>
      </c>
      <c r="R1022" s="4">
        <f>Sheet1!$K$3*_xlfn.XLOOKUP(Table1[[#This Row], [DISGUISE]],Sheet1!$A$21:$A$23,Sheet1!$D$21:$D$23)</f>
        <v>69</v>
      </c>
      <c r="S1022" s="9">
        <f>Table1[[#This Row], [TOTAL TIME]]-Table1[[#This Row], [TOTAL TIME TAKEN]]</f>
        <v>4.2975000000000136</v>
      </c>
      <c r="T1022" t="str">
        <f>IF(Table1[[#This Row], [TIME DIFFERENCE]]&gt;=0,"PASS","FAIL")</f>
        <v>PASS</v>
      </c>
      <c r="U1022" s="9">
        <f>Table1[[#This Row], [TRC]]+Table1[[#This Row], [DRC]]+Table1[[#This Row], [WRC]]+Table1[[#This Row], [ERC]]+Table1[[#This Row], [EQRC]]</f>
        <v>7989138.7999999998</v>
      </c>
      <c r="V1022" s="9">
        <f>Table1[[#This Row], [TOTAL COST]]+_xlfn.XLOOKUP(Table1[[#This Row], [TEAM]],Sheet1!$A$12:$A$17,Sheet1!$I$12:$I$17)</f>
        <v>8285786.2999999998</v>
      </c>
      <c r="W1022" s="9">
        <f>Table1[[#This Row], [LOOT]]-Table1[[#This Row], [TOTAL COST]]</f>
        <v>9560861.1999999993</v>
      </c>
      <c r="X1022" s="9">
        <f>IF(Table1[[#This Row], [PASS/FAIL]]="FAIL",0,Table1[[#This Row], [PROFIT]])</f>
        <v>9560861.1999999993</v>
      </c>
    </row>
    <row r="1023" spans="1:24" ht="19.5" customHeight="1" x14ac:dyDescent="0.45">
      <c r="A1023" t="s">
        <v>15</v>
      </c>
      <c r="B1023" s="14">
        <f>_xlfn.XLOOKUP(Table1[[#This Row], [TEAM]],Sheet1!$A$12:$A$17,Sheet1!$F$12:$F$17)</f>
        <v>2</v>
      </c>
      <c r="C1023" s="14">
        <f>_xlfn.XLOOKUP(Table1[[#This Row], [TEAM]],Sheet1!$A$12:$A$17,Sheet1!$G$12:$G$17)</f>
        <v>5932950</v>
      </c>
      <c r="D1023" t="s">
        <v>25</v>
      </c>
      <c r="E1023" s="4">
        <f>_xlfn.XLOOKUP(Table1[[#This Row], [ROOM]],Sheet1!$A$47:$A$66,Sheet1!$B$47:$B$66)</f>
        <v>126</v>
      </c>
      <c r="F1023" t="s">
        <v>58</v>
      </c>
      <c r="G102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23" s="13" t="s">
        <v>59</v>
      </c>
      <c r="I1023" s="4">
        <f>_xlfn.XLOOKUP(Table1[[#This Row], [WEAPON]],Sheet1!$A$27:$A$29,Sheet1!$B$27:$B$29)*Table1[[#This Row], [NUM OF MEM]]*(1+_xlfn.XLOOKUP(Table1[[#This Row], [WEAPON]],Sheet1!$A$27:$A$29,Sheet1!$C$27:$C$29))</f>
        <v>91000</v>
      </c>
      <c r="J1023" t="s">
        <v>60</v>
      </c>
      <c r="K1023" s="9">
        <f>Table1[[#This Row], [NUM OF MEM]]*Table1[[#This Row], [TOTAL TIME TAKEN]]*_xlfn.XLOOKUP(Table1[[#This Row], [EXIT]],Sheet1!$A$70:$A$71,Sheet1!$B$70:$B$71)*(1+_xlfn.XLOOKUP(Table1[[#This Row], [EXIT]],Sheet1!$A$70:$A$71,Sheet1!$C$70:$C$71))</f>
        <v>1632358.1624999996</v>
      </c>
      <c r="L1023" s="13" t="s">
        <v>65</v>
      </c>
      <c r="M1023" s="4">
        <f>IF(Table1[[#This Row], [EQUIPMENT]]="YES",Sheet1!$C$44*(1+Sheet1!$D$44),0)</f>
        <v>307500</v>
      </c>
      <c r="N1023" s="4">
        <f>_xlfn.XLOOKUP(Table1[[#This Row], [ROOM]],Sheet1!$A$47:$A$66,Sheet1!$F$47:$F$66)</f>
        <v>17550000</v>
      </c>
      <c r="O1023" s="9">
        <f>_xlfn.XLOOKUP(_xlfn.CONCAT(Table1[[#This Row], [TEAM]],Table1[[#This Row], [ROOM]]),'ROOM TIME'!$H$2:$H$121,'ROOM TIME'!$J$2:$J$121)</f>
        <v>57.277499999999989</v>
      </c>
      <c r="P1023" s="9">
        <f>(INDEX(Sheet1!$X$48:$Z$67,MATCH(Table1[[#This Row], [ROOM]],Sheet1!$P$48:$P$67,0),MATCH(Table1[[#This Row], [WEAPON]],Sheet1!$X$47:$Z$47,0)))/Table1[[#This Row], [NUM OF MEM]]</f>
        <v>6.3249999999999993</v>
      </c>
      <c r="Q1023" s="9">
        <f>Table1[[#This Row], [ROOM TIME]]+Table1[[#This Row], [GUARD TIME]]</f>
        <v>63.602499999999992</v>
      </c>
      <c r="R1023" s="4">
        <f>Sheet1!$K$3*_xlfn.XLOOKUP(Table1[[#This Row], [DISGUISE]],Sheet1!$A$21:$A$23,Sheet1!$D$21:$D$23)</f>
        <v>69</v>
      </c>
      <c r="S1023" s="9">
        <f>Table1[[#This Row], [TOTAL TIME]]-Table1[[#This Row], [TOTAL TIME TAKEN]]</f>
        <v>5.397500000000008</v>
      </c>
      <c r="T1023" t="str">
        <f>IF(Table1[[#This Row], [TIME DIFFERENCE]]&gt;=0,"PASS","FAIL")</f>
        <v>PASS</v>
      </c>
      <c r="U1023" s="9">
        <f>Table1[[#This Row], [TRC]]+Table1[[#This Row], [DRC]]+Table1[[#This Row], [WRC]]+Table1[[#This Row], [ERC]]+Table1[[#This Row], [EQRC]]</f>
        <v>7989408.1624999996</v>
      </c>
      <c r="V1023" s="9">
        <f>Table1[[#This Row], [TOTAL COST]]+_xlfn.XLOOKUP(Table1[[#This Row], [TEAM]],Sheet1!$A$12:$A$17,Sheet1!$I$12:$I$17)</f>
        <v>8286055.6624999996</v>
      </c>
      <c r="W1023" s="9">
        <f>Table1[[#This Row], [LOOT]]-Table1[[#This Row], [TOTAL COST]]</f>
        <v>9560591.8375000004</v>
      </c>
      <c r="X1023" s="9">
        <f>IF(Table1[[#This Row], [PASS/FAIL]]="FAIL",0,Table1[[#This Row], [PROFIT]])</f>
        <v>9560591.8375000004</v>
      </c>
    </row>
    <row r="1024" spans="1:24" ht="19.5" customHeight="1" x14ac:dyDescent="0.45">
      <c r="A1024" t="s">
        <v>9</v>
      </c>
      <c r="B1024" s="14">
        <f>_xlfn.XLOOKUP(Table1[[#This Row], [TEAM]],Sheet1!$A$12:$A$17,Sheet1!$F$12:$F$17)</f>
        <v>3</v>
      </c>
      <c r="C1024" s="14">
        <f>_xlfn.XLOOKUP(Table1[[#This Row], [TEAM]],Sheet1!$A$12:$A$17,Sheet1!$G$12:$G$17)</f>
        <v>6238750</v>
      </c>
      <c r="D1024" t="s">
        <v>20</v>
      </c>
      <c r="E1024" s="4">
        <f>_xlfn.XLOOKUP(Table1[[#This Row], [ROOM]],Sheet1!$A$47:$A$66,Sheet1!$B$47:$B$66)</f>
        <v>145</v>
      </c>
      <c r="F1024" t="s">
        <v>58</v>
      </c>
      <c r="G1024" s="4">
        <f>_xlfn.XLOOKUP(Table1[[#This Row], [DISGUISE]],Sheet1!$A$21:$A$23,Sheet1!$B$21:$B$23)*Table1[[#This Row], [NUM OF MEM]]*(1+_xlfn.XLOOKUP(Table1[[#This Row], [DISGUISE]],Sheet1!$A$21:$A$23,Sheet1!$C$21:$C$23))</f>
        <v>38400</v>
      </c>
      <c r="H1024" s="13" t="s">
        <v>63</v>
      </c>
      <c r="I1024" s="4">
        <f>_xlfn.XLOOKUP(Table1[[#This Row], [WEAPON]],Sheet1!$A$27:$A$29,Sheet1!$B$27:$B$29)*Table1[[#This Row], [NUM OF MEM]]*(1+_xlfn.XLOOKUP(Table1[[#This Row], [WEAPON]],Sheet1!$A$27:$A$29,Sheet1!$C$27:$C$29))</f>
        <v>69000</v>
      </c>
      <c r="J1024" t="s">
        <v>64</v>
      </c>
      <c r="K1024" s="9">
        <f>Table1[[#This Row], [NUM OF MEM]]*Table1[[#This Row], [TOTAL TIME TAKEN]]*_xlfn.XLOOKUP(Table1[[#This Row], [EXIT]],Sheet1!$A$70:$A$71,Sheet1!$B$70:$B$71)*(1+_xlfn.XLOOKUP(Table1[[#This Row], [EXIT]],Sheet1!$A$70:$A$71,Sheet1!$C$70:$C$71))</f>
        <v>1643306.3999999997</v>
      </c>
      <c r="L1024" s="13" t="s">
        <v>61</v>
      </c>
      <c r="M1024" s="4">
        <f>IF(Table1[[#This Row], [EQUIPMENT]]="YES",Sheet1!$C$44*(1+Sheet1!$D$44),0)</f>
        <v>0</v>
      </c>
      <c r="N1024" s="4">
        <f>_xlfn.XLOOKUP(Table1[[#This Row], [ROOM]],Sheet1!$A$47:$A$66,Sheet1!$F$47:$F$66)</f>
        <v>17550000</v>
      </c>
      <c r="O1024" s="9">
        <f>_xlfn.XLOOKUP(_xlfn.CONCAT(Table1[[#This Row], [TEAM]],Table1[[#This Row], [ROOM]]),'ROOM TIME'!$H$2:$H$121,'ROOM TIME'!$J$2:$J$121)</f>
        <v>37.766111111111101</v>
      </c>
      <c r="P1024" s="9">
        <f>(INDEX(Sheet1!$X$48:$Z$67,MATCH(Table1[[#This Row], [ROOM]],Sheet1!$P$48:$P$67,0),MATCH(Table1[[#This Row], [WEAPON]],Sheet1!$X$47:$Z$47,0)))/Table1[[#This Row], [NUM OF MEM]]</f>
        <v>4.5</v>
      </c>
      <c r="Q1024" s="9">
        <f>Table1[[#This Row], [ROOM TIME]]+Table1[[#This Row], [GUARD TIME]]</f>
        <v>42.266111111111101</v>
      </c>
      <c r="R1024" s="4">
        <f>Sheet1!$K$3*_xlfn.XLOOKUP(Table1[[#This Row], [DISGUISE]],Sheet1!$A$21:$A$23,Sheet1!$D$21:$D$23)</f>
        <v>69</v>
      </c>
      <c r="S1024" s="9">
        <f>Table1[[#This Row], [TOTAL TIME]]-Table1[[#This Row], [TOTAL TIME TAKEN]]</f>
        <v>26.733888888888899</v>
      </c>
      <c r="T1024" t="str">
        <f>IF(Table1[[#This Row], [TIME DIFFERENCE]]&gt;=0,"PASS","FAIL")</f>
        <v>PASS</v>
      </c>
      <c r="U1024" s="9">
        <f>Table1[[#This Row], [TRC]]+Table1[[#This Row], [DRC]]+Table1[[#This Row], [WRC]]+Table1[[#This Row], [ERC]]+Table1[[#This Row], [EQRC]]</f>
        <v>7989456.3999999994</v>
      </c>
      <c r="V1024" s="9">
        <f>Table1[[#This Row], [TOTAL COST]]+_xlfn.XLOOKUP(Table1[[#This Row], [TEAM]],Sheet1!$A$12:$A$17,Sheet1!$I$12:$I$17)</f>
        <v>8301393.8999999994</v>
      </c>
      <c r="W1024" s="9">
        <f>Table1[[#This Row], [LOOT]]-Table1[[#This Row], [TOTAL COST]]</f>
        <v>9560543.6000000015</v>
      </c>
      <c r="X1024" s="9">
        <f>IF(Table1[[#This Row], [PASS/FAIL]]="FAIL",0,Table1[[#This Row], [PROFIT]])</f>
        <v>9560543.6000000015</v>
      </c>
    </row>
    <row r="1025" spans="1:24" ht="19.5" customHeight="1" x14ac:dyDescent="0.45">
      <c r="A1025" t="s">
        <v>12</v>
      </c>
      <c r="B1025" s="14">
        <f>_xlfn.XLOOKUP(Table1[[#This Row], [TEAM]],Sheet1!$A$12:$A$17,Sheet1!$F$12:$F$17)</f>
        <v>3</v>
      </c>
      <c r="C1025" s="14">
        <f>_xlfn.XLOOKUP(Table1[[#This Row], [TEAM]],Sheet1!$A$12:$A$17,Sheet1!$G$12:$G$17)</f>
        <v>5988750</v>
      </c>
      <c r="D1025" t="s">
        <v>23</v>
      </c>
      <c r="E1025" s="4">
        <f>_xlfn.XLOOKUP(Table1[[#This Row], [ROOM]],Sheet1!$A$47:$A$66,Sheet1!$B$47:$B$66)</f>
        <v>245</v>
      </c>
      <c r="F1025" t="s">
        <v>62</v>
      </c>
      <c r="G1025" s="4">
        <f>_xlfn.XLOOKUP(Table1[[#This Row], [DISGUISE]],Sheet1!$A$21:$A$23,Sheet1!$B$21:$B$23)*Table1[[#This Row], [NUM OF MEM]]*(1+_xlfn.XLOOKUP(Table1[[#This Row], [DISGUISE]],Sheet1!$A$21:$A$23,Sheet1!$C$21:$C$23))</f>
        <v>15600</v>
      </c>
      <c r="H1025" s="13" t="s">
        <v>59</v>
      </c>
      <c r="I1025" s="4">
        <f>_xlfn.XLOOKUP(Table1[[#This Row], [WEAPON]],Sheet1!$A$27:$A$29,Sheet1!$B$27:$B$29)*Table1[[#This Row], [NUM OF MEM]]*(1+_xlfn.XLOOKUP(Table1[[#This Row], [WEAPON]],Sheet1!$A$27:$A$29,Sheet1!$C$27:$C$29))</f>
        <v>136500</v>
      </c>
      <c r="J1025" t="s">
        <v>60</v>
      </c>
      <c r="K1025" s="9">
        <f>Table1[[#This Row], [NUM OF MEM]]*Table1[[#This Row], [TOTAL TIME TAKEN]]*_xlfn.XLOOKUP(Table1[[#This Row], [EXIT]],Sheet1!$A$70:$A$71,Sheet1!$B$70:$B$71)*(1+_xlfn.XLOOKUP(Table1[[#This Row], [EXIT]],Sheet1!$A$70:$A$71,Sheet1!$C$70:$C$71))</f>
        <v>1698894.6749999993</v>
      </c>
      <c r="L1025" s="13" t="s">
        <v>61</v>
      </c>
      <c r="M1025" s="4">
        <f>IF(Table1[[#This Row], [EQUIPMENT]]="YES",Sheet1!$C$44*(1+Sheet1!$D$44),0)</f>
        <v>0</v>
      </c>
      <c r="N1025" s="4">
        <f>_xlfn.XLOOKUP(Table1[[#This Row], [ROOM]],Sheet1!$A$47:$A$66,Sheet1!$F$47:$F$66)</f>
        <v>17400000</v>
      </c>
      <c r="O1025" s="9">
        <f>_xlfn.XLOOKUP(_xlfn.CONCAT(Table1[[#This Row], [TEAM]],Table1[[#This Row], [ROOM]]),'ROOM TIME'!$H$2:$H$121,'ROOM TIME'!$J$2:$J$121)</f>
        <v>39.91333333333332</v>
      </c>
      <c r="P1025" s="9">
        <f>(INDEX(Sheet1!$X$48:$Z$67,MATCH(Table1[[#This Row], [ROOM]],Sheet1!$P$48:$P$67,0),MATCH(Table1[[#This Row], [WEAPON]],Sheet1!$X$47:$Z$47,0)))/Table1[[#This Row], [NUM OF MEM]]</f>
        <v>4.2166666666666659</v>
      </c>
      <c r="Q1025" s="9">
        <f>Table1[[#This Row], [ROOM TIME]]+Table1[[#This Row], [GUARD TIME]]</f>
        <v>44.129999999999988</v>
      </c>
      <c r="R1025" s="4">
        <f>Sheet1!$K$3*_xlfn.XLOOKUP(Table1[[#This Row], [DISGUISE]],Sheet1!$A$21:$A$23,Sheet1!$D$21:$D$23)</f>
        <v>66</v>
      </c>
      <c r="S1025" s="9">
        <f>Table1[[#This Row], [TOTAL TIME]]-Table1[[#This Row], [TOTAL TIME TAKEN]]</f>
        <v>21.870000000000012</v>
      </c>
      <c r="T1025" t="str">
        <f>IF(Table1[[#This Row], [TIME DIFFERENCE]]&gt;=0,"PASS","FAIL")</f>
        <v>PASS</v>
      </c>
      <c r="U1025" s="9">
        <f>Table1[[#This Row], [TRC]]+Table1[[#This Row], [DRC]]+Table1[[#This Row], [WRC]]+Table1[[#This Row], [ERC]]+Table1[[#This Row], [EQRC]]</f>
        <v>7839744.6749999989</v>
      </c>
      <c r="V1025" s="9">
        <f>Table1[[#This Row], [TOTAL COST]]+_xlfn.XLOOKUP(Table1[[#This Row], [TEAM]],Sheet1!$A$12:$A$17,Sheet1!$I$12:$I$17)</f>
        <v>8139182.1749999989</v>
      </c>
      <c r="W1025" s="9">
        <f>Table1[[#This Row], [LOOT]]-Table1[[#This Row], [TOTAL COST]]</f>
        <v>9560255.3250000011</v>
      </c>
      <c r="X1025" s="9">
        <f>IF(Table1[[#This Row], [PASS/FAIL]]="FAIL",0,Table1[[#This Row], [PROFIT]])</f>
        <v>9560255.3250000011</v>
      </c>
    </row>
    <row r="1026" spans="1:24" ht="19.5" customHeight="1" x14ac:dyDescent="0.45">
      <c r="A1026" t="s">
        <v>13</v>
      </c>
      <c r="B1026" s="14">
        <f>_xlfn.XLOOKUP(Table1[[#This Row], [TEAM]],Sheet1!$A$12:$A$17,Sheet1!$F$12:$F$17)</f>
        <v>3</v>
      </c>
      <c r="C1026" s="14">
        <f>_xlfn.XLOOKUP(Table1[[#This Row], [TEAM]],Sheet1!$A$12:$A$17,Sheet1!$G$12:$G$17)</f>
        <v>5930000</v>
      </c>
      <c r="D1026" t="s">
        <v>11</v>
      </c>
      <c r="E1026" s="4">
        <f>_xlfn.XLOOKUP(Table1[[#This Row], [ROOM]],Sheet1!$A$47:$A$66,Sheet1!$B$47:$B$66)</f>
        <v>124</v>
      </c>
      <c r="F1026" t="s">
        <v>58</v>
      </c>
      <c r="G1026" s="4">
        <f>_xlfn.XLOOKUP(Table1[[#This Row], [DISGUISE]],Sheet1!$A$21:$A$23,Sheet1!$B$21:$B$23)*Table1[[#This Row], [NUM OF MEM]]*(1+_xlfn.XLOOKUP(Table1[[#This Row], [DISGUISE]],Sheet1!$A$21:$A$23,Sheet1!$C$21:$C$23))</f>
        <v>38400</v>
      </c>
      <c r="H1026" s="13" t="s">
        <v>66</v>
      </c>
      <c r="I1026" s="4">
        <f>_xlfn.XLOOKUP(Table1[[#This Row], [WEAPON]],Sheet1!$A$27:$A$29,Sheet1!$B$27:$B$29)*Table1[[#This Row], [NUM OF MEM]]*(1+_xlfn.XLOOKUP(Table1[[#This Row], [WEAPON]],Sheet1!$A$27:$A$29,Sheet1!$C$27:$C$29))</f>
        <v>108000</v>
      </c>
      <c r="J1026" t="s">
        <v>60</v>
      </c>
      <c r="K1026" s="9">
        <f>Table1[[#This Row], [NUM OF MEM]]*Table1[[#This Row], [TOTAL TIME TAKEN]]*_xlfn.XLOOKUP(Table1[[#This Row], [EXIT]],Sheet1!$A$70:$A$71,Sheet1!$B$70:$B$71)*(1+_xlfn.XLOOKUP(Table1[[#This Row], [EXIT]],Sheet1!$A$70:$A$71,Sheet1!$C$70:$C$71))</f>
        <v>1813403.3499999999</v>
      </c>
      <c r="L1026" s="13" t="s">
        <v>61</v>
      </c>
      <c r="M1026" s="4">
        <f>IF(Table1[[#This Row], [EQUIPMENT]]="YES",Sheet1!$C$44*(1+Sheet1!$D$44),0)</f>
        <v>0</v>
      </c>
      <c r="N1026" s="4">
        <f>_xlfn.XLOOKUP(Table1[[#This Row], [ROOM]],Sheet1!$A$47:$A$66,Sheet1!$F$47:$F$66)</f>
        <v>17450000</v>
      </c>
      <c r="O1026" s="9">
        <f>_xlfn.XLOOKUP(_xlfn.CONCAT(Table1[[#This Row], [TEAM]],Table1[[#This Row], [ROOM]]),'ROOM TIME'!$H$2:$H$121,'ROOM TIME'!$J$2:$J$121)</f>
        <v>42.521111111111104</v>
      </c>
      <c r="P1026" s="9">
        <f>(INDEX(Sheet1!$X$48:$Z$67,MATCH(Table1[[#This Row], [ROOM]],Sheet1!$P$48:$P$67,0),MATCH(Table1[[#This Row], [WEAPON]],Sheet1!$X$47:$Z$47,0)))/Table1[[#This Row], [NUM OF MEM]]</f>
        <v>4.583333333333333</v>
      </c>
      <c r="Q1026" s="9">
        <f>Table1[[#This Row], [ROOM TIME]]+Table1[[#This Row], [GUARD TIME]]</f>
        <v>47.104444444444439</v>
      </c>
      <c r="R1026" s="4">
        <f>Sheet1!$K$3*_xlfn.XLOOKUP(Table1[[#This Row], [DISGUISE]],Sheet1!$A$21:$A$23,Sheet1!$D$21:$D$23)</f>
        <v>69</v>
      </c>
      <c r="S1026" s="9">
        <f>Table1[[#This Row], [TOTAL TIME]]-Table1[[#This Row], [TOTAL TIME TAKEN]]</f>
        <v>21.895555555555561</v>
      </c>
      <c r="T1026" t="str">
        <f>IF(Table1[[#This Row], [TIME DIFFERENCE]]&gt;=0,"PASS","FAIL")</f>
        <v>PASS</v>
      </c>
      <c r="U1026" s="9">
        <f>Table1[[#This Row], [TRC]]+Table1[[#This Row], [DRC]]+Table1[[#This Row], [WRC]]+Table1[[#This Row], [ERC]]+Table1[[#This Row], [EQRC]]</f>
        <v>7889803.3499999996</v>
      </c>
      <c r="V1026" s="9">
        <f>Table1[[#This Row], [TOTAL COST]]+_xlfn.XLOOKUP(Table1[[#This Row], [TEAM]],Sheet1!$A$12:$A$17,Sheet1!$I$12:$I$17)</f>
        <v>8186303.3499999996</v>
      </c>
      <c r="W1026" s="9">
        <f>Table1[[#This Row], [LOOT]]-Table1[[#This Row], [TOTAL COST]]</f>
        <v>9560196.6500000004</v>
      </c>
      <c r="X1026" s="9">
        <f>IF(Table1[[#This Row], [PASS/FAIL]]="FAIL",0,Table1[[#This Row], [PROFIT]])</f>
        <v>9560196.6500000004</v>
      </c>
    </row>
    <row r="1027" spans="1:24" ht="19.5" customHeight="1" x14ac:dyDescent="0.45">
      <c r="A1027" t="s">
        <v>13</v>
      </c>
      <c r="B1027" s="14">
        <f>_xlfn.XLOOKUP(Table1[[#This Row], [TEAM]],Sheet1!$A$12:$A$17,Sheet1!$F$12:$F$17)</f>
        <v>3</v>
      </c>
      <c r="C1027" s="14">
        <f>_xlfn.XLOOKUP(Table1[[#This Row], [TEAM]],Sheet1!$A$12:$A$17,Sheet1!$G$12:$G$17)</f>
        <v>5930000</v>
      </c>
      <c r="D1027" t="s">
        <v>22</v>
      </c>
      <c r="E1027" s="4">
        <f>_xlfn.XLOOKUP(Table1[[#This Row], [ROOM]],Sheet1!$A$47:$A$66,Sheet1!$B$47:$B$66)</f>
        <v>235</v>
      </c>
      <c r="F1027" t="s">
        <v>58</v>
      </c>
      <c r="G1027" s="4">
        <f>_xlfn.XLOOKUP(Table1[[#This Row], [DISGUISE]],Sheet1!$A$21:$A$23,Sheet1!$B$21:$B$23)*Table1[[#This Row], [NUM OF MEM]]*(1+_xlfn.XLOOKUP(Table1[[#This Row], [DISGUISE]],Sheet1!$A$21:$A$23,Sheet1!$C$21:$C$23))</f>
        <v>38400</v>
      </c>
      <c r="H1027" s="13" t="s">
        <v>66</v>
      </c>
      <c r="I1027" s="4">
        <f>_xlfn.XLOOKUP(Table1[[#This Row], [WEAPON]],Sheet1!$A$27:$A$29,Sheet1!$B$27:$B$29)*Table1[[#This Row], [NUM OF MEM]]*(1+_xlfn.XLOOKUP(Table1[[#This Row], [WEAPON]],Sheet1!$A$27:$A$29,Sheet1!$C$27:$C$29))</f>
        <v>108000</v>
      </c>
      <c r="J1027" t="s">
        <v>60</v>
      </c>
      <c r="K1027" s="9">
        <f>Table1[[#This Row], [NUM OF MEM]]*Table1[[#This Row], [TOTAL TIME TAKEN]]*_xlfn.XLOOKUP(Table1[[#This Row], [EXIT]],Sheet1!$A$70:$A$71,Sheet1!$B$70:$B$71)*(1+_xlfn.XLOOKUP(Table1[[#This Row], [EXIT]],Sheet1!$A$70:$A$71,Sheet1!$C$70:$C$71))</f>
        <v>1856028.6375</v>
      </c>
      <c r="L1027" s="13" t="s">
        <v>65</v>
      </c>
      <c r="M1027" s="4">
        <f>IF(Table1[[#This Row], [EQUIPMENT]]="YES",Sheet1!$C$44*(1+Sheet1!$D$44),0)</f>
        <v>307500</v>
      </c>
      <c r="N1027" s="4">
        <f>_xlfn.XLOOKUP(Table1[[#This Row], [ROOM]],Sheet1!$A$47:$A$66,Sheet1!$F$47:$F$66)</f>
        <v>17800000</v>
      </c>
      <c r="O1027" s="9">
        <f>_xlfn.XLOOKUP(_xlfn.CONCAT(Table1[[#This Row], [TEAM]],Table1[[#This Row], [ROOM]]),'ROOM TIME'!$H$2:$H$121,'ROOM TIME'!$J$2:$J$121)</f>
        <v>43.211666666666666</v>
      </c>
      <c r="P1027" s="4">
        <f>(INDEX(Sheet1!$X$48:$Z$67,MATCH(Table1[[#This Row], [ROOM]],Sheet1!$P$48:$P$67,0),MATCH(Table1[[#This Row], [WEAPON]],Sheet1!$X$47:$Z$47,0)))/Table1[[#This Row], [NUM OF MEM]]</f>
        <v>5</v>
      </c>
      <c r="Q1027" s="9">
        <f>Table1[[#This Row], [ROOM TIME]]+Table1[[#This Row], [GUARD TIME]]</f>
        <v>48.211666666666666</v>
      </c>
      <c r="R1027" s="4">
        <f>Sheet1!$K$3*_xlfn.XLOOKUP(Table1[[#This Row], [DISGUISE]],Sheet1!$A$21:$A$23,Sheet1!$D$21:$D$23)</f>
        <v>69</v>
      </c>
      <c r="S1027" s="9">
        <f>Table1[[#This Row], [TOTAL TIME]]-Table1[[#This Row], [TOTAL TIME TAKEN]]</f>
        <v>20.788333333333334</v>
      </c>
      <c r="T1027" t="str">
        <f>IF(Table1[[#This Row], [TIME DIFFERENCE]]&gt;=0,"PASS","FAIL")</f>
        <v>PASS</v>
      </c>
      <c r="U1027" s="9">
        <f>Table1[[#This Row], [TRC]]+Table1[[#This Row], [DRC]]+Table1[[#This Row], [WRC]]+Table1[[#This Row], [ERC]]+Table1[[#This Row], [EQRC]]</f>
        <v>8239928.6375000002</v>
      </c>
      <c r="V1027" s="9">
        <f>Table1[[#This Row], [TOTAL COST]]+_xlfn.XLOOKUP(Table1[[#This Row], [TEAM]],Sheet1!$A$12:$A$17,Sheet1!$I$12:$I$17)</f>
        <v>8536428.6374999993</v>
      </c>
      <c r="W1027" s="9">
        <f>Table1[[#This Row], [LOOT]]-Table1[[#This Row], [TOTAL COST]]</f>
        <v>9560071.3625000007</v>
      </c>
      <c r="X1027" s="9">
        <f>IF(Table1[[#This Row], [PASS/FAIL]]="FAIL",0,Table1[[#This Row], [PROFIT]])</f>
        <v>9560071.3625000007</v>
      </c>
    </row>
    <row r="1028" spans="1:24" ht="19.5" customHeight="1" x14ac:dyDescent="0.45">
      <c r="A1028" t="s">
        <v>12</v>
      </c>
      <c r="B1028" s="14">
        <f>_xlfn.XLOOKUP(Table1[[#This Row], [TEAM]],Sheet1!$A$12:$A$17,Sheet1!$F$12:$F$17)</f>
        <v>3</v>
      </c>
      <c r="C1028" s="14">
        <f>_xlfn.XLOOKUP(Table1[[#This Row], [TEAM]],Sheet1!$A$12:$A$17,Sheet1!$G$12:$G$17)</f>
        <v>5988750</v>
      </c>
      <c r="D1028" t="s">
        <v>22</v>
      </c>
      <c r="E1028" s="4">
        <f>_xlfn.XLOOKUP(Table1[[#This Row], [ROOM]],Sheet1!$A$47:$A$66,Sheet1!$B$47:$B$66)</f>
        <v>235</v>
      </c>
      <c r="F1028" t="s">
        <v>62</v>
      </c>
      <c r="G1028" s="4">
        <f>_xlfn.XLOOKUP(Table1[[#This Row], [DISGUISE]],Sheet1!$A$21:$A$23,Sheet1!$B$21:$B$23)*Table1[[#This Row], [NUM OF MEM]]*(1+_xlfn.XLOOKUP(Table1[[#This Row], [DISGUISE]],Sheet1!$A$21:$A$23,Sheet1!$C$21:$C$23))</f>
        <v>15600</v>
      </c>
      <c r="H1028" s="13" t="s">
        <v>59</v>
      </c>
      <c r="I1028" s="4">
        <f>_xlfn.XLOOKUP(Table1[[#This Row], [WEAPON]],Sheet1!$A$27:$A$29,Sheet1!$B$27:$B$29)*Table1[[#This Row], [NUM OF MEM]]*(1+_xlfn.XLOOKUP(Table1[[#This Row], [WEAPON]],Sheet1!$A$27:$A$29,Sheet1!$C$27:$C$29))</f>
        <v>136500</v>
      </c>
      <c r="J1028" t="s">
        <v>64</v>
      </c>
      <c r="K1028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1791590.3999999994</v>
      </c>
      <c r="L1028" s="13" t="s">
        <v>65</v>
      </c>
      <c r="M1028" s="4">
        <f>IF(Table1[[#This Row], [EQUIPMENT]]="YES",Sheet1!$C$44*(1+Sheet1!$D$44),0)</f>
        <v>307500</v>
      </c>
      <c r="N1028" s="4">
        <f>_xlfn.XLOOKUP(Table1[[#This Row], [ROOM]],Sheet1!$A$47:$A$66,Sheet1!$F$47:$F$66)</f>
        <v>17800000</v>
      </c>
      <c r="O1028" s="9">
        <f>_xlfn.XLOOKUP(_xlfn.CONCAT(Table1[[#This Row], [TEAM]],Table1[[#This Row], [ROOM]]),'ROOM TIME'!$H$2:$H$121,'ROOM TIME'!$J$2:$J$121)</f>
        <v>41.479999999999983</v>
      </c>
      <c r="P1028" s="9">
        <f>(INDEX(Sheet1!$X$48:$Z$67,MATCH(Table1[[#This Row], [ROOM]],Sheet1!$P$48:$P$67,0),MATCH(Table1[[#This Row], [WEAPON]],Sheet1!$X$47:$Z$47,0)))/Table1[[#This Row], [NUM OF MEM]]</f>
        <v>4.5999999999999996</v>
      </c>
      <c r="Q1028" s="9">
        <f>Table1[[#This Row], [ROOM TIME]]+Table1[[#This Row], [GUARD TIME]]</f>
        <v>46.079999999999984</v>
      </c>
      <c r="R1028" s="4">
        <f>Sheet1!$K$3*_xlfn.XLOOKUP(Table1[[#This Row], [DISGUISE]],Sheet1!$A$21:$A$23,Sheet1!$D$21:$D$23)</f>
        <v>66</v>
      </c>
      <c r="S1028" s="9">
        <f>Table1[[#This Row], [TOTAL TIME]]-Table1[[#This Row], [TOTAL TIME TAKEN]]</f>
        <v>19.920000000000016</v>
      </c>
      <c r="T1028" t="str">
        <f>IF(Table1[[#This Row], [TIME DIFFERENCE]]&gt;=0,"PASS","FAIL")</f>
        <v>PASS</v>
      </c>
      <c r="U1028" s="9">
        <f>Table1[[#This Row], [TRC]]+Table1[[#This Row], [DRC]]+Table1[[#This Row], [WRC]]+Table1[[#This Row], [ERC]]+Table1[[#This Row], [EQRC]]</f>
        <v>8239940.3999999994</v>
      </c>
      <c r="V1028" s="9">
        <f>Table1[[#This Row], [TOTAL COST]]+_xlfn.XLOOKUP(Table1[[#This Row], [TEAM]],Sheet1!$A$12:$A$17,Sheet1!$I$12:$I$17)</f>
        <v>8539377.8999999985</v>
      </c>
      <c r="W1028" s="9">
        <f>Table1[[#This Row], [LOOT]]-Table1[[#This Row], [TOTAL COST]]</f>
        <v>9560059.6000000015</v>
      </c>
      <c r="X1028" s="9">
        <f>IF(Table1[[#This Row], [PASS/FAIL]]="FAIL",0,Table1[[#This Row], [PROFIT]])</f>
        <v>9560059.6000000015</v>
      </c>
    </row>
    <row r="1029" spans="1:24" ht="19.5" customHeight="1" x14ac:dyDescent="0.45">
      <c r="A1029" t="s">
        <v>14</v>
      </c>
      <c r="B1029" s="14">
        <f>_xlfn.XLOOKUP(Table1[[#This Row], [TEAM]],Sheet1!$A$12:$A$17,Sheet1!$F$12:$F$17)</f>
        <v>2</v>
      </c>
      <c r="C1029" s="14">
        <f>_xlfn.XLOOKUP(Table1[[#This Row], [TEAM]],Sheet1!$A$12:$A$17,Sheet1!$G$12:$G$17)</f>
        <v>5949600</v>
      </c>
      <c r="D1029" t="s">
        <v>25</v>
      </c>
      <c r="E1029" s="4">
        <f>_xlfn.XLOOKUP(Table1[[#This Row], [ROOM]],Sheet1!$A$47:$A$66,Sheet1!$B$47:$B$66)</f>
        <v>126</v>
      </c>
      <c r="F1029" t="s">
        <v>58</v>
      </c>
      <c r="G10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029" s="13" t="s">
        <v>66</v>
      </c>
      <c r="I1029" s="4">
        <f>_xlfn.XLOOKUP(Table1[[#This Row], [WEAPON]],Sheet1!$A$27:$A$29,Sheet1!$B$27:$B$29)*Table1[[#This Row], [NUM OF MEM]]*(1+_xlfn.XLOOKUP(Table1[[#This Row], [WEAPON]],Sheet1!$A$27:$A$29,Sheet1!$C$27:$C$29))</f>
        <v>72000</v>
      </c>
      <c r="J1029" t="s">
        <v>60</v>
      </c>
      <c r="K1029" s="9">
        <f>Table1[[#This Row], [NUM OF MEM]]*Table1[[#This Row], [TOTAL TIME TAKEN]]*_xlfn.XLOOKUP(Table1[[#This Row], [EXIT]],Sheet1!$A$70:$A$71,Sheet1!$B$70:$B$71)*(1+_xlfn.XLOOKUP(Table1[[#This Row], [EXIT]],Sheet1!$A$70:$A$71,Sheet1!$C$70:$C$71))</f>
        <v>1635437.9624999997</v>
      </c>
      <c r="L1029" s="13" t="s">
        <v>65</v>
      </c>
      <c r="M1029" s="4">
        <f>IF(Table1[[#This Row], [EQUIPMENT]]="YES",Sheet1!$C$44*(1+Sheet1!$D$44),0)</f>
        <v>307500</v>
      </c>
      <c r="N1029" s="4">
        <f>_xlfn.XLOOKUP(Table1[[#This Row], [ROOM]],Sheet1!$A$47:$A$66,Sheet1!$F$47:$F$66)</f>
        <v>17550000</v>
      </c>
      <c r="O1029" s="9">
        <f>_xlfn.XLOOKUP(_xlfn.CONCAT(Table1[[#This Row], [TEAM]],Table1[[#This Row], [ROOM]]),'ROOM TIME'!$H$2:$H$121,'ROOM TIME'!$J$2:$J$121)</f>
        <v>56.847499999999989</v>
      </c>
      <c r="P1029" s="9">
        <f>(INDEX(Sheet1!$X$48:$Z$67,MATCH(Table1[[#This Row], [ROOM]],Sheet1!$P$48:$P$67,0),MATCH(Table1[[#This Row], [WEAPON]],Sheet1!$X$47:$Z$47,0)))/Table1[[#This Row], [NUM OF MEM]]</f>
        <v>6.875</v>
      </c>
      <c r="Q1029" s="9">
        <f>Table1[[#This Row], [ROOM TIME]]+Table1[[#This Row], [GUARD TIME]]</f>
        <v>63.722499999999989</v>
      </c>
      <c r="R1029" s="4">
        <f>Sheet1!$K$3*_xlfn.XLOOKUP(Table1[[#This Row], [DISGUISE]],Sheet1!$A$21:$A$23,Sheet1!$D$21:$D$23)</f>
        <v>69</v>
      </c>
      <c r="S1029" s="9">
        <f>Table1[[#This Row], [TOTAL TIME]]-Table1[[#This Row], [TOTAL TIME TAKEN]]</f>
        <v>5.2775000000000105</v>
      </c>
      <c r="T1029" t="str">
        <f>IF(Table1[[#This Row], [TIME DIFFERENCE]]&gt;=0,"PASS","FAIL")</f>
        <v>PASS</v>
      </c>
      <c r="U1029" s="9">
        <f>Table1[[#This Row], [TRC]]+Table1[[#This Row], [DRC]]+Table1[[#This Row], [WRC]]+Table1[[#This Row], [ERC]]+Table1[[#This Row], [EQRC]]</f>
        <v>7990137.9624999994</v>
      </c>
      <c r="V1029" s="9">
        <f>Table1[[#This Row], [TOTAL COST]]+_xlfn.XLOOKUP(Table1[[#This Row], [TEAM]],Sheet1!$A$12:$A$17,Sheet1!$I$12:$I$17)</f>
        <v>8287617.9624999994</v>
      </c>
      <c r="W1029" s="9">
        <f>Table1[[#This Row], [LOOT]]-Table1[[#This Row], [TOTAL COST]]</f>
        <v>9559862.0375000015</v>
      </c>
      <c r="X1029" s="9">
        <f>IF(Table1[[#This Row], [PASS/FAIL]]="FAIL",0,Table1[[#This Row], [PROFIT]])</f>
        <v>9559862.0375000015</v>
      </c>
    </row>
    <row r="1030" spans="1:24" ht="19.5" customHeight="1" x14ac:dyDescent="0.45">
      <c r="A1030" t="s">
        <v>9</v>
      </c>
      <c r="B1030" s="14">
        <f>_xlfn.XLOOKUP(Table1[[#This Row], [TEAM]],Sheet1!$A$12:$A$17,Sheet1!$F$12:$F$17)</f>
        <v>3</v>
      </c>
      <c r="C1030" s="14">
        <f>_xlfn.XLOOKUP(Table1[[#This Row], [TEAM]],Sheet1!$A$12:$A$17,Sheet1!$G$12:$G$17)</f>
        <v>6238750</v>
      </c>
      <c r="D1030" t="s">
        <v>27</v>
      </c>
      <c r="E1030" s="4">
        <f>_xlfn.XLOOKUP(Table1[[#This Row], [ROOM]],Sheet1!$A$47:$A$66,Sheet1!$B$47:$B$66)</f>
        <v>146</v>
      </c>
      <c r="F1030" t="s">
        <v>62</v>
      </c>
      <c r="G1030" s="4">
        <f>_xlfn.XLOOKUP(Table1[[#This Row], [DISGUISE]],Sheet1!$A$21:$A$23,Sheet1!$B$21:$B$23)*Table1[[#This Row], [NUM OF MEM]]*(1+_xlfn.XLOOKUP(Table1[[#This Row], [DISGUISE]],Sheet1!$A$21:$A$23,Sheet1!$C$21:$C$23))</f>
        <v>15600</v>
      </c>
      <c r="H1030" s="13" t="s">
        <v>63</v>
      </c>
      <c r="I1030" s="4">
        <f>_xlfn.XLOOKUP(Table1[[#This Row], [WEAPON]],Sheet1!$A$27:$A$29,Sheet1!$B$27:$B$29)*Table1[[#This Row], [NUM OF MEM]]*(1+_xlfn.XLOOKUP(Table1[[#This Row], [WEAPON]],Sheet1!$A$27:$A$29,Sheet1!$C$27:$C$29))</f>
        <v>69000</v>
      </c>
      <c r="J1030" t="s">
        <v>60</v>
      </c>
      <c r="K1030" s="9">
        <f>Table1[[#This Row], [NUM OF MEM]]*Table1[[#This Row], [TOTAL TIME TAKEN]]*_xlfn.XLOOKUP(Table1[[#This Row], [EXIT]],Sheet1!$A$70:$A$71,Sheet1!$B$70:$B$71)*(1+_xlfn.XLOOKUP(Table1[[#This Row], [EXIT]],Sheet1!$A$70:$A$71,Sheet1!$C$70:$C$71))</f>
        <v>1559512.3374999997</v>
      </c>
      <c r="L1030" s="13" t="s">
        <v>65</v>
      </c>
      <c r="M1030" s="4">
        <f>IF(Table1[[#This Row], [EQUIPMENT]]="YES",Sheet1!$C$44*(1+Sheet1!$D$44),0)</f>
        <v>307500</v>
      </c>
      <c r="N1030" s="4">
        <f>_xlfn.XLOOKUP(Table1[[#This Row], [ROOM]],Sheet1!$A$47:$A$66,Sheet1!$F$47:$F$66)</f>
        <v>17750000</v>
      </c>
      <c r="O1030" s="9">
        <f>_xlfn.XLOOKUP(_xlfn.CONCAT(Table1[[#This Row], [TEAM]],Table1[[#This Row], [ROOM]]),'ROOM TIME'!$H$2:$H$121,'ROOM TIME'!$J$2:$J$121)</f>
        <v>35.559444444444431</v>
      </c>
      <c r="P1030" s="9">
        <f>(INDEX(Sheet1!$X$48:$Z$67,MATCH(Table1[[#This Row], [ROOM]],Sheet1!$P$48:$P$67,0),MATCH(Table1[[#This Row], [WEAPON]],Sheet1!$X$47:$Z$47,0)))/Table1[[#This Row], [NUM OF MEM]]</f>
        <v>4.95</v>
      </c>
      <c r="Q1030" s="9">
        <f>Table1[[#This Row], [ROOM TIME]]+Table1[[#This Row], [GUARD TIME]]</f>
        <v>40.509444444444433</v>
      </c>
      <c r="R1030" s="4">
        <f>Sheet1!$K$3*_xlfn.XLOOKUP(Table1[[#This Row], [DISGUISE]],Sheet1!$A$21:$A$23,Sheet1!$D$21:$D$23)</f>
        <v>66</v>
      </c>
      <c r="S1030" s="9">
        <f>Table1[[#This Row], [TOTAL TIME]]-Table1[[#This Row], [TOTAL TIME TAKEN]]</f>
        <v>25.490555555555567</v>
      </c>
      <c r="T1030" t="str">
        <f>IF(Table1[[#This Row], [TIME DIFFERENCE]]&gt;=0,"PASS","FAIL")</f>
        <v>PASS</v>
      </c>
      <c r="U1030" s="9">
        <f>Table1[[#This Row], [TRC]]+Table1[[#This Row], [DRC]]+Table1[[#This Row], [WRC]]+Table1[[#This Row], [ERC]]+Table1[[#This Row], [EQRC]]</f>
        <v>8190362.3374999994</v>
      </c>
      <c r="V1030" s="9">
        <f>Table1[[#This Row], [TOTAL COST]]+_xlfn.XLOOKUP(Table1[[#This Row], [TEAM]],Sheet1!$A$12:$A$17,Sheet1!$I$12:$I$17)</f>
        <v>8502299.8374999985</v>
      </c>
      <c r="W1030" s="9">
        <f>Table1[[#This Row], [LOOT]]-Table1[[#This Row], [TOTAL COST]]</f>
        <v>9559637.6625000015</v>
      </c>
      <c r="X1030" s="9">
        <f>IF(Table1[[#This Row], [PASS/FAIL]]="FAIL",0,Table1[[#This Row], [PROFIT]])</f>
        <v>9559637.6625000015</v>
      </c>
    </row>
    <row r="1031" spans="1:24" ht="19.5" customHeight="1" x14ac:dyDescent="0.45">
      <c r="A1031" t="s">
        <v>15</v>
      </c>
      <c r="B1031" s="14">
        <f>_xlfn.XLOOKUP(Table1[[#This Row], [TEAM]],Sheet1!$A$12:$A$17,Sheet1!$F$12:$F$17)</f>
        <v>2</v>
      </c>
      <c r="C1031" s="14">
        <f>_xlfn.XLOOKUP(Table1[[#This Row], [TEAM]],Sheet1!$A$12:$A$17,Sheet1!$G$12:$G$17)</f>
        <v>5932950</v>
      </c>
      <c r="D1031" t="s">
        <v>25</v>
      </c>
      <c r="E1031" s="4">
        <f>_xlfn.XLOOKUP(Table1[[#This Row], [ROOM]],Sheet1!$A$47:$A$66,Sheet1!$B$47:$B$66)</f>
        <v>126</v>
      </c>
      <c r="F1031" t="s">
        <v>62</v>
      </c>
      <c r="G1031" s="4">
        <f>_xlfn.XLOOKUP(Table1[[#This Row], [DISGUISE]],Sheet1!$A$21:$A$23,Sheet1!$B$21:$B$23)*Table1[[#This Row], [NUM OF MEM]]*(1+_xlfn.XLOOKUP(Table1[[#This Row], [DISGUISE]],Sheet1!$A$21:$A$23,Sheet1!$C$21:$C$23))</f>
        <v>10400</v>
      </c>
      <c r="H1031" s="13" t="s">
        <v>59</v>
      </c>
      <c r="I1031" s="4">
        <f>_xlfn.XLOOKUP(Table1[[#This Row], [WEAPON]],Sheet1!$A$27:$A$29,Sheet1!$B$27:$B$29)*Table1[[#This Row], [NUM OF MEM]]*(1+_xlfn.XLOOKUP(Table1[[#This Row], [WEAPON]],Sheet1!$A$27:$A$29,Sheet1!$C$27:$C$29))</f>
        <v>91000</v>
      </c>
      <c r="J1031" t="s">
        <v>64</v>
      </c>
      <c r="K1031" s="9">
        <f>Table1[[#This Row], [NUM OF MEM]]*Table1[[#This Row], [TOTAL TIME TAKEN]]*_xlfn.XLOOKUP(Table1[[#This Row], [EXIT]],Sheet1!$A$70:$A$71,Sheet1!$B$70:$B$71)*(1+_xlfn.XLOOKUP(Table1[[#This Row], [EXIT]],Sheet1!$A$70:$A$71,Sheet1!$C$70:$C$71))</f>
        <v>1648576.7999999996</v>
      </c>
      <c r="L1031" s="13" t="s">
        <v>65</v>
      </c>
      <c r="M1031" s="4">
        <f>IF(Table1[[#This Row], [EQUIPMENT]]="YES",Sheet1!$C$44*(1+Sheet1!$D$44),0)</f>
        <v>307500</v>
      </c>
      <c r="N1031" s="4">
        <f>_xlfn.XLOOKUP(Table1[[#This Row], [ROOM]],Sheet1!$A$47:$A$66,Sheet1!$F$47:$F$66)</f>
        <v>17550000</v>
      </c>
      <c r="O1031" s="9">
        <f>_xlfn.XLOOKUP(_xlfn.CONCAT(Table1[[#This Row], [TEAM]],Table1[[#This Row], [ROOM]]),'ROOM TIME'!$H$2:$H$121,'ROOM TIME'!$J$2:$J$121)</f>
        <v>57.277499999999989</v>
      </c>
      <c r="P1031" s="9">
        <f>(INDEX(Sheet1!$X$48:$Z$67,MATCH(Table1[[#This Row], [ROOM]],Sheet1!$P$48:$P$67,0),MATCH(Table1[[#This Row], [WEAPON]],Sheet1!$X$47:$Z$47,0)))/Table1[[#This Row], [NUM OF MEM]]</f>
        <v>6.3249999999999993</v>
      </c>
      <c r="Q1031" s="9">
        <f>Table1[[#This Row], [ROOM TIME]]+Table1[[#This Row], [GUARD TIME]]</f>
        <v>63.602499999999992</v>
      </c>
      <c r="R1031" s="4">
        <f>Sheet1!$K$3*_xlfn.XLOOKUP(Table1[[#This Row], [DISGUISE]],Sheet1!$A$21:$A$23,Sheet1!$D$21:$D$23)</f>
        <v>66</v>
      </c>
      <c r="S1031" s="9">
        <f>Table1[[#This Row], [TOTAL TIME]]-Table1[[#This Row], [TOTAL TIME TAKEN]]</f>
        <v>2.397500000000008</v>
      </c>
      <c r="T1031" t="str">
        <f>IF(Table1[[#This Row], [TIME DIFFERENCE]]&gt;=0,"PASS","FAIL")</f>
        <v>PASS</v>
      </c>
      <c r="U1031" s="9">
        <f>Table1[[#This Row], [TRC]]+Table1[[#This Row], [DRC]]+Table1[[#This Row], [WRC]]+Table1[[#This Row], [ERC]]+Table1[[#This Row], [EQRC]]</f>
        <v>7990426.7999999998</v>
      </c>
      <c r="V1031" s="9">
        <f>Table1[[#This Row], [TOTAL COST]]+_xlfn.XLOOKUP(Table1[[#This Row], [TEAM]],Sheet1!$A$12:$A$17,Sheet1!$I$12:$I$17)</f>
        <v>8287074.2999999998</v>
      </c>
      <c r="W1031" s="9">
        <f>Table1[[#This Row], [LOOT]]-Table1[[#This Row], [TOTAL COST]]</f>
        <v>9559573.1999999993</v>
      </c>
      <c r="X1031" s="9">
        <f>IF(Table1[[#This Row], [PASS/FAIL]]="FAIL",0,Table1[[#This Row], [PROFIT]])</f>
        <v>9559573.1999999993</v>
      </c>
    </row>
    <row r="1032" spans="1:24" ht="19.5" customHeight="1" x14ac:dyDescent="0.45">
      <c r="A1032" t="s">
        <v>12</v>
      </c>
      <c r="B1032" s="14">
        <f>_xlfn.XLOOKUP(Table1[[#This Row], [TEAM]],Sheet1!$A$12:$A$17,Sheet1!$F$12:$F$17)</f>
        <v>3</v>
      </c>
      <c r="C1032" s="14">
        <f>_xlfn.XLOOKUP(Table1[[#This Row], [TEAM]],Sheet1!$A$12:$A$17,Sheet1!$G$12:$G$17)</f>
        <v>5988750</v>
      </c>
      <c r="D1032" t="s">
        <v>23</v>
      </c>
      <c r="E1032" s="4">
        <f>_xlfn.XLOOKUP(Table1[[#This Row], [ROOM]],Sheet1!$A$47:$A$66,Sheet1!$B$47:$B$66)</f>
        <v>245</v>
      </c>
      <c r="F1032" t="s">
        <v>58</v>
      </c>
      <c r="G103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32" s="13" t="s">
        <v>63</v>
      </c>
      <c r="I1032" s="4">
        <f>_xlfn.XLOOKUP(Table1[[#This Row], [WEAPON]],Sheet1!$A$27:$A$29,Sheet1!$B$27:$B$29)*Table1[[#This Row], [NUM OF MEM]]*(1+_xlfn.XLOOKUP(Table1[[#This Row], [WEAPON]],Sheet1!$A$27:$A$29,Sheet1!$C$27:$C$29))</f>
        <v>69000</v>
      </c>
      <c r="J1032" t="s">
        <v>64</v>
      </c>
      <c r="K1032" s="9">
        <f>Table1[[#This Row], [NUM OF MEM]]*Table1[[#This Row], [TOTAL TIME TAKEN]]*_xlfn.XLOOKUP(Table1[[#This Row], [EXIT]],Sheet1!$A$70:$A$71,Sheet1!$B$70:$B$71)*(1+_xlfn.XLOOKUP(Table1[[#This Row], [EXIT]],Sheet1!$A$70:$A$71,Sheet1!$C$70:$C$71))</f>
        <v>1744286.3999999997</v>
      </c>
      <c r="L1032" s="13" t="s">
        <v>61</v>
      </c>
      <c r="M1032" s="4">
        <f>IF(Table1[[#This Row], [EQUIPMENT]]="YES",Sheet1!$C$44*(1+Sheet1!$D$44),0)</f>
        <v>0</v>
      </c>
      <c r="N1032" s="4">
        <f>_xlfn.XLOOKUP(Table1[[#This Row], [ROOM]],Sheet1!$A$47:$A$66,Sheet1!$F$47:$F$66)</f>
        <v>17400000</v>
      </c>
      <c r="O1032" s="9">
        <f>_xlfn.XLOOKUP(_xlfn.CONCAT(Table1[[#This Row], [TEAM]],Table1[[#This Row], [ROOM]]),'ROOM TIME'!$H$2:$H$121,'ROOM TIME'!$J$2:$J$121)</f>
        <v>39.91333333333332</v>
      </c>
      <c r="P1032" s="9">
        <f>(INDEX(Sheet1!$X$48:$Z$67,MATCH(Table1[[#This Row], [ROOM]],Sheet1!$P$48:$P$67,0),MATCH(Table1[[#This Row], [WEAPON]],Sheet1!$X$47:$Z$47,0)))/Table1[[#This Row], [NUM OF MEM]]</f>
        <v>4.95</v>
      </c>
      <c r="Q1032" s="9">
        <f>Table1[[#This Row], [ROOM TIME]]+Table1[[#This Row], [GUARD TIME]]</f>
        <v>44.863333333333323</v>
      </c>
      <c r="R1032" s="4">
        <f>Sheet1!$K$3*_xlfn.XLOOKUP(Table1[[#This Row], [DISGUISE]],Sheet1!$A$21:$A$23,Sheet1!$D$21:$D$23)</f>
        <v>69</v>
      </c>
      <c r="S1032" s="9">
        <f>Table1[[#This Row], [TOTAL TIME]]-Table1[[#This Row], [TOTAL TIME TAKEN]]</f>
        <v>24.136666666666677</v>
      </c>
      <c r="T1032" t="str">
        <f>IF(Table1[[#This Row], [TIME DIFFERENCE]]&gt;=0,"PASS","FAIL")</f>
        <v>PASS</v>
      </c>
      <c r="U1032" s="9">
        <f>Table1[[#This Row], [TRC]]+Table1[[#This Row], [DRC]]+Table1[[#This Row], [WRC]]+Table1[[#This Row], [ERC]]+Table1[[#This Row], [EQRC]]</f>
        <v>7840436.3999999994</v>
      </c>
      <c r="V1032" s="9">
        <f>Table1[[#This Row], [TOTAL COST]]+_xlfn.XLOOKUP(Table1[[#This Row], [TEAM]],Sheet1!$A$12:$A$17,Sheet1!$I$12:$I$17)</f>
        <v>8139873.8999999994</v>
      </c>
      <c r="W1032" s="9">
        <f>Table1[[#This Row], [LOOT]]-Table1[[#This Row], [TOTAL COST]]</f>
        <v>9559563.6000000015</v>
      </c>
      <c r="X1032" s="9">
        <f>IF(Table1[[#This Row], [PASS/FAIL]]="FAIL",0,Table1[[#This Row], [PROFIT]])</f>
        <v>9559563.6000000015</v>
      </c>
    </row>
    <row r="1033" spans="1:24" ht="19.5" customHeight="1" x14ac:dyDescent="0.45">
      <c r="A1033" t="s">
        <v>16</v>
      </c>
      <c r="B1033" s="14">
        <f>_xlfn.XLOOKUP(Table1[[#This Row], [TEAM]],Sheet1!$A$12:$A$17,Sheet1!$F$12:$F$17)</f>
        <v>2</v>
      </c>
      <c r="C1033" s="14">
        <f>_xlfn.XLOOKUP(Table1[[#This Row], [TEAM]],Sheet1!$A$12:$A$17,Sheet1!$G$12:$G$17)</f>
        <v>6082800</v>
      </c>
      <c r="D1033" t="s">
        <v>28</v>
      </c>
      <c r="E1033" s="4">
        <f>_xlfn.XLOOKUP(Table1[[#This Row], [ROOM]],Sheet1!$A$47:$A$66,Sheet1!$B$47:$B$66)</f>
        <v>156</v>
      </c>
      <c r="F1033" t="s">
        <v>58</v>
      </c>
      <c r="G103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33" s="13" t="s">
        <v>66</v>
      </c>
      <c r="I1033" s="4">
        <f>_xlfn.XLOOKUP(Table1[[#This Row], [WEAPON]],Sheet1!$A$27:$A$29,Sheet1!$B$27:$B$29)*Table1[[#This Row], [NUM OF MEM]]*(1+_xlfn.XLOOKUP(Table1[[#This Row], [WEAPON]],Sheet1!$A$27:$A$29,Sheet1!$C$27:$C$29))</f>
        <v>72000</v>
      </c>
      <c r="J1033" t="s">
        <v>64</v>
      </c>
      <c r="K1033" s="9">
        <f>Table1[[#This Row], [NUM OF MEM]]*Table1[[#This Row], [TOTAL TIME TAKEN]]*_xlfn.XLOOKUP(Table1[[#This Row], [EXIT]],Sheet1!$A$70:$A$71,Sheet1!$B$70:$B$71)*(1+_xlfn.XLOOKUP(Table1[[#This Row], [EXIT]],Sheet1!$A$70:$A$71,Sheet1!$C$70:$C$71))</f>
        <v>1603184.3999999997</v>
      </c>
      <c r="L1033" s="13" t="s">
        <v>65</v>
      </c>
      <c r="M1033" s="4">
        <f>IF(Table1[[#This Row], [EQUIPMENT]]="YES",Sheet1!$C$44*(1+Sheet1!$D$44),0)</f>
        <v>307500</v>
      </c>
      <c r="N1033" s="4">
        <f>_xlfn.XLOOKUP(Table1[[#This Row], [ROOM]],Sheet1!$A$47:$A$66,Sheet1!$F$47:$F$66)</f>
        <v>17650000</v>
      </c>
      <c r="O1033" s="9">
        <f>_xlfn.XLOOKUP(_xlfn.CONCAT(Table1[[#This Row], [TEAM]],Table1[[#This Row], [ROOM]]),'ROOM TIME'!$H$2:$H$121,'ROOM TIME'!$J$2:$J$121)</f>
        <v>55.601249999999986</v>
      </c>
      <c r="P1033" s="9">
        <f>(INDEX(Sheet1!$X$48:$Z$67,MATCH(Table1[[#This Row], [ROOM]],Sheet1!$P$48:$P$67,0),MATCH(Table1[[#This Row], [WEAPON]],Sheet1!$X$47:$Z$47,0)))/Table1[[#This Row], [NUM OF MEM]]</f>
        <v>6.25</v>
      </c>
      <c r="Q1033" s="9">
        <f>Table1[[#This Row], [ROOM TIME]]+Table1[[#This Row], [GUARD TIME]]</f>
        <v>61.851249999999986</v>
      </c>
      <c r="R1033" s="4">
        <f>Sheet1!$K$3*_xlfn.XLOOKUP(Table1[[#This Row], [DISGUISE]],Sheet1!$A$21:$A$23,Sheet1!$D$21:$D$23)</f>
        <v>69</v>
      </c>
      <c r="S1033" s="9">
        <f>Table1[[#This Row], [TOTAL TIME]]-Table1[[#This Row], [TOTAL TIME TAKEN]]</f>
        <v>7.1487500000000139</v>
      </c>
      <c r="T1033" t="str">
        <f>IF(Table1[[#This Row], [TIME DIFFERENCE]]&gt;=0,"PASS","FAIL")</f>
        <v>PASS</v>
      </c>
      <c r="U1033" s="9">
        <f>Table1[[#This Row], [TRC]]+Table1[[#This Row], [DRC]]+Table1[[#This Row], [WRC]]+Table1[[#This Row], [ERC]]+Table1[[#This Row], [EQRC]]</f>
        <v>8091084.3999999994</v>
      </c>
      <c r="V1033" s="9">
        <f>Table1[[#This Row], [TOTAL COST]]+_xlfn.XLOOKUP(Table1[[#This Row], [TEAM]],Sheet1!$A$12:$A$17,Sheet1!$I$12:$I$17)</f>
        <v>8395224.3999999985</v>
      </c>
      <c r="W1033" s="9">
        <f>Table1[[#This Row], [LOOT]]-Table1[[#This Row], [TOTAL COST]]</f>
        <v>9558915.6000000015</v>
      </c>
      <c r="X1033" s="9">
        <f>IF(Table1[[#This Row], [PASS/FAIL]]="FAIL",0,Table1[[#This Row], [PROFIT]])</f>
        <v>9558915.6000000015</v>
      </c>
    </row>
    <row r="1034" spans="1:24" ht="19.5" customHeight="1" x14ac:dyDescent="0.45">
      <c r="A1034" t="s">
        <v>14</v>
      </c>
      <c r="B1034" s="14">
        <f>_xlfn.XLOOKUP(Table1[[#This Row], [TEAM]],Sheet1!$A$12:$A$17,Sheet1!$F$12:$F$17)</f>
        <v>2</v>
      </c>
      <c r="C1034" s="14">
        <f>_xlfn.XLOOKUP(Table1[[#This Row], [TEAM]],Sheet1!$A$12:$A$17,Sheet1!$G$12:$G$17)</f>
        <v>5949600</v>
      </c>
      <c r="D1034" t="s">
        <v>25</v>
      </c>
      <c r="E1034" s="4">
        <f>_xlfn.XLOOKUP(Table1[[#This Row], [ROOM]],Sheet1!$A$47:$A$66,Sheet1!$B$47:$B$66)</f>
        <v>126</v>
      </c>
      <c r="F1034" t="s">
        <v>62</v>
      </c>
      <c r="G1034" s="4">
        <f>_xlfn.XLOOKUP(Table1[[#This Row], [DISGUISE]],Sheet1!$A$21:$A$23,Sheet1!$B$21:$B$23)*Table1[[#This Row], [NUM OF MEM]]*(1+_xlfn.XLOOKUP(Table1[[#This Row], [DISGUISE]],Sheet1!$A$21:$A$23,Sheet1!$C$21:$C$23))</f>
        <v>10400</v>
      </c>
      <c r="H1034" s="13" t="s">
        <v>66</v>
      </c>
      <c r="I1034" s="4">
        <f>_xlfn.XLOOKUP(Table1[[#This Row], [WEAPON]],Sheet1!$A$27:$A$29,Sheet1!$B$27:$B$29)*Table1[[#This Row], [NUM OF MEM]]*(1+_xlfn.XLOOKUP(Table1[[#This Row], [WEAPON]],Sheet1!$A$27:$A$29,Sheet1!$C$27:$C$29))</f>
        <v>72000</v>
      </c>
      <c r="J1034" t="s">
        <v>64</v>
      </c>
      <c r="K1034" s="9">
        <f>Table1[[#This Row], [NUM OF MEM]]*Table1[[#This Row], [TOTAL TIME TAKEN]]*_xlfn.XLOOKUP(Table1[[#This Row], [EXIT]],Sheet1!$A$70:$A$71,Sheet1!$B$70:$B$71)*(1+_xlfn.XLOOKUP(Table1[[#This Row], [EXIT]],Sheet1!$A$70:$A$71,Sheet1!$C$70:$C$71))</f>
        <v>1651687.1999999997</v>
      </c>
      <c r="L1034" s="13" t="s">
        <v>65</v>
      </c>
      <c r="M1034" s="4">
        <f>IF(Table1[[#This Row], [EQUIPMENT]]="YES",Sheet1!$C$44*(1+Sheet1!$D$44),0)</f>
        <v>307500</v>
      </c>
      <c r="N1034" s="4">
        <f>_xlfn.XLOOKUP(Table1[[#This Row], [ROOM]],Sheet1!$A$47:$A$66,Sheet1!$F$47:$F$66)</f>
        <v>17550000</v>
      </c>
      <c r="O1034" s="9">
        <f>_xlfn.XLOOKUP(_xlfn.CONCAT(Table1[[#This Row], [TEAM]],Table1[[#This Row], [ROOM]]),'ROOM TIME'!$H$2:$H$121,'ROOM TIME'!$J$2:$J$121)</f>
        <v>56.847499999999989</v>
      </c>
      <c r="P1034" s="9">
        <f>(INDEX(Sheet1!$X$48:$Z$67,MATCH(Table1[[#This Row], [ROOM]],Sheet1!$P$48:$P$67,0),MATCH(Table1[[#This Row], [WEAPON]],Sheet1!$X$47:$Z$47,0)))/Table1[[#This Row], [NUM OF MEM]]</f>
        <v>6.875</v>
      </c>
      <c r="Q1034" s="9">
        <f>Table1[[#This Row], [ROOM TIME]]+Table1[[#This Row], [GUARD TIME]]</f>
        <v>63.722499999999989</v>
      </c>
      <c r="R1034" s="4">
        <f>Sheet1!$K$3*_xlfn.XLOOKUP(Table1[[#This Row], [DISGUISE]],Sheet1!$A$21:$A$23,Sheet1!$D$21:$D$23)</f>
        <v>66</v>
      </c>
      <c r="S1034" s="9">
        <f>Table1[[#This Row], [TOTAL TIME]]-Table1[[#This Row], [TOTAL TIME TAKEN]]</f>
        <v>2.2775000000000105</v>
      </c>
      <c r="T1034" t="str">
        <f>IF(Table1[[#This Row], [TIME DIFFERENCE]]&gt;=0,"PASS","FAIL")</f>
        <v>PASS</v>
      </c>
      <c r="U1034" s="9">
        <f>Table1[[#This Row], [TRC]]+Table1[[#This Row], [DRC]]+Table1[[#This Row], [WRC]]+Table1[[#This Row], [ERC]]+Table1[[#This Row], [EQRC]]</f>
        <v>7991187.1999999993</v>
      </c>
      <c r="V1034" s="9">
        <f>Table1[[#This Row], [TOTAL COST]]+_xlfn.XLOOKUP(Table1[[#This Row], [TEAM]],Sheet1!$A$12:$A$17,Sheet1!$I$12:$I$17)</f>
        <v>8288667.1999999993</v>
      </c>
      <c r="W1034" s="9">
        <f>Table1[[#This Row], [LOOT]]-Table1[[#This Row], [TOTAL COST]]</f>
        <v>9558812.8000000007</v>
      </c>
      <c r="X1034" s="9">
        <f>IF(Table1[[#This Row], [PASS/FAIL]]="FAIL",0,Table1[[#This Row], [PROFIT]])</f>
        <v>9558812.8000000007</v>
      </c>
    </row>
    <row r="1035" spans="1:24" ht="19.5" customHeight="1" x14ac:dyDescent="0.45">
      <c r="A1035" t="s">
        <v>12</v>
      </c>
      <c r="B1035" s="14">
        <f>_xlfn.XLOOKUP(Table1[[#This Row], [TEAM]],Sheet1!$A$12:$A$17,Sheet1!$F$12:$F$17)</f>
        <v>3</v>
      </c>
      <c r="C1035" s="14">
        <f>_xlfn.XLOOKUP(Table1[[#This Row], [TEAM]],Sheet1!$A$12:$A$17,Sheet1!$G$12:$G$17)</f>
        <v>5988750</v>
      </c>
      <c r="D1035" t="s">
        <v>17</v>
      </c>
      <c r="E1035" s="4">
        <f>_xlfn.XLOOKUP(Table1[[#This Row], [ROOM]],Sheet1!$A$47:$A$66,Sheet1!$B$47:$B$66)</f>
        <v>125</v>
      </c>
      <c r="F1035" t="s">
        <v>62</v>
      </c>
      <c r="G1035" s="4">
        <f>_xlfn.XLOOKUP(Table1[[#This Row], [DISGUISE]],Sheet1!$A$21:$A$23,Sheet1!$B$21:$B$23)*Table1[[#This Row], [NUM OF MEM]]*(1+_xlfn.XLOOKUP(Table1[[#This Row], [DISGUISE]],Sheet1!$A$21:$A$23,Sheet1!$C$21:$C$23))</f>
        <v>15600</v>
      </c>
      <c r="H1035" s="13" t="s">
        <v>63</v>
      </c>
      <c r="I1035" s="4">
        <f>_xlfn.XLOOKUP(Table1[[#This Row], [WEAPON]],Sheet1!$A$27:$A$29,Sheet1!$B$27:$B$29)*Table1[[#This Row], [NUM OF MEM]]*(1+_xlfn.XLOOKUP(Table1[[#This Row], [WEAPON]],Sheet1!$A$27:$A$29,Sheet1!$C$27:$C$29))</f>
        <v>69000</v>
      </c>
      <c r="J1035" t="s">
        <v>60</v>
      </c>
      <c r="K1035" s="9">
        <f>Table1[[#This Row], [NUM OF MEM]]*Table1[[#This Row], [TOTAL TIME TAKEN]]*_xlfn.XLOOKUP(Table1[[#This Row], [EXIT]],Sheet1!$A$70:$A$71,Sheet1!$B$70:$B$71)*(1+_xlfn.XLOOKUP(Table1[[#This Row], [EXIT]],Sheet1!$A$70:$A$71,Sheet1!$C$70:$C$71))</f>
        <v>1718228.9749999992</v>
      </c>
      <c r="L1035" s="13" t="s">
        <v>61</v>
      </c>
      <c r="M1035" s="4">
        <f>IF(Table1[[#This Row], [EQUIPMENT]]="YES",Sheet1!$C$44*(1+Sheet1!$D$44),0)</f>
        <v>0</v>
      </c>
      <c r="N1035" s="4">
        <f>_xlfn.XLOOKUP(Table1[[#This Row], [ROOM]],Sheet1!$A$47:$A$66,Sheet1!$F$47:$F$66)</f>
        <v>17350000</v>
      </c>
      <c r="O1035" s="9">
        <f>_xlfn.XLOOKUP(_xlfn.CONCAT(Table1[[#This Row], [TEAM]],Table1[[#This Row], [ROOM]]),'ROOM TIME'!$H$2:$H$121,'ROOM TIME'!$J$2:$J$121)</f>
        <v>40.132222222222204</v>
      </c>
      <c r="P1035" s="9">
        <f>(INDEX(Sheet1!$X$48:$Z$67,MATCH(Table1[[#This Row], [ROOM]],Sheet1!$P$48:$P$67,0),MATCH(Table1[[#This Row], [WEAPON]],Sheet1!$X$47:$Z$47,0)))/Table1[[#This Row], [NUM OF MEM]]</f>
        <v>4.5</v>
      </c>
      <c r="Q1035" s="9">
        <f>Table1[[#This Row], [ROOM TIME]]+Table1[[#This Row], [GUARD TIME]]</f>
        <v>44.632222222222204</v>
      </c>
      <c r="R1035" s="4">
        <f>Sheet1!$K$3*_xlfn.XLOOKUP(Table1[[#This Row], [DISGUISE]],Sheet1!$A$21:$A$23,Sheet1!$D$21:$D$23)</f>
        <v>66</v>
      </c>
      <c r="S1035" s="9">
        <f>Table1[[#This Row], [TOTAL TIME]]-Table1[[#This Row], [TOTAL TIME TAKEN]]</f>
        <v>21.367777777777796</v>
      </c>
      <c r="T1035" t="str">
        <f>IF(Table1[[#This Row], [TIME DIFFERENCE]]&gt;=0,"PASS","FAIL")</f>
        <v>PASS</v>
      </c>
      <c r="U1035" s="9">
        <f>Table1[[#This Row], [TRC]]+Table1[[#This Row], [DRC]]+Table1[[#This Row], [WRC]]+Table1[[#This Row], [ERC]]+Table1[[#This Row], [EQRC]]</f>
        <v>7791578.9749999996</v>
      </c>
      <c r="V1035" s="9">
        <f>Table1[[#This Row], [TOTAL COST]]+_xlfn.XLOOKUP(Table1[[#This Row], [TEAM]],Sheet1!$A$12:$A$17,Sheet1!$I$12:$I$17)</f>
        <v>8091016.4749999996</v>
      </c>
      <c r="W1035" s="9">
        <f>Table1[[#This Row], [LOOT]]-Table1[[#This Row], [TOTAL COST]]</f>
        <v>9558421.0250000004</v>
      </c>
      <c r="X1035" s="9">
        <f>IF(Table1[[#This Row], [PASS/FAIL]]="FAIL",0,Table1[[#This Row], [PROFIT]])</f>
        <v>9558421.0250000004</v>
      </c>
    </row>
    <row r="1036" spans="1:24" ht="19.5" customHeight="1" x14ac:dyDescent="0.45">
      <c r="A1036" t="s">
        <v>15</v>
      </c>
      <c r="B1036" s="14">
        <f>_xlfn.XLOOKUP(Table1[[#This Row], [TEAM]],Sheet1!$A$12:$A$17,Sheet1!$F$12:$F$17)</f>
        <v>2</v>
      </c>
      <c r="C1036" s="14">
        <f>_xlfn.XLOOKUP(Table1[[#This Row], [TEAM]],Sheet1!$A$12:$A$17,Sheet1!$G$12:$G$17)</f>
        <v>5932950</v>
      </c>
      <c r="D1036" t="s">
        <v>31</v>
      </c>
      <c r="E1036" s="4">
        <f>_xlfn.XLOOKUP(Table1[[#This Row], [ROOM]],Sheet1!$A$47:$A$66,Sheet1!$B$47:$B$66)</f>
        <v>256</v>
      </c>
      <c r="F1036" t="s">
        <v>62</v>
      </c>
      <c r="G1036" s="4">
        <f>_xlfn.XLOOKUP(Table1[[#This Row], [DISGUISE]],Sheet1!$A$21:$A$23,Sheet1!$B$21:$B$23)*Table1[[#This Row], [NUM OF MEM]]*(1+_xlfn.XLOOKUP(Table1[[#This Row], [DISGUISE]],Sheet1!$A$21:$A$23,Sheet1!$C$21:$C$23))</f>
        <v>10400</v>
      </c>
      <c r="H1036" s="13" t="s">
        <v>66</v>
      </c>
      <c r="I1036" s="4">
        <f>_xlfn.XLOOKUP(Table1[[#This Row], [WEAPON]],Sheet1!$A$27:$A$29,Sheet1!$B$27:$B$29)*Table1[[#This Row], [NUM OF MEM]]*(1+_xlfn.XLOOKUP(Table1[[#This Row], [WEAPON]],Sheet1!$A$27:$A$29,Sheet1!$C$27:$C$29))</f>
        <v>72000</v>
      </c>
      <c r="J1036" t="s">
        <v>60</v>
      </c>
      <c r="K1036" s="9">
        <f>Table1[[#This Row], [NUM OF MEM]]*Table1[[#This Row], [TOTAL TIME TAKEN]]*_xlfn.XLOOKUP(Table1[[#This Row], [EXIT]],Sheet1!$A$70:$A$71,Sheet1!$B$70:$B$71)*(1+_xlfn.XLOOKUP(Table1[[#This Row], [EXIT]],Sheet1!$A$70:$A$71,Sheet1!$C$70:$C$71))</f>
        <v>1618948.1999999997</v>
      </c>
      <c r="L1036" s="13" t="s">
        <v>65</v>
      </c>
      <c r="M1036" s="4">
        <f>IF(Table1[[#This Row], [EQUIPMENT]]="YES",Sheet1!$C$44*(1+Sheet1!$D$44),0)</f>
        <v>307500</v>
      </c>
      <c r="N1036" s="4">
        <f>_xlfn.XLOOKUP(Table1[[#This Row], [ROOM]],Sheet1!$A$47:$A$66,Sheet1!$F$47:$F$66)</f>
        <v>17500000</v>
      </c>
      <c r="O1036" s="9">
        <f>_xlfn.XLOOKUP(_xlfn.CONCAT(Table1[[#This Row], [TEAM]],Table1[[#This Row], [ROOM]]),'ROOM TIME'!$H$2:$H$121,'ROOM TIME'!$J$2:$J$121)</f>
        <v>56.204999999999984</v>
      </c>
      <c r="P1036" s="9">
        <f>(INDEX(Sheet1!$X$48:$Z$67,MATCH(Table1[[#This Row], [ROOM]],Sheet1!$P$48:$P$67,0),MATCH(Table1[[#This Row], [WEAPON]],Sheet1!$X$47:$Z$47,0)))/Table1[[#This Row], [NUM OF MEM]]</f>
        <v>6.875</v>
      </c>
      <c r="Q1036" s="9">
        <f>Table1[[#This Row], [ROOM TIME]]+Table1[[#This Row], [GUARD TIME]]</f>
        <v>63.079999999999984</v>
      </c>
      <c r="R1036" s="4">
        <f>Sheet1!$K$3*_xlfn.XLOOKUP(Table1[[#This Row], [DISGUISE]],Sheet1!$A$21:$A$23,Sheet1!$D$21:$D$23)</f>
        <v>66</v>
      </c>
      <c r="S1036" s="9">
        <f>Table1[[#This Row], [TOTAL TIME]]-Table1[[#This Row], [TOTAL TIME TAKEN]]</f>
        <v>2.9200000000000159</v>
      </c>
      <c r="T1036" t="str">
        <f>IF(Table1[[#This Row], [TIME DIFFERENCE]]&gt;=0,"PASS","FAIL")</f>
        <v>PASS</v>
      </c>
      <c r="U1036" s="9">
        <f>Table1[[#This Row], [TRC]]+Table1[[#This Row], [DRC]]+Table1[[#This Row], [WRC]]+Table1[[#This Row], [ERC]]+Table1[[#This Row], [EQRC]]</f>
        <v>7941798.1999999993</v>
      </c>
      <c r="V1036" s="9">
        <f>Table1[[#This Row], [TOTAL COST]]+_xlfn.XLOOKUP(Table1[[#This Row], [TEAM]],Sheet1!$A$12:$A$17,Sheet1!$I$12:$I$17)</f>
        <v>8238445.6999999993</v>
      </c>
      <c r="W1036" s="9">
        <f>Table1[[#This Row], [LOOT]]-Table1[[#This Row], [TOTAL COST]]</f>
        <v>9558201.8000000007</v>
      </c>
      <c r="X1036" s="9">
        <f>IF(Table1[[#This Row], [PASS/FAIL]]="FAIL",0,Table1[[#This Row], [PROFIT]])</f>
        <v>9558201.8000000007</v>
      </c>
    </row>
    <row r="1037" spans="1:24" ht="19.5" customHeight="1" x14ac:dyDescent="0.45">
      <c r="A1037" t="s">
        <v>9</v>
      </c>
      <c r="B1037" s="14">
        <f>_xlfn.XLOOKUP(Table1[[#This Row], [TEAM]],Sheet1!$A$12:$A$17,Sheet1!$F$12:$F$17)</f>
        <v>3</v>
      </c>
      <c r="C1037" s="14">
        <f>_xlfn.XLOOKUP(Table1[[#This Row], [TEAM]],Sheet1!$A$12:$A$17,Sheet1!$G$12:$G$17)</f>
        <v>6238750</v>
      </c>
      <c r="D1037" t="s">
        <v>20</v>
      </c>
      <c r="E1037" s="4">
        <f>_xlfn.XLOOKUP(Table1[[#This Row], [ROOM]],Sheet1!$A$47:$A$66,Sheet1!$B$47:$B$66)</f>
        <v>145</v>
      </c>
      <c r="F1037" t="s">
        <v>62</v>
      </c>
      <c r="G103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37" s="13" t="s">
        <v>59</v>
      </c>
      <c r="I1037" s="4">
        <f>_xlfn.XLOOKUP(Table1[[#This Row], [WEAPON]],Sheet1!$A$27:$A$29,Sheet1!$B$27:$B$29)*Table1[[#This Row], [NUM OF MEM]]*(1+_xlfn.XLOOKUP(Table1[[#This Row], [WEAPON]],Sheet1!$A$27:$A$29,Sheet1!$C$27:$C$29))</f>
        <v>136500</v>
      </c>
      <c r="J1037" t="s">
        <v>60</v>
      </c>
      <c r="K1037" s="9">
        <f>Table1[[#This Row], [NUM OF MEM]]*Table1[[#This Row], [TOTAL TIME TAKEN]]*_xlfn.XLOOKUP(Table1[[#This Row], [EXIT]],Sheet1!$A$70:$A$71,Sheet1!$B$70:$B$71)*(1+_xlfn.XLOOKUP(Table1[[#This Row], [EXIT]],Sheet1!$A$70:$A$71,Sheet1!$C$70:$C$71))</f>
        <v>1601474.6124999996</v>
      </c>
      <c r="L1037" s="13" t="s">
        <v>61</v>
      </c>
      <c r="M1037" s="4">
        <f>IF(Table1[[#This Row], [EQUIPMENT]]="YES",Sheet1!$C$44*(1+Sheet1!$D$44),0)</f>
        <v>0</v>
      </c>
      <c r="N1037" s="4">
        <f>_xlfn.XLOOKUP(Table1[[#This Row], [ROOM]],Sheet1!$A$47:$A$66,Sheet1!$F$47:$F$66)</f>
        <v>17550000</v>
      </c>
      <c r="O1037" s="9">
        <f>_xlfn.XLOOKUP(_xlfn.CONCAT(Table1[[#This Row], [TEAM]],Table1[[#This Row], [ROOM]]),'ROOM TIME'!$H$2:$H$121,'ROOM TIME'!$J$2:$J$121)</f>
        <v>37.766111111111101</v>
      </c>
      <c r="P1037" s="9">
        <f>(INDEX(Sheet1!$X$48:$Z$67,MATCH(Table1[[#This Row], [ROOM]],Sheet1!$P$48:$P$67,0),MATCH(Table1[[#This Row], [WEAPON]],Sheet1!$X$47:$Z$47,0)))/Table1[[#This Row], [NUM OF MEM]]</f>
        <v>3.8333333333333335</v>
      </c>
      <c r="Q1037" s="9">
        <f>Table1[[#This Row], [ROOM TIME]]+Table1[[#This Row], [GUARD TIME]]</f>
        <v>41.599444444444437</v>
      </c>
      <c r="R1037" s="4">
        <f>Sheet1!$K$3*_xlfn.XLOOKUP(Table1[[#This Row], [DISGUISE]],Sheet1!$A$21:$A$23,Sheet1!$D$21:$D$23)</f>
        <v>66</v>
      </c>
      <c r="S1037" s="9">
        <f>Table1[[#This Row], [TOTAL TIME]]-Table1[[#This Row], [TOTAL TIME TAKEN]]</f>
        <v>24.400555555555563</v>
      </c>
      <c r="T1037" t="str">
        <f>IF(Table1[[#This Row], [TIME DIFFERENCE]]&gt;=0,"PASS","FAIL")</f>
        <v>PASS</v>
      </c>
      <c r="U1037" s="9">
        <f>Table1[[#This Row], [TRC]]+Table1[[#This Row], [DRC]]+Table1[[#This Row], [WRC]]+Table1[[#This Row], [ERC]]+Table1[[#This Row], [EQRC]]</f>
        <v>7992324.6124999998</v>
      </c>
      <c r="V1037" s="9">
        <f>Table1[[#This Row], [TOTAL COST]]+_xlfn.XLOOKUP(Table1[[#This Row], [TEAM]],Sheet1!$A$12:$A$17,Sheet1!$I$12:$I$17)</f>
        <v>8304262.1124999998</v>
      </c>
      <c r="W1037" s="9">
        <f>Table1[[#This Row], [LOOT]]-Table1[[#This Row], [TOTAL COST]]</f>
        <v>9557675.3874999993</v>
      </c>
      <c r="X1037" s="9">
        <f>IF(Table1[[#This Row], [PASS/FAIL]]="FAIL",0,Table1[[#This Row], [PROFIT]])</f>
        <v>9557675.3874999993</v>
      </c>
    </row>
    <row r="1038" spans="1:24" ht="19.5" customHeight="1" x14ac:dyDescent="0.45">
      <c r="A1038" t="s">
        <v>12</v>
      </c>
      <c r="B1038" s="14">
        <f>_xlfn.XLOOKUP(Table1[[#This Row], [TEAM]],Sheet1!$A$12:$A$17,Sheet1!$F$12:$F$17)</f>
        <v>3</v>
      </c>
      <c r="C1038" s="14">
        <f>_xlfn.XLOOKUP(Table1[[#This Row], [TEAM]],Sheet1!$A$12:$A$17,Sheet1!$G$12:$G$17)</f>
        <v>5988750</v>
      </c>
      <c r="D1038" t="s">
        <v>23</v>
      </c>
      <c r="E1038" s="4">
        <f>_xlfn.XLOOKUP(Table1[[#This Row], [ROOM]],Sheet1!$A$47:$A$66,Sheet1!$B$47:$B$66)</f>
        <v>245</v>
      </c>
      <c r="F1038" t="s">
        <v>62</v>
      </c>
      <c r="G1038" s="4">
        <f>_xlfn.XLOOKUP(Table1[[#This Row], [DISGUISE]],Sheet1!$A$21:$A$23,Sheet1!$B$21:$B$23)*Table1[[#This Row], [NUM OF MEM]]*(1+_xlfn.XLOOKUP(Table1[[#This Row], [DISGUISE]],Sheet1!$A$21:$A$23,Sheet1!$C$21:$C$23))</f>
        <v>15600</v>
      </c>
      <c r="H1038" s="13" t="s">
        <v>66</v>
      </c>
      <c r="I1038" s="4">
        <f>_xlfn.XLOOKUP(Table1[[#This Row], [WEAPON]],Sheet1!$A$27:$A$29,Sheet1!$B$27:$B$29)*Table1[[#This Row], [NUM OF MEM]]*(1+_xlfn.XLOOKUP(Table1[[#This Row], [WEAPON]],Sheet1!$A$27:$A$29,Sheet1!$C$27:$C$29))</f>
        <v>108000</v>
      </c>
      <c r="J1038" t="s">
        <v>64</v>
      </c>
      <c r="K1038" s="9">
        <f>Table1[[#This Row], [NUM OF MEM]]*Table1[[#This Row], [TOTAL TIME TAKEN]]*_xlfn.XLOOKUP(Table1[[#This Row], [EXIT]],Sheet1!$A$70:$A$71,Sheet1!$B$70:$B$71)*(1+_xlfn.XLOOKUP(Table1[[#This Row], [EXIT]],Sheet1!$A$70:$A$71,Sheet1!$C$70:$C$71))</f>
        <v>1730030.3999999994</v>
      </c>
      <c r="L1038" s="13" t="s">
        <v>61</v>
      </c>
      <c r="M1038" s="4">
        <f>IF(Table1[[#This Row], [EQUIPMENT]]="YES",Sheet1!$C$44*(1+Sheet1!$D$44),0)</f>
        <v>0</v>
      </c>
      <c r="N1038" s="4">
        <f>_xlfn.XLOOKUP(Table1[[#This Row], [ROOM]],Sheet1!$A$47:$A$66,Sheet1!$F$47:$F$66)</f>
        <v>17400000</v>
      </c>
      <c r="O1038" s="9">
        <f>_xlfn.XLOOKUP(_xlfn.CONCAT(Table1[[#This Row], [TEAM]],Table1[[#This Row], [ROOM]]),'ROOM TIME'!$H$2:$H$121,'ROOM TIME'!$J$2:$J$121)</f>
        <v>39.91333333333332</v>
      </c>
      <c r="P1038" s="9">
        <f>(INDEX(Sheet1!$X$48:$Z$67,MATCH(Table1[[#This Row], [ROOM]],Sheet1!$P$48:$P$67,0),MATCH(Table1[[#This Row], [WEAPON]],Sheet1!$X$47:$Z$47,0)))/Table1[[#This Row], [NUM OF MEM]]</f>
        <v>4.583333333333333</v>
      </c>
      <c r="Q1038" s="9">
        <f>Table1[[#This Row], [ROOM TIME]]+Table1[[#This Row], [GUARD TIME]]</f>
        <v>44.496666666666655</v>
      </c>
      <c r="R1038" s="4">
        <f>Sheet1!$K$3*_xlfn.XLOOKUP(Table1[[#This Row], [DISGUISE]],Sheet1!$A$21:$A$23,Sheet1!$D$21:$D$23)</f>
        <v>66</v>
      </c>
      <c r="S1038" s="9">
        <f>Table1[[#This Row], [TOTAL TIME]]-Table1[[#This Row], [TOTAL TIME TAKEN]]</f>
        <v>21.503333333333345</v>
      </c>
      <c r="T1038" t="str">
        <f>IF(Table1[[#This Row], [TIME DIFFERENCE]]&gt;=0,"PASS","FAIL")</f>
        <v>PASS</v>
      </c>
      <c r="U1038" s="9">
        <f>Table1[[#This Row], [TRC]]+Table1[[#This Row], [DRC]]+Table1[[#This Row], [WRC]]+Table1[[#This Row], [ERC]]+Table1[[#This Row], [EQRC]]</f>
        <v>7842380.3999999994</v>
      </c>
      <c r="V1038" s="9">
        <f>Table1[[#This Row], [TOTAL COST]]+_xlfn.XLOOKUP(Table1[[#This Row], [TEAM]],Sheet1!$A$12:$A$17,Sheet1!$I$12:$I$17)</f>
        <v>8141817.8999999994</v>
      </c>
      <c r="W1038" s="9">
        <f>Table1[[#This Row], [LOOT]]-Table1[[#This Row], [TOTAL COST]]</f>
        <v>9557619.6000000015</v>
      </c>
      <c r="X1038" s="9">
        <f>IF(Table1[[#This Row], [PASS/FAIL]]="FAIL",0,Table1[[#This Row], [PROFIT]])</f>
        <v>9557619.6000000015</v>
      </c>
    </row>
    <row r="1039" spans="1:24" ht="19.5" customHeight="1" x14ac:dyDescent="0.45">
      <c r="A1039" t="s">
        <v>9</v>
      </c>
      <c r="B1039" s="14">
        <f>_xlfn.XLOOKUP(Table1[[#This Row], [TEAM]],Sheet1!$A$12:$A$17,Sheet1!$F$12:$F$17)</f>
        <v>3</v>
      </c>
      <c r="C1039" s="14">
        <f>_xlfn.XLOOKUP(Table1[[#This Row], [TEAM]],Sheet1!$A$12:$A$17,Sheet1!$G$12:$G$17)</f>
        <v>6238750</v>
      </c>
      <c r="D1039" t="s">
        <v>20</v>
      </c>
      <c r="E1039" s="4">
        <f>_xlfn.XLOOKUP(Table1[[#This Row], [ROOM]],Sheet1!$A$47:$A$66,Sheet1!$B$47:$B$66)</f>
        <v>145</v>
      </c>
      <c r="F1039" t="s">
        <v>62</v>
      </c>
      <c r="G1039" s="4">
        <f>_xlfn.XLOOKUP(Table1[[#This Row], [DISGUISE]],Sheet1!$A$21:$A$23,Sheet1!$B$21:$B$23)*Table1[[#This Row], [NUM OF MEM]]*(1+_xlfn.XLOOKUP(Table1[[#This Row], [DISGUISE]],Sheet1!$A$21:$A$23,Sheet1!$C$21:$C$23))</f>
        <v>15600</v>
      </c>
      <c r="H1039" s="13" t="s">
        <v>66</v>
      </c>
      <c r="I1039" s="4">
        <f>_xlfn.XLOOKUP(Table1[[#This Row], [WEAPON]],Sheet1!$A$27:$A$29,Sheet1!$B$27:$B$29)*Table1[[#This Row], [NUM OF MEM]]*(1+_xlfn.XLOOKUP(Table1[[#This Row], [WEAPON]],Sheet1!$A$27:$A$29,Sheet1!$C$27:$C$29))</f>
        <v>108000</v>
      </c>
      <c r="J1039" t="s">
        <v>64</v>
      </c>
      <c r="K1039" s="9">
        <f>Table1[[#This Row], [NUM OF MEM]]*Table1[[#This Row], [TOTAL TIME TAKEN]]*_xlfn.XLOOKUP(Table1[[#This Row], [EXIT]],Sheet1!$A$70:$A$71,Sheet1!$B$70:$B$71)*(1+_xlfn.XLOOKUP(Table1[[#This Row], [EXIT]],Sheet1!$A$70:$A$71,Sheet1!$C$70:$C$71))</f>
        <v>1630346.3999999994</v>
      </c>
      <c r="L1039" s="13" t="s">
        <v>61</v>
      </c>
      <c r="M1039" s="4">
        <f>IF(Table1[[#This Row], [EQUIPMENT]]="YES",Sheet1!$C$44*(1+Sheet1!$D$44),0)</f>
        <v>0</v>
      </c>
      <c r="N1039" s="4">
        <f>_xlfn.XLOOKUP(Table1[[#This Row], [ROOM]],Sheet1!$A$47:$A$66,Sheet1!$F$47:$F$66)</f>
        <v>17550000</v>
      </c>
      <c r="O1039" s="9">
        <f>_xlfn.XLOOKUP(_xlfn.CONCAT(Table1[[#This Row], [TEAM]],Table1[[#This Row], [ROOM]]),'ROOM TIME'!$H$2:$H$121,'ROOM TIME'!$J$2:$J$121)</f>
        <v>37.766111111111101</v>
      </c>
      <c r="P1039" s="9">
        <f>(INDEX(Sheet1!$X$48:$Z$67,MATCH(Table1[[#This Row], [ROOM]],Sheet1!$P$48:$P$67,0),MATCH(Table1[[#This Row], [WEAPON]],Sheet1!$X$47:$Z$47,0)))/Table1[[#This Row], [NUM OF MEM]]</f>
        <v>4.166666666666667</v>
      </c>
      <c r="Q1039" s="9">
        <f>Table1[[#This Row], [ROOM TIME]]+Table1[[#This Row], [GUARD TIME]]</f>
        <v>41.932777777777765</v>
      </c>
      <c r="R1039" s="4">
        <f>Sheet1!$K$3*_xlfn.XLOOKUP(Table1[[#This Row], [DISGUISE]],Sheet1!$A$21:$A$23,Sheet1!$D$21:$D$23)</f>
        <v>66</v>
      </c>
      <c r="S1039" s="9">
        <f>Table1[[#This Row], [TOTAL TIME]]-Table1[[#This Row], [TOTAL TIME TAKEN]]</f>
        <v>24.067222222222235</v>
      </c>
      <c r="T1039" t="str">
        <f>IF(Table1[[#This Row], [TIME DIFFERENCE]]&gt;=0,"PASS","FAIL")</f>
        <v>PASS</v>
      </c>
      <c r="U1039" s="9">
        <f>Table1[[#This Row], [TRC]]+Table1[[#This Row], [DRC]]+Table1[[#This Row], [WRC]]+Table1[[#This Row], [ERC]]+Table1[[#This Row], [EQRC]]</f>
        <v>7992696.3999999994</v>
      </c>
      <c r="V1039" s="9">
        <f>Table1[[#This Row], [TOTAL COST]]+_xlfn.XLOOKUP(Table1[[#This Row], [TEAM]],Sheet1!$A$12:$A$17,Sheet1!$I$12:$I$17)</f>
        <v>8304633.8999999994</v>
      </c>
      <c r="W1039" s="9">
        <f>Table1[[#This Row], [LOOT]]-Table1[[#This Row], [TOTAL COST]]</f>
        <v>9557303.6000000015</v>
      </c>
      <c r="X1039" s="9">
        <f>IF(Table1[[#This Row], [PASS/FAIL]]="FAIL",0,Table1[[#This Row], [PROFIT]])</f>
        <v>9557303.6000000015</v>
      </c>
    </row>
    <row r="1040" spans="1:24" ht="19.5" customHeight="1" x14ac:dyDescent="0.45">
      <c r="A1040" t="s">
        <v>13</v>
      </c>
      <c r="B1040" s="14">
        <f>_xlfn.XLOOKUP(Table1[[#This Row], [TEAM]],Sheet1!$A$12:$A$17,Sheet1!$F$12:$F$17)</f>
        <v>3</v>
      </c>
      <c r="C1040" s="14">
        <f>_xlfn.XLOOKUP(Table1[[#This Row], [TEAM]],Sheet1!$A$12:$A$17,Sheet1!$G$12:$G$17)</f>
        <v>5930000</v>
      </c>
      <c r="D1040" t="s">
        <v>23</v>
      </c>
      <c r="E1040" s="4">
        <f>_xlfn.XLOOKUP(Table1[[#This Row], [ROOM]],Sheet1!$A$47:$A$66,Sheet1!$B$47:$B$66)</f>
        <v>245</v>
      </c>
      <c r="F1040" t="s">
        <v>62</v>
      </c>
      <c r="G1040" s="4">
        <f>_xlfn.XLOOKUP(Table1[[#This Row], [DISGUISE]],Sheet1!$A$21:$A$23,Sheet1!$B$21:$B$23)*Table1[[#This Row], [NUM OF MEM]]*(1+_xlfn.XLOOKUP(Table1[[#This Row], [DISGUISE]],Sheet1!$A$21:$A$23,Sheet1!$C$21:$C$23))</f>
        <v>15600</v>
      </c>
      <c r="H1040" s="13" t="s">
        <v>63</v>
      </c>
      <c r="I1040" s="4">
        <f>_xlfn.XLOOKUP(Table1[[#This Row], [WEAPON]],Sheet1!$A$27:$A$29,Sheet1!$B$27:$B$29)*Table1[[#This Row], [NUM OF MEM]]*(1+_xlfn.XLOOKUP(Table1[[#This Row], [WEAPON]],Sheet1!$A$27:$A$29,Sheet1!$C$27:$C$29))</f>
        <v>69000</v>
      </c>
      <c r="J1040" t="s">
        <v>64</v>
      </c>
      <c r="K1040" s="9">
        <f>Table1[[#This Row], [NUM OF MEM]]*Table1[[#This Row], [TOTAL TIME TAKEN]]*_xlfn.XLOOKUP(Table1[[#This Row], [EXIT]],Sheet1!$A$70:$A$71,Sheet1!$B$70:$B$71)*(1+_xlfn.XLOOKUP(Table1[[#This Row], [EXIT]],Sheet1!$A$70:$A$71,Sheet1!$C$70:$C$71))</f>
        <v>1828461.5999999996</v>
      </c>
      <c r="L1040" s="13" t="s">
        <v>61</v>
      </c>
      <c r="M1040" s="4">
        <f>IF(Table1[[#This Row], [EQUIPMENT]]="YES",Sheet1!$C$44*(1+Sheet1!$D$44),0)</f>
        <v>0</v>
      </c>
      <c r="N1040" s="4">
        <f>_xlfn.XLOOKUP(Table1[[#This Row], [ROOM]],Sheet1!$A$47:$A$66,Sheet1!$F$47:$F$66)</f>
        <v>17400000</v>
      </c>
      <c r="O1040" s="9">
        <f>_xlfn.XLOOKUP(_xlfn.CONCAT(Table1[[#This Row], [TEAM]],Table1[[#This Row], [ROOM]]),'ROOM TIME'!$H$2:$H$121,'ROOM TIME'!$J$2:$J$121)</f>
        <v>42.078333333333326</v>
      </c>
      <c r="P1040" s="9">
        <f>(INDEX(Sheet1!$X$48:$Z$67,MATCH(Table1[[#This Row], [ROOM]],Sheet1!$P$48:$P$67,0),MATCH(Table1[[#This Row], [WEAPON]],Sheet1!$X$47:$Z$47,0)))/Table1[[#This Row], [NUM OF MEM]]</f>
        <v>4.95</v>
      </c>
      <c r="Q1040" s="9">
        <f>Table1[[#This Row], [ROOM TIME]]+Table1[[#This Row], [GUARD TIME]]</f>
        <v>47.028333333333329</v>
      </c>
      <c r="R1040" s="4">
        <f>Sheet1!$K$3*_xlfn.XLOOKUP(Table1[[#This Row], [DISGUISE]],Sheet1!$A$21:$A$23,Sheet1!$D$21:$D$23)</f>
        <v>66</v>
      </c>
      <c r="S1040" s="9">
        <f>Table1[[#This Row], [TOTAL TIME]]-Table1[[#This Row], [TOTAL TIME TAKEN]]</f>
        <v>18.971666666666671</v>
      </c>
      <c r="T1040" t="str">
        <f>IF(Table1[[#This Row], [TIME DIFFERENCE]]&gt;=0,"PASS","FAIL")</f>
        <v>PASS</v>
      </c>
      <c r="U1040" s="9">
        <f>Table1[[#This Row], [TRC]]+Table1[[#This Row], [DRC]]+Table1[[#This Row], [WRC]]+Table1[[#This Row], [ERC]]+Table1[[#This Row], [EQRC]]</f>
        <v>7843061.5999999996</v>
      </c>
      <c r="V1040" s="9">
        <f>Table1[[#This Row], [TOTAL COST]]+_xlfn.XLOOKUP(Table1[[#This Row], [TEAM]],Sheet1!$A$12:$A$17,Sheet1!$I$12:$I$17)</f>
        <v>8139561.5999999996</v>
      </c>
      <c r="W1040" s="9">
        <f>Table1[[#This Row], [LOOT]]-Table1[[#This Row], [TOTAL COST]]</f>
        <v>9556938.4000000004</v>
      </c>
      <c r="X1040" s="9">
        <f>IF(Table1[[#This Row], [PASS/FAIL]]="FAIL",0,Table1[[#This Row], [PROFIT]])</f>
        <v>9556938.4000000004</v>
      </c>
    </row>
    <row r="1041" spans="1:24" ht="19.5" customHeight="1" x14ac:dyDescent="0.45">
      <c r="A1041" t="s">
        <v>14</v>
      </c>
      <c r="B1041" s="14">
        <f>_xlfn.XLOOKUP(Table1[[#This Row], [TEAM]],Sheet1!$A$12:$A$17,Sheet1!$F$12:$F$17)</f>
        <v>2</v>
      </c>
      <c r="C1041" s="14">
        <f>_xlfn.XLOOKUP(Table1[[#This Row], [TEAM]],Sheet1!$A$12:$A$17,Sheet1!$G$12:$G$17)</f>
        <v>5949600</v>
      </c>
      <c r="D1041" t="s">
        <v>25</v>
      </c>
      <c r="E1041" s="4">
        <f>_xlfn.XLOOKUP(Table1[[#This Row], [ROOM]],Sheet1!$A$47:$A$66,Sheet1!$B$47:$B$66)</f>
        <v>126</v>
      </c>
      <c r="F1041" t="s">
        <v>58</v>
      </c>
      <c r="G1041" s="4">
        <f>_xlfn.XLOOKUP(Table1[[#This Row], [DISGUISE]],Sheet1!$A$21:$A$23,Sheet1!$B$21:$B$23)*Table1[[#This Row], [NUM OF MEM]]*(1+_xlfn.XLOOKUP(Table1[[#This Row], [DISGUISE]],Sheet1!$A$21:$A$23,Sheet1!$C$21:$C$23))</f>
        <v>25600</v>
      </c>
      <c r="H1041" s="13" t="s">
        <v>63</v>
      </c>
      <c r="I1041" s="4">
        <f>_xlfn.XLOOKUP(Table1[[#This Row], [WEAPON]],Sheet1!$A$27:$A$29,Sheet1!$B$27:$B$29)*Table1[[#This Row], [NUM OF MEM]]*(1+_xlfn.XLOOKUP(Table1[[#This Row], [WEAPON]],Sheet1!$A$27:$A$29,Sheet1!$C$27:$C$29))</f>
        <v>46000</v>
      </c>
      <c r="J1041" t="s">
        <v>64</v>
      </c>
      <c r="K1041" s="9">
        <f>Table1[[#This Row], [NUM OF MEM]]*Table1[[#This Row], [TOTAL TIME TAKEN]]*_xlfn.XLOOKUP(Table1[[#This Row], [EXIT]],Sheet1!$A$70:$A$71,Sheet1!$B$70:$B$71)*(1+_xlfn.XLOOKUP(Table1[[#This Row], [EXIT]],Sheet1!$A$70:$A$71,Sheet1!$C$70:$C$71))</f>
        <v>1665943.1999999997</v>
      </c>
      <c r="L1041" s="13" t="s">
        <v>65</v>
      </c>
      <c r="M1041" s="4">
        <f>IF(Table1[[#This Row], [EQUIPMENT]]="YES",Sheet1!$C$44*(1+Sheet1!$D$44),0)</f>
        <v>307500</v>
      </c>
      <c r="N1041" s="4">
        <f>_xlfn.XLOOKUP(Table1[[#This Row], [ROOM]],Sheet1!$A$47:$A$66,Sheet1!$F$47:$F$66)</f>
        <v>17550000</v>
      </c>
      <c r="O1041" s="9">
        <f>_xlfn.XLOOKUP(_xlfn.CONCAT(Table1[[#This Row], [TEAM]],Table1[[#This Row], [ROOM]]),'ROOM TIME'!$H$2:$H$121,'ROOM TIME'!$J$2:$J$121)</f>
        <v>56.847499999999989</v>
      </c>
      <c r="P1041" s="9">
        <f>(INDEX(Sheet1!$X$48:$Z$67,MATCH(Table1[[#This Row], [ROOM]],Sheet1!$P$48:$P$67,0),MATCH(Table1[[#This Row], [WEAPON]],Sheet1!$X$47:$Z$47,0)))/Table1[[#This Row], [NUM OF MEM]]</f>
        <v>7.4250000000000007</v>
      </c>
      <c r="Q1041" s="9">
        <f>Table1[[#This Row], [ROOM TIME]]+Table1[[#This Row], [GUARD TIME]]</f>
        <v>64.272499999999994</v>
      </c>
      <c r="R1041" s="4">
        <f>Sheet1!$K$3*_xlfn.XLOOKUP(Table1[[#This Row], [DISGUISE]],Sheet1!$A$21:$A$23,Sheet1!$D$21:$D$23)</f>
        <v>69</v>
      </c>
      <c r="S1041" s="9">
        <f>Table1[[#This Row], [TOTAL TIME]]-Table1[[#This Row], [TOTAL TIME TAKEN]]</f>
        <v>4.7275000000000063</v>
      </c>
      <c r="T1041" t="str">
        <f>IF(Table1[[#This Row], [TIME DIFFERENCE]]&gt;=0,"PASS","FAIL")</f>
        <v>PASS</v>
      </c>
      <c r="U1041" s="9">
        <f>Table1[[#This Row], [TRC]]+Table1[[#This Row], [DRC]]+Table1[[#This Row], [WRC]]+Table1[[#This Row], [ERC]]+Table1[[#This Row], [EQRC]]</f>
        <v>7994643.1999999993</v>
      </c>
      <c r="V1041" s="9">
        <f>Table1[[#This Row], [TOTAL COST]]+_xlfn.XLOOKUP(Table1[[#This Row], [TEAM]],Sheet1!$A$12:$A$17,Sheet1!$I$12:$I$17)</f>
        <v>8292123.1999999993</v>
      </c>
      <c r="W1041" s="9">
        <f>Table1[[#This Row], [LOOT]]-Table1[[#This Row], [TOTAL COST]]</f>
        <v>9555356.8000000007</v>
      </c>
      <c r="X1041" s="9">
        <f>IF(Table1[[#This Row], [PASS/FAIL]]="FAIL",0,Table1[[#This Row], [PROFIT]])</f>
        <v>9555356.8000000007</v>
      </c>
    </row>
    <row r="1042" spans="1:24" ht="19.5" customHeight="1" x14ac:dyDescent="0.45">
      <c r="A1042" t="s">
        <v>14</v>
      </c>
      <c r="B1042" s="14">
        <f>_xlfn.XLOOKUP(Table1[[#This Row], [TEAM]],Sheet1!$A$12:$A$17,Sheet1!$F$12:$F$17)</f>
        <v>2</v>
      </c>
      <c r="C1042" s="14">
        <f>_xlfn.XLOOKUP(Table1[[#This Row], [TEAM]],Sheet1!$A$12:$A$17,Sheet1!$G$12:$G$17)</f>
        <v>5949600</v>
      </c>
      <c r="D1042" t="s">
        <v>25</v>
      </c>
      <c r="E1042" s="4">
        <f>_xlfn.XLOOKUP(Table1[[#This Row], [ROOM]],Sheet1!$A$47:$A$66,Sheet1!$B$47:$B$66)</f>
        <v>126</v>
      </c>
      <c r="F1042" t="s">
        <v>58</v>
      </c>
      <c r="G1042" s="4">
        <f>_xlfn.XLOOKUP(Table1[[#This Row], [DISGUISE]],Sheet1!$A$21:$A$23,Sheet1!$B$21:$B$23)*Table1[[#This Row], [NUM OF MEM]]*(1+_xlfn.XLOOKUP(Table1[[#This Row], [DISGUISE]],Sheet1!$A$21:$A$23,Sheet1!$C$21:$C$23))</f>
        <v>25600</v>
      </c>
      <c r="H1042" s="13" t="s">
        <v>59</v>
      </c>
      <c r="I1042" s="4">
        <f>_xlfn.XLOOKUP(Table1[[#This Row], [WEAPON]],Sheet1!$A$27:$A$29,Sheet1!$B$27:$B$29)*Table1[[#This Row], [NUM OF MEM]]*(1+_xlfn.XLOOKUP(Table1[[#This Row], [WEAPON]],Sheet1!$A$27:$A$29,Sheet1!$C$27:$C$29))</f>
        <v>91000</v>
      </c>
      <c r="J1042" t="s">
        <v>60</v>
      </c>
      <c r="K1042" s="9">
        <f>Table1[[#This Row], [NUM OF MEM]]*Table1[[#This Row], [TOTAL TIME TAKEN]]*_xlfn.XLOOKUP(Table1[[#This Row], [EXIT]],Sheet1!$A$70:$A$71,Sheet1!$B$70:$B$71)*(1+_xlfn.XLOOKUP(Table1[[#This Row], [EXIT]],Sheet1!$A$70:$A$71,Sheet1!$C$70:$C$71))</f>
        <v>1621322.2124999997</v>
      </c>
      <c r="L1042" s="13" t="s">
        <v>65</v>
      </c>
      <c r="M1042" s="4">
        <f>IF(Table1[[#This Row], [EQUIPMENT]]="YES",Sheet1!$C$44*(1+Sheet1!$D$44),0)</f>
        <v>307500</v>
      </c>
      <c r="N1042" s="4">
        <f>_xlfn.XLOOKUP(Table1[[#This Row], [ROOM]],Sheet1!$A$47:$A$66,Sheet1!$F$47:$F$66)</f>
        <v>17550000</v>
      </c>
      <c r="O1042" s="9">
        <f>_xlfn.XLOOKUP(_xlfn.CONCAT(Table1[[#This Row], [TEAM]],Table1[[#This Row], [ROOM]]),'ROOM TIME'!$H$2:$H$121,'ROOM TIME'!$J$2:$J$121)</f>
        <v>56.847499999999989</v>
      </c>
      <c r="P1042" s="9">
        <f>(INDEX(Sheet1!$X$48:$Z$67,MATCH(Table1[[#This Row], [ROOM]],Sheet1!$P$48:$P$67,0),MATCH(Table1[[#This Row], [WEAPON]],Sheet1!$X$47:$Z$47,0)))/Table1[[#This Row], [NUM OF MEM]]</f>
        <v>6.3249999999999993</v>
      </c>
      <c r="Q1042" s="9">
        <f>Table1[[#This Row], [ROOM TIME]]+Table1[[#This Row], [GUARD TIME]]</f>
        <v>63.172499999999985</v>
      </c>
      <c r="R1042" s="4">
        <f>Sheet1!$K$3*_xlfn.XLOOKUP(Table1[[#This Row], [DISGUISE]],Sheet1!$A$21:$A$23,Sheet1!$D$21:$D$23)</f>
        <v>69</v>
      </c>
      <c r="S1042" s="9">
        <f>Table1[[#This Row], [TOTAL TIME]]-Table1[[#This Row], [TOTAL TIME TAKEN]]</f>
        <v>5.8275000000000148</v>
      </c>
      <c r="T1042" t="str">
        <f>IF(Table1[[#This Row], [TIME DIFFERENCE]]&gt;=0,"PASS","FAIL")</f>
        <v>PASS</v>
      </c>
      <c r="U1042" s="9">
        <f>Table1[[#This Row], [TRC]]+Table1[[#This Row], [DRC]]+Table1[[#This Row], [WRC]]+Table1[[#This Row], [ERC]]+Table1[[#This Row], [EQRC]]</f>
        <v>7995022.2124999994</v>
      </c>
      <c r="V1042" s="9">
        <f>Table1[[#This Row], [TOTAL COST]]+_xlfn.XLOOKUP(Table1[[#This Row], [TEAM]],Sheet1!$A$12:$A$17,Sheet1!$I$12:$I$17)</f>
        <v>8292502.2124999994</v>
      </c>
      <c r="W1042" s="9">
        <f>Table1[[#This Row], [LOOT]]-Table1[[#This Row], [TOTAL COST]]</f>
        <v>9554977.7875000015</v>
      </c>
      <c r="X1042" s="9">
        <f>IF(Table1[[#This Row], [PASS/FAIL]]="FAIL",0,Table1[[#This Row], [PROFIT]])</f>
        <v>9554977.7875000015</v>
      </c>
    </row>
    <row r="1043" spans="1:24" ht="19.5" customHeight="1" x14ac:dyDescent="0.45">
      <c r="A1043" t="s">
        <v>15</v>
      </c>
      <c r="B1043" s="14">
        <f>_xlfn.XLOOKUP(Table1[[#This Row], [TEAM]],Sheet1!$A$12:$A$17,Sheet1!$F$12:$F$17)</f>
        <v>2</v>
      </c>
      <c r="C1043" s="14">
        <f>_xlfn.XLOOKUP(Table1[[#This Row], [TEAM]],Sheet1!$A$12:$A$17,Sheet1!$G$12:$G$17)</f>
        <v>5932950</v>
      </c>
      <c r="D1043" t="s">
        <v>31</v>
      </c>
      <c r="E1043" s="4">
        <f>_xlfn.XLOOKUP(Table1[[#This Row], [ROOM]],Sheet1!$A$47:$A$66,Sheet1!$B$47:$B$66)</f>
        <v>256</v>
      </c>
      <c r="F1043" t="s">
        <v>58</v>
      </c>
      <c r="G104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43" s="13" t="s">
        <v>63</v>
      </c>
      <c r="I1043" s="4">
        <f>_xlfn.XLOOKUP(Table1[[#This Row], [WEAPON]],Sheet1!$A$27:$A$29,Sheet1!$B$27:$B$29)*Table1[[#This Row], [NUM OF MEM]]*(1+_xlfn.XLOOKUP(Table1[[#This Row], [WEAPON]],Sheet1!$A$27:$A$29,Sheet1!$C$27:$C$29))</f>
        <v>46000</v>
      </c>
      <c r="J1043" t="s">
        <v>60</v>
      </c>
      <c r="K1043" s="9">
        <f>Table1[[#This Row], [NUM OF MEM]]*Table1[[#This Row], [TOTAL TIME TAKEN]]*_xlfn.XLOOKUP(Table1[[#This Row], [EXIT]],Sheet1!$A$70:$A$71,Sheet1!$B$70:$B$71)*(1+_xlfn.XLOOKUP(Table1[[#This Row], [EXIT]],Sheet1!$A$70:$A$71,Sheet1!$C$70:$C$71))</f>
        <v>1633063.9499999997</v>
      </c>
      <c r="L1043" s="13" t="s">
        <v>65</v>
      </c>
      <c r="M1043" s="4">
        <f>IF(Table1[[#This Row], [EQUIPMENT]]="YES",Sheet1!$C$44*(1+Sheet1!$D$44),0)</f>
        <v>307500</v>
      </c>
      <c r="N1043" s="4">
        <f>_xlfn.XLOOKUP(Table1[[#This Row], [ROOM]],Sheet1!$A$47:$A$66,Sheet1!$F$47:$F$66)</f>
        <v>17500000</v>
      </c>
      <c r="O1043" s="9">
        <f>_xlfn.XLOOKUP(_xlfn.CONCAT(Table1[[#This Row], [TEAM]],Table1[[#This Row], [ROOM]]),'ROOM TIME'!$H$2:$H$121,'ROOM TIME'!$J$2:$J$121)</f>
        <v>56.204999999999984</v>
      </c>
      <c r="P1043" s="9">
        <f>(INDEX(Sheet1!$X$48:$Z$67,MATCH(Table1[[#This Row], [ROOM]],Sheet1!$P$48:$P$67,0),MATCH(Table1[[#This Row], [WEAPON]],Sheet1!$X$47:$Z$47,0)))/Table1[[#This Row], [NUM OF MEM]]</f>
        <v>7.4250000000000007</v>
      </c>
      <c r="Q1043" s="9">
        <f>Table1[[#This Row], [ROOM TIME]]+Table1[[#This Row], [GUARD TIME]]</f>
        <v>63.629999999999981</v>
      </c>
      <c r="R1043" s="4">
        <f>Sheet1!$K$3*_xlfn.XLOOKUP(Table1[[#This Row], [DISGUISE]],Sheet1!$A$21:$A$23,Sheet1!$D$21:$D$23)</f>
        <v>69</v>
      </c>
      <c r="S1043" s="9">
        <f>Table1[[#This Row], [TOTAL TIME]]-Table1[[#This Row], [TOTAL TIME TAKEN]]</f>
        <v>5.3700000000000188</v>
      </c>
      <c r="T1043" t="str">
        <f>IF(Table1[[#This Row], [TIME DIFFERENCE]]&gt;=0,"PASS","FAIL")</f>
        <v>PASS</v>
      </c>
      <c r="U1043" s="9">
        <f>Table1[[#This Row], [TRC]]+Table1[[#This Row], [DRC]]+Table1[[#This Row], [WRC]]+Table1[[#This Row], [ERC]]+Table1[[#This Row], [EQRC]]</f>
        <v>7945113.9499999993</v>
      </c>
      <c r="V1043" s="9">
        <f>Table1[[#This Row], [TOTAL COST]]+_xlfn.XLOOKUP(Table1[[#This Row], [TEAM]],Sheet1!$A$12:$A$17,Sheet1!$I$12:$I$17)</f>
        <v>8241761.4499999993</v>
      </c>
      <c r="W1043" s="9">
        <f>Table1[[#This Row], [LOOT]]-Table1[[#This Row], [TOTAL COST]]</f>
        <v>9554886.0500000007</v>
      </c>
      <c r="X1043" s="9">
        <f>IF(Table1[[#This Row], [PASS/FAIL]]="FAIL",0,Table1[[#This Row], [PROFIT]])</f>
        <v>9554886.0500000007</v>
      </c>
    </row>
    <row r="1044" spans="1:24" ht="19.5" customHeight="1" x14ac:dyDescent="0.45">
      <c r="A1044" t="s">
        <v>12</v>
      </c>
      <c r="B1044" s="14">
        <f>_xlfn.XLOOKUP(Table1[[#This Row], [TEAM]],Sheet1!$A$12:$A$17,Sheet1!$F$12:$F$17)</f>
        <v>3</v>
      </c>
      <c r="C1044" s="14">
        <f>_xlfn.XLOOKUP(Table1[[#This Row], [TEAM]],Sheet1!$A$12:$A$17,Sheet1!$G$12:$G$17)</f>
        <v>5988750</v>
      </c>
      <c r="D1044" t="s">
        <v>22</v>
      </c>
      <c r="E1044" s="4">
        <f>_xlfn.XLOOKUP(Table1[[#This Row], [ROOM]],Sheet1!$A$47:$A$66,Sheet1!$B$47:$B$66)</f>
        <v>235</v>
      </c>
      <c r="F1044" t="s">
        <v>58</v>
      </c>
      <c r="G1044" s="4">
        <f>_xlfn.XLOOKUP(Table1[[#This Row], [DISGUISE]],Sheet1!$A$21:$A$23,Sheet1!$B$21:$B$23)*Table1[[#This Row], [NUM OF MEM]]*(1+_xlfn.XLOOKUP(Table1[[#This Row], [DISGUISE]],Sheet1!$A$21:$A$23,Sheet1!$C$21:$C$23))</f>
        <v>38400</v>
      </c>
      <c r="H1044" s="13" t="s">
        <v>59</v>
      </c>
      <c r="I1044" s="4">
        <f>_xlfn.XLOOKUP(Table1[[#This Row], [WEAPON]],Sheet1!$A$27:$A$29,Sheet1!$B$27:$B$29)*Table1[[#This Row], [NUM OF MEM]]*(1+_xlfn.XLOOKUP(Table1[[#This Row], [WEAPON]],Sheet1!$A$27:$A$29,Sheet1!$C$27:$C$29))</f>
        <v>136500</v>
      </c>
      <c r="J1044" t="s">
        <v>60</v>
      </c>
      <c r="K1044" s="9">
        <f>Table1[[#This Row], [NUM OF MEM]]*Table1[[#This Row], [TOTAL TIME TAKEN]]*_xlfn.XLOOKUP(Table1[[#This Row], [EXIT]],Sheet1!$A$70:$A$71,Sheet1!$B$70:$B$71)*(1+_xlfn.XLOOKUP(Table1[[#This Row], [EXIT]],Sheet1!$A$70:$A$71,Sheet1!$C$70:$C$71))</f>
        <v>1773964.7999999993</v>
      </c>
      <c r="L1044" s="13" t="s">
        <v>65</v>
      </c>
      <c r="M1044" s="4">
        <f>IF(Table1[[#This Row], [EQUIPMENT]]="YES",Sheet1!$C$44*(1+Sheet1!$D$44),0)</f>
        <v>307500</v>
      </c>
      <c r="N1044" s="4">
        <f>_xlfn.XLOOKUP(Table1[[#This Row], [ROOM]],Sheet1!$A$47:$A$66,Sheet1!$F$47:$F$66)</f>
        <v>17800000</v>
      </c>
      <c r="O1044" s="9">
        <f>_xlfn.XLOOKUP(_xlfn.CONCAT(Table1[[#This Row], [TEAM]],Table1[[#This Row], [ROOM]]),'ROOM TIME'!$H$2:$H$121,'ROOM TIME'!$J$2:$J$121)</f>
        <v>41.479999999999983</v>
      </c>
      <c r="P1044" s="9">
        <f>(INDEX(Sheet1!$X$48:$Z$67,MATCH(Table1[[#This Row], [ROOM]],Sheet1!$P$48:$P$67,0),MATCH(Table1[[#This Row], [WEAPON]],Sheet1!$X$47:$Z$47,0)))/Table1[[#This Row], [NUM OF MEM]]</f>
        <v>4.5999999999999996</v>
      </c>
      <c r="Q1044" s="9">
        <f>Table1[[#This Row], [ROOM TIME]]+Table1[[#This Row], [GUARD TIME]]</f>
        <v>46.079999999999984</v>
      </c>
      <c r="R1044" s="4">
        <f>Sheet1!$K$3*_xlfn.XLOOKUP(Table1[[#This Row], [DISGUISE]],Sheet1!$A$21:$A$23,Sheet1!$D$21:$D$23)</f>
        <v>69</v>
      </c>
      <c r="S1044" s="9">
        <f>Table1[[#This Row], [TOTAL TIME]]-Table1[[#This Row], [TOTAL TIME TAKEN]]</f>
        <v>22.920000000000016</v>
      </c>
      <c r="T1044" t="str">
        <f>IF(Table1[[#This Row], [TIME DIFFERENCE]]&gt;=0,"PASS","FAIL")</f>
        <v>PASS</v>
      </c>
      <c r="U1044" s="9">
        <f>Table1[[#This Row], [TRC]]+Table1[[#This Row], [DRC]]+Table1[[#This Row], [WRC]]+Table1[[#This Row], [ERC]]+Table1[[#This Row], [EQRC]]</f>
        <v>8245114.7999999989</v>
      </c>
      <c r="V1044" s="9">
        <f>Table1[[#This Row], [TOTAL COST]]+_xlfn.XLOOKUP(Table1[[#This Row], [TEAM]],Sheet1!$A$12:$A$17,Sheet1!$I$12:$I$17)</f>
        <v>8544552.2999999989</v>
      </c>
      <c r="W1044" s="9">
        <f>Table1[[#This Row], [LOOT]]-Table1[[#This Row], [TOTAL COST]]</f>
        <v>9554885.2000000011</v>
      </c>
      <c r="X1044" s="9">
        <f>IF(Table1[[#This Row], [PASS/FAIL]]="FAIL",0,Table1[[#This Row], [PROFIT]])</f>
        <v>9554885.2000000011</v>
      </c>
    </row>
    <row r="1045" spans="1:24" ht="19.5" customHeight="1" x14ac:dyDescent="0.45">
      <c r="A1045" t="s">
        <v>14</v>
      </c>
      <c r="B1045" s="14">
        <f>_xlfn.XLOOKUP(Table1[[#This Row], [TEAM]],Sheet1!$A$12:$A$17,Sheet1!$F$12:$F$17)</f>
        <v>2</v>
      </c>
      <c r="C1045" s="14">
        <f>_xlfn.XLOOKUP(Table1[[#This Row], [TEAM]],Sheet1!$A$12:$A$17,Sheet1!$G$12:$G$17)</f>
        <v>5949600</v>
      </c>
      <c r="D1045" t="s">
        <v>25</v>
      </c>
      <c r="E1045" s="4">
        <f>_xlfn.XLOOKUP(Table1[[#This Row], [ROOM]],Sheet1!$A$47:$A$66,Sheet1!$B$47:$B$66)</f>
        <v>126</v>
      </c>
      <c r="F1045" t="s">
        <v>62</v>
      </c>
      <c r="G1045" s="4">
        <f>_xlfn.XLOOKUP(Table1[[#This Row], [DISGUISE]],Sheet1!$A$21:$A$23,Sheet1!$B$21:$B$23)*Table1[[#This Row], [NUM OF MEM]]*(1+_xlfn.XLOOKUP(Table1[[#This Row], [DISGUISE]],Sheet1!$A$21:$A$23,Sheet1!$C$21:$C$23))</f>
        <v>10400</v>
      </c>
      <c r="H1045" s="13" t="s">
        <v>59</v>
      </c>
      <c r="I1045" s="4">
        <f>_xlfn.XLOOKUP(Table1[[#This Row], [WEAPON]],Sheet1!$A$27:$A$29,Sheet1!$B$27:$B$29)*Table1[[#This Row], [NUM OF MEM]]*(1+_xlfn.XLOOKUP(Table1[[#This Row], [WEAPON]],Sheet1!$A$27:$A$29,Sheet1!$C$27:$C$29))</f>
        <v>91000</v>
      </c>
      <c r="J1045" t="s">
        <v>64</v>
      </c>
      <c r="K1045" s="9">
        <f>Table1[[#This Row], [NUM OF MEM]]*Table1[[#This Row], [TOTAL TIME TAKEN]]*_xlfn.XLOOKUP(Table1[[#This Row], [EXIT]],Sheet1!$A$70:$A$71,Sheet1!$B$70:$B$71)*(1+_xlfn.XLOOKUP(Table1[[#This Row], [EXIT]],Sheet1!$A$70:$A$71,Sheet1!$C$70:$C$71))</f>
        <v>1637431.1999999997</v>
      </c>
      <c r="L1045" s="13" t="s">
        <v>65</v>
      </c>
      <c r="M1045" s="4">
        <f>IF(Table1[[#This Row], [EQUIPMENT]]="YES",Sheet1!$C$44*(1+Sheet1!$D$44),0)</f>
        <v>307500</v>
      </c>
      <c r="N1045" s="4">
        <f>_xlfn.XLOOKUP(Table1[[#This Row], [ROOM]],Sheet1!$A$47:$A$66,Sheet1!$F$47:$F$66)</f>
        <v>17550000</v>
      </c>
      <c r="O1045" s="9">
        <f>_xlfn.XLOOKUP(_xlfn.CONCAT(Table1[[#This Row], [TEAM]],Table1[[#This Row], [ROOM]]),'ROOM TIME'!$H$2:$H$121,'ROOM TIME'!$J$2:$J$121)</f>
        <v>56.847499999999989</v>
      </c>
      <c r="P1045" s="9">
        <f>(INDEX(Sheet1!$X$48:$Z$67,MATCH(Table1[[#This Row], [ROOM]],Sheet1!$P$48:$P$67,0),MATCH(Table1[[#This Row], [WEAPON]],Sheet1!$X$47:$Z$47,0)))/Table1[[#This Row], [NUM OF MEM]]</f>
        <v>6.3249999999999993</v>
      </c>
      <c r="Q1045" s="9">
        <f>Table1[[#This Row], [ROOM TIME]]+Table1[[#This Row], [GUARD TIME]]</f>
        <v>63.172499999999985</v>
      </c>
      <c r="R1045" s="4">
        <f>Sheet1!$K$3*_xlfn.XLOOKUP(Table1[[#This Row], [DISGUISE]],Sheet1!$A$21:$A$23,Sheet1!$D$21:$D$23)</f>
        <v>66</v>
      </c>
      <c r="S1045" s="9">
        <f>Table1[[#This Row], [TOTAL TIME]]-Table1[[#This Row], [TOTAL TIME TAKEN]]</f>
        <v>2.8275000000000148</v>
      </c>
      <c r="T1045" t="str">
        <f>IF(Table1[[#This Row], [TIME DIFFERENCE]]&gt;=0,"PASS","FAIL")</f>
        <v>PASS</v>
      </c>
      <c r="U1045" s="9">
        <f>Table1[[#This Row], [TRC]]+Table1[[#This Row], [DRC]]+Table1[[#This Row], [WRC]]+Table1[[#This Row], [ERC]]+Table1[[#This Row], [EQRC]]</f>
        <v>7995931.1999999993</v>
      </c>
      <c r="V1045" s="9">
        <f>Table1[[#This Row], [TOTAL COST]]+_xlfn.XLOOKUP(Table1[[#This Row], [TEAM]],Sheet1!$A$12:$A$17,Sheet1!$I$12:$I$17)</f>
        <v>8293411.1999999993</v>
      </c>
      <c r="W1045" s="9">
        <f>Table1[[#This Row], [LOOT]]-Table1[[#This Row], [TOTAL COST]]</f>
        <v>9554068.8000000007</v>
      </c>
      <c r="X1045" s="9">
        <f>IF(Table1[[#This Row], [PASS/FAIL]]="FAIL",0,Table1[[#This Row], [PROFIT]])</f>
        <v>9554068.8000000007</v>
      </c>
    </row>
    <row r="1046" spans="1:24" ht="19.5" customHeight="1" x14ac:dyDescent="0.45">
      <c r="A1046" t="s">
        <v>15</v>
      </c>
      <c r="B1046" s="14">
        <f>_xlfn.XLOOKUP(Table1[[#This Row], [TEAM]],Sheet1!$A$12:$A$17,Sheet1!$F$12:$F$17)</f>
        <v>2</v>
      </c>
      <c r="C1046" s="14">
        <f>_xlfn.XLOOKUP(Table1[[#This Row], [TEAM]],Sheet1!$A$12:$A$17,Sheet1!$G$12:$G$17)</f>
        <v>5932950</v>
      </c>
      <c r="D1046" t="s">
        <v>31</v>
      </c>
      <c r="E1046" s="4">
        <f>_xlfn.XLOOKUP(Table1[[#This Row], [ROOM]],Sheet1!$A$47:$A$66,Sheet1!$B$47:$B$66)</f>
        <v>256</v>
      </c>
      <c r="F1046" t="s">
        <v>62</v>
      </c>
      <c r="G1046" s="4">
        <f>_xlfn.XLOOKUP(Table1[[#This Row], [DISGUISE]],Sheet1!$A$21:$A$23,Sheet1!$B$21:$B$23)*Table1[[#This Row], [NUM OF MEM]]*(1+_xlfn.XLOOKUP(Table1[[#This Row], [DISGUISE]],Sheet1!$A$21:$A$23,Sheet1!$C$21:$C$23))</f>
        <v>10400</v>
      </c>
      <c r="H1046" s="13" t="s">
        <v>63</v>
      </c>
      <c r="I1046" s="4">
        <f>_xlfn.XLOOKUP(Table1[[#This Row], [WEAPON]],Sheet1!$A$27:$A$29,Sheet1!$B$27:$B$29)*Table1[[#This Row], [NUM OF MEM]]*(1+_xlfn.XLOOKUP(Table1[[#This Row], [WEAPON]],Sheet1!$A$27:$A$29,Sheet1!$C$27:$C$29))</f>
        <v>46000</v>
      </c>
      <c r="J1046" t="s">
        <v>64</v>
      </c>
      <c r="K1046" s="9">
        <f>Table1[[#This Row], [NUM OF MEM]]*Table1[[#This Row], [TOTAL TIME TAKEN]]*_xlfn.XLOOKUP(Table1[[#This Row], [EXIT]],Sheet1!$A$70:$A$71,Sheet1!$B$70:$B$71)*(1+_xlfn.XLOOKUP(Table1[[#This Row], [EXIT]],Sheet1!$A$70:$A$71,Sheet1!$C$70:$C$71))</f>
        <v>1649289.5999999994</v>
      </c>
      <c r="L1046" s="13" t="s">
        <v>65</v>
      </c>
      <c r="M1046" s="4">
        <f>IF(Table1[[#This Row], [EQUIPMENT]]="YES",Sheet1!$C$44*(1+Sheet1!$D$44),0)</f>
        <v>307500</v>
      </c>
      <c r="N1046" s="4">
        <f>_xlfn.XLOOKUP(Table1[[#This Row], [ROOM]],Sheet1!$A$47:$A$66,Sheet1!$F$47:$F$66)</f>
        <v>17500000</v>
      </c>
      <c r="O1046" s="9">
        <f>_xlfn.XLOOKUP(_xlfn.CONCAT(Table1[[#This Row], [TEAM]],Table1[[#This Row], [ROOM]]),'ROOM TIME'!$H$2:$H$121,'ROOM TIME'!$J$2:$J$121)</f>
        <v>56.204999999999984</v>
      </c>
      <c r="P1046" s="9">
        <f>(INDEX(Sheet1!$X$48:$Z$67,MATCH(Table1[[#This Row], [ROOM]],Sheet1!$P$48:$P$67,0),MATCH(Table1[[#This Row], [WEAPON]],Sheet1!$X$47:$Z$47,0)))/Table1[[#This Row], [NUM OF MEM]]</f>
        <v>7.4250000000000007</v>
      </c>
      <c r="Q1046" s="9">
        <f>Table1[[#This Row], [ROOM TIME]]+Table1[[#This Row], [GUARD TIME]]</f>
        <v>63.629999999999981</v>
      </c>
      <c r="R1046" s="4">
        <f>Sheet1!$K$3*_xlfn.XLOOKUP(Table1[[#This Row], [DISGUISE]],Sheet1!$A$21:$A$23,Sheet1!$D$21:$D$23)</f>
        <v>66</v>
      </c>
      <c r="S1046" s="9">
        <f>Table1[[#This Row], [TOTAL TIME]]-Table1[[#This Row], [TOTAL TIME TAKEN]]</f>
        <v>2.3700000000000188</v>
      </c>
      <c r="T1046" t="str">
        <f>IF(Table1[[#This Row], [TIME DIFFERENCE]]&gt;=0,"PASS","FAIL")</f>
        <v>PASS</v>
      </c>
      <c r="U1046" s="9">
        <f>Table1[[#This Row], [TRC]]+Table1[[#This Row], [DRC]]+Table1[[#This Row], [WRC]]+Table1[[#This Row], [ERC]]+Table1[[#This Row], [EQRC]]</f>
        <v>7946139.5999999996</v>
      </c>
      <c r="V1046" s="9">
        <f>Table1[[#This Row], [TOTAL COST]]+_xlfn.XLOOKUP(Table1[[#This Row], [TEAM]],Sheet1!$A$12:$A$17,Sheet1!$I$12:$I$17)</f>
        <v>8242787.0999999996</v>
      </c>
      <c r="W1046" s="9">
        <f>Table1[[#This Row], [LOOT]]-Table1[[#This Row], [TOTAL COST]]</f>
        <v>9553860.4000000004</v>
      </c>
      <c r="X1046" s="9">
        <f>IF(Table1[[#This Row], [PASS/FAIL]]="FAIL",0,Table1[[#This Row], [PROFIT]])</f>
        <v>9553860.4000000004</v>
      </c>
    </row>
    <row r="1047" spans="1:24" ht="19.5" customHeight="1" x14ac:dyDescent="0.45">
      <c r="A1047" t="s">
        <v>15</v>
      </c>
      <c r="B1047" s="14">
        <f>_xlfn.XLOOKUP(Table1[[#This Row], [TEAM]],Sheet1!$A$12:$A$17,Sheet1!$F$12:$F$17)</f>
        <v>2</v>
      </c>
      <c r="C1047" s="14">
        <f>_xlfn.XLOOKUP(Table1[[#This Row], [TEAM]],Sheet1!$A$12:$A$17,Sheet1!$G$12:$G$17)</f>
        <v>5932950</v>
      </c>
      <c r="D1047" t="s">
        <v>31</v>
      </c>
      <c r="E1047" s="4">
        <f>_xlfn.XLOOKUP(Table1[[#This Row], [ROOM]],Sheet1!$A$47:$A$66,Sheet1!$B$47:$B$66)</f>
        <v>256</v>
      </c>
      <c r="F1047" t="s">
        <v>62</v>
      </c>
      <c r="G1047" s="4">
        <f>_xlfn.XLOOKUP(Table1[[#This Row], [DISGUISE]],Sheet1!$A$21:$A$23,Sheet1!$B$21:$B$23)*Table1[[#This Row], [NUM OF MEM]]*(1+_xlfn.XLOOKUP(Table1[[#This Row], [DISGUISE]],Sheet1!$A$21:$A$23,Sheet1!$C$21:$C$23))</f>
        <v>10400</v>
      </c>
      <c r="H1047" s="13" t="s">
        <v>59</v>
      </c>
      <c r="I1047" s="4">
        <f>_xlfn.XLOOKUP(Table1[[#This Row], [WEAPON]],Sheet1!$A$27:$A$29,Sheet1!$B$27:$B$29)*Table1[[#This Row], [NUM OF MEM]]*(1+_xlfn.XLOOKUP(Table1[[#This Row], [WEAPON]],Sheet1!$A$27:$A$29,Sheet1!$C$27:$C$29))</f>
        <v>91000</v>
      </c>
      <c r="J1047" t="s">
        <v>60</v>
      </c>
      <c r="K1047" s="9">
        <f>Table1[[#This Row], [NUM OF MEM]]*Table1[[#This Row], [TOTAL TIME TAKEN]]*_xlfn.XLOOKUP(Table1[[#This Row], [EXIT]],Sheet1!$A$70:$A$71,Sheet1!$B$70:$B$71)*(1+_xlfn.XLOOKUP(Table1[[#This Row], [EXIT]],Sheet1!$A$70:$A$71,Sheet1!$C$70:$C$71))</f>
        <v>1604832.4499999997</v>
      </c>
      <c r="L1047" s="13" t="s">
        <v>65</v>
      </c>
      <c r="M1047" s="4">
        <f>IF(Table1[[#This Row], [EQUIPMENT]]="YES",Sheet1!$C$44*(1+Sheet1!$D$44),0)</f>
        <v>307500</v>
      </c>
      <c r="N1047" s="4">
        <f>_xlfn.XLOOKUP(Table1[[#This Row], [ROOM]],Sheet1!$A$47:$A$66,Sheet1!$F$47:$F$66)</f>
        <v>17500000</v>
      </c>
      <c r="O1047" s="9">
        <f>_xlfn.XLOOKUP(_xlfn.CONCAT(Table1[[#This Row], [TEAM]],Table1[[#This Row], [ROOM]]),'ROOM TIME'!$H$2:$H$121,'ROOM TIME'!$J$2:$J$121)</f>
        <v>56.204999999999984</v>
      </c>
      <c r="P1047" s="9">
        <f>(INDEX(Sheet1!$X$48:$Z$67,MATCH(Table1[[#This Row], [ROOM]],Sheet1!$P$48:$P$67,0),MATCH(Table1[[#This Row], [WEAPON]],Sheet1!$X$47:$Z$47,0)))/Table1[[#This Row], [NUM OF MEM]]</f>
        <v>6.3249999999999993</v>
      </c>
      <c r="Q1047" s="9">
        <f>Table1[[#This Row], [ROOM TIME]]+Table1[[#This Row], [GUARD TIME]]</f>
        <v>62.529999999999987</v>
      </c>
      <c r="R1047" s="4">
        <f>Sheet1!$K$3*_xlfn.XLOOKUP(Table1[[#This Row], [DISGUISE]],Sheet1!$A$21:$A$23,Sheet1!$D$21:$D$23)</f>
        <v>66</v>
      </c>
      <c r="S1047" s="9">
        <f>Table1[[#This Row], [TOTAL TIME]]-Table1[[#This Row], [TOTAL TIME TAKEN]]</f>
        <v>3.4700000000000131</v>
      </c>
      <c r="T1047" t="str">
        <f>IF(Table1[[#This Row], [TIME DIFFERENCE]]&gt;=0,"PASS","FAIL")</f>
        <v>PASS</v>
      </c>
      <c r="U1047" s="9">
        <f>Table1[[#This Row], [TRC]]+Table1[[#This Row], [DRC]]+Table1[[#This Row], [WRC]]+Table1[[#This Row], [ERC]]+Table1[[#This Row], [EQRC]]</f>
        <v>7946682.4499999993</v>
      </c>
      <c r="V1047" s="9">
        <f>Table1[[#This Row], [TOTAL COST]]+_xlfn.XLOOKUP(Table1[[#This Row], [TEAM]],Sheet1!$A$12:$A$17,Sheet1!$I$12:$I$17)</f>
        <v>8243329.9499999993</v>
      </c>
      <c r="W1047" s="9">
        <f>Table1[[#This Row], [LOOT]]-Table1[[#This Row], [TOTAL COST]]</f>
        <v>9553317.5500000007</v>
      </c>
      <c r="X1047" s="9">
        <f>IF(Table1[[#This Row], [PASS/FAIL]]="FAIL",0,Table1[[#This Row], [PROFIT]])</f>
        <v>9553317.5500000007</v>
      </c>
    </row>
    <row r="1048" spans="1:24" ht="19.5" customHeight="1" x14ac:dyDescent="0.45">
      <c r="A1048" t="s">
        <v>16</v>
      </c>
      <c r="B1048" s="14">
        <f>_xlfn.XLOOKUP(Table1[[#This Row], [TEAM]],Sheet1!$A$12:$A$17,Sheet1!$F$12:$F$17)</f>
        <v>2</v>
      </c>
      <c r="C1048" s="14">
        <f>_xlfn.XLOOKUP(Table1[[#This Row], [TEAM]],Sheet1!$A$12:$A$17,Sheet1!$G$12:$G$17)</f>
        <v>6082800</v>
      </c>
      <c r="D1048" t="s">
        <v>28</v>
      </c>
      <c r="E1048" s="4">
        <f>_xlfn.XLOOKUP(Table1[[#This Row], [ROOM]],Sheet1!$A$47:$A$66,Sheet1!$B$47:$B$66)</f>
        <v>156</v>
      </c>
      <c r="F1048" t="s">
        <v>58</v>
      </c>
      <c r="G1048" s="4">
        <f>_xlfn.XLOOKUP(Table1[[#This Row], [DISGUISE]],Sheet1!$A$21:$A$23,Sheet1!$B$21:$B$23)*Table1[[#This Row], [NUM OF MEM]]*(1+_xlfn.XLOOKUP(Table1[[#This Row], [DISGUISE]],Sheet1!$A$21:$A$23,Sheet1!$C$21:$C$23))</f>
        <v>25600</v>
      </c>
      <c r="H1048" s="13" t="s">
        <v>59</v>
      </c>
      <c r="I1048" s="4">
        <f>_xlfn.XLOOKUP(Table1[[#This Row], [WEAPON]],Sheet1!$A$27:$A$29,Sheet1!$B$27:$B$29)*Table1[[#This Row], [NUM OF MEM]]*(1+_xlfn.XLOOKUP(Table1[[#This Row], [WEAPON]],Sheet1!$A$27:$A$29,Sheet1!$C$27:$C$29))</f>
        <v>91000</v>
      </c>
      <c r="J1048" t="s">
        <v>64</v>
      </c>
      <c r="K1048" s="9">
        <f>Table1[[#This Row], [NUM OF MEM]]*Table1[[#This Row], [TOTAL TIME TAKEN]]*_xlfn.XLOOKUP(Table1[[#This Row], [EXIT]],Sheet1!$A$70:$A$71,Sheet1!$B$70:$B$71)*(1+_xlfn.XLOOKUP(Table1[[#This Row], [EXIT]],Sheet1!$A$70:$A$71,Sheet1!$C$70:$C$71))</f>
        <v>1590224.3999999997</v>
      </c>
      <c r="L1048" s="13" t="s">
        <v>65</v>
      </c>
      <c r="M1048" s="4">
        <f>IF(Table1[[#This Row], [EQUIPMENT]]="YES",Sheet1!$C$44*(1+Sheet1!$D$44),0)</f>
        <v>307500</v>
      </c>
      <c r="N1048" s="4">
        <f>_xlfn.XLOOKUP(Table1[[#This Row], [ROOM]],Sheet1!$A$47:$A$66,Sheet1!$F$47:$F$66)</f>
        <v>17650000</v>
      </c>
      <c r="O1048" s="9">
        <f>_xlfn.XLOOKUP(_xlfn.CONCAT(Table1[[#This Row], [TEAM]],Table1[[#This Row], [ROOM]]),'ROOM TIME'!$H$2:$H$121,'ROOM TIME'!$J$2:$J$121)</f>
        <v>55.601249999999986</v>
      </c>
      <c r="P1048" s="9">
        <f>(INDEX(Sheet1!$X$48:$Z$67,MATCH(Table1[[#This Row], [ROOM]],Sheet1!$P$48:$P$67,0),MATCH(Table1[[#This Row], [WEAPON]],Sheet1!$X$47:$Z$47,0)))/Table1[[#This Row], [NUM OF MEM]]</f>
        <v>5.75</v>
      </c>
      <c r="Q1048" s="9">
        <f>Table1[[#This Row], [ROOM TIME]]+Table1[[#This Row], [GUARD TIME]]</f>
        <v>61.351249999999986</v>
      </c>
      <c r="R1048" s="4">
        <f>Sheet1!$K$3*_xlfn.XLOOKUP(Table1[[#This Row], [DISGUISE]],Sheet1!$A$21:$A$23,Sheet1!$D$21:$D$23)</f>
        <v>69</v>
      </c>
      <c r="S1048" s="9">
        <f>Table1[[#This Row], [TOTAL TIME]]-Table1[[#This Row], [TOTAL TIME TAKEN]]</f>
        <v>7.6487500000000139</v>
      </c>
      <c r="T1048" t="str">
        <f>IF(Table1[[#This Row], [TIME DIFFERENCE]]&gt;=0,"PASS","FAIL")</f>
        <v>PASS</v>
      </c>
      <c r="U1048" s="9">
        <f>Table1[[#This Row], [TRC]]+Table1[[#This Row], [DRC]]+Table1[[#This Row], [WRC]]+Table1[[#This Row], [ERC]]+Table1[[#This Row], [EQRC]]</f>
        <v>8097124.3999999994</v>
      </c>
      <c r="V1048" s="9">
        <f>Table1[[#This Row], [TOTAL COST]]+_xlfn.XLOOKUP(Table1[[#This Row], [TEAM]],Sheet1!$A$12:$A$17,Sheet1!$I$12:$I$17)</f>
        <v>8401264.3999999985</v>
      </c>
      <c r="W1048" s="9">
        <f>Table1[[#This Row], [LOOT]]-Table1[[#This Row], [TOTAL COST]]</f>
        <v>9552875.6000000015</v>
      </c>
      <c r="X1048" s="9">
        <f>IF(Table1[[#This Row], [PASS/FAIL]]="FAIL",0,Table1[[#This Row], [PROFIT]])</f>
        <v>9552875.6000000015</v>
      </c>
    </row>
    <row r="1049" spans="1:24" ht="19.5" customHeight="1" x14ac:dyDescent="0.45">
      <c r="A1049" t="s">
        <v>14</v>
      </c>
      <c r="B1049" s="14">
        <f>_xlfn.XLOOKUP(Table1[[#This Row], [TEAM]],Sheet1!$A$12:$A$17,Sheet1!$F$12:$F$17)</f>
        <v>2</v>
      </c>
      <c r="C1049" s="14">
        <f>_xlfn.XLOOKUP(Table1[[#This Row], [TEAM]],Sheet1!$A$12:$A$17,Sheet1!$G$12:$G$17)</f>
        <v>5949600</v>
      </c>
      <c r="D1049" t="s">
        <v>31</v>
      </c>
      <c r="E1049" s="4">
        <f>_xlfn.XLOOKUP(Table1[[#This Row], [ROOM]],Sheet1!$A$47:$A$66,Sheet1!$B$47:$B$66)</f>
        <v>256</v>
      </c>
      <c r="F1049" t="s">
        <v>62</v>
      </c>
      <c r="G1049" s="4">
        <f>_xlfn.XLOOKUP(Table1[[#This Row], [DISGUISE]],Sheet1!$A$21:$A$23,Sheet1!$B$21:$B$23)*Table1[[#This Row], [NUM OF MEM]]*(1+_xlfn.XLOOKUP(Table1[[#This Row], [DISGUISE]],Sheet1!$A$21:$A$23,Sheet1!$C$21:$C$23))</f>
        <v>10400</v>
      </c>
      <c r="H1049" s="13" t="s">
        <v>63</v>
      </c>
      <c r="I1049" s="4">
        <f>_xlfn.XLOOKUP(Table1[[#This Row], [WEAPON]],Sheet1!$A$27:$A$29,Sheet1!$B$27:$B$29)*Table1[[#This Row], [NUM OF MEM]]*(1+_xlfn.XLOOKUP(Table1[[#This Row], [WEAPON]],Sheet1!$A$27:$A$29,Sheet1!$C$27:$C$29))</f>
        <v>46000</v>
      </c>
      <c r="J1049" t="s">
        <v>60</v>
      </c>
      <c r="K1049" s="9">
        <f>Table1[[#This Row], [NUM OF MEM]]*Table1[[#This Row], [TOTAL TIME TAKEN]]*_xlfn.XLOOKUP(Table1[[#This Row], [EXIT]],Sheet1!$A$70:$A$71,Sheet1!$B$70:$B$71)*(1+_xlfn.XLOOKUP(Table1[[#This Row], [EXIT]],Sheet1!$A$70:$A$71,Sheet1!$C$70:$C$71))</f>
        <v>1634347.1999999993</v>
      </c>
      <c r="L1049" s="13" t="s">
        <v>65</v>
      </c>
      <c r="M1049" s="4">
        <f>IF(Table1[[#This Row], [EQUIPMENT]]="YES",Sheet1!$C$44*(1+Sheet1!$D$44),0)</f>
        <v>307500</v>
      </c>
      <c r="N1049" s="4">
        <f>_xlfn.XLOOKUP(Table1[[#This Row], [ROOM]],Sheet1!$A$47:$A$66,Sheet1!$F$47:$F$66)</f>
        <v>17500000</v>
      </c>
      <c r="O1049" s="9">
        <f>_xlfn.XLOOKUP(_xlfn.CONCAT(Table1[[#This Row], [TEAM]],Table1[[#This Row], [ROOM]]),'ROOM TIME'!$H$2:$H$121,'ROOM TIME'!$J$2:$J$121)</f>
        <v>56.254999999999981</v>
      </c>
      <c r="P1049" s="9">
        <f>(INDEX(Sheet1!$X$48:$Z$67,MATCH(Table1[[#This Row], [ROOM]],Sheet1!$P$48:$P$67,0),MATCH(Table1[[#This Row], [WEAPON]],Sheet1!$X$47:$Z$47,0)))/Table1[[#This Row], [NUM OF MEM]]</f>
        <v>7.4250000000000007</v>
      </c>
      <c r="Q1049" s="9">
        <f>Table1[[#This Row], [ROOM TIME]]+Table1[[#This Row], [GUARD TIME]]</f>
        <v>63.679999999999978</v>
      </c>
      <c r="R1049" s="4">
        <f>Sheet1!$K$3*_xlfn.XLOOKUP(Table1[[#This Row], [DISGUISE]],Sheet1!$A$21:$A$23,Sheet1!$D$21:$D$23)</f>
        <v>66</v>
      </c>
      <c r="S1049" s="9">
        <f>Table1[[#This Row], [TOTAL TIME]]-Table1[[#This Row], [TOTAL TIME TAKEN]]</f>
        <v>2.3200000000000216</v>
      </c>
      <c r="T1049" t="str">
        <f>IF(Table1[[#This Row], [TIME DIFFERENCE]]&gt;=0,"PASS","FAIL")</f>
        <v>PASS</v>
      </c>
      <c r="U1049" s="9">
        <f>Table1[[#This Row], [TRC]]+Table1[[#This Row], [DRC]]+Table1[[#This Row], [WRC]]+Table1[[#This Row], [ERC]]+Table1[[#This Row], [EQRC]]</f>
        <v>7947847.1999999993</v>
      </c>
      <c r="V1049" s="9">
        <f>Table1[[#This Row], [TOTAL COST]]+_xlfn.XLOOKUP(Table1[[#This Row], [TEAM]],Sheet1!$A$12:$A$17,Sheet1!$I$12:$I$17)</f>
        <v>8245327.1999999993</v>
      </c>
      <c r="W1049" s="9">
        <f>Table1[[#This Row], [LOOT]]-Table1[[#This Row], [TOTAL COST]]</f>
        <v>9552152.8000000007</v>
      </c>
      <c r="X1049" s="9">
        <f>IF(Table1[[#This Row], [PASS/FAIL]]="FAIL",0,Table1[[#This Row], [PROFIT]])</f>
        <v>9552152.8000000007</v>
      </c>
    </row>
    <row r="1050" spans="1:24" ht="19.5" customHeight="1" x14ac:dyDescent="0.45">
      <c r="A1050" t="s">
        <v>13</v>
      </c>
      <c r="B1050" s="14">
        <f>_xlfn.XLOOKUP(Table1[[#This Row], [TEAM]],Sheet1!$A$12:$A$17,Sheet1!$F$12:$F$17)</f>
        <v>3</v>
      </c>
      <c r="C1050" s="14">
        <f>_xlfn.XLOOKUP(Table1[[#This Row], [TEAM]],Sheet1!$A$12:$A$17,Sheet1!$G$12:$G$17)</f>
        <v>5930000</v>
      </c>
      <c r="D1050" t="s">
        <v>23</v>
      </c>
      <c r="E1050" s="4">
        <f>_xlfn.XLOOKUP(Table1[[#This Row], [ROOM]],Sheet1!$A$47:$A$66,Sheet1!$B$47:$B$66)</f>
        <v>245</v>
      </c>
      <c r="F1050" t="s">
        <v>58</v>
      </c>
      <c r="G1050" s="4">
        <f>_xlfn.XLOOKUP(Table1[[#This Row], [DISGUISE]],Sheet1!$A$21:$A$23,Sheet1!$B$21:$B$23)*Table1[[#This Row], [NUM OF MEM]]*(1+_xlfn.XLOOKUP(Table1[[#This Row], [DISGUISE]],Sheet1!$A$21:$A$23,Sheet1!$C$21:$C$23))</f>
        <v>38400</v>
      </c>
      <c r="H1050" s="13" t="s">
        <v>63</v>
      </c>
      <c r="I1050" s="4">
        <f>_xlfn.XLOOKUP(Table1[[#This Row], [WEAPON]],Sheet1!$A$27:$A$29,Sheet1!$B$27:$B$29)*Table1[[#This Row], [NUM OF MEM]]*(1+_xlfn.XLOOKUP(Table1[[#This Row], [WEAPON]],Sheet1!$A$27:$A$29,Sheet1!$C$27:$C$29))</f>
        <v>69000</v>
      </c>
      <c r="J1050" t="s">
        <v>60</v>
      </c>
      <c r="K1050" s="9">
        <f>Table1[[#This Row], [NUM OF MEM]]*Table1[[#This Row], [TOTAL TIME TAKEN]]*_xlfn.XLOOKUP(Table1[[#This Row], [EXIT]],Sheet1!$A$70:$A$71,Sheet1!$B$70:$B$71)*(1+_xlfn.XLOOKUP(Table1[[#This Row], [EXIT]],Sheet1!$A$70:$A$71,Sheet1!$C$70:$C$71))</f>
        <v>1810473.2624999997</v>
      </c>
      <c r="L1050" s="13" t="s">
        <v>61</v>
      </c>
      <c r="M1050" s="4">
        <f>IF(Table1[[#This Row], [EQUIPMENT]]="YES",Sheet1!$C$44*(1+Sheet1!$D$44),0)</f>
        <v>0</v>
      </c>
      <c r="N1050" s="4">
        <f>_xlfn.XLOOKUP(Table1[[#This Row], [ROOM]],Sheet1!$A$47:$A$66,Sheet1!$F$47:$F$66)</f>
        <v>17400000</v>
      </c>
      <c r="O1050" s="9">
        <f>_xlfn.XLOOKUP(_xlfn.CONCAT(Table1[[#This Row], [TEAM]],Table1[[#This Row], [ROOM]]),'ROOM TIME'!$H$2:$H$121,'ROOM TIME'!$J$2:$J$121)</f>
        <v>42.078333333333326</v>
      </c>
      <c r="P1050" s="9">
        <f>(INDEX(Sheet1!$X$48:$Z$67,MATCH(Table1[[#This Row], [ROOM]],Sheet1!$P$48:$P$67,0),MATCH(Table1[[#This Row], [WEAPON]],Sheet1!$X$47:$Z$47,0)))/Table1[[#This Row], [NUM OF MEM]]</f>
        <v>4.95</v>
      </c>
      <c r="Q1050" s="9">
        <f>Table1[[#This Row], [ROOM TIME]]+Table1[[#This Row], [GUARD TIME]]</f>
        <v>47.028333333333329</v>
      </c>
      <c r="R1050" s="4">
        <f>Sheet1!$K$3*_xlfn.XLOOKUP(Table1[[#This Row], [DISGUISE]],Sheet1!$A$21:$A$23,Sheet1!$D$21:$D$23)</f>
        <v>69</v>
      </c>
      <c r="S1050" s="9">
        <f>Table1[[#This Row], [TOTAL TIME]]-Table1[[#This Row], [TOTAL TIME TAKEN]]</f>
        <v>21.971666666666671</v>
      </c>
      <c r="T1050" t="str">
        <f>IF(Table1[[#This Row], [TIME DIFFERENCE]]&gt;=0,"PASS","FAIL")</f>
        <v>PASS</v>
      </c>
      <c r="U1050" s="9">
        <f>Table1[[#This Row], [TRC]]+Table1[[#This Row], [DRC]]+Table1[[#This Row], [WRC]]+Table1[[#This Row], [ERC]]+Table1[[#This Row], [EQRC]]</f>
        <v>7847873.2624999993</v>
      </c>
      <c r="V1050" s="9">
        <f>Table1[[#This Row], [TOTAL COST]]+_xlfn.XLOOKUP(Table1[[#This Row], [TEAM]],Sheet1!$A$12:$A$17,Sheet1!$I$12:$I$17)</f>
        <v>8144373.2624999993</v>
      </c>
      <c r="W1050" s="9">
        <f>Table1[[#This Row], [LOOT]]-Table1[[#This Row], [TOTAL COST]]</f>
        <v>9552126.7375000007</v>
      </c>
      <c r="X1050" s="9">
        <f>IF(Table1[[#This Row], [PASS/FAIL]]="FAIL",0,Table1[[#This Row], [PROFIT]])</f>
        <v>9552126.7375000007</v>
      </c>
    </row>
    <row r="1051" spans="1:24" ht="19.5" customHeight="1" x14ac:dyDescent="0.45">
      <c r="A1051" t="s">
        <v>12</v>
      </c>
      <c r="B1051" s="14">
        <f>_xlfn.XLOOKUP(Table1[[#This Row], [TEAM]],Sheet1!$A$12:$A$17,Sheet1!$F$12:$F$17)</f>
        <v>3</v>
      </c>
      <c r="C1051" s="14">
        <f>_xlfn.XLOOKUP(Table1[[#This Row], [TEAM]],Sheet1!$A$12:$A$17,Sheet1!$G$12:$G$17)</f>
        <v>5988750</v>
      </c>
      <c r="D1051" t="s">
        <v>23</v>
      </c>
      <c r="E1051" s="4">
        <f>_xlfn.XLOOKUP(Table1[[#This Row], [ROOM]],Sheet1!$A$47:$A$66,Sheet1!$B$47:$B$66)</f>
        <v>245</v>
      </c>
      <c r="F1051" t="s">
        <v>58</v>
      </c>
      <c r="G105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51" s="13" t="s">
        <v>66</v>
      </c>
      <c r="I1051" s="4">
        <f>_xlfn.XLOOKUP(Table1[[#This Row], [WEAPON]],Sheet1!$A$27:$A$29,Sheet1!$B$27:$B$29)*Table1[[#This Row], [NUM OF MEM]]*(1+_xlfn.XLOOKUP(Table1[[#This Row], [WEAPON]],Sheet1!$A$27:$A$29,Sheet1!$C$27:$C$29))</f>
        <v>108000</v>
      </c>
      <c r="J1051" t="s">
        <v>60</v>
      </c>
      <c r="K1051" s="9">
        <f>Table1[[#This Row], [NUM OF MEM]]*Table1[[#This Row], [TOTAL TIME TAKEN]]*_xlfn.XLOOKUP(Table1[[#This Row], [EXIT]],Sheet1!$A$70:$A$71,Sheet1!$B$70:$B$71)*(1+_xlfn.XLOOKUP(Table1[[#This Row], [EXIT]],Sheet1!$A$70:$A$71,Sheet1!$C$70:$C$71))</f>
        <v>1713010.4249999993</v>
      </c>
      <c r="L1051" s="13" t="s">
        <v>61</v>
      </c>
      <c r="M1051" s="4">
        <f>IF(Table1[[#This Row], [EQUIPMENT]]="YES",Sheet1!$C$44*(1+Sheet1!$D$44),0)</f>
        <v>0</v>
      </c>
      <c r="N1051" s="4">
        <f>_xlfn.XLOOKUP(Table1[[#This Row], [ROOM]],Sheet1!$A$47:$A$66,Sheet1!$F$47:$F$66)</f>
        <v>17400000</v>
      </c>
      <c r="O1051" s="9">
        <f>_xlfn.XLOOKUP(_xlfn.CONCAT(Table1[[#This Row], [TEAM]],Table1[[#This Row], [ROOM]]),'ROOM TIME'!$H$2:$H$121,'ROOM TIME'!$J$2:$J$121)</f>
        <v>39.91333333333332</v>
      </c>
      <c r="P1051" s="9">
        <f>(INDEX(Sheet1!$X$48:$Z$67,MATCH(Table1[[#This Row], [ROOM]],Sheet1!$P$48:$P$67,0),MATCH(Table1[[#This Row], [WEAPON]],Sheet1!$X$47:$Z$47,0)))/Table1[[#This Row], [NUM OF MEM]]</f>
        <v>4.583333333333333</v>
      </c>
      <c r="Q1051" s="9">
        <f>Table1[[#This Row], [ROOM TIME]]+Table1[[#This Row], [GUARD TIME]]</f>
        <v>44.496666666666655</v>
      </c>
      <c r="R1051" s="4">
        <f>Sheet1!$K$3*_xlfn.XLOOKUP(Table1[[#This Row], [DISGUISE]],Sheet1!$A$21:$A$23,Sheet1!$D$21:$D$23)</f>
        <v>69</v>
      </c>
      <c r="S1051" s="9">
        <f>Table1[[#This Row], [TOTAL TIME]]-Table1[[#This Row], [TOTAL TIME TAKEN]]</f>
        <v>24.503333333333345</v>
      </c>
      <c r="T1051" t="str">
        <f>IF(Table1[[#This Row], [TIME DIFFERENCE]]&gt;=0,"PASS","FAIL")</f>
        <v>PASS</v>
      </c>
      <c r="U1051" s="9">
        <f>Table1[[#This Row], [TRC]]+Table1[[#This Row], [DRC]]+Table1[[#This Row], [WRC]]+Table1[[#This Row], [ERC]]+Table1[[#This Row], [EQRC]]</f>
        <v>7848160.4249999989</v>
      </c>
      <c r="V1051" s="9">
        <f>Table1[[#This Row], [TOTAL COST]]+_xlfn.XLOOKUP(Table1[[#This Row], [TEAM]],Sheet1!$A$12:$A$17,Sheet1!$I$12:$I$17)</f>
        <v>8147597.9249999989</v>
      </c>
      <c r="W1051" s="9">
        <f>Table1[[#This Row], [LOOT]]-Table1[[#This Row], [TOTAL COST]]</f>
        <v>9551839.5750000011</v>
      </c>
      <c r="X1051" s="9">
        <f>IF(Table1[[#This Row], [PASS/FAIL]]="FAIL",0,Table1[[#This Row], [PROFIT]])</f>
        <v>9551839.5750000011</v>
      </c>
    </row>
    <row r="1052" spans="1:24" ht="19.5" customHeight="1" x14ac:dyDescent="0.45">
      <c r="A1052" t="s">
        <v>12</v>
      </c>
      <c r="B1052" s="14">
        <f>_xlfn.XLOOKUP(Table1[[#This Row], [TEAM]],Sheet1!$A$12:$A$17,Sheet1!$F$12:$F$17)</f>
        <v>3</v>
      </c>
      <c r="C1052" s="14">
        <f>_xlfn.XLOOKUP(Table1[[#This Row], [TEAM]],Sheet1!$A$12:$A$17,Sheet1!$G$12:$G$17)</f>
        <v>5988750</v>
      </c>
      <c r="D1052" t="s">
        <v>11</v>
      </c>
      <c r="E1052" s="4">
        <f>_xlfn.XLOOKUP(Table1[[#This Row], [ROOM]],Sheet1!$A$47:$A$66,Sheet1!$B$47:$B$66)</f>
        <v>124</v>
      </c>
      <c r="F1052" t="s">
        <v>58</v>
      </c>
      <c r="G105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52" s="13" t="s">
        <v>59</v>
      </c>
      <c r="I1052" s="4">
        <f>_xlfn.XLOOKUP(Table1[[#This Row], [WEAPON]],Sheet1!$A$27:$A$29,Sheet1!$B$27:$B$29)*Table1[[#This Row], [NUM OF MEM]]*(1+_xlfn.XLOOKUP(Table1[[#This Row], [WEAPON]],Sheet1!$A$27:$A$29,Sheet1!$C$27:$C$29))</f>
        <v>136500</v>
      </c>
      <c r="J1052" t="s">
        <v>64</v>
      </c>
      <c r="K1052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1734739.1999999995</v>
      </c>
      <c r="L1052" s="13" t="s">
        <v>61</v>
      </c>
      <c r="M1052" s="4">
        <f>IF(Table1[[#This Row], [EQUIPMENT]]="YES",Sheet1!$C$44*(1+Sheet1!$D$44),0)</f>
        <v>0</v>
      </c>
      <c r="N1052" s="4">
        <f>_xlfn.XLOOKUP(Table1[[#This Row], [ROOM]],Sheet1!$A$47:$A$66,Sheet1!$F$47:$F$66)</f>
        <v>17450000</v>
      </c>
      <c r="O1052" s="9">
        <f>_xlfn.XLOOKUP(_xlfn.CONCAT(Table1[[#This Row], [TEAM]],Table1[[#This Row], [ROOM]]),'ROOM TIME'!$H$2:$H$121,'ROOM TIME'!$J$2:$J$121)</f>
        <v>40.401111111111099</v>
      </c>
      <c r="P1052" s="9">
        <f>(INDEX(Sheet1!$X$48:$Z$67,MATCH(Table1[[#This Row], [ROOM]],Sheet1!$P$48:$P$67,0),MATCH(Table1[[#This Row], [WEAPON]],Sheet1!$X$47:$Z$47,0)))/Table1[[#This Row], [NUM OF MEM]]</f>
        <v>4.2166666666666659</v>
      </c>
      <c r="Q1052" s="9">
        <f>Table1[[#This Row], [ROOM TIME]]+Table1[[#This Row], [GUARD TIME]]</f>
        <v>44.617777777777768</v>
      </c>
      <c r="R1052" s="4">
        <f>Sheet1!$K$3*_xlfn.XLOOKUP(Table1[[#This Row], [DISGUISE]],Sheet1!$A$21:$A$23,Sheet1!$D$21:$D$23)</f>
        <v>69</v>
      </c>
      <c r="S1052" s="9">
        <f>Table1[[#This Row], [TOTAL TIME]]-Table1[[#This Row], [TOTAL TIME TAKEN]]</f>
        <v>24.382222222222232</v>
      </c>
      <c r="T1052" t="str">
        <f>IF(Table1[[#This Row], [TIME DIFFERENCE]]&gt;=0,"PASS","FAIL")</f>
        <v>PASS</v>
      </c>
      <c r="U1052" s="9">
        <f>Table1[[#This Row], [TRC]]+Table1[[#This Row], [DRC]]+Table1[[#This Row], [WRC]]+Table1[[#This Row], [ERC]]+Table1[[#This Row], [EQRC]]</f>
        <v>7898389.1999999993</v>
      </c>
      <c r="V1052" s="9">
        <f>Table1[[#This Row], [TOTAL COST]]+_xlfn.XLOOKUP(Table1[[#This Row], [TEAM]],Sheet1!$A$12:$A$17,Sheet1!$I$12:$I$17)</f>
        <v>8197826.6999999993</v>
      </c>
      <c r="W1052" s="9">
        <f>Table1[[#This Row], [LOOT]]-Table1[[#This Row], [TOTAL COST]]</f>
        <v>9551610.8000000007</v>
      </c>
      <c r="X1052" s="9">
        <f>IF(Table1[[#This Row], [PASS/FAIL]]="FAIL",0,Table1[[#This Row], [PROFIT]])</f>
        <v>9551610.8000000007</v>
      </c>
    </row>
    <row r="1053" spans="1:24" ht="19.5" customHeight="1" x14ac:dyDescent="0.45">
      <c r="A1053" t="s">
        <v>13</v>
      </c>
      <c r="B1053" s="14">
        <f>_xlfn.XLOOKUP(Table1[[#This Row], [TEAM]],Sheet1!$A$12:$A$17,Sheet1!$F$12:$F$17)</f>
        <v>3</v>
      </c>
      <c r="C1053" s="14">
        <f>_xlfn.XLOOKUP(Table1[[#This Row], [TEAM]],Sheet1!$A$12:$A$17,Sheet1!$G$12:$G$17)</f>
        <v>5930000</v>
      </c>
      <c r="D1053" t="s">
        <v>22</v>
      </c>
      <c r="E1053" s="4">
        <f>_xlfn.XLOOKUP(Table1[[#This Row], [ROOM]],Sheet1!$A$47:$A$66,Sheet1!$B$47:$B$66)</f>
        <v>235</v>
      </c>
      <c r="F1053" t="s">
        <v>62</v>
      </c>
      <c r="G1053" s="4">
        <f>_xlfn.XLOOKUP(Table1[[#This Row], [DISGUISE]],Sheet1!$A$21:$A$23,Sheet1!$B$21:$B$23)*Table1[[#This Row], [NUM OF MEM]]*(1+_xlfn.XLOOKUP(Table1[[#This Row], [DISGUISE]],Sheet1!$A$21:$A$23,Sheet1!$C$21:$C$23))</f>
        <v>15600</v>
      </c>
      <c r="H1053" s="13" t="s">
        <v>59</v>
      </c>
      <c r="I1053" s="4">
        <f>_xlfn.XLOOKUP(Table1[[#This Row], [WEAPON]],Sheet1!$A$27:$A$29,Sheet1!$B$27:$B$29)*Table1[[#This Row], [NUM OF MEM]]*(1+_xlfn.XLOOKUP(Table1[[#This Row], [WEAPON]],Sheet1!$A$27:$A$29,Sheet1!$C$27:$C$29))</f>
        <v>136500</v>
      </c>
      <c r="J1053" t="s">
        <v>64</v>
      </c>
      <c r="K1053" s="9">
        <f>Table1[[#This Row], [NUM OF MEM]]*Table1[[#This Row], [TOTAL TIME TAKEN]]*_xlfn.XLOOKUP(Table1[[#This Row], [EXIT]],Sheet1!$A$70:$A$71,Sheet1!$B$70:$B$71)*(1+_xlfn.XLOOKUP(Table1[[#This Row], [EXIT]],Sheet1!$A$70:$A$71,Sheet1!$C$70:$C$71))</f>
        <v>1858917.5999999999</v>
      </c>
      <c r="L1053" s="13" t="s">
        <v>65</v>
      </c>
      <c r="M1053" s="4">
        <f>IF(Table1[[#This Row], [EQUIPMENT]]="YES",Sheet1!$C$44*(1+Sheet1!$D$44),0)</f>
        <v>307500</v>
      </c>
      <c r="N1053" s="4">
        <f>_xlfn.XLOOKUP(Table1[[#This Row], [ROOM]],Sheet1!$A$47:$A$66,Sheet1!$F$47:$F$66)</f>
        <v>17800000</v>
      </c>
      <c r="O1053" s="9">
        <f>_xlfn.XLOOKUP(_xlfn.CONCAT(Table1[[#This Row], [TEAM]],Table1[[#This Row], [ROOM]]),'ROOM TIME'!$H$2:$H$121,'ROOM TIME'!$J$2:$J$121)</f>
        <v>43.211666666666666</v>
      </c>
      <c r="P1053" s="9">
        <f>(INDEX(Sheet1!$X$48:$Z$67,MATCH(Table1[[#This Row], [ROOM]],Sheet1!$P$48:$P$67,0),MATCH(Table1[[#This Row], [WEAPON]],Sheet1!$X$47:$Z$47,0)))/Table1[[#This Row], [NUM OF MEM]]</f>
        <v>4.5999999999999996</v>
      </c>
      <c r="Q1053" s="9">
        <f>Table1[[#This Row], [ROOM TIME]]+Table1[[#This Row], [GUARD TIME]]</f>
        <v>47.811666666666667</v>
      </c>
      <c r="R1053" s="4">
        <f>Sheet1!$K$3*_xlfn.XLOOKUP(Table1[[#This Row], [DISGUISE]],Sheet1!$A$21:$A$23,Sheet1!$D$21:$D$23)</f>
        <v>66</v>
      </c>
      <c r="S1053" s="9">
        <f>Table1[[#This Row], [TOTAL TIME]]-Table1[[#This Row], [TOTAL TIME TAKEN]]</f>
        <v>18.188333333333333</v>
      </c>
      <c r="T1053" t="str">
        <f>IF(Table1[[#This Row], [TIME DIFFERENCE]]&gt;=0,"PASS","FAIL")</f>
        <v>PASS</v>
      </c>
      <c r="U1053" s="9">
        <f>Table1[[#This Row], [TRC]]+Table1[[#This Row], [DRC]]+Table1[[#This Row], [WRC]]+Table1[[#This Row], [ERC]]+Table1[[#This Row], [EQRC]]</f>
        <v>8248517.5999999996</v>
      </c>
      <c r="V1053" s="9">
        <f>Table1[[#This Row], [TOTAL COST]]+_xlfn.XLOOKUP(Table1[[#This Row], [TEAM]],Sheet1!$A$12:$A$17,Sheet1!$I$12:$I$17)</f>
        <v>8545017.5999999996</v>
      </c>
      <c r="W1053" s="9">
        <f>Table1[[#This Row], [LOOT]]-Table1[[#This Row], [TOTAL COST]]</f>
        <v>9551482.4000000004</v>
      </c>
      <c r="X1053" s="9">
        <f>IF(Table1[[#This Row], [PASS/FAIL]]="FAIL",0,Table1[[#This Row], [PROFIT]])</f>
        <v>9551482.4000000004</v>
      </c>
    </row>
    <row r="1054" spans="1:24" ht="19.5" customHeight="1" x14ac:dyDescent="0.45">
      <c r="A1054" t="s">
        <v>13</v>
      </c>
      <c r="B1054" s="14">
        <f>_xlfn.XLOOKUP(Table1[[#This Row], [TEAM]],Sheet1!$A$12:$A$17,Sheet1!$F$12:$F$17)</f>
        <v>3</v>
      </c>
      <c r="C1054" s="14">
        <f>_xlfn.XLOOKUP(Table1[[#This Row], [TEAM]],Sheet1!$A$12:$A$17,Sheet1!$G$12:$G$17)</f>
        <v>5930000</v>
      </c>
      <c r="D1054" t="s">
        <v>11</v>
      </c>
      <c r="E1054" s="4">
        <f>_xlfn.XLOOKUP(Table1[[#This Row], [ROOM]],Sheet1!$A$47:$A$66,Sheet1!$B$47:$B$66)</f>
        <v>124</v>
      </c>
      <c r="F1054" t="s">
        <v>62</v>
      </c>
      <c r="G1054" s="4">
        <f>_xlfn.XLOOKUP(Table1[[#This Row], [DISGUISE]],Sheet1!$A$21:$A$23,Sheet1!$B$21:$B$23)*Table1[[#This Row], [NUM OF MEM]]*(1+_xlfn.XLOOKUP(Table1[[#This Row], [DISGUISE]],Sheet1!$A$21:$A$23,Sheet1!$C$21:$C$23))</f>
        <v>15600</v>
      </c>
      <c r="H1054" s="13" t="s">
        <v>59</v>
      </c>
      <c r="I1054" s="4">
        <f>_xlfn.XLOOKUP(Table1[[#This Row], [WEAPON]],Sheet1!$A$27:$A$29,Sheet1!$B$27:$B$29)*Table1[[#This Row], [NUM OF MEM]]*(1+_xlfn.XLOOKUP(Table1[[#This Row], [WEAPON]],Sheet1!$A$27:$A$29,Sheet1!$C$27:$C$29))</f>
        <v>136500</v>
      </c>
      <c r="J1054" t="s">
        <v>64</v>
      </c>
      <c r="K1054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1817164.7999999996</v>
      </c>
      <c r="L1054" s="13" t="s">
        <v>61</v>
      </c>
      <c r="M1054" s="4">
        <f>IF(Table1[[#This Row], [EQUIPMENT]]="YES",Sheet1!$C$44*(1+Sheet1!$D$44),0)</f>
        <v>0</v>
      </c>
      <c r="N1054" s="4">
        <f>_xlfn.XLOOKUP(Table1[[#This Row], [ROOM]],Sheet1!$A$47:$A$66,Sheet1!$F$47:$F$66)</f>
        <v>17450000</v>
      </c>
      <c r="O1054" s="9">
        <f>_xlfn.XLOOKUP(_xlfn.CONCAT(Table1[[#This Row], [TEAM]],Table1[[#This Row], [ROOM]]),'ROOM TIME'!$H$2:$H$121,'ROOM TIME'!$J$2:$J$121)</f>
        <v>42.521111111111104</v>
      </c>
      <c r="P1054" s="9">
        <f>(INDEX(Sheet1!$X$48:$Z$67,MATCH(Table1[[#This Row], [ROOM]],Sheet1!$P$48:$P$67,0),MATCH(Table1[[#This Row], [WEAPON]],Sheet1!$X$47:$Z$47,0)))/Table1[[#This Row], [NUM OF MEM]]</f>
        <v>4.2166666666666659</v>
      </c>
      <c r="Q1054" s="9">
        <f>Table1[[#This Row], [ROOM TIME]]+Table1[[#This Row], [GUARD TIME]]</f>
        <v>46.737777777777772</v>
      </c>
      <c r="R1054" s="4">
        <f>Sheet1!$K$3*_xlfn.XLOOKUP(Table1[[#This Row], [DISGUISE]],Sheet1!$A$21:$A$23,Sheet1!$D$21:$D$23)</f>
        <v>66</v>
      </c>
      <c r="S1054" s="9">
        <f>Table1[[#This Row], [TOTAL TIME]]-Table1[[#This Row], [TOTAL TIME TAKEN]]</f>
        <v>19.262222222222228</v>
      </c>
      <c r="T1054" t="str">
        <f>IF(Table1[[#This Row], [TIME DIFFERENCE]]&gt;=0,"PASS","FAIL")</f>
        <v>PASS</v>
      </c>
      <c r="U1054" s="9">
        <f>Table1[[#This Row], [TRC]]+Table1[[#This Row], [DRC]]+Table1[[#This Row], [WRC]]+Table1[[#This Row], [ERC]]+Table1[[#This Row], [EQRC]]</f>
        <v>7899264.7999999998</v>
      </c>
      <c r="V1054" s="9">
        <f>Table1[[#This Row], [TOTAL COST]]+_xlfn.XLOOKUP(Table1[[#This Row], [TEAM]],Sheet1!$A$12:$A$17,Sheet1!$I$12:$I$17)</f>
        <v>8195764.7999999998</v>
      </c>
      <c r="W1054" s="9">
        <f>Table1[[#This Row], [LOOT]]-Table1[[#This Row], [TOTAL COST]]</f>
        <v>9550735.1999999993</v>
      </c>
      <c r="X1054" s="9">
        <f>IF(Table1[[#This Row], [PASS/FAIL]]="FAIL",0,Table1[[#This Row], [PROFIT]])</f>
        <v>9550735.1999999993</v>
      </c>
    </row>
    <row r="1055" spans="1:24" ht="19.5" customHeight="1" x14ac:dyDescent="0.45">
      <c r="A1055" t="s">
        <v>9</v>
      </c>
      <c r="B1055" s="14">
        <f>_xlfn.XLOOKUP(Table1[[#This Row], [TEAM]],Sheet1!$A$12:$A$17,Sheet1!$F$12:$F$17)</f>
        <v>3</v>
      </c>
      <c r="C1055" s="14">
        <f>_xlfn.XLOOKUP(Table1[[#This Row], [TEAM]],Sheet1!$A$12:$A$17,Sheet1!$G$12:$G$17)</f>
        <v>6238750</v>
      </c>
      <c r="D1055" t="s">
        <v>20</v>
      </c>
      <c r="E1055" s="4">
        <f>_xlfn.XLOOKUP(Table1[[#This Row], [ROOM]],Sheet1!$A$47:$A$66,Sheet1!$B$47:$B$66)</f>
        <v>145</v>
      </c>
      <c r="F1055" t="s">
        <v>58</v>
      </c>
      <c r="G1055" s="4">
        <f>_xlfn.XLOOKUP(Table1[[#This Row], [DISGUISE]],Sheet1!$A$21:$A$23,Sheet1!$B$21:$B$23)*Table1[[#This Row], [NUM OF MEM]]*(1+_xlfn.XLOOKUP(Table1[[#This Row], [DISGUISE]],Sheet1!$A$21:$A$23,Sheet1!$C$21:$C$23))</f>
        <v>38400</v>
      </c>
      <c r="H1055" s="13" t="s">
        <v>66</v>
      </c>
      <c r="I1055" s="4">
        <f>_xlfn.XLOOKUP(Table1[[#This Row], [WEAPON]],Sheet1!$A$27:$A$29,Sheet1!$B$27:$B$29)*Table1[[#This Row], [NUM OF MEM]]*(1+_xlfn.XLOOKUP(Table1[[#This Row], [WEAPON]],Sheet1!$A$27:$A$29,Sheet1!$C$27:$C$29))</f>
        <v>108000</v>
      </c>
      <c r="J1055" t="s">
        <v>60</v>
      </c>
      <c r="K1055" s="9">
        <f>Table1[[#This Row], [NUM OF MEM]]*Table1[[#This Row], [TOTAL TIME TAKEN]]*_xlfn.XLOOKUP(Table1[[#This Row], [EXIT]],Sheet1!$A$70:$A$71,Sheet1!$B$70:$B$71)*(1+_xlfn.XLOOKUP(Table1[[#This Row], [EXIT]],Sheet1!$A$70:$A$71,Sheet1!$C$70:$C$71))</f>
        <v>1614307.1124999993</v>
      </c>
      <c r="L1055" s="13" t="s">
        <v>61</v>
      </c>
      <c r="M1055" s="4">
        <f>IF(Table1[[#This Row], [EQUIPMENT]]="YES",Sheet1!$C$44*(1+Sheet1!$D$44),0)</f>
        <v>0</v>
      </c>
      <c r="N1055" s="4">
        <f>_xlfn.XLOOKUP(Table1[[#This Row], [ROOM]],Sheet1!$A$47:$A$66,Sheet1!$F$47:$F$66)</f>
        <v>17550000</v>
      </c>
      <c r="O1055" s="9">
        <f>_xlfn.XLOOKUP(_xlfn.CONCAT(Table1[[#This Row], [TEAM]],Table1[[#This Row], [ROOM]]),'ROOM TIME'!$H$2:$H$121,'ROOM TIME'!$J$2:$J$121)</f>
        <v>37.766111111111101</v>
      </c>
      <c r="P1055" s="9">
        <f>(INDEX(Sheet1!$X$48:$Z$67,MATCH(Table1[[#This Row], [ROOM]],Sheet1!$P$48:$P$67,0),MATCH(Table1[[#This Row], [WEAPON]],Sheet1!$X$47:$Z$47,0)))/Table1[[#This Row], [NUM OF MEM]]</f>
        <v>4.166666666666667</v>
      </c>
      <c r="Q1055" s="9">
        <f>Table1[[#This Row], [ROOM TIME]]+Table1[[#This Row], [GUARD TIME]]</f>
        <v>41.932777777777765</v>
      </c>
      <c r="R1055" s="4">
        <f>Sheet1!$K$3*_xlfn.XLOOKUP(Table1[[#This Row], [DISGUISE]],Sheet1!$A$21:$A$23,Sheet1!$D$21:$D$23)</f>
        <v>69</v>
      </c>
      <c r="S1055" s="9">
        <f>Table1[[#This Row], [TOTAL TIME]]-Table1[[#This Row], [TOTAL TIME TAKEN]]</f>
        <v>27.067222222222235</v>
      </c>
      <c r="T1055" t="str">
        <f>IF(Table1[[#This Row], [TIME DIFFERENCE]]&gt;=0,"PASS","FAIL")</f>
        <v>PASS</v>
      </c>
      <c r="U1055" s="9">
        <f>Table1[[#This Row], [TRC]]+Table1[[#This Row], [DRC]]+Table1[[#This Row], [WRC]]+Table1[[#This Row], [ERC]]+Table1[[#This Row], [EQRC]]</f>
        <v>7999457.1124999989</v>
      </c>
      <c r="V1055" s="9">
        <f>Table1[[#This Row], [TOTAL COST]]+_xlfn.XLOOKUP(Table1[[#This Row], [TEAM]],Sheet1!$A$12:$A$17,Sheet1!$I$12:$I$17)</f>
        <v>8311394.6124999989</v>
      </c>
      <c r="W1055" s="9">
        <f>Table1[[#This Row], [LOOT]]-Table1[[#This Row], [TOTAL COST]]</f>
        <v>9550542.8875000011</v>
      </c>
      <c r="X1055" s="9">
        <f>IF(Table1[[#This Row], [PASS/FAIL]]="FAIL",0,Table1[[#This Row], [PROFIT]])</f>
        <v>9550542.8875000011</v>
      </c>
    </row>
    <row r="1056" spans="1:24" ht="19.5" customHeight="1" x14ac:dyDescent="0.45">
      <c r="A1056" t="s">
        <v>12</v>
      </c>
      <c r="B1056" s="14">
        <f>_xlfn.XLOOKUP(Table1[[#This Row], [TEAM]],Sheet1!$A$12:$A$17,Sheet1!$F$12:$F$17)</f>
        <v>3</v>
      </c>
      <c r="C1056" s="14">
        <f>_xlfn.XLOOKUP(Table1[[#This Row], [TEAM]],Sheet1!$A$12:$A$17,Sheet1!$G$12:$G$17)</f>
        <v>5988750</v>
      </c>
      <c r="D1056" t="s">
        <v>22</v>
      </c>
      <c r="E1056" s="4">
        <f>_xlfn.XLOOKUP(Table1[[#This Row], [ROOM]],Sheet1!$A$47:$A$66,Sheet1!$B$47:$B$66)</f>
        <v>235</v>
      </c>
      <c r="F1056" t="s">
        <v>58</v>
      </c>
      <c r="G10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056" s="13" t="s">
        <v>66</v>
      </c>
      <c r="I1056" s="4">
        <f>_xlfn.XLOOKUP(Table1[[#This Row], [WEAPON]],Sheet1!$A$27:$A$29,Sheet1!$B$27:$B$29)*Table1[[#This Row], [NUM OF MEM]]*(1+_xlfn.XLOOKUP(Table1[[#This Row], [WEAPON]],Sheet1!$A$27:$A$29,Sheet1!$C$27:$C$29))</f>
        <v>108000</v>
      </c>
      <c r="J1056" t="s">
        <v>64</v>
      </c>
      <c r="K1056" s="9">
        <f>Table1[[#This Row], [NUM OF MEM]]*Table1[[#This Row], [TOTAL TIME TAKEN]]*_xlfn.XLOOKUP(Table1[[#This Row], [EXIT]],Sheet1!$A$70:$A$71,Sheet1!$B$70:$B$71)*(1+_xlfn.XLOOKUP(Table1[[#This Row], [EXIT]],Sheet1!$A$70:$A$71,Sheet1!$C$70:$C$71))</f>
        <v>1807142.3999999992</v>
      </c>
      <c r="L1056" s="13" t="s">
        <v>65</v>
      </c>
      <c r="M1056" s="4">
        <f>IF(Table1[[#This Row], [EQUIPMENT]]="YES",Sheet1!$C$44*(1+Sheet1!$D$44),0)</f>
        <v>307500</v>
      </c>
      <c r="N1056" s="4">
        <f>_xlfn.XLOOKUP(Table1[[#This Row], [ROOM]],Sheet1!$A$47:$A$66,Sheet1!$F$47:$F$66)</f>
        <v>17800000</v>
      </c>
      <c r="O1056" s="9">
        <f>_xlfn.XLOOKUP(_xlfn.CONCAT(Table1[[#This Row], [TEAM]],Table1[[#This Row], [ROOM]]),'ROOM TIME'!$H$2:$H$121,'ROOM TIME'!$J$2:$J$121)</f>
        <v>41.479999999999983</v>
      </c>
      <c r="P1056" s="4">
        <f>(INDEX(Sheet1!$X$48:$Z$67,MATCH(Table1[[#This Row], [ROOM]],Sheet1!$P$48:$P$67,0),MATCH(Table1[[#This Row], [WEAPON]],Sheet1!$X$47:$Z$47,0)))/Table1[[#This Row], [NUM OF MEM]]</f>
        <v>5</v>
      </c>
      <c r="Q1056" s="9">
        <f>Table1[[#This Row], [ROOM TIME]]+Table1[[#This Row], [GUARD TIME]]</f>
        <v>46.479999999999983</v>
      </c>
      <c r="R1056" s="4">
        <f>Sheet1!$K$3*_xlfn.XLOOKUP(Table1[[#This Row], [DISGUISE]],Sheet1!$A$21:$A$23,Sheet1!$D$21:$D$23)</f>
        <v>69</v>
      </c>
      <c r="S1056" s="9">
        <f>Table1[[#This Row], [TOTAL TIME]]-Table1[[#This Row], [TOTAL TIME TAKEN]]</f>
        <v>22.520000000000017</v>
      </c>
      <c r="T1056" t="str">
        <f>IF(Table1[[#This Row], [TIME DIFFERENCE]]&gt;=0,"PASS","FAIL")</f>
        <v>PASS</v>
      </c>
      <c r="U1056" s="9">
        <f>Table1[[#This Row], [TRC]]+Table1[[#This Row], [DRC]]+Table1[[#This Row], [WRC]]+Table1[[#This Row], [ERC]]+Table1[[#This Row], [EQRC]]</f>
        <v>8249792.3999999994</v>
      </c>
      <c r="V1056" s="9">
        <f>Table1[[#This Row], [TOTAL COST]]+_xlfn.XLOOKUP(Table1[[#This Row], [TEAM]],Sheet1!$A$12:$A$17,Sheet1!$I$12:$I$17)</f>
        <v>8549229.8999999985</v>
      </c>
      <c r="W1056" s="9">
        <f>Table1[[#This Row], [LOOT]]-Table1[[#This Row], [TOTAL COST]]</f>
        <v>9550207.6000000015</v>
      </c>
      <c r="X1056" s="9">
        <f>IF(Table1[[#This Row], [PASS/FAIL]]="FAIL",0,Table1[[#This Row], [PROFIT]])</f>
        <v>9550207.6000000015</v>
      </c>
    </row>
    <row r="1057" spans="1:24" ht="19.5" customHeight="1" x14ac:dyDescent="0.45">
      <c r="A1057" t="s">
        <v>13</v>
      </c>
      <c r="B1057" s="14">
        <f>_xlfn.XLOOKUP(Table1[[#This Row], [TEAM]],Sheet1!$A$12:$A$17,Sheet1!$F$12:$F$17)</f>
        <v>3</v>
      </c>
      <c r="C1057" s="14">
        <f>_xlfn.XLOOKUP(Table1[[#This Row], [TEAM]],Sheet1!$A$12:$A$17,Sheet1!$G$12:$G$17)</f>
        <v>5930000</v>
      </c>
      <c r="D1057" t="s">
        <v>23</v>
      </c>
      <c r="E1057" s="4">
        <f>_xlfn.XLOOKUP(Table1[[#This Row], [ROOM]],Sheet1!$A$47:$A$66,Sheet1!$B$47:$B$66)</f>
        <v>245</v>
      </c>
      <c r="F1057" t="s">
        <v>62</v>
      </c>
      <c r="G105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57" s="13" t="s">
        <v>66</v>
      </c>
      <c r="I1057" s="4">
        <f>_xlfn.XLOOKUP(Table1[[#This Row], [WEAPON]],Sheet1!$A$27:$A$29,Sheet1!$B$27:$B$29)*Table1[[#This Row], [NUM OF MEM]]*(1+_xlfn.XLOOKUP(Table1[[#This Row], [WEAPON]],Sheet1!$A$27:$A$29,Sheet1!$C$27:$C$29))</f>
        <v>108000</v>
      </c>
      <c r="J1057" t="s">
        <v>60</v>
      </c>
      <c r="K1057" s="9">
        <f>Table1[[#This Row], [NUM OF MEM]]*Table1[[#This Row], [TOTAL TIME TAKEN]]*_xlfn.XLOOKUP(Table1[[#This Row], [EXIT]],Sheet1!$A$70:$A$71,Sheet1!$B$70:$B$71)*(1+_xlfn.XLOOKUP(Table1[[#This Row], [EXIT]],Sheet1!$A$70:$A$71,Sheet1!$C$70:$C$71))</f>
        <v>1796357.5124999997</v>
      </c>
      <c r="L1057" s="13" t="s">
        <v>61</v>
      </c>
      <c r="M1057" s="4">
        <f>IF(Table1[[#This Row], [EQUIPMENT]]="YES",Sheet1!$C$44*(1+Sheet1!$D$44),0)</f>
        <v>0</v>
      </c>
      <c r="N1057" s="4">
        <f>_xlfn.XLOOKUP(Table1[[#This Row], [ROOM]],Sheet1!$A$47:$A$66,Sheet1!$F$47:$F$66)</f>
        <v>17400000</v>
      </c>
      <c r="O1057" s="9">
        <f>_xlfn.XLOOKUP(_xlfn.CONCAT(Table1[[#This Row], [TEAM]],Table1[[#This Row], [ROOM]]),'ROOM TIME'!$H$2:$H$121,'ROOM TIME'!$J$2:$J$121)</f>
        <v>42.078333333333326</v>
      </c>
      <c r="P1057" s="9">
        <f>(INDEX(Sheet1!$X$48:$Z$67,MATCH(Table1[[#This Row], [ROOM]],Sheet1!$P$48:$P$67,0),MATCH(Table1[[#This Row], [WEAPON]],Sheet1!$X$47:$Z$47,0)))/Table1[[#This Row], [NUM OF MEM]]</f>
        <v>4.583333333333333</v>
      </c>
      <c r="Q1057" s="9">
        <f>Table1[[#This Row], [ROOM TIME]]+Table1[[#This Row], [GUARD TIME]]</f>
        <v>46.661666666666662</v>
      </c>
      <c r="R1057" s="4">
        <f>Sheet1!$K$3*_xlfn.XLOOKUP(Table1[[#This Row], [DISGUISE]],Sheet1!$A$21:$A$23,Sheet1!$D$21:$D$23)</f>
        <v>66</v>
      </c>
      <c r="S1057" s="9">
        <f>Table1[[#This Row], [TOTAL TIME]]-Table1[[#This Row], [TOTAL TIME TAKEN]]</f>
        <v>19.338333333333338</v>
      </c>
      <c r="T1057" t="str">
        <f>IF(Table1[[#This Row], [TIME DIFFERENCE]]&gt;=0,"PASS","FAIL")</f>
        <v>PASS</v>
      </c>
      <c r="U1057" s="9">
        <f>Table1[[#This Row], [TRC]]+Table1[[#This Row], [DRC]]+Table1[[#This Row], [WRC]]+Table1[[#This Row], [ERC]]+Table1[[#This Row], [EQRC]]</f>
        <v>7849957.5124999993</v>
      </c>
      <c r="V1057" s="9">
        <f>Table1[[#This Row], [TOTAL COST]]+_xlfn.XLOOKUP(Table1[[#This Row], [TEAM]],Sheet1!$A$12:$A$17,Sheet1!$I$12:$I$17)</f>
        <v>8146457.5124999993</v>
      </c>
      <c r="W1057" s="9">
        <f>Table1[[#This Row], [LOOT]]-Table1[[#This Row], [TOTAL COST]]</f>
        <v>9550042.4875000007</v>
      </c>
      <c r="X1057" s="9">
        <f>IF(Table1[[#This Row], [PASS/FAIL]]="FAIL",0,Table1[[#This Row], [PROFIT]])</f>
        <v>9550042.4875000007</v>
      </c>
    </row>
    <row r="1058" spans="1:24" ht="19.5" customHeight="1" x14ac:dyDescent="0.45">
      <c r="A1058" t="s">
        <v>15</v>
      </c>
      <c r="B1058" s="14">
        <f>_xlfn.XLOOKUP(Table1[[#This Row], [TEAM]],Sheet1!$A$12:$A$17,Sheet1!$F$12:$F$17)</f>
        <v>2</v>
      </c>
      <c r="C1058" s="14">
        <f>_xlfn.XLOOKUP(Table1[[#This Row], [TEAM]],Sheet1!$A$12:$A$17,Sheet1!$G$12:$G$17)</f>
        <v>5932950</v>
      </c>
      <c r="D1058" t="s">
        <v>25</v>
      </c>
      <c r="E1058" s="4">
        <f>_xlfn.XLOOKUP(Table1[[#This Row], [ROOM]],Sheet1!$A$47:$A$66,Sheet1!$B$47:$B$66)</f>
        <v>126</v>
      </c>
      <c r="F1058" t="s">
        <v>58</v>
      </c>
      <c r="G1058" s="4">
        <f>_xlfn.XLOOKUP(Table1[[#This Row], [DISGUISE]],Sheet1!$A$21:$A$23,Sheet1!$B$21:$B$23)*Table1[[#This Row], [NUM OF MEM]]*(1+_xlfn.XLOOKUP(Table1[[#This Row], [DISGUISE]],Sheet1!$A$21:$A$23,Sheet1!$C$21:$C$23))</f>
        <v>25600</v>
      </c>
      <c r="H1058" s="13" t="s">
        <v>66</v>
      </c>
      <c r="I1058" s="4">
        <f>_xlfn.XLOOKUP(Table1[[#This Row], [WEAPON]],Sheet1!$A$27:$A$29,Sheet1!$B$27:$B$29)*Table1[[#This Row], [NUM OF MEM]]*(1+_xlfn.XLOOKUP(Table1[[#This Row], [WEAPON]],Sheet1!$A$27:$A$29,Sheet1!$C$27:$C$29))</f>
        <v>72000</v>
      </c>
      <c r="J1058" t="s">
        <v>64</v>
      </c>
      <c r="K1058" s="9">
        <f>Table1[[#This Row], [NUM OF MEM]]*Table1[[#This Row], [TOTAL TIME TAKEN]]*_xlfn.XLOOKUP(Table1[[#This Row], [EXIT]],Sheet1!$A$70:$A$71,Sheet1!$B$70:$B$71)*(1+_xlfn.XLOOKUP(Table1[[#This Row], [EXIT]],Sheet1!$A$70:$A$71,Sheet1!$C$70:$C$71))</f>
        <v>1662832.7999999996</v>
      </c>
      <c r="L1058" s="13" t="s">
        <v>65</v>
      </c>
      <c r="M1058" s="4">
        <f>IF(Table1[[#This Row], [EQUIPMENT]]="YES",Sheet1!$C$44*(1+Sheet1!$D$44),0)</f>
        <v>307500</v>
      </c>
      <c r="N1058" s="4">
        <f>_xlfn.XLOOKUP(Table1[[#This Row], [ROOM]],Sheet1!$A$47:$A$66,Sheet1!$F$47:$F$66)</f>
        <v>17550000</v>
      </c>
      <c r="O1058" s="9">
        <f>_xlfn.XLOOKUP(_xlfn.CONCAT(Table1[[#This Row], [TEAM]],Table1[[#This Row], [ROOM]]),'ROOM TIME'!$H$2:$H$121,'ROOM TIME'!$J$2:$J$121)</f>
        <v>57.277499999999989</v>
      </c>
      <c r="P1058" s="9">
        <f>(INDEX(Sheet1!$X$48:$Z$67,MATCH(Table1[[#This Row], [ROOM]],Sheet1!$P$48:$P$67,0),MATCH(Table1[[#This Row], [WEAPON]],Sheet1!$X$47:$Z$47,0)))/Table1[[#This Row], [NUM OF MEM]]</f>
        <v>6.875</v>
      </c>
      <c r="Q1058" s="9">
        <f>Table1[[#This Row], [ROOM TIME]]+Table1[[#This Row], [GUARD TIME]]</f>
        <v>64.152499999999989</v>
      </c>
      <c r="R1058" s="4">
        <f>Sheet1!$K$3*_xlfn.XLOOKUP(Table1[[#This Row], [DISGUISE]],Sheet1!$A$21:$A$23,Sheet1!$D$21:$D$23)</f>
        <v>69</v>
      </c>
      <c r="S1058" s="9">
        <f>Table1[[#This Row], [TOTAL TIME]]-Table1[[#This Row], [TOTAL TIME TAKEN]]</f>
        <v>4.8475000000000108</v>
      </c>
      <c r="T1058" t="str">
        <f>IF(Table1[[#This Row], [TIME DIFFERENCE]]&gt;=0,"PASS","FAIL")</f>
        <v>PASS</v>
      </c>
      <c r="U1058" s="9">
        <f>Table1[[#This Row], [TRC]]+Table1[[#This Row], [DRC]]+Table1[[#This Row], [WRC]]+Table1[[#This Row], [ERC]]+Table1[[#This Row], [EQRC]]</f>
        <v>8000882.7999999998</v>
      </c>
      <c r="V1058" s="9">
        <f>Table1[[#This Row], [TOTAL COST]]+_xlfn.XLOOKUP(Table1[[#This Row], [TEAM]],Sheet1!$A$12:$A$17,Sheet1!$I$12:$I$17)</f>
        <v>8297530.2999999998</v>
      </c>
      <c r="W1058" s="9">
        <f>Table1[[#This Row], [LOOT]]-Table1[[#This Row], [TOTAL COST]]</f>
        <v>9549117.1999999993</v>
      </c>
      <c r="X1058" s="9">
        <f>IF(Table1[[#This Row], [PASS/FAIL]]="FAIL",0,Table1[[#This Row], [PROFIT]])</f>
        <v>9549117.1999999993</v>
      </c>
    </row>
    <row r="1059" spans="1:24" ht="19.5" customHeight="1" x14ac:dyDescent="0.45">
      <c r="A1059" t="s">
        <v>12</v>
      </c>
      <c r="B1059" s="14">
        <f>_xlfn.XLOOKUP(Table1[[#This Row], [TEAM]],Sheet1!$A$12:$A$17,Sheet1!$F$12:$F$17)</f>
        <v>3</v>
      </c>
      <c r="C1059" s="14">
        <f>_xlfn.XLOOKUP(Table1[[#This Row], [TEAM]],Sheet1!$A$12:$A$17,Sheet1!$G$12:$G$17)</f>
        <v>5988750</v>
      </c>
      <c r="D1059" t="s">
        <v>30</v>
      </c>
      <c r="E1059" s="4">
        <f>_xlfn.XLOOKUP(Table1[[#This Row], [ROOM]],Sheet1!$A$47:$A$66,Sheet1!$B$47:$B$66)</f>
        <v>246</v>
      </c>
      <c r="F1059" t="s">
        <v>62</v>
      </c>
      <c r="G1059" s="4">
        <f>_xlfn.XLOOKUP(Table1[[#This Row], [DISGUISE]],Sheet1!$A$21:$A$23,Sheet1!$B$21:$B$23)*Table1[[#This Row], [NUM OF MEM]]*(1+_xlfn.XLOOKUP(Table1[[#This Row], [DISGUISE]],Sheet1!$A$21:$A$23,Sheet1!$C$21:$C$23))</f>
        <v>15600</v>
      </c>
      <c r="H1059" s="13" t="s">
        <v>63</v>
      </c>
      <c r="I1059" s="4">
        <f>_xlfn.XLOOKUP(Table1[[#This Row], [WEAPON]],Sheet1!$A$27:$A$29,Sheet1!$B$27:$B$29)*Table1[[#This Row], [NUM OF MEM]]*(1+_xlfn.XLOOKUP(Table1[[#This Row], [WEAPON]],Sheet1!$A$27:$A$29,Sheet1!$C$27:$C$29))</f>
        <v>69000</v>
      </c>
      <c r="J1059" t="s">
        <v>64</v>
      </c>
      <c r="K1059" s="9">
        <f>Table1[[#This Row], [NUM OF MEM]]*Table1[[#This Row], [TOTAL TIME TAKEN]]*_xlfn.XLOOKUP(Table1[[#This Row], [EXIT]],Sheet1!$A$70:$A$71,Sheet1!$B$70:$B$71)*(1+_xlfn.XLOOKUP(Table1[[#This Row], [EXIT]],Sheet1!$A$70:$A$71,Sheet1!$C$70:$C$71))</f>
        <v>1671148.7999999991</v>
      </c>
      <c r="L1059" s="13" t="s">
        <v>65</v>
      </c>
      <c r="M1059" s="4">
        <f>IF(Table1[[#This Row], [EQUIPMENT]]="YES",Sheet1!$C$44*(1+Sheet1!$D$44),0)</f>
        <v>307500</v>
      </c>
      <c r="N1059" s="4">
        <f>_xlfn.XLOOKUP(Table1[[#This Row], [ROOM]],Sheet1!$A$47:$A$66,Sheet1!$F$47:$F$66)</f>
        <v>17600000</v>
      </c>
      <c r="O1059" s="9">
        <f>_xlfn.XLOOKUP(_xlfn.CONCAT(Table1[[#This Row], [TEAM]],Table1[[#This Row], [ROOM]]),'ROOM TIME'!$H$2:$H$121,'ROOM TIME'!$J$2:$J$121)</f>
        <v>37.582222222222207</v>
      </c>
      <c r="P1059" s="9">
        <f>(INDEX(Sheet1!$X$48:$Z$67,MATCH(Table1[[#This Row], [ROOM]],Sheet1!$P$48:$P$67,0),MATCH(Table1[[#This Row], [WEAPON]],Sheet1!$X$47:$Z$47,0)))/Table1[[#This Row], [NUM OF MEM]]</f>
        <v>5.4000000000000012</v>
      </c>
      <c r="Q1059" s="9">
        <f>Table1[[#This Row], [ROOM TIME]]+Table1[[#This Row], [GUARD TIME]]</f>
        <v>42.982222222222205</v>
      </c>
      <c r="R1059" s="4">
        <f>Sheet1!$K$3*_xlfn.XLOOKUP(Table1[[#This Row], [DISGUISE]],Sheet1!$A$21:$A$23,Sheet1!$D$21:$D$23)</f>
        <v>66</v>
      </c>
      <c r="S1059" s="9">
        <f>Table1[[#This Row], [TOTAL TIME]]-Table1[[#This Row], [TOTAL TIME TAKEN]]</f>
        <v>23.017777777777795</v>
      </c>
      <c r="T1059" t="str">
        <f>IF(Table1[[#This Row], [TIME DIFFERENCE]]&gt;=0,"PASS","FAIL")</f>
        <v>PASS</v>
      </c>
      <c r="U1059" s="9">
        <f>Table1[[#This Row], [TRC]]+Table1[[#This Row], [DRC]]+Table1[[#This Row], [WRC]]+Table1[[#This Row], [ERC]]+Table1[[#This Row], [EQRC]]</f>
        <v>8051998.7999999989</v>
      </c>
      <c r="V1059" s="9">
        <f>Table1[[#This Row], [TOTAL COST]]+_xlfn.XLOOKUP(Table1[[#This Row], [TEAM]],Sheet1!$A$12:$A$17,Sheet1!$I$12:$I$17)</f>
        <v>8351436.2999999989</v>
      </c>
      <c r="W1059" s="9">
        <f>Table1[[#This Row], [LOOT]]-Table1[[#This Row], [TOTAL COST]]</f>
        <v>9548001.2000000011</v>
      </c>
      <c r="X1059" s="9">
        <f>IF(Table1[[#This Row], [PASS/FAIL]]="FAIL",0,Table1[[#This Row], [PROFIT]])</f>
        <v>9548001.2000000011</v>
      </c>
    </row>
    <row r="1060" spans="1:24" ht="19.5" customHeight="1" x14ac:dyDescent="0.45">
      <c r="A1060" t="s">
        <v>13</v>
      </c>
      <c r="B1060" s="14">
        <f>_xlfn.XLOOKUP(Table1[[#This Row], [TEAM]],Sheet1!$A$12:$A$17,Sheet1!$F$12:$F$17)</f>
        <v>3</v>
      </c>
      <c r="C1060" s="14">
        <f>_xlfn.XLOOKUP(Table1[[#This Row], [TEAM]],Sheet1!$A$12:$A$17,Sheet1!$G$12:$G$17)</f>
        <v>5930000</v>
      </c>
      <c r="D1060" t="s">
        <v>30</v>
      </c>
      <c r="E1060" s="4">
        <f>_xlfn.XLOOKUP(Table1[[#This Row], [ROOM]],Sheet1!$A$47:$A$66,Sheet1!$B$47:$B$66)</f>
        <v>246</v>
      </c>
      <c r="F1060" t="s">
        <v>62</v>
      </c>
      <c r="G1060" s="4">
        <f>_xlfn.XLOOKUP(Table1[[#This Row], [DISGUISE]],Sheet1!$A$21:$A$23,Sheet1!$B$21:$B$23)*Table1[[#This Row], [NUM OF MEM]]*(1+_xlfn.XLOOKUP(Table1[[#This Row], [DISGUISE]],Sheet1!$A$21:$A$23,Sheet1!$C$21:$C$23))</f>
        <v>15600</v>
      </c>
      <c r="H1060" s="13" t="s">
        <v>63</v>
      </c>
      <c r="I1060" s="4">
        <f>_xlfn.XLOOKUP(Table1[[#This Row], [WEAPON]],Sheet1!$A$27:$A$29,Sheet1!$B$27:$B$29)*Table1[[#This Row], [NUM OF MEM]]*(1+_xlfn.XLOOKUP(Table1[[#This Row], [WEAPON]],Sheet1!$A$27:$A$29,Sheet1!$C$27:$C$29))</f>
        <v>69000</v>
      </c>
      <c r="J1060" t="s">
        <v>60</v>
      </c>
      <c r="K1060" s="9">
        <f>Table1[[#This Row], [NUM OF MEM]]*Table1[[#This Row], [TOTAL TIME TAKEN]]*_xlfn.XLOOKUP(Table1[[#This Row], [EXIT]],Sheet1!$A$70:$A$71,Sheet1!$B$70:$B$71)*(1+_xlfn.XLOOKUP(Table1[[#This Row], [EXIT]],Sheet1!$A$70:$A$71,Sheet1!$C$70:$C$71))</f>
        <v>1730526.7874999996</v>
      </c>
      <c r="L1060" s="13" t="s">
        <v>65</v>
      </c>
      <c r="M1060" s="4">
        <f>IF(Table1[[#This Row], [EQUIPMENT]]="YES",Sheet1!$C$44*(1+Sheet1!$D$44),0)</f>
        <v>307500</v>
      </c>
      <c r="N1060" s="4">
        <f>_xlfn.XLOOKUP(Table1[[#This Row], [ROOM]],Sheet1!$A$47:$A$66,Sheet1!$F$47:$F$66)</f>
        <v>17600000</v>
      </c>
      <c r="O1060" s="9">
        <f>_xlfn.XLOOKUP(_xlfn.CONCAT(Table1[[#This Row], [TEAM]],Table1[[#This Row], [ROOM]]),'ROOM TIME'!$H$2:$H$121,'ROOM TIME'!$J$2:$J$121)</f>
        <v>39.551666666666655</v>
      </c>
      <c r="P1060" s="9">
        <f>(INDEX(Sheet1!$X$48:$Z$67,MATCH(Table1[[#This Row], [ROOM]],Sheet1!$P$48:$P$67,0),MATCH(Table1[[#This Row], [WEAPON]],Sheet1!$X$47:$Z$47,0)))/Table1[[#This Row], [NUM OF MEM]]</f>
        <v>5.4000000000000012</v>
      </c>
      <c r="Q1060" s="9">
        <f>Table1[[#This Row], [ROOM TIME]]+Table1[[#This Row], [GUARD TIME]]</f>
        <v>44.951666666666654</v>
      </c>
      <c r="R1060" s="4">
        <f>Sheet1!$K$3*_xlfn.XLOOKUP(Table1[[#This Row], [DISGUISE]],Sheet1!$A$21:$A$23,Sheet1!$D$21:$D$23)</f>
        <v>66</v>
      </c>
      <c r="S1060" s="9">
        <f>Table1[[#This Row], [TOTAL TIME]]-Table1[[#This Row], [TOTAL TIME TAKEN]]</f>
        <v>21.048333333333346</v>
      </c>
      <c r="T1060" t="str">
        <f>IF(Table1[[#This Row], [TIME DIFFERENCE]]&gt;=0,"PASS","FAIL")</f>
        <v>PASS</v>
      </c>
      <c r="U1060" s="9">
        <f>Table1[[#This Row], [TRC]]+Table1[[#This Row], [DRC]]+Table1[[#This Row], [WRC]]+Table1[[#This Row], [ERC]]+Table1[[#This Row], [EQRC]]</f>
        <v>8052626.7874999996</v>
      </c>
      <c r="V1060" s="9">
        <f>Table1[[#This Row], [TOTAL COST]]+_xlfn.XLOOKUP(Table1[[#This Row], [TEAM]],Sheet1!$A$12:$A$17,Sheet1!$I$12:$I$17)</f>
        <v>8349126.7874999996</v>
      </c>
      <c r="W1060" s="9">
        <f>Table1[[#This Row], [LOOT]]-Table1[[#This Row], [TOTAL COST]]</f>
        <v>9547373.2125000004</v>
      </c>
      <c r="X1060" s="9">
        <f>IF(Table1[[#This Row], [PASS/FAIL]]="FAIL",0,Table1[[#This Row], [PROFIT]])</f>
        <v>9547373.2125000004</v>
      </c>
    </row>
    <row r="1061" spans="1:24" ht="19.5" customHeight="1" x14ac:dyDescent="0.45">
      <c r="A1061" t="s">
        <v>13</v>
      </c>
      <c r="B1061" s="14">
        <f>_xlfn.XLOOKUP(Table1[[#This Row], [TEAM]],Sheet1!$A$12:$A$17,Sheet1!$F$12:$F$17)</f>
        <v>3</v>
      </c>
      <c r="C1061" s="14">
        <f>_xlfn.XLOOKUP(Table1[[#This Row], [TEAM]],Sheet1!$A$12:$A$17,Sheet1!$G$12:$G$17)</f>
        <v>5930000</v>
      </c>
      <c r="D1061" t="s">
        <v>22</v>
      </c>
      <c r="E1061" s="4">
        <f>_xlfn.XLOOKUP(Table1[[#This Row], [ROOM]],Sheet1!$A$47:$A$66,Sheet1!$B$47:$B$66)</f>
        <v>235</v>
      </c>
      <c r="F1061" t="s">
        <v>58</v>
      </c>
      <c r="G106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61" s="13" t="s">
        <v>59</v>
      </c>
      <c r="I1061" s="4">
        <f>_xlfn.XLOOKUP(Table1[[#This Row], [WEAPON]],Sheet1!$A$27:$A$29,Sheet1!$B$27:$B$29)*Table1[[#This Row], [NUM OF MEM]]*(1+_xlfn.XLOOKUP(Table1[[#This Row], [WEAPON]],Sheet1!$A$27:$A$29,Sheet1!$C$27:$C$29))</f>
        <v>136500</v>
      </c>
      <c r="J1061" t="s">
        <v>60</v>
      </c>
      <c r="K1061" s="9">
        <f>Table1[[#This Row], [NUM OF MEM]]*Table1[[#This Row], [TOTAL TIME TAKEN]]*_xlfn.XLOOKUP(Table1[[#This Row], [EXIT]],Sheet1!$A$70:$A$71,Sheet1!$B$70:$B$71)*(1+_xlfn.XLOOKUP(Table1[[#This Row], [EXIT]],Sheet1!$A$70:$A$71,Sheet1!$C$70:$C$71))</f>
        <v>1840629.6375</v>
      </c>
      <c r="L1061" s="13" t="s">
        <v>65</v>
      </c>
      <c r="M1061" s="4">
        <f>IF(Table1[[#This Row], [EQUIPMENT]]="YES",Sheet1!$C$44*(1+Sheet1!$D$44),0)</f>
        <v>307500</v>
      </c>
      <c r="N1061" s="4">
        <f>_xlfn.XLOOKUP(Table1[[#This Row], [ROOM]],Sheet1!$A$47:$A$66,Sheet1!$F$47:$F$66)</f>
        <v>17800000</v>
      </c>
      <c r="O1061" s="9">
        <f>_xlfn.XLOOKUP(_xlfn.CONCAT(Table1[[#This Row], [TEAM]],Table1[[#This Row], [ROOM]]),'ROOM TIME'!$H$2:$H$121,'ROOM TIME'!$J$2:$J$121)</f>
        <v>43.211666666666666</v>
      </c>
      <c r="P1061" s="9">
        <f>(INDEX(Sheet1!$X$48:$Z$67,MATCH(Table1[[#This Row], [ROOM]],Sheet1!$P$48:$P$67,0),MATCH(Table1[[#This Row], [WEAPON]],Sheet1!$X$47:$Z$47,0)))/Table1[[#This Row], [NUM OF MEM]]</f>
        <v>4.5999999999999996</v>
      </c>
      <c r="Q1061" s="9">
        <f>Table1[[#This Row], [ROOM TIME]]+Table1[[#This Row], [GUARD TIME]]</f>
        <v>47.811666666666667</v>
      </c>
      <c r="R1061" s="4">
        <f>Sheet1!$K$3*_xlfn.XLOOKUP(Table1[[#This Row], [DISGUISE]],Sheet1!$A$21:$A$23,Sheet1!$D$21:$D$23)</f>
        <v>69</v>
      </c>
      <c r="S1061" s="9">
        <f>Table1[[#This Row], [TOTAL TIME]]-Table1[[#This Row], [TOTAL TIME TAKEN]]</f>
        <v>21.188333333333333</v>
      </c>
      <c r="T1061" t="str">
        <f>IF(Table1[[#This Row], [TIME DIFFERENCE]]&gt;=0,"PASS","FAIL")</f>
        <v>PASS</v>
      </c>
      <c r="U1061" s="9">
        <f>Table1[[#This Row], [TRC]]+Table1[[#This Row], [DRC]]+Table1[[#This Row], [WRC]]+Table1[[#This Row], [ERC]]+Table1[[#This Row], [EQRC]]</f>
        <v>8253029.6375000002</v>
      </c>
      <c r="V1061" s="9">
        <f>Table1[[#This Row], [TOTAL COST]]+_xlfn.XLOOKUP(Table1[[#This Row], [TEAM]],Sheet1!$A$12:$A$17,Sheet1!$I$12:$I$17)</f>
        <v>8549529.6374999993</v>
      </c>
      <c r="W1061" s="9">
        <f>Table1[[#This Row], [LOOT]]-Table1[[#This Row], [TOTAL COST]]</f>
        <v>9546970.3625000007</v>
      </c>
      <c r="X1061" s="9">
        <f>IF(Table1[[#This Row], [PASS/FAIL]]="FAIL",0,Table1[[#This Row], [PROFIT]])</f>
        <v>9546970.3625000007</v>
      </c>
    </row>
    <row r="1062" spans="1:24" ht="19.5" customHeight="1" x14ac:dyDescent="0.45">
      <c r="A1062" t="s">
        <v>13</v>
      </c>
      <c r="B1062" s="14">
        <f>_xlfn.XLOOKUP(Table1[[#This Row], [TEAM]],Sheet1!$A$12:$A$17,Sheet1!$F$12:$F$17)</f>
        <v>3</v>
      </c>
      <c r="C1062" s="14">
        <f>_xlfn.XLOOKUP(Table1[[#This Row], [TEAM]],Sheet1!$A$12:$A$17,Sheet1!$G$12:$G$17)</f>
        <v>5930000</v>
      </c>
      <c r="D1062" t="s">
        <v>11</v>
      </c>
      <c r="E1062" s="4">
        <f>_xlfn.XLOOKUP(Table1[[#This Row], [ROOM]],Sheet1!$A$47:$A$66,Sheet1!$B$47:$B$66)</f>
        <v>124</v>
      </c>
      <c r="F1062" t="s">
        <v>58</v>
      </c>
      <c r="G106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62" s="13" t="s">
        <v>59</v>
      </c>
      <c r="I1062" s="4">
        <f>_xlfn.XLOOKUP(Table1[[#This Row], [WEAPON]],Sheet1!$A$27:$A$29,Sheet1!$B$27:$B$29)*Table1[[#This Row], [NUM OF MEM]]*(1+_xlfn.XLOOKUP(Table1[[#This Row], [WEAPON]],Sheet1!$A$27:$A$29,Sheet1!$C$27:$C$29))</f>
        <v>136500</v>
      </c>
      <c r="J1062" t="s">
        <v>60</v>
      </c>
      <c r="K1062" s="9">
        <f>Table1[[#This Row], [NUM OF MEM]]*Table1[[#This Row], [TOTAL TIME TAKEN]]*_xlfn.XLOOKUP(Table1[[#This Row], [EXIT]],Sheet1!$A$70:$A$71,Sheet1!$B$70:$B$71)*(1+_xlfn.XLOOKUP(Table1[[#This Row], [EXIT]],Sheet1!$A$70:$A$71,Sheet1!$C$70:$C$71))</f>
        <v>1799287.5999999996</v>
      </c>
      <c r="L1062" s="13" t="s">
        <v>61</v>
      </c>
      <c r="M1062" s="4">
        <f>IF(Table1[[#This Row], [EQUIPMENT]]="YES",Sheet1!$C$44*(1+Sheet1!$D$44),0)</f>
        <v>0</v>
      </c>
      <c r="N1062" s="4">
        <f>_xlfn.XLOOKUP(Table1[[#This Row], [ROOM]],Sheet1!$A$47:$A$66,Sheet1!$F$47:$F$66)</f>
        <v>17450000</v>
      </c>
      <c r="O1062" s="9">
        <f>_xlfn.XLOOKUP(_xlfn.CONCAT(Table1[[#This Row], [TEAM]],Table1[[#This Row], [ROOM]]),'ROOM TIME'!$H$2:$H$121,'ROOM TIME'!$J$2:$J$121)</f>
        <v>42.521111111111104</v>
      </c>
      <c r="P1062" s="9">
        <f>(INDEX(Sheet1!$X$48:$Z$67,MATCH(Table1[[#This Row], [ROOM]],Sheet1!$P$48:$P$67,0),MATCH(Table1[[#This Row], [WEAPON]],Sheet1!$X$47:$Z$47,0)))/Table1[[#This Row], [NUM OF MEM]]</f>
        <v>4.2166666666666659</v>
      </c>
      <c r="Q1062" s="9">
        <f>Table1[[#This Row], [ROOM TIME]]+Table1[[#This Row], [GUARD TIME]]</f>
        <v>46.737777777777772</v>
      </c>
      <c r="R1062" s="4">
        <f>Sheet1!$K$3*_xlfn.XLOOKUP(Table1[[#This Row], [DISGUISE]],Sheet1!$A$21:$A$23,Sheet1!$D$21:$D$23)</f>
        <v>69</v>
      </c>
      <c r="S1062" s="9">
        <f>Table1[[#This Row], [TOTAL TIME]]-Table1[[#This Row], [TOTAL TIME TAKEN]]</f>
        <v>22.262222222222228</v>
      </c>
      <c r="T1062" t="str">
        <f>IF(Table1[[#This Row], [TIME DIFFERENCE]]&gt;=0,"PASS","FAIL")</f>
        <v>PASS</v>
      </c>
      <c r="U1062" s="9">
        <f>Table1[[#This Row], [TRC]]+Table1[[#This Row], [DRC]]+Table1[[#This Row], [WRC]]+Table1[[#This Row], [ERC]]+Table1[[#This Row], [EQRC]]</f>
        <v>7904187.5999999996</v>
      </c>
      <c r="V1062" s="9">
        <f>Table1[[#This Row], [TOTAL COST]]+_xlfn.XLOOKUP(Table1[[#This Row], [TEAM]],Sheet1!$A$12:$A$17,Sheet1!$I$12:$I$17)</f>
        <v>8200687.5999999996</v>
      </c>
      <c r="W1062" s="9">
        <f>Table1[[#This Row], [LOOT]]-Table1[[#This Row], [TOTAL COST]]</f>
        <v>9545812.4000000004</v>
      </c>
      <c r="X1062" s="9">
        <f>IF(Table1[[#This Row], [PASS/FAIL]]="FAIL",0,Table1[[#This Row], [PROFIT]])</f>
        <v>9545812.4000000004</v>
      </c>
    </row>
    <row r="1063" spans="1:24" ht="19.5" customHeight="1" x14ac:dyDescent="0.45">
      <c r="A1063" t="s">
        <v>15</v>
      </c>
      <c r="B1063" s="14">
        <f>_xlfn.XLOOKUP(Table1[[#This Row], [TEAM]],Sheet1!$A$12:$A$17,Sheet1!$F$12:$F$17)</f>
        <v>2</v>
      </c>
      <c r="C1063" s="14">
        <f>_xlfn.XLOOKUP(Table1[[#This Row], [TEAM]],Sheet1!$A$12:$A$17,Sheet1!$G$12:$G$17)</f>
        <v>5932950</v>
      </c>
      <c r="D1063" t="s">
        <v>25</v>
      </c>
      <c r="E1063" s="4">
        <f>_xlfn.XLOOKUP(Table1[[#This Row], [ROOM]],Sheet1!$A$47:$A$66,Sheet1!$B$47:$B$66)</f>
        <v>126</v>
      </c>
      <c r="F1063" t="s">
        <v>58</v>
      </c>
      <c r="G1063" s="4">
        <f>_xlfn.XLOOKUP(Table1[[#This Row], [DISGUISE]],Sheet1!$A$21:$A$23,Sheet1!$B$21:$B$23)*Table1[[#This Row], [NUM OF MEM]]*(1+_xlfn.XLOOKUP(Table1[[#This Row], [DISGUISE]],Sheet1!$A$21:$A$23,Sheet1!$C$21:$C$23))</f>
        <v>25600</v>
      </c>
      <c r="H1063" s="13" t="s">
        <v>59</v>
      </c>
      <c r="I1063" s="4">
        <f>_xlfn.XLOOKUP(Table1[[#This Row], [WEAPON]],Sheet1!$A$27:$A$29,Sheet1!$B$27:$B$29)*Table1[[#This Row], [NUM OF MEM]]*(1+_xlfn.XLOOKUP(Table1[[#This Row], [WEAPON]],Sheet1!$A$27:$A$29,Sheet1!$C$27:$C$29))</f>
        <v>91000</v>
      </c>
      <c r="J1063" t="s">
        <v>64</v>
      </c>
      <c r="K1063" s="9">
        <f>Table1[[#This Row], [NUM OF MEM]]*Table1[[#This Row], [TOTAL TIME TAKEN]]*_xlfn.XLOOKUP(Table1[[#This Row], [EXIT]],Sheet1!$A$70:$A$71,Sheet1!$B$70:$B$71)*(1+_xlfn.XLOOKUP(Table1[[#This Row], [EXIT]],Sheet1!$A$70:$A$71,Sheet1!$C$70:$C$71))</f>
        <v>1648576.7999999996</v>
      </c>
      <c r="L1063" s="13" t="s">
        <v>65</v>
      </c>
      <c r="M1063" s="4">
        <f>IF(Table1[[#This Row], [EQUIPMENT]]="YES",Sheet1!$C$44*(1+Sheet1!$D$44),0)</f>
        <v>307500</v>
      </c>
      <c r="N1063" s="4">
        <f>_xlfn.XLOOKUP(Table1[[#This Row], [ROOM]],Sheet1!$A$47:$A$66,Sheet1!$F$47:$F$66)</f>
        <v>17550000</v>
      </c>
      <c r="O1063" s="9">
        <f>_xlfn.XLOOKUP(_xlfn.CONCAT(Table1[[#This Row], [TEAM]],Table1[[#This Row], [ROOM]]),'ROOM TIME'!$H$2:$H$121,'ROOM TIME'!$J$2:$J$121)</f>
        <v>57.277499999999989</v>
      </c>
      <c r="P1063" s="9">
        <f>(INDEX(Sheet1!$X$48:$Z$67,MATCH(Table1[[#This Row], [ROOM]],Sheet1!$P$48:$P$67,0),MATCH(Table1[[#This Row], [WEAPON]],Sheet1!$X$47:$Z$47,0)))/Table1[[#This Row], [NUM OF MEM]]</f>
        <v>6.3249999999999993</v>
      </c>
      <c r="Q1063" s="9">
        <f>Table1[[#This Row], [ROOM TIME]]+Table1[[#This Row], [GUARD TIME]]</f>
        <v>63.602499999999992</v>
      </c>
      <c r="R1063" s="4">
        <f>Sheet1!$K$3*_xlfn.XLOOKUP(Table1[[#This Row], [DISGUISE]],Sheet1!$A$21:$A$23,Sheet1!$D$21:$D$23)</f>
        <v>69</v>
      </c>
      <c r="S1063" s="9">
        <f>Table1[[#This Row], [TOTAL TIME]]-Table1[[#This Row], [TOTAL TIME TAKEN]]</f>
        <v>5.397500000000008</v>
      </c>
      <c r="T1063" t="str">
        <f>IF(Table1[[#This Row], [TIME DIFFERENCE]]&gt;=0,"PASS","FAIL")</f>
        <v>PASS</v>
      </c>
      <c r="U1063" s="9">
        <f>Table1[[#This Row], [TRC]]+Table1[[#This Row], [DRC]]+Table1[[#This Row], [WRC]]+Table1[[#This Row], [ERC]]+Table1[[#This Row], [EQRC]]</f>
        <v>8005626.7999999998</v>
      </c>
      <c r="V1063" s="9">
        <f>Table1[[#This Row], [TOTAL COST]]+_xlfn.XLOOKUP(Table1[[#This Row], [TEAM]],Sheet1!$A$12:$A$17,Sheet1!$I$12:$I$17)</f>
        <v>8302274.2999999998</v>
      </c>
      <c r="W1063" s="9">
        <f>Table1[[#This Row], [LOOT]]-Table1[[#This Row], [TOTAL COST]]</f>
        <v>9544373.1999999993</v>
      </c>
      <c r="X1063" s="9">
        <f>IF(Table1[[#This Row], [PASS/FAIL]]="FAIL",0,Table1[[#This Row], [PROFIT]])</f>
        <v>9544373.1999999993</v>
      </c>
    </row>
    <row r="1064" spans="1:24" ht="19.5" customHeight="1" x14ac:dyDescent="0.45">
      <c r="A1064" t="s">
        <v>9</v>
      </c>
      <c r="B1064" s="14">
        <f>_xlfn.XLOOKUP(Table1[[#This Row], [TEAM]],Sheet1!$A$12:$A$17,Sheet1!$F$12:$F$17)</f>
        <v>3</v>
      </c>
      <c r="C1064" s="14">
        <f>_xlfn.XLOOKUP(Table1[[#This Row], [TEAM]],Sheet1!$A$12:$A$17,Sheet1!$G$12:$G$17)</f>
        <v>6238750</v>
      </c>
      <c r="D1064" t="s">
        <v>27</v>
      </c>
      <c r="E1064" s="4">
        <f>_xlfn.XLOOKUP(Table1[[#This Row], [ROOM]],Sheet1!$A$47:$A$66,Sheet1!$B$47:$B$66)</f>
        <v>146</v>
      </c>
      <c r="F1064" t="s">
        <v>62</v>
      </c>
      <c r="G1064" s="4">
        <f>_xlfn.XLOOKUP(Table1[[#This Row], [DISGUISE]],Sheet1!$A$21:$A$23,Sheet1!$B$21:$B$23)*Table1[[#This Row], [NUM OF MEM]]*(1+_xlfn.XLOOKUP(Table1[[#This Row], [DISGUISE]],Sheet1!$A$21:$A$23,Sheet1!$C$21:$C$23))</f>
        <v>15600</v>
      </c>
      <c r="H1064" s="13" t="s">
        <v>63</v>
      </c>
      <c r="I1064" s="4">
        <f>_xlfn.XLOOKUP(Table1[[#This Row], [WEAPON]],Sheet1!$A$27:$A$29,Sheet1!$B$27:$B$29)*Table1[[#This Row], [NUM OF MEM]]*(1+_xlfn.XLOOKUP(Table1[[#This Row], [WEAPON]],Sheet1!$A$27:$A$29,Sheet1!$C$27:$C$29))</f>
        <v>69000</v>
      </c>
      <c r="J1064" t="s">
        <v>64</v>
      </c>
      <c r="K1064" s="9">
        <f>Table1[[#This Row], [NUM OF MEM]]*Table1[[#This Row], [TOTAL TIME TAKEN]]*_xlfn.XLOOKUP(Table1[[#This Row], [EXIT]],Sheet1!$A$70:$A$71,Sheet1!$B$70:$B$71)*(1+_xlfn.XLOOKUP(Table1[[#This Row], [EXIT]],Sheet1!$A$70:$A$71,Sheet1!$C$70:$C$71))</f>
        <v>1575007.1999999997</v>
      </c>
      <c r="L1064" s="13" t="s">
        <v>65</v>
      </c>
      <c r="M1064" s="4">
        <f>IF(Table1[[#This Row], [EQUIPMENT]]="YES",Sheet1!$C$44*(1+Sheet1!$D$44),0)</f>
        <v>307500</v>
      </c>
      <c r="N1064" s="4">
        <f>_xlfn.XLOOKUP(Table1[[#This Row], [ROOM]],Sheet1!$A$47:$A$66,Sheet1!$F$47:$F$66)</f>
        <v>17750000</v>
      </c>
      <c r="O1064" s="9">
        <f>_xlfn.XLOOKUP(_xlfn.CONCAT(Table1[[#This Row], [TEAM]],Table1[[#This Row], [ROOM]]),'ROOM TIME'!$H$2:$H$121,'ROOM TIME'!$J$2:$J$121)</f>
        <v>35.559444444444431</v>
      </c>
      <c r="P1064" s="9">
        <f>(INDEX(Sheet1!$X$48:$Z$67,MATCH(Table1[[#This Row], [ROOM]],Sheet1!$P$48:$P$67,0),MATCH(Table1[[#This Row], [WEAPON]],Sheet1!$X$47:$Z$47,0)))/Table1[[#This Row], [NUM OF MEM]]</f>
        <v>4.95</v>
      </c>
      <c r="Q1064" s="9">
        <f>Table1[[#This Row], [ROOM TIME]]+Table1[[#This Row], [GUARD TIME]]</f>
        <v>40.509444444444433</v>
      </c>
      <c r="R1064" s="4">
        <f>Sheet1!$K$3*_xlfn.XLOOKUP(Table1[[#This Row], [DISGUISE]],Sheet1!$A$21:$A$23,Sheet1!$D$21:$D$23)</f>
        <v>66</v>
      </c>
      <c r="S1064" s="9">
        <f>Table1[[#This Row], [TOTAL TIME]]-Table1[[#This Row], [TOTAL TIME TAKEN]]</f>
        <v>25.490555555555567</v>
      </c>
      <c r="T1064" t="str">
        <f>IF(Table1[[#This Row], [TIME DIFFERENCE]]&gt;=0,"PASS","FAIL")</f>
        <v>PASS</v>
      </c>
      <c r="U1064" s="9">
        <f>Table1[[#This Row], [TRC]]+Table1[[#This Row], [DRC]]+Table1[[#This Row], [WRC]]+Table1[[#This Row], [ERC]]+Table1[[#This Row], [EQRC]]</f>
        <v>8205857.1999999993</v>
      </c>
      <c r="V1064" s="9">
        <f>Table1[[#This Row], [TOTAL COST]]+_xlfn.XLOOKUP(Table1[[#This Row], [TEAM]],Sheet1!$A$12:$A$17,Sheet1!$I$12:$I$17)</f>
        <v>8517794.6999999993</v>
      </c>
      <c r="W1064" s="9">
        <f>Table1[[#This Row], [LOOT]]-Table1[[#This Row], [TOTAL COST]]</f>
        <v>9544142.8000000007</v>
      </c>
      <c r="X1064" s="9">
        <f>IF(Table1[[#This Row], [PASS/FAIL]]="FAIL",0,Table1[[#This Row], [PROFIT]])</f>
        <v>9544142.8000000007</v>
      </c>
    </row>
    <row r="1065" spans="1:24" ht="19.5" customHeight="1" x14ac:dyDescent="0.45">
      <c r="A1065" t="s">
        <v>14</v>
      </c>
      <c r="B1065" s="14">
        <f>_xlfn.XLOOKUP(Table1[[#This Row], [TEAM]],Sheet1!$A$12:$A$17,Sheet1!$F$12:$F$17)</f>
        <v>2</v>
      </c>
      <c r="C1065" s="14">
        <f>_xlfn.XLOOKUP(Table1[[#This Row], [TEAM]],Sheet1!$A$12:$A$17,Sheet1!$G$12:$G$17)</f>
        <v>5949600</v>
      </c>
      <c r="D1065" t="s">
        <v>25</v>
      </c>
      <c r="E1065" s="4">
        <f>_xlfn.XLOOKUP(Table1[[#This Row], [ROOM]],Sheet1!$A$47:$A$66,Sheet1!$B$47:$B$66)</f>
        <v>126</v>
      </c>
      <c r="F1065" t="s">
        <v>58</v>
      </c>
      <c r="G1065" s="4">
        <f>_xlfn.XLOOKUP(Table1[[#This Row], [DISGUISE]],Sheet1!$A$21:$A$23,Sheet1!$B$21:$B$23)*Table1[[#This Row], [NUM OF MEM]]*(1+_xlfn.XLOOKUP(Table1[[#This Row], [DISGUISE]],Sheet1!$A$21:$A$23,Sheet1!$C$21:$C$23))</f>
        <v>25600</v>
      </c>
      <c r="H1065" s="13" t="s">
        <v>66</v>
      </c>
      <c r="I1065" s="4">
        <f>_xlfn.XLOOKUP(Table1[[#This Row], [WEAPON]],Sheet1!$A$27:$A$29,Sheet1!$B$27:$B$29)*Table1[[#This Row], [NUM OF MEM]]*(1+_xlfn.XLOOKUP(Table1[[#This Row], [WEAPON]],Sheet1!$A$27:$A$29,Sheet1!$C$27:$C$29))</f>
        <v>72000</v>
      </c>
      <c r="J1065" t="s">
        <v>64</v>
      </c>
      <c r="K1065" s="9">
        <f>Table1[[#This Row], [NUM OF MEM]]*Table1[[#This Row], [TOTAL TIME TAKEN]]*_xlfn.XLOOKUP(Table1[[#This Row], [EXIT]],Sheet1!$A$70:$A$71,Sheet1!$B$70:$B$71)*(1+_xlfn.XLOOKUP(Table1[[#This Row], [EXIT]],Sheet1!$A$70:$A$71,Sheet1!$C$70:$C$71))</f>
        <v>1651687.1999999997</v>
      </c>
      <c r="L1065" s="13" t="s">
        <v>65</v>
      </c>
      <c r="M1065" s="4">
        <f>IF(Table1[[#This Row], [EQUIPMENT]]="YES",Sheet1!$C$44*(1+Sheet1!$D$44),0)</f>
        <v>307500</v>
      </c>
      <c r="N1065" s="4">
        <f>_xlfn.XLOOKUP(Table1[[#This Row], [ROOM]],Sheet1!$A$47:$A$66,Sheet1!$F$47:$F$66)</f>
        <v>17550000</v>
      </c>
      <c r="O1065" s="9">
        <f>_xlfn.XLOOKUP(_xlfn.CONCAT(Table1[[#This Row], [TEAM]],Table1[[#This Row], [ROOM]]),'ROOM TIME'!$H$2:$H$121,'ROOM TIME'!$J$2:$J$121)</f>
        <v>56.847499999999989</v>
      </c>
      <c r="P1065" s="9">
        <f>(INDEX(Sheet1!$X$48:$Z$67,MATCH(Table1[[#This Row], [ROOM]],Sheet1!$P$48:$P$67,0),MATCH(Table1[[#This Row], [WEAPON]],Sheet1!$X$47:$Z$47,0)))/Table1[[#This Row], [NUM OF MEM]]</f>
        <v>6.875</v>
      </c>
      <c r="Q1065" s="9">
        <f>Table1[[#This Row], [ROOM TIME]]+Table1[[#This Row], [GUARD TIME]]</f>
        <v>63.722499999999989</v>
      </c>
      <c r="R1065" s="4">
        <f>Sheet1!$K$3*_xlfn.XLOOKUP(Table1[[#This Row], [DISGUISE]],Sheet1!$A$21:$A$23,Sheet1!$D$21:$D$23)</f>
        <v>69</v>
      </c>
      <c r="S1065" s="9">
        <f>Table1[[#This Row], [TOTAL TIME]]-Table1[[#This Row], [TOTAL TIME TAKEN]]</f>
        <v>5.2775000000000105</v>
      </c>
      <c r="T1065" t="str">
        <f>IF(Table1[[#This Row], [TIME DIFFERENCE]]&gt;=0,"PASS","FAIL")</f>
        <v>PASS</v>
      </c>
      <c r="U1065" s="9">
        <f>Table1[[#This Row], [TRC]]+Table1[[#This Row], [DRC]]+Table1[[#This Row], [WRC]]+Table1[[#This Row], [ERC]]+Table1[[#This Row], [EQRC]]</f>
        <v>8006387.1999999993</v>
      </c>
      <c r="V1065" s="9">
        <f>Table1[[#This Row], [TOTAL COST]]+_xlfn.XLOOKUP(Table1[[#This Row], [TEAM]],Sheet1!$A$12:$A$17,Sheet1!$I$12:$I$17)</f>
        <v>8303867.1999999993</v>
      </c>
      <c r="W1065" s="9">
        <f>Table1[[#This Row], [LOOT]]-Table1[[#This Row], [TOTAL COST]]</f>
        <v>9543612.8000000007</v>
      </c>
      <c r="X1065" s="9">
        <f>IF(Table1[[#This Row], [PASS/FAIL]]="FAIL",0,Table1[[#This Row], [PROFIT]])</f>
        <v>9543612.8000000007</v>
      </c>
    </row>
    <row r="1066" spans="1:24" ht="19.5" customHeight="1" x14ac:dyDescent="0.45">
      <c r="A1066" t="s">
        <v>12</v>
      </c>
      <c r="B1066" s="14">
        <f>_xlfn.XLOOKUP(Table1[[#This Row], [TEAM]],Sheet1!$A$12:$A$17,Sheet1!$F$12:$F$17)</f>
        <v>3</v>
      </c>
      <c r="C1066" s="14">
        <f>_xlfn.XLOOKUP(Table1[[#This Row], [TEAM]],Sheet1!$A$12:$A$17,Sheet1!$G$12:$G$17)</f>
        <v>5988750</v>
      </c>
      <c r="D1066" t="s">
        <v>23</v>
      </c>
      <c r="E1066" s="4">
        <f>_xlfn.XLOOKUP(Table1[[#This Row], [ROOM]],Sheet1!$A$47:$A$66,Sheet1!$B$47:$B$66)</f>
        <v>245</v>
      </c>
      <c r="F1066" t="s">
        <v>62</v>
      </c>
      <c r="G1066" s="4">
        <f>_xlfn.XLOOKUP(Table1[[#This Row], [DISGUISE]],Sheet1!$A$21:$A$23,Sheet1!$B$21:$B$23)*Table1[[#This Row], [NUM OF MEM]]*(1+_xlfn.XLOOKUP(Table1[[#This Row], [DISGUISE]],Sheet1!$A$21:$A$23,Sheet1!$C$21:$C$23))</f>
        <v>15600</v>
      </c>
      <c r="H1066" s="13" t="s">
        <v>59</v>
      </c>
      <c r="I1066" s="4">
        <f>_xlfn.XLOOKUP(Table1[[#This Row], [WEAPON]],Sheet1!$A$27:$A$29,Sheet1!$B$27:$B$29)*Table1[[#This Row], [NUM OF MEM]]*(1+_xlfn.XLOOKUP(Table1[[#This Row], [WEAPON]],Sheet1!$A$27:$A$29,Sheet1!$C$27:$C$29))</f>
        <v>136500</v>
      </c>
      <c r="J1066" t="s">
        <v>64</v>
      </c>
      <c r="K1066" s="9">
        <f>Table1[[#This Row], [NUM OF MEM]]*Table1[[#This Row], [TOTAL TIME TAKEN]]*_xlfn.XLOOKUP(Table1[[#This Row], [EXIT]],Sheet1!$A$70:$A$71,Sheet1!$B$70:$B$71)*(1+_xlfn.XLOOKUP(Table1[[#This Row], [EXIT]],Sheet1!$A$70:$A$71,Sheet1!$C$70:$C$71))</f>
        <v>1715774.3999999994</v>
      </c>
      <c r="L1066" s="13" t="s">
        <v>61</v>
      </c>
      <c r="M1066" s="4">
        <f>IF(Table1[[#This Row], [EQUIPMENT]]="YES",Sheet1!$C$44*(1+Sheet1!$D$44),0)</f>
        <v>0</v>
      </c>
      <c r="N1066" s="4">
        <f>_xlfn.XLOOKUP(Table1[[#This Row], [ROOM]],Sheet1!$A$47:$A$66,Sheet1!$F$47:$F$66)</f>
        <v>17400000</v>
      </c>
      <c r="O1066" s="9">
        <f>_xlfn.XLOOKUP(_xlfn.CONCAT(Table1[[#This Row], [TEAM]],Table1[[#This Row], [ROOM]]),'ROOM TIME'!$H$2:$H$121,'ROOM TIME'!$J$2:$J$121)</f>
        <v>39.91333333333332</v>
      </c>
      <c r="P1066" s="9">
        <f>(INDEX(Sheet1!$X$48:$Z$67,MATCH(Table1[[#This Row], [ROOM]],Sheet1!$P$48:$P$67,0),MATCH(Table1[[#This Row], [WEAPON]],Sheet1!$X$47:$Z$47,0)))/Table1[[#This Row], [NUM OF MEM]]</f>
        <v>4.2166666666666659</v>
      </c>
      <c r="Q1066" s="9">
        <f>Table1[[#This Row], [ROOM TIME]]+Table1[[#This Row], [GUARD TIME]]</f>
        <v>44.129999999999988</v>
      </c>
      <c r="R1066" s="4">
        <f>Sheet1!$K$3*_xlfn.XLOOKUP(Table1[[#This Row], [DISGUISE]],Sheet1!$A$21:$A$23,Sheet1!$D$21:$D$23)</f>
        <v>66</v>
      </c>
      <c r="S1066" s="9">
        <f>Table1[[#This Row], [TOTAL TIME]]-Table1[[#This Row], [TOTAL TIME TAKEN]]</f>
        <v>21.870000000000012</v>
      </c>
      <c r="T1066" t="str">
        <f>IF(Table1[[#This Row], [TIME DIFFERENCE]]&gt;=0,"PASS","FAIL")</f>
        <v>PASS</v>
      </c>
      <c r="U1066" s="9">
        <f>Table1[[#This Row], [TRC]]+Table1[[#This Row], [DRC]]+Table1[[#This Row], [WRC]]+Table1[[#This Row], [ERC]]+Table1[[#This Row], [EQRC]]</f>
        <v>7856624.3999999994</v>
      </c>
      <c r="V1066" s="9">
        <f>Table1[[#This Row], [TOTAL COST]]+_xlfn.XLOOKUP(Table1[[#This Row], [TEAM]],Sheet1!$A$12:$A$17,Sheet1!$I$12:$I$17)</f>
        <v>8156061.8999999994</v>
      </c>
      <c r="W1066" s="9">
        <f>Table1[[#This Row], [LOOT]]-Table1[[#This Row], [TOTAL COST]]</f>
        <v>9543375.6000000015</v>
      </c>
      <c r="X1066" s="9">
        <f>IF(Table1[[#This Row], [PASS/FAIL]]="FAIL",0,Table1[[#This Row], [PROFIT]])</f>
        <v>9543375.6000000015</v>
      </c>
    </row>
    <row r="1067" spans="1:24" ht="19.5" customHeight="1" x14ac:dyDescent="0.45">
      <c r="A1067" t="s">
        <v>15</v>
      </c>
      <c r="B1067" s="14">
        <f>_xlfn.XLOOKUP(Table1[[#This Row], [TEAM]],Sheet1!$A$12:$A$17,Sheet1!$F$12:$F$17)</f>
        <v>2</v>
      </c>
      <c r="C1067" s="14">
        <f>_xlfn.XLOOKUP(Table1[[#This Row], [TEAM]],Sheet1!$A$12:$A$17,Sheet1!$G$12:$G$17)</f>
        <v>5932950</v>
      </c>
      <c r="D1067" t="s">
        <v>31</v>
      </c>
      <c r="E1067" s="4">
        <f>_xlfn.XLOOKUP(Table1[[#This Row], [ROOM]],Sheet1!$A$47:$A$66,Sheet1!$B$47:$B$66)</f>
        <v>256</v>
      </c>
      <c r="F1067" t="s">
        <v>58</v>
      </c>
      <c r="G1067" s="4">
        <f>_xlfn.XLOOKUP(Table1[[#This Row], [DISGUISE]],Sheet1!$A$21:$A$23,Sheet1!$B$21:$B$23)*Table1[[#This Row], [NUM OF MEM]]*(1+_xlfn.XLOOKUP(Table1[[#This Row], [DISGUISE]],Sheet1!$A$21:$A$23,Sheet1!$C$21:$C$23))</f>
        <v>25600</v>
      </c>
      <c r="H1067" s="13" t="s">
        <v>66</v>
      </c>
      <c r="I1067" s="4">
        <f>_xlfn.XLOOKUP(Table1[[#This Row], [WEAPON]],Sheet1!$A$27:$A$29,Sheet1!$B$27:$B$29)*Table1[[#This Row], [NUM OF MEM]]*(1+_xlfn.XLOOKUP(Table1[[#This Row], [WEAPON]],Sheet1!$A$27:$A$29,Sheet1!$C$27:$C$29))</f>
        <v>72000</v>
      </c>
      <c r="J1067" t="s">
        <v>60</v>
      </c>
      <c r="K1067" s="9">
        <f>Table1[[#This Row], [NUM OF MEM]]*Table1[[#This Row], [TOTAL TIME TAKEN]]*_xlfn.XLOOKUP(Table1[[#This Row], [EXIT]],Sheet1!$A$70:$A$71,Sheet1!$B$70:$B$71)*(1+_xlfn.XLOOKUP(Table1[[#This Row], [EXIT]],Sheet1!$A$70:$A$71,Sheet1!$C$70:$C$71))</f>
        <v>1618948.1999999997</v>
      </c>
      <c r="L1067" s="13" t="s">
        <v>65</v>
      </c>
      <c r="M1067" s="4">
        <f>IF(Table1[[#This Row], [EQUIPMENT]]="YES",Sheet1!$C$44*(1+Sheet1!$D$44),0)</f>
        <v>307500</v>
      </c>
      <c r="N1067" s="4">
        <f>_xlfn.XLOOKUP(Table1[[#This Row], [ROOM]],Sheet1!$A$47:$A$66,Sheet1!$F$47:$F$66)</f>
        <v>17500000</v>
      </c>
      <c r="O1067" s="9">
        <f>_xlfn.XLOOKUP(_xlfn.CONCAT(Table1[[#This Row], [TEAM]],Table1[[#This Row], [ROOM]]),'ROOM TIME'!$H$2:$H$121,'ROOM TIME'!$J$2:$J$121)</f>
        <v>56.204999999999984</v>
      </c>
      <c r="P1067" s="9">
        <f>(INDEX(Sheet1!$X$48:$Z$67,MATCH(Table1[[#This Row], [ROOM]],Sheet1!$P$48:$P$67,0),MATCH(Table1[[#This Row], [WEAPON]],Sheet1!$X$47:$Z$47,0)))/Table1[[#This Row], [NUM OF MEM]]</f>
        <v>6.875</v>
      </c>
      <c r="Q1067" s="9">
        <f>Table1[[#This Row], [ROOM TIME]]+Table1[[#This Row], [GUARD TIME]]</f>
        <v>63.079999999999984</v>
      </c>
      <c r="R1067" s="4">
        <f>Sheet1!$K$3*_xlfn.XLOOKUP(Table1[[#This Row], [DISGUISE]],Sheet1!$A$21:$A$23,Sheet1!$D$21:$D$23)</f>
        <v>69</v>
      </c>
      <c r="S1067" s="9">
        <f>Table1[[#This Row], [TOTAL TIME]]-Table1[[#This Row], [TOTAL TIME TAKEN]]</f>
        <v>5.9200000000000159</v>
      </c>
      <c r="T1067" t="str">
        <f>IF(Table1[[#This Row], [TIME DIFFERENCE]]&gt;=0,"PASS","FAIL")</f>
        <v>PASS</v>
      </c>
      <c r="U1067" s="9">
        <f>Table1[[#This Row], [TRC]]+Table1[[#This Row], [DRC]]+Table1[[#This Row], [WRC]]+Table1[[#This Row], [ERC]]+Table1[[#This Row], [EQRC]]</f>
        <v>7956998.1999999993</v>
      </c>
      <c r="V1067" s="9">
        <f>Table1[[#This Row], [TOTAL COST]]+_xlfn.XLOOKUP(Table1[[#This Row], [TEAM]],Sheet1!$A$12:$A$17,Sheet1!$I$12:$I$17)</f>
        <v>8253645.6999999993</v>
      </c>
      <c r="W1067" s="9">
        <f>Table1[[#This Row], [LOOT]]-Table1[[#This Row], [TOTAL COST]]</f>
        <v>9543001.8000000007</v>
      </c>
      <c r="X1067" s="9">
        <f>IF(Table1[[#This Row], [PASS/FAIL]]="FAIL",0,Table1[[#This Row], [PROFIT]])</f>
        <v>9543001.8000000007</v>
      </c>
    </row>
    <row r="1068" spans="1:24" ht="19.5" customHeight="1" x14ac:dyDescent="0.45">
      <c r="A1068" t="s">
        <v>13</v>
      </c>
      <c r="B1068" s="14">
        <f>_xlfn.XLOOKUP(Table1[[#This Row], [TEAM]],Sheet1!$A$12:$A$17,Sheet1!$F$12:$F$17)</f>
        <v>3</v>
      </c>
      <c r="C1068" s="14">
        <f>_xlfn.XLOOKUP(Table1[[#This Row], [TEAM]],Sheet1!$A$12:$A$17,Sheet1!$G$12:$G$17)</f>
        <v>5930000</v>
      </c>
      <c r="D1068" t="s">
        <v>11</v>
      </c>
      <c r="E1068" s="4">
        <f>_xlfn.XLOOKUP(Table1[[#This Row], [ROOM]],Sheet1!$A$47:$A$66,Sheet1!$B$47:$B$66)</f>
        <v>124</v>
      </c>
      <c r="F1068" t="s">
        <v>58</v>
      </c>
      <c r="G1068" s="4">
        <f>_xlfn.XLOOKUP(Table1[[#This Row], [DISGUISE]],Sheet1!$A$21:$A$23,Sheet1!$B$21:$B$23)*Table1[[#This Row], [NUM OF MEM]]*(1+_xlfn.XLOOKUP(Table1[[#This Row], [DISGUISE]],Sheet1!$A$21:$A$23,Sheet1!$C$21:$C$23))</f>
        <v>38400</v>
      </c>
      <c r="H1068" s="13" t="s">
        <v>66</v>
      </c>
      <c r="I1068" s="4">
        <f>_xlfn.XLOOKUP(Table1[[#This Row], [WEAPON]],Sheet1!$A$27:$A$29,Sheet1!$B$27:$B$29)*Table1[[#This Row], [NUM OF MEM]]*(1+_xlfn.XLOOKUP(Table1[[#This Row], [WEAPON]],Sheet1!$A$27:$A$29,Sheet1!$C$27:$C$29))</f>
        <v>108000</v>
      </c>
      <c r="J1068" t="s">
        <v>64</v>
      </c>
      <c r="K1068" s="9">
        <f>Table1[[#This Row], [NUM OF MEM]]*Table1[[#This Row], [TOTAL TIME TAKEN]]*_xlfn.XLOOKUP(Table1[[#This Row], [EXIT]],Sheet1!$A$70:$A$71,Sheet1!$B$70:$B$71)*(1+_xlfn.XLOOKUP(Table1[[#This Row], [EXIT]],Sheet1!$A$70:$A$71,Sheet1!$C$70:$C$71))</f>
        <v>1831420.8</v>
      </c>
      <c r="L1068" s="13" t="s">
        <v>61</v>
      </c>
      <c r="M1068" s="4">
        <f>IF(Table1[[#This Row], [EQUIPMENT]]="YES",Sheet1!$C$44*(1+Sheet1!$D$44),0)</f>
        <v>0</v>
      </c>
      <c r="N1068" s="4">
        <f>_xlfn.XLOOKUP(Table1[[#This Row], [ROOM]],Sheet1!$A$47:$A$66,Sheet1!$F$47:$F$66)</f>
        <v>17450000</v>
      </c>
      <c r="O1068" s="9">
        <f>_xlfn.XLOOKUP(_xlfn.CONCAT(Table1[[#This Row], [TEAM]],Table1[[#This Row], [ROOM]]),'ROOM TIME'!$H$2:$H$121,'ROOM TIME'!$J$2:$J$121)</f>
        <v>42.521111111111104</v>
      </c>
      <c r="P1068" s="9">
        <f>(INDEX(Sheet1!$X$48:$Z$67,MATCH(Table1[[#This Row], [ROOM]],Sheet1!$P$48:$P$67,0),MATCH(Table1[[#This Row], [WEAPON]],Sheet1!$X$47:$Z$47,0)))/Table1[[#This Row], [NUM OF MEM]]</f>
        <v>4.583333333333333</v>
      </c>
      <c r="Q1068" s="9">
        <f>Table1[[#This Row], [ROOM TIME]]+Table1[[#This Row], [GUARD TIME]]</f>
        <v>47.104444444444439</v>
      </c>
      <c r="R1068" s="4">
        <f>Sheet1!$K$3*_xlfn.XLOOKUP(Table1[[#This Row], [DISGUISE]],Sheet1!$A$21:$A$23,Sheet1!$D$21:$D$23)</f>
        <v>69</v>
      </c>
      <c r="S1068" s="9">
        <f>Table1[[#This Row], [TOTAL TIME]]-Table1[[#This Row], [TOTAL TIME TAKEN]]</f>
        <v>21.895555555555561</v>
      </c>
      <c r="T1068" t="str">
        <f>IF(Table1[[#This Row], [TIME DIFFERENCE]]&gt;=0,"PASS","FAIL")</f>
        <v>PASS</v>
      </c>
      <c r="U1068" s="9">
        <f>Table1[[#This Row], [TRC]]+Table1[[#This Row], [DRC]]+Table1[[#This Row], [WRC]]+Table1[[#This Row], [ERC]]+Table1[[#This Row], [EQRC]]</f>
        <v>7907820.7999999998</v>
      </c>
      <c r="V1068" s="9">
        <f>Table1[[#This Row], [TOTAL COST]]+_xlfn.XLOOKUP(Table1[[#This Row], [TEAM]],Sheet1!$A$12:$A$17,Sheet1!$I$12:$I$17)</f>
        <v>8204320.7999999998</v>
      </c>
      <c r="W1068" s="9">
        <f>Table1[[#This Row], [LOOT]]-Table1[[#This Row], [TOTAL COST]]</f>
        <v>9542179.1999999993</v>
      </c>
      <c r="X1068" s="9">
        <f>IF(Table1[[#This Row], [PASS/FAIL]]="FAIL",0,Table1[[#This Row], [PROFIT]])</f>
        <v>9542179.1999999993</v>
      </c>
    </row>
    <row r="1069" spans="1:24" ht="19.5" customHeight="1" x14ac:dyDescent="0.45">
      <c r="A1069" t="s">
        <v>15</v>
      </c>
      <c r="B1069" s="14">
        <f>_xlfn.XLOOKUP(Table1[[#This Row], [TEAM]],Sheet1!$A$12:$A$17,Sheet1!$F$12:$F$17)</f>
        <v>2</v>
      </c>
      <c r="C1069" s="14">
        <f>_xlfn.XLOOKUP(Table1[[#This Row], [TEAM]],Sheet1!$A$12:$A$17,Sheet1!$G$12:$G$17)</f>
        <v>5932950</v>
      </c>
      <c r="D1069" t="s">
        <v>31</v>
      </c>
      <c r="E1069" s="4">
        <f>_xlfn.XLOOKUP(Table1[[#This Row], [ROOM]],Sheet1!$A$47:$A$66,Sheet1!$B$47:$B$66)</f>
        <v>256</v>
      </c>
      <c r="F1069" t="s">
        <v>62</v>
      </c>
      <c r="G1069" s="4">
        <f>_xlfn.XLOOKUP(Table1[[#This Row], [DISGUISE]],Sheet1!$A$21:$A$23,Sheet1!$B$21:$B$23)*Table1[[#This Row], [NUM OF MEM]]*(1+_xlfn.XLOOKUP(Table1[[#This Row], [DISGUISE]],Sheet1!$A$21:$A$23,Sheet1!$C$21:$C$23))</f>
        <v>10400</v>
      </c>
      <c r="H1069" s="13" t="s">
        <v>66</v>
      </c>
      <c r="I1069" s="4">
        <f>_xlfn.XLOOKUP(Table1[[#This Row], [WEAPON]],Sheet1!$A$27:$A$29,Sheet1!$B$27:$B$29)*Table1[[#This Row], [NUM OF MEM]]*(1+_xlfn.XLOOKUP(Table1[[#This Row], [WEAPON]],Sheet1!$A$27:$A$29,Sheet1!$C$27:$C$29))</f>
        <v>72000</v>
      </c>
      <c r="J1069" t="s">
        <v>64</v>
      </c>
      <c r="K1069" s="9">
        <f>Table1[[#This Row], [NUM OF MEM]]*Table1[[#This Row], [TOTAL TIME TAKEN]]*_xlfn.XLOOKUP(Table1[[#This Row], [EXIT]],Sheet1!$A$70:$A$71,Sheet1!$B$70:$B$71)*(1+_xlfn.XLOOKUP(Table1[[#This Row], [EXIT]],Sheet1!$A$70:$A$71,Sheet1!$C$70:$C$71))</f>
        <v>1635033.5999999996</v>
      </c>
      <c r="L1069" s="13" t="s">
        <v>65</v>
      </c>
      <c r="M1069" s="4">
        <f>IF(Table1[[#This Row], [EQUIPMENT]]="YES",Sheet1!$C$44*(1+Sheet1!$D$44),0)</f>
        <v>307500</v>
      </c>
      <c r="N1069" s="4">
        <f>_xlfn.XLOOKUP(Table1[[#This Row], [ROOM]],Sheet1!$A$47:$A$66,Sheet1!$F$47:$F$66)</f>
        <v>17500000</v>
      </c>
      <c r="O1069" s="9">
        <f>_xlfn.XLOOKUP(_xlfn.CONCAT(Table1[[#This Row], [TEAM]],Table1[[#This Row], [ROOM]]),'ROOM TIME'!$H$2:$H$121,'ROOM TIME'!$J$2:$J$121)</f>
        <v>56.204999999999984</v>
      </c>
      <c r="P1069" s="9">
        <f>(INDEX(Sheet1!$X$48:$Z$67,MATCH(Table1[[#This Row], [ROOM]],Sheet1!$P$48:$P$67,0),MATCH(Table1[[#This Row], [WEAPON]],Sheet1!$X$47:$Z$47,0)))/Table1[[#This Row], [NUM OF MEM]]</f>
        <v>6.875</v>
      </c>
      <c r="Q1069" s="9">
        <f>Table1[[#This Row], [ROOM TIME]]+Table1[[#This Row], [GUARD TIME]]</f>
        <v>63.079999999999984</v>
      </c>
      <c r="R1069" s="4">
        <f>Sheet1!$K$3*_xlfn.XLOOKUP(Table1[[#This Row], [DISGUISE]],Sheet1!$A$21:$A$23,Sheet1!$D$21:$D$23)</f>
        <v>66</v>
      </c>
      <c r="S1069" s="9">
        <f>Table1[[#This Row], [TOTAL TIME]]-Table1[[#This Row], [TOTAL TIME TAKEN]]</f>
        <v>2.9200000000000159</v>
      </c>
      <c r="T1069" t="str">
        <f>IF(Table1[[#This Row], [TIME DIFFERENCE]]&gt;=0,"PASS","FAIL")</f>
        <v>PASS</v>
      </c>
      <c r="U1069" s="9">
        <f>Table1[[#This Row], [TRC]]+Table1[[#This Row], [DRC]]+Table1[[#This Row], [WRC]]+Table1[[#This Row], [ERC]]+Table1[[#This Row], [EQRC]]</f>
        <v>7957883.5999999996</v>
      </c>
      <c r="V1069" s="9">
        <f>Table1[[#This Row], [TOTAL COST]]+_xlfn.XLOOKUP(Table1[[#This Row], [TEAM]],Sheet1!$A$12:$A$17,Sheet1!$I$12:$I$17)</f>
        <v>8254531.0999999996</v>
      </c>
      <c r="W1069" s="9">
        <f>Table1[[#This Row], [LOOT]]-Table1[[#This Row], [TOTAL COST]]</f>
        <v>9542116.4000000004</v>
      </c>
      <c r="X1069" s="9">
        <f>IF(Table1[[#This Row], [PASS/FAIL]]="FAIL",0,Table1[[#This Row], [PROFIT]])</f>
        <v>9542116.4000000004</v>
      </c>
    </row>
    <row r="1070" spans="1:24" ht="19.5" customHeight="1" x14ac:dyDescent="0.45">
      <c r="A1070" t="s">
        <v>9</v>
      </c>
      <c r="B1070" s="14">
        <f>_xlfn.XLOOKUP(Table1[[#This Row], [TEAM]],Sheet1!$A$12:$A$17,Sheet1!$F$12:$F$17)</f>
        <v>3</v>
      </c>
      <c r="C1070" s="14">
        <f>_xlfn.XLOOKUP(Table1[[#This Row], [TEAM]],Sheet1!$A$12:$A$17,Sheet1!$G$12:$G$17)</f>
        <v>6238750</v>
      </c>
      <c r="D1070" t="s">
        <v>20</v>
      </c>
      <c r="E1070" s="4">
        <f>_xlfn.XLOOKUP(Table1[[#This Row], [ROOM]],Sheet1!$A$47:$A$66,Sheet1!$B$47:$B$66)</f>
        <v>145</v>
      </c>
      <c r="F1070" t="s">
        <v>62</v>
      </c>
      <c r="G1070" s="4">
        <f>_xlfn.XLOOKUP(Table1[[#This Row], [DISGUISE]],Sheet1!$A$21:$A$23,Sheet1!$B$21:$B$23)*Table1[[#This Row], [NUM OF MEM]]*(1+_xlfn.XLOOKUP(Table1[[#This Row], [DISGUISE]],Sheet1!$A$21:$A$23,Sheet1!$C$21:$C$23))</f>
        <v>15600</v>
      </c>
      <c r="H1070" s="13" t="s">
        <v>59</v>
      </c>
      <c r="I1070" s="4">
        <f>_xlfn.XLOOKUP(Table1[[#This Row], [WEAPON]],Sheet1!$A$27:$A$29,Sheet1!$B$27:$B$29)*Table1[[#This Row], [NUM OF MEM]]*(1+_xlfn.XLOOKUP(Table1[[#This Row], [WEAPON]],Sheet1!$A$27:$A$29,Sheet1!$C$27:$C$29))</f>
        <v>136500</v>
      </c>
      <c r="J1070" t="s">
        <v>64</v>
      </c>
      <c r="K1070" s="9">
        <f>Table1[[#This Row], [NUM OF MEM]]*Table1[[#This Row], [TOTAL TIME TAKEN]]*_xlfn.XLOOKUP(Table1[[#This Row], [EXIT]],Sheet1!$A$70:$A$71,Sheet1!$B$70:$B$71)*(1+_xlfn.XLOOKUP(Table1[[#This Row], [EXIT]],Sheet1!$A$70:$A$71,Sheet1!$C$70:$C$71))</f>
        <v>1617386.3999999997</v>
      </c>
      <c r="L1070" s="13" t="s">
        <v>61</v>
      </c>
      <c r="M1070" s="4">
        <f>IF(Table1[[#This Row], [EQUIPMENT]]="YES",Sheet1!$C$44*(1+Sheet1!$D$44),0)</f>
        <v>0</v>
      </c>
      <c r="N1070" s="4">
        <f>_xlfn.XLOOKUP(Table1[[#This Row], [ROOM]],Sheet1!$A$47:$A$66,Sheet1!$F$47:$F$66)</f>
        <v>17550000</v>
      </c>
      <c r="O1070" s="9">
        <f>_xlfn.XLOOKUP(_xlfn.CONCAT(Table1[[#This Row], [TEAM]],Table1[[#This Row], [ROOM]]),'ROOM TIME'!$H$2:$H$121,'ROOM TIME'!$J$2:$J$121)</f>
        <v>37.766111111111101</v>
      </c>
      <c r="P1070" s="9">
        <f>(INDEX(Sheet1!$X$48:$Z$67,MATCH(Table1[[#This Row], [ROOM]],Sheet1!$P$48:$P$67,0),MATCH(Table1[[#This Row], [WEAPON]],Sheet1!$X$47:$Z$47,0)))/Table1[[#This Row], [NUM OF MEM]]</f>
        <v>3.8333333333333335</v>
      </c>
      <c r="Q1070" s="9">
        <f>Table1[[#This Row], [ROOM TIME]]+Table1[[#This Row], [GUARD TIME]]</f>
        <v>41.599444444444437</v>
      </c>
      <c r="R1070" s="4">
        <f>Sheet1!$K$3*_xlfn.XLOOKUP(Table1[[#This Row], [DISGUISE]],Sheet1!$A$21:$A$23,Sheet1!$D$21:$D$23)</f>
        <v>66</v>
      </c>
      <c r="S1070" s="9">
        <f>Table1[[#This Row], [TOTAL TIME]]-Table1[[#This Row], [TOTAL TIME TAKEN]]</f>
        <v>24.400555555555563</v>
      </c>
      <c r="T1070" t="str">
        <f>IF(Table1[[#This Row], [TIME DIFFERENCE]]&gt;=0,"PASS","FAIL")</f>
        <v>PASS</v>
      </c>
      <c r="U1070" s="9">
        <f>Table1[[#This Row], [TRC]]+Table1[[#This Row], [DRC]]+Table1[[#This Row], [WRC]]+Table1[[#This Row], [ERC]]+Table1[[#This Row], [EQRC]]</f>
        <v>8008236.3999999994</v>
      </c>
      <c r="V1070" s="9">
        <f>Table1[[#This Row], [TOTAL COST]]+_xlfn.XLOOKUP(Table1[[#This Row], [TEAM]],Sheet1!$A$12:$A$17,Sheet1!$I$12:$I$17)</f>
        <v>8320173.8999999994</v>
      </c>
      <c r="W1070" s="9">
        <f>Table1[[#This Row], [LOOT]]-Table1[[#This Row], [TOTAL COST]]</f>
        <v>9541763.6000000015</v>
      </c>
      <c r="X1070" s="9">
        <f>IF(Table1[[#This Row], [PASS/FAIL]]="FAIL",0,Table1[[#This Row], [PROFIT]])</f>
        <v>9541763.6000000015</v>
      </c>
    </row>
    <row r="1071" spans="1:24" ht="19.5" customHeight="1" x14ac:dyDescent="0.45">
      <c r="A1071" t="s">
        <v>12</v>
      </c>
      <c r="B1071" s="14">
        <f>_xlfn.XLOOKUP(Table1[[#This Row], [TEAM]],Sheet1!$A$12:$A$17,Sheet1!$F$12:$F$17)</f>
        <v>3</v>
      </c>
      <c r="C1071" s="14">
        <f>_xlfn.XLOOKUP(Table1[[#This Row], [TEAM]],Sheet1!$A$12:$A$17,Sheet1!$G$12:$G$17)</f>
        <v>5988750</v>
      </c>
      <c r="D1071" t="s">
        <v>30</v>
      </c>
      <c r="E1071" s="4">
        <f>_xlfn.XLOOKUP(Table1[[#This Row], [ROOM]],Sheet1!$A$47:$A$66,Sheet1!$B$47:$B$66)</f>
        <v>246</v>
      </c>
      <c r="F1071" t="s">
        <v>58</v>
      </c>
      <c r="G107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71" s="13" t="s">
        <v>63</v>
      </c>
      <c r="I1071" s="4">
        <f>_xlfn.XLOOKUP(Table1[[#This Row], [WEAPON]],Sheet1!$A$27:$A$29,Sheet1!$B$27:$B$29)*Table1[[#This Row], [NUM OF MEM]]*(1+_xlfn.XLOOKUP(Table1[[#This Row], [WEAPON]],Sheet1!$A$27:$A$29,Sheet1!$C$27:$C$29))</f>
        <v>69000</v>
      </c>
      <c r="J1071" t="s">
        <v>60</v>
      </c>
      <c r="K1071" s="9">
        <f>Table1[[#This Row], [NUM OF MEM]]*Table1[[#This Row], [TOTAL TIME TAKEN]]*_xlfn.XLOOKUP(Table1[[#This Row], [EXIT]],Sheet1!$A$70:$A$71,Sheet1!$B$70:$B$71)*(1+_xlfn.XLOOKUP(Table1[[#This Row], [EXIT]],Sheet1!$A$70:$A$71,Sheet1!$C$70:$C$71))</f>
        <v>1654708.0999999992</v>
      </c>
      <c r="L1071" s="13" t="s">
        <v>65</v>
      </c>
      <c r="M1071" s="4">
        <f>IF(Table1[[#This Row], [EQUIPMENT]]="YES",Sheet1!$C$44*(1+Sheet1!$D$44),0)</f>
        <v>307500</v>
      </c>
      <c r="N1071" s="4">
        <f>_xlfn.XLOOKUP(Table1[[#This Row], [ROOM]],Sheet1!$A$47:$A$66,Sheet1!$F$47:$F$66)</f>
        <v>17600000</v>
      </c>
      <c r="O1071" s="9">
        <f>_xlfn.XLOOKUP(_xlfn.CONCAT(Table1[[#This Row], [TEAM]],Table1[[#This Row], [ROOM]]),'ROOM TIME'!$H$2:$H$121,'ROOM TIME'!$J$2:$J$121)</f>
        <v>37.582222222222207</v>
      </c>
      <c r="P1071" s="9">
        <f>(INDEX(Sheet1!$X$48:$Z$67,MATCH(Table1[[#This Row], [ROOM]],Sheet1!$P$48:$P$67,0),MATCH(Table1[[#This Row], [WEAPON]],Sheet1!$X$47:$Z$47,0)))/Table1[[#This Row], [NUM OF MEM]]</f>
        <v>5.4000000000000012</v>
      </c>
      <c r="Q1071" s="9">
        <f>Table1[[#This Row], [ROOM TIME]]+Table1[[#This Row], [GUARD TIME]]</f>
        <v>42.982222222222205</v>
      </c>
      <c r="R1071" s="4">
        <f>Sheet1!$K$3*_xlfn.XLOOKUP(Table1[[#This Row], [DISGUISE]],Sheet1!$A$21:$A$23,Sheet1!$D$21:$D$23)</f>
        <v>69</v>
      </c>
      <c r="S1071" s="9">
        <f>Table1[[#This Row], [TOTAL TIME]]-Table1[[#This Row], [TOTAL TIME TAKEN]]</f>
        <v>26.017777777777795</v>
      </c>
      <c r="T1071" t="str">
        <f>IF(Table1[[#This Row], [TIME DIFFERENCE]]&gt;=0,"PASS","FAIL")</f>
        <v>PASS</v>
      </c>
      <c r="U1071" s="9">
        <f>Table1[[#This Row], [TRC]]+Table1[[#This Row], [DRC]]+Table1[[#This Row], [WRC]]+Table1[[#This Row], [ERC]]+Table1[[#This Row], [EQRC]]</f>
        <v>8058358.0999999996</v>
      </c>
      <c r="V1071" s="9">
        <f>Table1[[#This Row], [TOTAL COST]]+_xlfn.XLOOKUP(Table1[[#This Row], [TEAM]],Sheet1!$A$12:$A$17,Sheet1!$I$12:$I$17)</f>
        <v>8357795.5999999996</v>
      </c>
      <c r="W1071" s="9">
        <f>Table1[[#This Row], [LOOT]]-Table1[[#This Row], [TOTAL COST]]</f>
        <v>9541641.9000000004</v>
      </c>
      <c r="X1071" s="9">
        <f>IF(Table1[[#This Row], [PASS/FAIL]]="FAIL",0,Table1[[#This Row], [PROFIT]])</f>
        <v>9541641.9000000004</v>
      </c>
    </row>
    <row r="1072" spans="1:24" ht="19.5" customHeight="1" x14ac:dyDescent="0.45">
      <c r="A1072" t="s">
        <v>13</v>
      </c>
      <c r="B1072" s="14">
        <f>_xlfn.XLOOKUP(Table1[[#This Row], [TEAM]],Sheet1!$A$12:$A$17,Sheet1!$F$12:$F$17)</f>
        <v>3</v>
      </c>
      <c r="C1072" s="14">
        <f>_xlfn.XLOOKUP(Table1[[#This Row], [TEAM]],Sheet1!$A$12:$A$17,Sheet1!$G$12:$G$17)</f>
        <v>5930000</v>
      </c>
      <c r="D1072" t="s">
        <v>22</v>
      </c>
      <c r="E1072" s="4">
        <f>_xlfn.XLOOKUP(Table1[[#This Row], [ROOM]],Sheet1!$A$47:$A$66,Sheet1!$B$47:$B$66)</f>
        <v>235</v>
      </c>
      <c r="F1072" t="s">
        <v>58</v>
      </c>
      <c r="G107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72" s="13" t="s">
        <v>66</v>
      </c>
      <c r="I1072" s="4">
        <f>_xlfn.XLOOKUP(Table1[[#This Row], [WEAPON]],Sheet1!$A$27:$A$29,Sheet1!$B$27:$B$29)*Table1[[#This Row], [NUM OF MEM]]*(1+_xlfn.XLOOKUP(Table1[[#This Row], [WEAPON]],Sheet1!$A$27:$A$29,Sheet1!$C$27:$C$29))</f>
        <v>108000</v>
      </c>
      <c r="J1072" t="s">
        <v>64</v>
      </c>
      <c r="K1072" s="9">
        <f>Table1[[#This Row], [NUM OF MEM]]*Table1[[#This Row], [TOTAL TIME TAKEN]]*_xlfn.XLOOKUP(Table1[[#This Row], [EXIT]],Sheet1!$A$70:$A$71,Sheet1!$B$70:$B$71)*(1+_xlfn.XLOOKUP(Table1[[#This Row], [EXIT]],Sheet1!$A$70:$A$71,Sheet1!$C$70:$C$71))</f>
        <v>1874469.5999999999</v>
      </c>
      <c r="L1072" s="13" t="s">
        <v>65</v>
      </c>
      <c r="M1072" s="4">
        <f>IF(Table1[[#This Row], [EQUIPMENT]]="YES",Sheet1!$C$44*(1+Sheet1!$D$44),0)</f>
        <v>307500</v>
      </c>
      <c r="N1072" s="4">
        <f>_xlfn.XLOOKUP(Table1[[#This Row], [ROOM]],Sheet1!$A$47:$A$66,Sheet1!$F$47:$F$66)</f>
        <v>17800000</v>
      </c>
      <c r="O1072" s="9">
        <f>_xlfn.XLOOKUP(_xlfn.CONCAT(Table1[[#This Row], [TEAM]],Table1[[#This Row], [ROOM]]),'ROOM TIME'!$H$2:$H$121,'ROOM TIME'!$J$2:$J$121)</f>
        <v>43.211666666666666</v>
      </c>
      <c r="P1072" s="4">
        <f>(INDEX(Sheet1!$X$48:$Z$67,MATCH(Table1[[#This Row], [ROOM]],Sheet1!$P$48:$P$67,0),MATCH(Table1[[#This Row], [WEAPON]],Sheet1!$X$47:$Z$47,0)))/Table1[[#This Row], [NUM OF MEM]]</f>
        <v>5</v>
      </c>
      <c r="Q1072" s="9">
        <f>Table1[[#This Row], [ROOM TIME]]+Table1[[#This Row], [GUARD TIME]]</f>
        <v>48.211666666666666</v>
      </c>
      <c r="R1072" s="4">
        <f>Sheet1!$K$3*_xlfn.XLOOKUP(Table1[[#This Row], [DISGUISE]],Sheet1!$A$21:$A$23,Sheet1!$D$21:$D$23)</f>
        <v>69</v>
      </c>
      <c r="S1072" s="9">
        <f>Table1[[#This Row], [TOTAL TIME]]-Table1[[#This Row], [TOTAL TIME TAKEN]]</f>
        <v>20.788333333333334</v>
      </c>
      <c r="T1072" t="str">
        <f>IF(Table1[[#This Row], [TIME DIFFERENCE]]&gt;=0,"PASS","FAIL")</f>
        <v>PASS</v>
      </c>
      <c r="U1072" s="9">
        <f>Table1[[#This Row], [TRC]]+Table1[[#This Row], [DRC]]+Table1[[#This Row], [WRC]]+Table1[[#This Row], [ERC]]+Table1[[#This Row], [EQRC]]</f>
        <v>8258369.5999999996</v>
      </c>
      <c r="V1072" s="9">
        <f>Table1[[#This Row], [TOTAL COST]]+_xlfn.XLOOKUP(Table1[[#This Row], [TEAM]],Sheet1!$A$12:$A$17,Sheet1!$I$12:$I$17)</f>
        <v>8554869.5999999996</v>
      </c>
      <c r="W1072" s="9">
        <f>Table1[[#This Row], [LOOT]]-Table1[[#This Row], [TOTAL COST]]</f>
        <v>9541630.4000000004</v>
      </c>
      <c r="X1072" s="9">
        <f>IF(Table1[[#This Row], [PASS/FAIL]]="FAIL",0,Table1[[#This Row], [PROFIT]])</f>
        <v>9541630.4000000004</v>
      </c>
    </row>
    <row r="1073" spans="1:24" ht="19.5" customHeight="1" x14ac:dyDescent="0.45">
      <c r="A1073" t="s">
        <v>12</v>
      </c>
      <c r="B1073" s="14">
        <f>_xlfn.XLOOKUP(Table1[[#This Row], [TEAM]],Sheet1!$A$12:$A$17,Sheet1!$F$12:$F$17)</f>
        <v>3</v>
      </c>
      <c r="C1073" s="14">
        <f>_xlfn.XLOOKUP(Table1[[#This Row], [TEAM]],Sheet1!$A$12:$A$17,Sheet1!$G$12:$G$17)</f>
        <v>5988750</v>
      </c>
      <c r="D1073" t="s">
        <v>17</v>
      </c>
      <c r="E1073" s="4">
        <f>_xlfn.XLOOKUP(Table1[[#This Row], [ROOM]],Sheet1!$A$47:$A$66,Sheet1!$B$47:$B$66)</f>
        <v>125</v>
      </c>
      <c r="F1073" t="s">
        <v>62</v>
      </c>
      <c r="G1073" s="4">
        <f>_xlfn.XLOOKUP(Table1[[#This Row], [DISGUISE]],Sheet1!$A$21:$A$23,Sheet1!$B$21:$B$23)*Table1[[#This Row], [NUM OF MEM]]*(1+_xlfn.XLOOKUP(Table1[[#This Row], [DISGUISE]],Sheet1!$A$21:$A$23,Sheet1!$C$21:$C$23))</f>
        <v>15600</v>
      </c>
      <c r="H1073" s="13" t="s">
        <v>63</v>
      </c>
      <c r="I1073" s="4">
        <f>_xlfn.XLOOKUP(Table1[[#This Row], [WEAPON]],Sheet1!$A$27:$A$29,Sheet1!$B$27:$B$29)*Table1[[#This Row], [NUM OF MEM]]*(1+_xlfn.XLOOKUP(Table1[[#This Row], [WEAPON]],Sheet1!$A$27:$A$29,Sheet1!$C$27:$C$29))</f>
        <v>69000</v>
      </c>
      <c r="J1073" t="s">
        <v>64</v>
      </c>
      <c r="K1073" s="9">
        <f>Table1[[#This Row], [NUM OF MEM]]*Table1[[#This Row], [TOTAL TIME TAKEN]]*_xlfn.XLOOKUP(Table1[[#This Row], [EXIT]],Sheet1!$A$70:$A$71,Sheet1!$B$70:$B$71)*(1+_xlfn.XLOOKUP(Table1[[#This Row], [EXIT]],Sheet1!$A$70:$A$71,Sheet1!$C$70:$C$71))</f>
        <v>1735300.7999999993</v>
      </c>
      <c r="L1073" s="13" t="s">
        <v>61</v>
      </c>
      <c r="M1073" s="4">
        <f>IF(Table1[[#This Row], [EQUIPMENT]]="YES",Sheet1!$C$44*(1+Sheet1!$D$44),0)</f>
        <v>0</v>
      </c>
      <c r="N1073" s="4">
        <f>_xlfn.XLOOKUP(Table1[[#This Row], [ROOM]],Sheet1!$A$47:$A$66,Sheet1!$F$47:$F$66)</f>
        <v>17350000</v>
      </c>
      <c r="O1073" s="9">
        <f>_xlfn.XLOOKUP(_xlfn.CONCAT(Table1[[#This Row], [TEAM]],Table1[[#This Row], [ROOM]]),'ROOM TIME'!$H$2:$H$121,'ROOM TIME'!$J$2:$J$121)</f>
        <v>40.132222222222204</v>
      </c>
      <c r="P1073" s="9">
        <f>(INDEX(Sheet1!$X$48:$Z$67,MATCH(Table1[[#This Row], [ROOM]],Sheet1!$P$48:$P$67,0),MATCH(Table1[[#This Row], [WEAPON]],Sheet1!$X$47:$Z$47,0)))/Table1[[#This Row], [NUM OF MEM]]</f>
        <v>4.5</v>
      </c>
      <c r="Q1073" s="9">
        <f>Table1[[#This Row], [ROOM TIME]]+Table1[[#This Row], [GUARD TIME]]</f>
        <v>44.632222222222204</v>
      </c>
      <c r="R1073" s="4">
        <f>Sheet1!$K$3*_xlfn.XLOOKUP(Table1[[#This Row], [DISGUISE]],Sheet1!$A$21:$A$23,Sheet1!$D$21:$D$23)</f>
        <v>66</v>
      </c>
      <c r="S1073" s="9">
        <f>Table1[[#This Row], [TOTAL TIME]]-Table1[[#This Row], [TOTAL TIME TAKEN]]</f>
        <v>21.367777777777796</v>
      </c>
      <c r="T1073" t="str">
        <f>IF(Table1[[#This Row], [TIME DIFFERENCE]]&gt;=0,"PASS","FAIL")</f>
        <v>PASS</v>
      </c>
      <c r="U1073" s="9">
        <f>Table1[[#This Row], [TRC]]+Table1[[#This Row], [DRC]]+Table1[[#This Row], [WRC]]+Table1[[#This Row], [ERC]]+Table1[[#This Row], [EQRC]]</f>
        <v>7808650.7999999989</v>
      </c>
      <c r="V1073" s="9">
        <f>Table1[[#This Row], [TOTAL COST]]+_xlfn.XLOOKUP(Table1[[#This Row], [TEAM]],Sheet1!$A$12:$A$17,Sheet1!$I$12:$I$17)</f>
        <v>8108088.2999999989</v>
      </c>
      <c r="W1073" s="9">
        <f>Table1[[#This Row], [LOOT]]-Table1[[#This Row], [TOTAL COST]]</f>
        <v>9541349.2000000011</v>
      </c>
      <c r="X1073" s="9">
        <f>IF(Table1[[#This Row], [PASS/FAIL]]="FAIL",0,Table1[[#This Row], [PROFIT]])</f>
        <v>9541349.2000000011</v>
      </c>
    </row>
    <row r="1074" spans="1:24" ht="19.5" customHeight="1" x14ac:dyDescent="0.45">
      <c r="A1074" t="s">
        <v>12</v>
      </c>
      <c r="B1074" s="14">
        <f>_xlfn.XLOOKUP(Table1[[#This Row], [TEAM]],Sheet1!$A$12:$A$17,Sheet1!$F$12:$F$17)</f>
        <v>3</v>
      </c>
      <c r="C1074" s="14">
        <f>_xlfn.XLOOKUP(Table1[[#This Row], [TEAM]],Sheet1!$A$12:$A$17,Sheet1!$G$12:$G$17)</f>
        <v>5988750</v>
      </c>
      <c r="D1074" t="s">
        <v>30</v>
      </c>
      <c r="E1074" s="4">
        <f>_xlfn.XLOOKUP(Table1[[#This Row], [ROOM]],Sheet1!$A$47:$A$66,Sheet1!$B$47:$B$66)</f>
        <v>246</v>
      </c>
      <c r="F1074" t="s">
        <v>62</v>
      </c>
      <c r="G1074" s="4">
        <f>_xlfn.XLOOKUP(Table1[[#This Row], [DISGUISE]],Sheet1!$A$21:$A$23,Sheet1!$B$21:$B$23)*Table1[[#This Row], [NUM OF MEM]]*(1+_xlfn.XLOOKUP(Table1[[#This Row], [DISGUISE]],Sheet1!$A$21:$A$23,Sheet1!$C$21:$C$23))</f>
        <v>15600</v>
      </c>
      <c r="H1074" s="13" t="s">
        <v>66</v>
      </c>
      <c r="I1074" s="4">
        <f>_xlfn.XLOOKUP(Table1[[#This Row], [WEAPON]],Sheet1!$A$27:$A$29,Sheet1!$B$27:$B$29)*Table1[[#This Row], [NUM OF MEM]]*(1+_xlfn.XLOOKUP(Table1[[#This Row], [WEAPON]],Sheet1!$A$27:$A$29,Sheet1!$C$27:$C$29))</f>
        <v>108000</v>
      </c>
      <c r="J1074" t="s">
        <v>60</v>
      </c>
      <c r="K1074" s="9">
        <f>Table1[[#This Row], [NUM OF MEM]]*Table1[[#This Row], [TOTAL TIME TAKEN]]*_xlfn.XLOOKUP(Table1[[#This Row], [EXIT]],Sheet1!$A$70:$A$71,Sheet1!$B$70:$B$71)*(1+_xlfn.XLOOKUP(Table1[[#This Row], [EXIT]],Sheet1!$A$70:$A$71,Sheet1!$C$70:$C$71))</f>
        <v>1639309.0999999992</v>
      </c>
      <c r="L1074" s="13" t="s">
        <v>65</v>
      </c>
      <c r="M1074" s="4">
        <f>IF(Table1[[#This Row], [EQUIPMENT]]="YES",Sheet1!$C$44*(1+Sheet1!$D$44),0)</f>
        <v>307500</v>
      </c>
      <c r="N1074" s="4">
        <f>_xlfn.XLOOKUP(Table1[[#This Row], [ROOM]],Sheet1!$A$47:$A$66,Sheet1!$F$47:$F$66)</f>
        <v>17600000</v>
      </c>
      <c r="O1074" s="9">
        <f>_xlfn.XLOOKUP(_xlfn.CONCAT(Table1[[#This Row], [TEAM]],Table1[[#This Row], [ROOM]]),'ROOM TIME'!$H$2:$H$121,'ROOM TIME'!$J$2:$J$121)</f>
        <v>37.582222222222207</v>
      </c>
      <c r="P1074" s="4">
        <f>(INDEX(Sheet1!$X$48:$Z$67,MATCH(Table1[[#This Row], [ROOM]],Sheet1!$P$48:$P$67,0),MATCH(Table1[[#This Row], [WEAPON]],Sheet1!$X$47:$Z$47,0)))/Table1[[#This Row], [NUM OF MEM]]</f>
        <v>5</v>
      </c>
      <c r="Q1074" s="9">
        <f>Table1[[#This Row], [ROOM TIME]]+Table1[[#This Row], [GUARD TIME]]</f>
        <v>42.582222222222207</v>
      </c>
      <c r="R1074" s="4">
        <f>Sheet1!$K$3*_xlfn.XLOOKUP(Table1[[#This Row], [DISGUISE]],Sheet1!$A$21:$A$23,Sheet1!$D$21:$D$23)</f>
        <v>66</v>
      </c>
      <c r="S1074" s="9">
        <f>Table1[[#This Row], [TOTAL TIME]]-Table1[[#This Row], [TOTAL TIME TAKEN]]</f>
        <v>23.417777777777793</v>
      </c>
      <c r="T1074" t="str">
        <f>IF(Table1[[#This Row], [TIME DIFFERENCE]]&gt;=0,"PASS","FAIL")</f>
        <v>PASS</v>
      </c>
      <c r="U1074" s="9">
        <f>Table1[[#This Row], [TRC]]+Table1[[#This Row], [DRC]]+Table1[[#This Row], [WRC]]+Table1[[#This Row], [ERC]]+Table1[[#This Row], [EQRC]]</f>
        <v>8059159.0999999996</v>
      </c>
      <c r="V1074" s="9">
        <f>Table1[[#This Row], [TOTAL COST]]+_xlfn.XLOOKUP(Table1[[#This Row], [TEAM]],Sheet1!$A$12:$A$17,Sheet1!$I$12:$I$17)</f>
        <v>8358596.5999999996</v>
      </c>
      <c r="W1074" s="9">
        <f>Table1[[#This Row], [LOOT]]-Table1[[#This Row], [TOTAL COST]]</f>
        <v>9540840.9000000004</v>
      </c>
      <c r="X1074" s="9">
        <f>IF(Table1[[#This Row], [PASS/FAIL]]="FAIL",0,Table1[[#This Row], [PROFIT]])</f>
        <v>9540840.9000000004</v>
      </c>
    </row>
    <row r="1075" spans="1:24" ht="19.5" customHeight="1" x14ac:dyDescent="0.45">
      <c r="A1075" t="s">
        <v>14</v>
      </c>
      <c r="B1075" s="14">
        <f>_xlfn.XLOOKUP(Table1[[#This Row], [TEAM]],Sheet1!$A$12:$A$17,Sheet1!$F$12:$F$17)</f>
        <v>2</v>
      </c>
      <c r="C1075" s="14">
        <f>_xlfn.XLOOKUP(Table1[[#This Row], [TEAM]],Sheet1!$A$12:$A$17,Sheet1!$G$12:$G$17)</f>
        <v>5949600</v>
      </c>
      <c r="D1075" t="s">
        <v>31</v>
      </c>
      <c r="E1075" s="4">
        <f>_xlfn.XLOOKUP(Table1[[#This Row], [ROOM]],Sheet1!$A$47:$A$66,Sheet1!$B$47:$B$66)</f>
        <v>256</v>
      </c>
      <c r="F1075" t="s">
        <v>62</v>
      </c>
      <c r="G1075" s="4">
        <f>_xlfn.XLOOKUP(Table1[[#This Row], [DISGUISE]],Sheet1!$A$21:$A$23,Sheet1!$B$21:$B$23)*Table1[[#This Row], [NUM OF MEM]]*(1+_xlfn.XLOOKUP(Table1[[#This Row], [DISGUISE]],Sheet1!$A$21:$A$23,Sheet1!$C$21:$C$23))</f>
        <v>10400</v>
      </c>
      <c r="H1075" s="13" t="s">
        <v>66</v>
      </c>
      <c r="I1075" s="4">
        <f>_xlfn.XLOOKUP(Table1[[#This Row], [WEAPON]],Sheet1!$A$27:$A$29,Sheet1!$B$27:$B$29)*Table1[[#This Row], [NUM OF MEM]]*(1+_xlfn.XLOOKUP(Table1[[#This Row], [WEAPON]],Sheet1!$A$27:$A$29,Sheet1!$C$27:$C$29))</f>
        <v>72000</v>
      </c>
      <c r="J1075" t="s">
        <v>60</v>
      </c>
      <c r="K1075" s="9">
        <f>Table1[[#This Row], [NUM OF MEM]]*Table1[[#This Row], [TOTAL TIME TAKEN]]*_xlfn.XLOOKUP(Table1[[#This Row], [EXIT]],Sheet1!$A$70:$A$71,Sheet1!$B$70:$B$71)*(1+_xlfn.XLOOKUP(Table1[[#This Row], [EXIT]],Sheet1!$A$70:$A$71,Sheet1!$C$70:$C$71))</f>
        <v>1620231.4499999997</v>
      </c>
      <c r="L1075" s="13" t="s">
        <v>65</v>
      </c>
      <c r="M1075" s="4">
        <f>IF(Table1[[#This Row], [EQUIPMENT]]="YES",Sheet1!$C$44*(1+Sheet1!$D$44),0)</f>
        <v>307500</v>
      </c>
      <c r="N1075" s="4">
        <f>_xlfn.XLOOKUP(Table1[[#This Row], [ROOM]],Sheet1!$A$47:$A$66,Sheet1!$F$47:$F$66)</f>
        <v>17500000</v>
      </c>
      <c r="O1075" s="9">
        <f>_xlfn.XLOOKUP(_xlfn.CONCAT(Table1[[#This Row], [TEAM]],Table1[[#This Row], [ROOM]]),'ROOM TIME'!$H$2:$H$121,'ROOM TIME'!$J$2:$J$121)</f>
        <v>56.254999999999981</v>
      </c>
      <c r="P1075" s="9">
        <f>(INDEX(Sheet1!$X$48:$Z$67,MATCH(Table1[[#This Row], [ROOM]],Sheet1!$P$48:$P$67,0),MATCH(Table1[[#This Row], [WEAPON]],Sheet1!$X$47:$Z$47,0)))/Table1[[#This Row], [NUM OF MEM]]</f>
        <v>6.875</v>
      </c>
      <c r="Q1075" s="9">
        <f>Table1[[#This Row], [ROOM TIME]]+Table1[[#This Row], [GUARD TIME]]</f>
        <v>63.129999999999981</v>
      </c>
      <c r="R1075" s="4">
        <f>Sheet1!$K$3*_xlfn.XLOOKUP(Table1[[#This Row], [DISGUISE]],Sheet1!$A$21:$A$23,Sheet1!$D$21:$D$23)</f>
        <v>66</v>
      </c>
      <c r="S1075" s="9">
        <f>Table1[[#This Row], [TOTAL TIME]]-Table1[[#This Row], [TOTAL TIME TAKEN]]</f>
        <v>2.8700000000000188</v>
      </c>
      <c r="T1075" t="str">
        <f>IF(Table1[[#This Row], [TIME DIFFERENCE]]&gt;=0,"PASS","FAIL")</f>
        <v>PASS</v>
      </c>
      <c r="U1075" s="9">
        <f>Table1[[#This Row], [TRC]]+Table1[[#This Row], [DRC]]+Table1[[#This Row], [WRC]]+Table1[[#This Row], [ERC]]+Table1[[#This Row], [EQRC]]</f>
        <v>7959731.4499999993</v>
      </c>
      <c r="V1075" s="9">
        <f>Table1[[#This Row], [TOTAL COST]]+_xlfn.XLOOKUP(Table1[[#This Row], [TEAM]],Sheet1!$A$12:$A$17,Sheet1!$I$12:$I$17)</f>
        <v>8257211.4499999993</v>
      </c>
      <c r="W1075" s="9">
        <f>Table1[[#This Row], [LOOT]]-Table1[[#This Row], [TOTAL COST]]</f>
        <v>9540268.5500000007</v>
      </c>
      <c r="X1075" s="9">
        <f>IF(Table1[[#This Row], [PASS/FAIL]]="FAIL",0,Table1[[#This Row], [PROFIT]])</f>
        <v>9540268.5500000007</v>
      </c>
    </row>
    <row r="1076" spans="1:24" ht="19.5" customHeight="1" x14ac:dyDescent="0.45">
      <c r="A1076" t="s">
        <v>14</v>
      </c>
      <c r="B1076" s="14">
        <f>_xlfn.XLOOKUP(Table1[[#This Row], [TEAM]],Sheet1!$A$12:$A$17,Sheet1!$F$12:$F$17)</f>
        <v>2</v>
      </c>
      <c r="C1076" s="14">
        <f>_xlfn.XLOOKUP(Table1[[#This Row], [TEAM]],Sheet1!$A$12:$A$17,Sheet1!$G$12:$G$17)</f>
        <v>5949600</v>
      </c>
      <c r="D1076" t="s">
        <v>25</v>
      </c>
      <c r="E1076" s="4">
        <f>_xlfn.XLOOKUP(Table1[[#This Row], [ROOM]],Sheet1!$A$47:$A$66,Sheet1!$B$47:$B$66)</f>
        <v>126</v>
      </c>
      <c r="F1076" t="s">
        <v>58</v>
      </c>
      <c r="G1076" s="4">
        <f>_xlfn.XLOOKUP(Table1[[#This Row], [DISGUISE]],Sheet1!$A$21:$A$23,Sheet1!$B$21:$B$23)*Table1[[#This Row], [NUM OF MEM]]*(1+_xlfn.XLOOKUP(Table1[[#This Row], [DISGUISE]],Sheet1!$A$21:$A$23,Sheet1!$C$21:$C$23))</f>
        <v>25600</v>
      </c>
      <c r="H1076" s="13" t="s">
        <v>59</v>
      </c>
      <c r="I1076" s="4">
        <f>_xlfn.XLOOKUP(Table1[[#This Row], [WEAPON]],Sheet1!$A$27:$A$29,Sheet1!$B$27:$B$29)*Table1[[#This Row], [NUM OF MEM]]*(1+_xlfn.XLOOKUP(Table1[[#This Row], [WEAPON]],Sheet1!$A$27:$A$29,Sheet1!$C$27:$C$29))</f>
        <v>91000</v>
      </c>
      <c r="J1076" t="s">
        <v>64</v>
      </c>
      <c r="K1076" s="9">
        <f>Table1[[#This Row], [NUM OF MEM]]*Table1[[#This Row], [TOTAL TIME TAKEN]]*_xlfn.XLOOKUP(Table1[[#This Row], [EXIT]],Sheet1!$A$70:$A$71,Sheet1!$B$70:$B$71)*(1+_xlfn.XLOOKUP(Table1[[#This Row], [EXIT]],Sheet1!$A$70:$A$71,Sheet1!$C$70:$C$71))</f>
        <v>1637431.1999999997</v>
      </c>
      <c r="L1076" s="13" t="s">
        <v>65</v>
      </c>
      <c r="M1076" s="4">
        <f>IF(Table1[[#This Row], [EQUIPMENT]]="YES",Sheet1!$C$44*(1+Sheet1!$D$44),0)</f>
        <v>307500</v>
      </c>
      <c r="N1076" s="4">
        <f>_xlfn.XLOOKUP(Table1[[#This Row], [ROOM]],Sheet1!$A$47:$A$66,Sheet1!$F$47:$F$66)</f>
        <v>17550000</v>
      </c>
      <c r="O1076" s="9">
        <f>_xlfn.XLOOKUP(_xlfn.CONCAT(Table1[[#This Row], [TEAM]],Table1[[#This Row], [ROOM]]),'ROOM TIME'!$H$2:$H$121,'ROOM TIME'!$J$2:$J$121)</f>
        <v>56.847499999999989</v>
      </c>
      <c r="P1076" s="9">
        <f>(INDEX(Sheet1!$X$48:$Z$67,MATCH(Table1[[#This Row], [ROOM]],Sheet1!$P$48:$P$67,0),MATCH(Table1[[#This Row], [WEAPON]],Sheet1!$X$47:$Z$47,0)))/Table1[[#This Row], [NUM OF MEM]]</f>
        <v>6.3249999999999993</v>
      </c>
      <c r="Q1076" s="9">
        <f>Table1[[#This Row], [ROOM TIME]]+Table1[[#This Row], [GUARD TIME]]</f>
        <v>63.172499999999985</v>
      </c>
      <c r="R1076" s="4">
        <f>Sheet1!$K$3*_xlfn.XLOOKUP(Table1[[#This Row], [DISGUISE]],Sheet1!$A$21:$A$23,Sheet1!$D$21:$D$23)</f>
        <v>69</v>
      </c>
      <c r="S1076" s="9">
        <f>Table1[[#This Row], [TOTAL TIME]]-Table1[[#This Row], [TOTAL TIME TAKEN]]</f>
        <v>5.8275000000000148</v>
      </c>
      <c r="T1076" t="str">
        <f>IF(Table1[[#This Row], [TIME DIFFERENCE]]&gt;=0,"PASS","FAIL")</f>
        <v>PASS</v>
      </c>
      <c r="U1076" s="9">
        <f>Table1[[#This Row], [TRC]]+Table1[[#This Row], [DRC]]+Table1[[#This Row], [WRC]]+Table1[[#This Row], [ERC]]+Table1[[#This Row], [EQRC]]</f>
        <v>8011131.1999999993</v>
      </c>
      <c r="V1076" s="9">
        <f>Table1[[#This Row], [TOTAL COST]]+_xlfn.XLOOKUP(Table1[[#This Row], [TEAM]],Sheet1!$A$12:$A$17,Sheet1!$I$12:$I$17)</f>
        <v>8308611.1999999993</v>
      </c>
      <c r="W1076" s="9">
        <f>Table1[[#This Row], [LOOT]]-Table1[[#This Row], [TOTAL COST]]</f>
        <v>9538868.8000000007</v>
      </c>
      <c r="X1076" s="9">
        <f>IF(Table1[[#This Row], [PASS/FAIL]]="FAIL",0,Table1[[#This Row], [PROFIT]])</f>
        <v>9538868.8000000007</v>
      </c>
    </row>
    <row r="1077" spans="1:24" ht="19.5" customHeight="1" x14ac:dyDescent="0.45">
      <c r="A1077" t="s">
        <v>13</v>
      </c>
      <c r="B1077" s="14">
        <f>_xlfn.XLOOKUP(Table1[[#This Row], [TEAM]],Sheet1!$A$12:$A$17,Sheet1!$F$12:$F$17)</f>
        <v>3</v>
      </c>
      <c r="C1077" s="14">
        <f>_xlfn.XLOOKUP(Table1[[#This Row], [TEAM]],Sheet1!$A$12:$A$17,Sheet1!$G$12:$G$17)</f>
        <v>5930000</v>
      </c>
      <c r="D1077" t="s">
        <v>17</v>
      </c>
      <c r="E1077" s="4">
        <f>_xlfn.XLOOKUP(Table1[[#This Row], [ROOM]],Sheet1!$A$47:$A$66,Sheet1!$B$47:$B$66)</f>
        <v>125</v>
      </c>
      <c r="F1077" t="s">
        <v>62</v>
      </c>
      <c r="G107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77" s="13" t="s">
        <v>63</v>
      </c>
      <c r="I1077" s="4">
        <f>_xlfn.XLOOKUP(Table1[[#This Row], [WEAPON]],Sheet1!$A$27:$A$29,Sheet1!$B$27:$B$29)*Table1[[#This Row], [NUM OF MEM]]*(1+_xlfn.XLOOKUP(Table1[[#This Row], [WEAPON]],Sheet1!$A$27:$A$29,Sheet1!$C$27:$C$29))</f>
        <v>69000</v>
      </c>
      <c r="J1077" t="s">
        <v>60</v>
      </c>
      <c r="K1077" s="9">
        <f>Table1[[#This Row], [NUM OF MEM]]*Table1[[#This Row], [TOTAL TIME TAKEN]]*_xlfn.XLOOKUP(Table1[[#This Row], [EXIT]],Sheet1!$A$70:$A$71,Sheet1!$B$70:$B$71)*(1+_xlfn.XLOOKUP(Table1[[#This Row], [EXIT]],Sheet1!$A$70:$A$71,Sheet1!$C$70:$C$71))</f>
        <v>1796571.3874999997</v>
      </c>
      <c r="L1077" s="13" t="s">
        <v>61</v>
      </c>
      <c r="M1077" s="4">
        <f>IF(Table1[[#This Row], [EQUIPMENT]]="YES",Sheet1!$C$44*(1+Sheet1!$D$44),0)</f>
        <v>0</v>
      </c>
      <c r="N1077" s="4">
        <f>_xlfn.XLOOKUP(Table1[[#This Row], [ROOM]],Sheet1!$A$47:$A$66,Sheet1!$F$47:$F$66)</f>
        <v>17350000</v>
      </c>
      <c r="O1077" s="9">
        <f>_xlfn.XLOOKUP(_xlfn.CONCAT(Table1[[#This Row], [TEAM]],Table1[[#This Row], [ROOM]]),'ROOM TIME'!$H$2:$H$121,'ROOM TIME'!$J$2:$J$121)</f>
        <v>42.167222222222215</v>
      </c>
      <c r="P1077" s="9">
        <f>(INDEX(Sheet1!$X$48:$Z$67,MATCH(Table1[[#This Row], [ROOM]],Sheet1!$P$48:$P$67,0),MATCH(Table1[[#This Row], [WEAPON]],Sheet1!$X$47:$Z$47,0)))/Table1[[#This Row], [NUM OF MEM]]</f>
        <v>4.5</v>
      </c>
      <c r="Q1077" s="9">
        <f>Table1[[#This Row], [ROOM TIME]]+Table1[[#This Row], [GUARD TIME]]</f>
        <v>46.667222222222215</v>
      </c>
      <c r="R1077" s="4">
        <f>Sheet1!$K$3*_xlfn.XLOOKUP(Table1[[#This Row], [DISGUISE]],Sheet1!$A$21:$A$23,Sheet1!$D$21:$D$23)</f>
        <v>66</v>
      </c>
      <c r="S1077" s="9">
        <f>Table1[[#This Row], [TOTAL TIME]]-Table1[[#This Row], [TOTAL TIME TAKEN]]</f>
        <v>19.332777777777785</v>
      </c>
      <c r="T1077" t="str">
        <f>IF(Table1[[#This Row], [TIME DIFFERENCE]]&gt;=0,"PASS","FAIL")</f>
        <v>PASS</v>
      </c>
      <c r="U1077" s="9">
        <f>Table1[[#This Row], [TRC]]+Table1[[#This Row], [DRC]]+Table1[[#This Row], [WRC]]+Table1[[#This Row], [ERC]]+Table1[[#This Row], [EQRC]]</f>
        <v>7811171.3874999993</v>
      </c>
      <c r="V1077" s="9">
        <f>Table1[[#This Row], [TOTAL COST]]+_xlfn.XLOOKUP(Table1[[#This Row], [TEAM]],Sheet1!$A$12:$A$17,Sheet1!$I$12:$I$17)</f>
        <v>8107671.3874999993</v>
      </c>
      <c r="W1077" s="9">
        <f>Table1[[#This Row], [LOOT]]-Table1[[#This Row], [TOTAL COST]]</f>
        <v>9538828.6125000007</v>
      </c>
      <c r="X1077" s="9">
        <f>IF(Table1[[#This Row], [PASS/FAIL]]="FAIL",0,Table1[[#This Row], [PROFIT]])</f>
        <v>9538828.6125000007</v>
      </c>
    </row>
    <row r="1078" spans="1:24" ht="19.5" customHeight="1" x14ac:dyDescent="0.45">
      <c r="A1078" t="s">
        <v>15</v>
      </c>
      <c r="B1078" s="14">
        <f>_xlfn.XLOOKUP(Table1[[#This Row], [TEAM]],Sheet1!$A$12:$A$17,Sheet1!$F$12:$F$17)</f>
        <v>2</v>
      </c>
      <c r="C1078" s="14">
        <f>_xlfn.XLOOKUP(Table1[[#This Row], [TEAM]],Sheet1!$A$12:$A$17,Sheet1!$G$12:$G$17)</f>
        <v>5932950</v>
      </c>
      <c r="D1078" t="s">
        <v>31</v>
      </c>
      <c r="E1078" s="4">
        <f>_xlfn.XLOOKUP(Table1[[#This Row], [ROOM]],Sheet1!$A$47:$A$66,Sheet1!$B$47:$B$66)</f>
        <v>256</v>
      </c>
      <c r="F1078" t="s">
        <v>58</v>
      </c>
      <c r="G1078" s="4">
        <f>_xlfn.XLOOKUP(Table1[[#This Row], [DISGUISE]],Sheet1!$A$21:$A$23,Sheet1!$B$21:$B$23)*Table1[[#This Row], [NUM OF MEM]]*(1+_xlfn.XLOOKUP(Table1[[#This Row], [DISGUISE]],Sheet1!$A$21:$A$23,Sheet1!$C$21:$C$23))</f>
        <v>25600</v>
      </c>
      <c r="H1078" s="13" t="s">
        <v>63</v>
      </c>
      <c r="I1078" s="4">
        <f>_xlfn.XLOOKUP(Table1[[#This Row], [WEAPON]],Sheet1!$A$27:$A$29,Sheet1!$B$27:$B$29)*Table1[[#This Row], [NUM OF MEM]]*(1+_xlfn.XLOOKUP(Table1[[#This Row], [WEAPON]],Sheet1!$A$27:$A$29,Sheet1!$C$27:$C$29))</f>
        <v>46000</v>
      </c>
      <c r="J1078" t="s">
        <v>64</v>
      </c>
      <c r="K1078" s="9">
        <f>Table1[[#This Row], [NUM OF MEM]]*Table1[[#This Row], [TOTAL TIME TAKEN]]*_xlfn.XLOOKUP(Table1[[#This Row], [EXIT]],Sheet1!$A$70:$A$71,Sheet1!$B$70:$B$71)*(1+_xlfn.XLOOKUP(Table1[[#This Row], [EXIT]],Sheet1!$A$70:$A$71,Sheet1!$C$70:$C$71))</f>
        <v>1649289.5999999994</v>
      </c>
      <c r="L1078" s="13" t="s">
        <v>65</v>
      </c>
      <c r="M1078" s="4">
        <f>IF(Table1[[#This Row], [EQUIPMENT]]="YES",Sheet1!$C$44*(1+Sheet1!$D$44),0)</f>
        <v>307500</v>
      </c>
      <c r="N1078" s="4">
        <f>_xlfn.XLOOKUP(Table1[[#This Row], [ROOM]],Sheet1!$A$47:$A$66,Sheet1!$F$47:$F$66)</f>
        <v>17500000</v>
      </c>
      <c r="O1078" s="9">
        <f>_xlfn.XLOOKUP(_xlfn.CONCAT(Table1[[#This Row], [TEAM]],Table1[[#This Row], [ROOM]]),'ROOM TIME'!$H$2:$H$121,'ROOM TIME'!$J$2:$J$121)</f>
        <v>56.204999999999984</v>
      </c>
      <c r="P1078" s="9">
        <f>(INDEX(Sheet1!$X$48:$Z$67,MATCH(Table1[[#This Row], [ROOM]],Sheet1!$P$48:$P$67,0),MATCH(Table1[[#This Row], [WEAPON]],Sheet1!$X$47:$Z$47,0)))/Table1[[#This Row], [NUM OF MEM]]</f>
        <v>7.4250000000000007</v>
      </c>
      <c r="Q1078" s="9">
        <f>Table1[[#This Row], [ROOM TIME]]+Table1[[#This Row], [GUARD TIME]]</f>
        <v>63.629999999999981</v>
      </c>
      <c r="R1078" s="4">
        <f>Sheet1!$K$3*_xlfn.XLOOKUP(Table1[[#This Row], [DISGUISE]],Sheet1!$A$21:$A$23,Sheet1!$D$21:$D$23)</f>
        <v>69</v>
      </c>
      <c r="S1078" s="9">
        <f>Table1[[#This Row], [TOTAL TIME]]-Table1[[#This Row], [TOTAL TIME TAKEN]]</f>
        <v>5.3700000000000188</v>
      </c>
      <c r="T1078" t="str">
        <f>IF(Table1[[#This Row], [TIME DIFFERENCE]]&gt;=0,"PASS","FAIL")</f>
        <v>PASS</v>
      </c>
      <c r="U1078" s="9">
        <f>Table1[[#This Row], [TRC]]+Table1[[#This Row], [DRC]]+Table1[[#This Row], [WRC]]+Table1[[#This Row], [ERC]]+Table1[[#This Row], [EQRC]]</f>
        <v>7961339.5999999996</v>
      </c>
      <c r="V1078" s="9">
        <f>Table1[[#This Row], [TOTAL COST]]+_xlfn.XLOOKUP(Table1[[#This Row], [TEAM]],Sheet1!$A$12:$A$17,Sheet1!$I$12:$I$17)</f>
        <v>8257987.0999999996</v>
      </c>
      <c r="W1078" s="9">
        <f>Table1[[#This Row], [LOOT]]-Table1[[#This Row], [TOTAL COST]]</f>
        <v>9538660.4000000004</v>
      </c>
      <c r="X1078" s="9">
        <f>IF(Table1[[#This Row], [PASS/FAIL]]="FAIL",0,Table1[[#This Row], [PROFIT]])</f>
        <v>9538660.4000000004</v>
      </c>
    </row>
    <row r="1079" spans="1:24" ht="19.5" customHeight="1" x14ac:dyDescent="0.45">
      <c r="A1079" t="s">
        <v>15</v>
      </c>
      <c r="B1079" s="14">
        <f>_xlfn.XLOOKUP(Table1[[#This Row], [TEAM]],Sheet1!$A$12:$A$17,Sheet1!$F$12:$F$17)</f>
        <v>2</v>
      </c>
      <c r="C1079" s="14">
        <f>_xlfn.XLOOKUP(Table1[[#This Row], [TEAM]],Sheet1!$A$12:$A$17,Sheet1!$G$12:$G$17)</f>
        <v>5932950</v>
      </c>
      <c r="D1079" t="s">
        <v>31</v>
      </c>
      <c r="E1079" s="4">
        <f>_xlfn.XLOOKUP(Table1[[#This Row], [ROOM]],Sheet1!$A$47:$A$66,Sheet1!$B$47:$B$66)</f>
        <v>256</v>
      </c>
      <c r="F1079" t="s">
        <v>58</v>
      </c>
      <c r="G1079" s="4">
        <f>_xlfn.XLOOKUP(Table1[[#This Row], [DISGUISE]],Sheet1!$A$21:$A$23,Sheet1!$B$21:$B$23)*Table1[[#This Row], [NUM OF MEM]]*(1+_xlfn.XLOOKUP(Table1[[#This Row], [DISGUISE]],Sheet1!$A$21:$A$23,Sheet1!$C$21:$C$23))</f>
        <v>25600</v>
      </c>
      <c r="H1079" s="13" t="s">
        <v>59</v>
      </c>
      <c r="I1079" s="4">
        <f>_xlfn.XLOOKUP(Table1[[#This Row], [WEAPON]],Sheet1!$A$27:$A$29,Sheet1!$B$27:$B$29)*Table1[[#This Row], [NUM OF MEM]]*(1+_xlfn.XLOOKUP(Table1[[#This Row], [WEAPON]],Sheet1!$A$27:$A$29,Sheet1!$C$27:$C$29))</f>
        <v>91000</v>
      </c>
      <c r="J1079" t="s">
        <v>60</v>
      </c>
      <c r="K1079" s="9">
        <f>Table1[[#This Row], [NUM OF MEM]]*Table1[[#This Row], [TOTAL TIME TAKEN]]*_xlfn.XLOOKUP(Table1[[#This Row], [EXIT]],Sheet1!$A$70:$A$71,Sheet1!$B$70:$B$71)*(1+_xlfn.XLOOKUP(Table1[[#This Row], [EXIT]],Sheet1!$A$70:$A$71,Sheet1!$C$70:$C$71))</f>
        <v>1604832.4499999997</v>
      </c>
      <c r="L1079" s="13" t="s">
        <v>65</v>
      </c>
      <c r="M1079" s="4">
        <f>IF(Table1[[#This Row], [EQUIPMENT]]="YES",Sheet1!$C$44*(1+Sheet1!$D$44),0)</f>
        <v>307500</v>
      </c>
      <c r="N1079" s="4">
        <f>_xlfn.XLOOKUP(Table1[[#This Row], [ROOM]],Sheet1!$A$47:$A$66,Sheet1!$F$47:$F$66)</f>
        <v>17500000</v>
      </c>
      <c r="O1079" s="9">
        <f>_xlfn.XLOOKUP(_xlfn.CONCAT(Table1[[#This Row], [TEAM]],Table1[[#This Row], [ROOM]]),'ROOM TIME'!$H$2:$H$121,'ROOM TIME'!$J$2:$J$121)</f>
        <v>56.204999999999984</v>
      </c>
      <c r="P1079" s="9">
        <f>(INDEX(Sheet1!$X$48:$Z$67,MATCH(Table1[[#This Row], [ROOM]],Sheet1!$P$48:$P$67,0),MATCH(Table1[[#This Row], [WEAPON]],Sheet1!$X$47:$Z$47,0)))/Table1[[#This Row], [NUM OF MEM]]</f>
        <v>6.3249999999999993</v>
      </c>
      <c r="Q1079" s="9">
        <f>Table1[[#This Row], [ROOM TIME]]+Table1[[#This Row], [GUARD TIME]]</f>
        <v>62.529999999999987</v>
      </c>
      <c r="R1079" s="4">
        <f>Sheet1!$K$3*_xlfn.XLOOKUP(Table1[[#This Row], [DISGUISE]],Sheet1!$A$21:$A$23,Sheet1!$D$21:$D$23)</f>
        <v>69</v>
      </c>
      <c r="S1079" s="9">
        <f>Table1[[#This Row], [TOTAL TIME]]-Table1[[#This Row], [TOTAL TIME TAKEN]]</f>
        <v>6.4700000000000131</v>
      </c>
      <c r="T1079" t="str">
        <f>IF(Table1[[#This Row], [TIME DIFFERENCE]]&gt;=0,"PASS","FAIL")</f>
        <v>PASS</v>
      </c>
      <c r="U1079" s="9">
        <f>Table1[[#This Row], [TRC]]+Table1[[#This Row], [DRC]]+Table1[[#This Row], [WRC]]+Table1[[#This Row], [ERC]]+Table1[[#This Row], [EQRC]]</f>
        <v>7961882.4499999993</v>
      </c>
      <c r="V1079" s="9">
        <f>Table1[[#This Row], [TOTAL COST]]+_xlfn.XLOOKUP(Table1[[#This Row], [TEAM]],Sheet1!$A$12:$A$17,Sheet1!$I$12:$I$17)</f>
        <v>8258529.9499999993</v>
      </c>
      <c r="W1079" s="9">
        <f>Table1[[#This Row], [LOOT]]-Table1[[#This Row], [TOTAL COST]]</f>
        <v>9538117.5500000007</v>
      </c>
      <c r="X1079" s="9">
        <f>IF(Table1[[#This Row], [PASS/FAIL]]="FAIL",0,Table1[[#This Row], [PROFIT]])</f>
        <v>9538117.5500000007</v>
      </c>
    </row>
    <row r="1080" spans="1:24" ht="19.5" customHeight="1" x14ac:dyDescent="0.45">
      <c r="A1080" t="s">
        <v>12</v>
      </c>
      <c r="B1080" s="14">
        <f>_xlfn.XLOOKUP(Table1[[#This Row], [TEAM]],Sheet1!$A$12:$A$17,Sheet1!$F$12:$F$17)</f>
        <v>3</v>
      </c>
      <c r="C1080" s="14">
        <f>_xlfn.XLOOKUP(Table1[[#This Row], [TEAM]],Sheet1!$A$12:$A$17,Sheet1!$G$12:$G$17)</f>
        <v>5988750</v>
      </c>
      <c r="D1080" t="s">
        <v>23</v>
      </c>
      <c r="E1080" s="4">
        <f>_xlfn.XLOOKUP(Table1[[#This Row], [ROOM]],Sheet1!$A$47:$A$66,Sheet1!$B$47:$B$66)</f>
        <v>245</v>
      </c>
      <c r="F1080" t="s">
        <v>58</v>
      </c>
      <c r="G1080" s="4">
        <f>_xlfn.XLOOKUP(Table1[[#This Row], [DISGUISE]],Sheet1!$A$21:$A$23,Sheet1!$B$21:$B$23)*Table1[[#This Row], [NUM OF MEM]]*(1+_xlfn.XLOOKUP(Table1[[#This Row], [DISGUISE]],Sheet1!$A$21:$A$23,Sheet1!$C$21:$C$23))</f>
        <v>38400</v>
      </c>
      <c r="H1080" s="13" t="s">
        <v>59</v>
      </c>
      <c r="I1080" s="4">
        <f>_xlfn.XLOOKUP(Table1[[#This Row], [WEAPON]],Sheet1!$A$27:$A$29,Sheet1!$B$27:$B$29)*Table1[[#This Row], [NUM OF MEM]]*(1+_xlfn.XLOOKUP(Table1[[#This Row], [WEAPON]],Sheet1!$A$27:$A$29,Sheet1!$C$27:$C$29))</f>
        <v>136500</v>
      </c>
      <c r="J1080" t="s">
        <v>60</v>
      </c>
      <c r="K1080" s="9">
        <f>Table1[[#This Row], [NUM OF MEM]]*Table1[[#This Row], [TOTAL TIME TAKEN]]*_xlfn.XLOOKUP(Table1[[#This Row], [EXIT]],Sheet1!$A$70:$A$71,Sheet1!$B$70:$B$71)*(1+_xlfn.XLOOKUP(Table1[[#This Row], [EXIT]],Sheet1!$A$70:$A$71,Sheet1!$C$70:$C$71))</f>
        <v>1698894.6749999993</v>
      </c>
      <c r="L1080" s="13" t="s">
        <v>61</v>
      </c>
      <c r="M1080" s="4">
        <f>IF(Table1[[#This Row], [EQUIPMENT]]="YES",Sheet1!$C$44*(1+Sheet1!$D$44),0)</f>
        <v>0</v>
      </c>
      <c r="N1080" s="4">
        <f>_xlfn.XLOOKUP(Table1[[#This Row], [ROOM]],Sheet1!$A$47:$A$66,Sheet1!$F$47:$F$66)</f>
        <v>17400000</v>
      </c>
      <c r="O1080" s="9">
        <f>_xlfn.XLOOKUP(_xlfn.CONCAT(Table1[[#This Row], [TEAM]],Table1[[#This Row], [ROOM]]),'ROOM TIME'!$H$2:$H$121,'ROOM TIME'!$J$2:$J$121)</f>
        <v>39.91333333333332</v>
      </c>
      <c r="P1080" s="9">
        <f>(INDEX(Sheet1!$X$48:$Z$67,MATCH(Table1[[#This Row], [ROOM]],Sheet1!$P$48:$P$67,0),MATCH(Table1[[#This Row], [WEAPON]],Sheet1!$X$47:$Z$47,0)))/Table1[[#This Row], [NUM OF MEM]]</f>
        <v>4.2166666666666659</v>
      </c>
      <c r="Q1080" s="9">
        <f>Table1[[#This Row], [ROOM TIME]]+Table1[[#This Row], [GUARD TIME]]</f>
        <v>44.129999999999988</v>
      </c>
      <c r="R1080" s="4">
        <f>Sheet1!$K$3*_xlfn.XLOOKUP(Table1[[#This Row], [DISGUISE]],Sheet1!$A$21:$A$23,Sheet1!$D$21:$D$23)</f>
        <v>69</v>
      </c>
      <c r="S1080" s="9">
        <f>Table1[[#This Row], [TOTAL TIME]]-Table1[[#This Row], [TOTAL TIME TAKEN]]</f>
        <v>24.870000000000012</v>
      </c>
      <c r="T1080" t="str">
        <f>IF(Table1[[#This Row], [TIME DIFFERENCE]]&gt;=0,"PASS","FAIL")</f>
        <v>PASS</v>
      </c>
      <c r="U1080" s="9">
        <f>Table1[[#This Row], [TRC]]+Table1[[#This Row], [DRC]]+Table1[[#This Row], [WRC]]+Table1[[#This Row], [ERC]]+Table1[[#This Row], [EQRC]]</f>
        <v>7862544.6749999989</v>
      </c>
      <c r="V1080" s="9">
        <f>Table1[[#This Row], [TOTAL COST]]+_xlfn.XLOOKUP(Table1[[#This Row], [TEAM]],Sheet1!$A$12:$A$17,Sheet1!$I$12:$I$17)</f>
        <v>8161982.1749999989</v>
      </c>
      <c r="W1080" s="9">
        <f>Table1[[#This Row], [LOOT]]-Table1[[#This Row], [TOTAL COST]]</f>
        <v>9537455.3250000011</v>
      </c>
      <c r="X1080" s="9">
        <f>IF(Table1[[#This Row], [PASS/FAIL]]="FAIL",0,Table1[[#This Row], [PROFIT]])</f>
        <v>9537455.3250000011</v>
      </c>
    </row>
    <row r="1081" spans="1:24" ht="19.5" customHeight="1" x14ac:dyDescent="0.45">
      <c r="A1081" t="s">
        <v>15</v>
      </c>
      <c r="B1081" s="14">
        <f>_xlfn.XLOOKUP(Table1[[#This Row], [TEAM]],Sheet1!$A$12:$A$17,Sheet1!$F$12:$F$17)</f>
        <v>2</v>
      </c>
      <c r="C1081" s="14">
        <f>_xlfn.XLOOKUP(Table1[[#This Row], [TEAM]],Sheet1!$A$12:$A$17,Sheet1!$G$12:$G$17)</f>
        <v>5932950</v>
      </c>
      <c r="D1081" t="s">
        <v>31</v>
      </c>
      <c r="E1081" s="4">
        <f>_xlfn.XLOOKUP(Table1[[#This Row], [ROOM]],Sheet1!$A$47:$A$66,Sheet1!$B$47:$B$66)</f>
        <v>256</v>
      </c>
      <c r="F1081" t="s">
        <v>62</v>
      </c>
      <c r="G1081" s="4">
        <f>_xlfn.XLOOKUP(Table1[[#This Row], [DISGUISE]],Sheet1!$A$21:$A$23,Sheet1!$B$21:$B$23)*Table1[[#This Row], [NUM OF MEM]]*(1+_xlfn.XLOOKUP(Table1[[#This Row], [DISGUISE]],Sheet1!$A$21:$A$23,Sheet1!$C$21:$C$23))</f>
        <v>10400</v>
      </c>
      <c r="H1081" s="13" t="s">
        <v>59</v>
      </c>
      <c r="I1081" s="4">
        <f>_xlfn.XLOOKUP(Table1[[#This Row], [WEAPON]],Sheet1!$A$27:$A$29,Sheet1!$B$27:$B$29)*Table1[[#This Row], [NUM OF MEM]]*(1+_xlfn.XLOOKUP(Table1[[#This Row], [WEAPON]],Sheet1!$A$27:$A$29,Sheet1!$C$27:$C$29))</f>
        <v>91000</v>
      </c>
      <c r="J1081" t="s">
        <v>64</v>
      </c>
      <c r="K1081" s="9">
        <f>Table1[[#This Row], [NUM OF MEM]]*Table1[[#This Row], [TOTAL TIME TAKEN]]*_xlfn.XLOOKUP(Table1[[#This Row], [EXIT]],Sheet1!$A$70:$A$71,Sheet1!$B$70:$B$71)*(1+_xlfn.XLOOKUP(Table1[[#This Row], [EXIT]],Sheet1!$A$70:$A$71,Sheet1!$C$70:$C$71))</f>
        <v>1620777.5999999996</v>
      </c>
      <c r="L1081" s="13" t="s">
        <v>65</v>
      </c>
      <c r="M1081" s="4">
        <f>IF(Table1[[#This Row], [EQUIPMENT]]="YES",Sheet1!$C$44*(1+Sheet1!$D$44),0)</f>
        <v>307500</v>
      </c>
      <c r="N1081" s="4">
        <f>_xlfn.XLOOKUP(Table1[[#This Row], [ROOM]],Sheet1!$A$47:$A$66,Sheet1!$F$47:$F$66)</f>
        <v>17500000</v>
      </c>
      <c r="O1081" s="9">
        <f>_xlfn.XLOOKUP(_xlfn.CONCAT(Table1[[#This Row], [TEAM]],Table1[[#This Row], [ROOM]]),'ROOM TIME'!$H$2:$H$121,'ROOM TIME'!$J$2:$J$121)</f>
        <v>56.204999999999984</v>
      </c>
      <c r="P1081" s="9">
        <f>(INDEX(Sheet1!$X$48:$Z$67,MATCH(Table1[[#This Row], [ROOM]],Sheet1!$P$48:$P$67,0),MATCH(Table1[[#This Row], [WEAPON]],Sheet1!$X$47:$Z$47,0)))/Table1[[#This Row], [NUM OF MEM]]</f>
        <v>6.3249999999999993</v>
      </c>
      <c r="Q1081" s="9">
        <f>Table1[[#This Row], [ROOM TIME]]+Table1[[#This Row], [GUARD TIME]]</f>
        <v>62.529999999999987</v>
      </c>
      <c r="R1081" s="4">
        <f>Sheet1!$K$3*_xlfn.XLOOKUP(Table1[[#This Row], [DISGUISE]],Sheet1!$A$21:$A$23,Sheet1!$D$21:$D$23)</f>
        <v>66</v>
      </c>
      <c r="S1081" s="9">
        <f>Table1[[#This Row], [TOTAL TIME]]-Table1[[#This Row], [TOTAL TIME TAKEN]]</f>
        <v>3.4700000000000131</v>
      </c>
      <c r="T1081" t="str">
        <f>IF(Table1[[#This Row], [TIME DIFFERENCE]]&gt;=0,"PASS","FAIL")</f>
        <v>PASS</v>
      </c>
      <c r="U1081" s="9">
        <f>Table1[[#This Row], [TRC]]+Table1[[#This Row], [DRC]]+Table1[[#This Row], [WRC]]+Table1[[#This Row], [ERC]]+Table1[[#This Row], [EQRC]]</f>
        <v>7962627.5999999996</v>
      </c>
      <c r="V1081" s="9">
        <f>Table1[[#This Row], [TOTAL COST]]+_xlfn.XLOOKUP(Table1[[#This Row], [TEAM]],Sheet1!$A$12:$A$17,Sheet1!$I$12:$I$17)</f>
        <v>8259275.0999999996</v>
      </c>
      <c r="W1081" s="9">
        <f>Table1[[#This Row], [LOOT]]-Table1[[#This Row], [TOTAL COST]]</f>
        <v>9537372.4000000004</v>
      </c>
      <c r="X1081" s="9">
        <f>IF(Table1[[#This Row], [PASS/FAIL]]="FAIL",0,Table1[[#This Row], [PROFIT]])</f>
        <v>9537372.4000000004</v>
      </c>
    </row>
    <row r="1082" spans="1:24" ht="19.5" customHeight="1" x14ac:dyDescent="0.45">
      <c r="A1082" t="s">
        <v>15</v>
      </c>
      <c r="B1082" s="14">
        <f>_xlfn.XLOOKUP(Table1[[#This Row], [TEAM]],Sheet1!$A$12:$A$17,Sheet1!$F$12:$F$17)</f>
        <v>2</v>
      </c>
      <c r="C1082" s="14">
        <f>_xlfn.XLOOKUP(Table1[[#This Row], [TEAM]],Sheet1!$A$12:$A$17,Sheet1!$G$12:$G$17)</f>
        <v>5932950</v>
      </c>
      <c r="D1082" t="s">
        <v>20</v>
      </c>
      <c r="E1082" s="4">
        <f>_xlfn.XLOOKUP(Table1[[#This Row], [ROOM]],Sheet1!$A$47:$A$66,Sheet1!$B$47:$B$66)</f>
        <v>145</v>
      </c>
      <c r="F1082" t="s">
        <v>62</v>
      </c>
      <c r="G1082" s="4">
        <f>_xlfn.XLOOKUP(Table1[[#This Row], [DISGUISE]],Sheet1!$A$21:$A$23,Sheet1!$B$21:$B$23)*Table1[[#This Row], [NUM OF MEM]]*(1+_xlfn.XLOOKUP(Table1[[#This Row], [DISGUISE]],Sheet1!$A$21:$A$23,Sheet1!$C$21:$C$23))</f>
        <v>10400</v>
      </c>
      <c r="H1082" s="13" t="s">
        <v>66</v>
      </c>
      <c r="I1082" s="4">
        <f>_xlfn.XLOOKUP(Table1[[#This Row], [WEAPON]],Sheet1!$A$27:$A$29,Sheet1!$B$27:$B$29)*Table1[[#This Row], [NUM OF MEM]]*(1+_xlfn.XLOOKUP(Table1[[#This Row], [WEAPON]],Sheet1!$A$27:$A$29,Sheet1!$C$27:$C$29))</f>
        <v>72000</v>
      </c>
      <c r="J1082" t="s">
        <v>60</v>
      </c>
      <c r="K1082" s="9">
        <f>Table1[[#This Row], [NUM OF MEM]]*Table1[[#This Row], [TOTAL TIME TAKEN]]*_xlfn.XLOOKUP(Table1[[#This Row], [EXIT]],Sheet1!$A$70:$A$71,Sheet1!$B$70:$B$71)*(1+_xlfn.XLOOKUP(Table1[[#This Row], [EXIT]],Sheet1!$A$70:$A$71,Sheet1!$C$70:$C$71))</f>
        <v>1689815.6812499992</v>
      </c>
      <c r="L1082" s="13" t="s">
        <v>65</v>
      </c>
      <c r="M1082" s="4">
        <f>IF(Table1[[#This Row], [EQUIPMENT]]="YES",Sheet1!$C$44*(1+Sheet1!$D$44),0)</f>
        <v>307500</v>
      </c>
      <c r="N1082" s="4">
        <f>_xlfn.XLOOKUP(Table1[[#This Row], [ROOM]],Sheet1!$A$47:$A$66,Sheet1!$F$47:$F$66)</f>
        <v>17550000</v>
      </c>
      <c r="O1082" s="9">
        <f>_xlfn.XLOOKUP(_xlfn.CONCAT(Table1[[#This Row], [TEAM]],Table1[[#This Row], [ROOM]]),'ROOM TIME'!$H$2:$H$121,'ROOM TIME'!$J$2:$J$121)</f>
        <v>59.591249999999981</v>
      </c>
      <c r="P1082" s="9">
        <f>(INDEX(Sheet1!$X$48:$Z$67,MATCH(Table1[[#This Row], [ROOM]],Sheet1!$P$48:$P$67,0),MATCH(Table1[[#This Row], [WEAPON]],Sheet1!$X$47:$Z$47,0)))/Table1[[#This Row], [NUM OF MEM]]</f>
        <v>6.25</v>
      </c>
      <c r="Q1082" s="9">
        <f>Table1[[#This Row], [ROOM TIME]]+Table1[[#This Row], [GUARD TIME]]</f>
        <v>65.841249999999974</v>
      </c>
      <c r="R1082" s="4">
        <f>Sheet1!$K$3*_xlfn.XLOOKUP(Table1[[#This Row], [DISGUISE]],Sheet1!$A$21:$A$23,Sheet1!$D$21:$D$23)</f>
        <v>66</v>
      </c>
      <c r="S1082" s="9">
        <f>Table1[[#This Row], [TOTAL TIME]]-Table1[[#This Row], [TOTAL TIME TAKEN]]</f>
        <v>0.15875000000002615</v>
      </c>
      <c r="T1082" t="str">
        <f>IF(Table1[[#This Row], [TIME DIFFERENCE]]&gt;=0,"PASS","FAIL")</f>
        <v>PASS</v>
      </c>
      <c r="U1082" s="9">
        <f>Table1[[#This Row], [TRC]]+Table1[[#This Row], [DRC]]+Table1[[#This Row], [WRC]]+Table1[[#This Row], [ERC]]+Table1[[#This Row], [EQRC]]</f>
        <v>8012665.6812499994</v>
      </c>
      <c r="V1082" s="9">
        <f>Table1[[#This Row], [TOTAL COST]]+_xlfn.XLOOKUP(Table1[[#This Row], [TEAM]],Sheet1!$A$12:$A$17,Sheet1!$I$12:$I$17)</f>
        <v>8309313.1812499994</v>
      </c>
      <c r="W1082" s="9">
        <f>Table1[[#This Row], [LOOT]]-Table1[[#This Row], [TOTAL COST]]</f>
        <v>9537334.3187500015</v>
      </c>
      <c r="X1082" s="9">
        <f>IF(Table1[[#This Row], [PASS/FAIL]]="FAIL",0,Table1[[#This Row], [PROFIT]])</f>
        <v>9537334.3187500015</v>
      </c>
    </row>
    <row r="1083" spans="1:24" ht="19.5" customHeight="1" x14ac:dyDescent="0.45">
      <c r="A1083" t="s">
        <v>12</v>
      </c>
      <c r="B1083" s="14">
        <f>_xlfn.XLOOKUP(Table1[[#This Row], [TEAM]],Sheet1!$A$12:$A$17,Sheet1!$F$12:$F$17)</f>
        <v>3</v>
      </c>
      <c r="C1083" s="14">
        <f>_xlfn.XLOOKUP(Table1[[#This Row], [TEAM]],Sheet1!$A$12:$A$17,Sheet1!$G$12:$G$17)</f>
        <v>5988750</v>
      </c>
      <c r="D1083" t="s">
        <v>22</v>
      </c>
      <c r="E1083" s="4">
        <f>_xlfn.XLOOKUP(Table1[[#This Row], [ROOM]],Sheet1!$A$47:$A$66,Sheet1!$B$47:$B$66)</f>
        <v>235</v>
      </c>
      <c r="F1083" t="s">
        <v>58</v>
      </c>
      <c r="G1083" s="4">
        <f>_xlfn.XLOOKUP(Table1[[#This Row], [DISGUISE]],Sheet1!$A$21:$A$23,Sheet1!$B$21:$B$23)*Table1[[#This Row], [NUM OF MEM]]*(1+_xlfn.XLOOKUP(Table1[[#This Row], [DISGUISE]],Sheet1!$A$21:$A$23,Sheet1!$C$21:$C$23))</f>
        <v>38400</v>
      </c>
      <c r="H1083" s="13" t="s">
        <v>59</v>
      </c>
      <c r="I1083" s="4">
        <f>_xlfn.XLOOKUP(Table1[[#This Row], [WEAPON]],Sheet1!$A$27:$A$29,Sheet1!$B$27:$B$29)*Table1[[#This Row], [NUM OF MEM]]*(1+_xlfn.XLOOKUP(Table1[[#This Row], [WEAPON]],Sheet1!$A$27:$A$29,Sheet1!$C$27:$C$29))</f>
        <v>136500</v>
      </c>
      <c r="J1083" t="s">
        <v>64</v>
      </c>
      <c r="K1083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1791590.3999999994</v>
      </c>
      <c r="L1083" s="13" t="s">
        <v>65</v>
      </c>
      <c r="M1083" s="4">
        <f>IF(Table1[[#This Row], [EQUIPMENT]]="YES",Sheet1!$C$44*(1+Sheet1!$D$44),0)</f>
        <v>307500</v>
      </c>
      <c r="N1083" s="4">
        <f>_xlfn.XLOOKUP(Table1[[#This Row], [ROOM]],Sheet1!$A$47:$A$66,Sheet1!$F$47:$F$66)</f>
        <v>17800000</v>
      </c>
      <c r="O1083" s="9">
        <f>_xlfn.XLOOKUP(_xlfn.CONCAT(Table1[[#This Row], [TEAM]],Table1[[#This Row], [ROOM]]),'ROOM TIME'!$H$2:$H$121,'ROOM TIME'!$J$2:$J$121)</f>
        <v>41.479999999999983</v>
      </c>
      <c r="P1083" s="9">
        <f>(INDEX(Sheet1!$X$48:$Z$67,MATCH(Table1[[#This Row], [ROOM]],Sheet1!$P$48:$P$67,0),MATCH(Table1[[#This Row], [WEAPON]],Sheet1!$X$47:$Z$47,0)))/Table1[[#This Row], [NUM OF MEM]]</f>
        <v>4.5999999999999996</v>
      </c>
      <c r="Q1083" s="9">
        <f>Table1[[#This Row], [ROOM TIME]]+Table1[[#This Row], [GUARD TIME]]</f>
        <v>46.079999999999984</v>
      </c>
      <c r="R1083" s="4">
        <f>Sheet1!$K$3*_xlfn.XLOOKUP(Table1[[#This Row], [DISGUISE]],Sheet1!$A$21:$A$23,Sheet1!$D$21:$D$23)</f>
        <v>69</v>
      </c>
      <c r="S1083" s="9">
        <f>Table1[[#This Row], [TOTAL TIME]]-Table1[[#This Row], [TOTAL TIME TAKEN]]</f>
        <v>22.920000000000016</v>
      </c>
      <c r="T1083" t="str">
        <f>IF(Table1[[#This Row], [TIME DIFFERENCE]]&gt;=0,"PASS","FAIL")</f>
        <v>PASS</v>
      </c>
      <c r="U1083" s="9">
        <f>Table1[[#This Row], [TRC]]+Table1[[#This Row], [DRC]]+Table1[[#This Row], [WRC]]+Table1[[#This Row], [ERC]]+Table1[[#This Row], [EQRC]]</f>
        <v>8262740.3999999994</v>
      </c>
      <c r="V1083" s="9">
        <f>Table1[[#This Row], [TOTAL COST]]+_xlfn.XLOOKUP(Table1[[#This Row], [TEAM]],Sheet1!$A$12:$A$17,Sheet1!$I$12:$I$17)</f>
        <v>8562177.8999999985</v>
      </c>
      <c r="W1083" s="9">
        <f>Table1[[#This Row], [LOOT]]-Table1[[#This Row], [TOTAL COST]]</f>
        <v>9537259.6000000015</v>
      </c>
      <c r="X1083" s="9">
        <f>IF(Table1[[#This Row], [PASS/FAIL]]="FAIL",0,Table1[[#This Row], [PROFIT]])</f>
        <v>9537259.6000000015</v>
      </c>
    </row>
    <row r="1084" spans="1:24" ht="19.5" customHeight="1" x14ac:dyDescent="0.45">
      <c r="A1084" t="s">
        <v>14</v>
      </c>
      <c r="B1084" s="14">
        <f>_xlfn.XLOOKUP(Table1[[#This Row], [TEAM]],Sheet1!$A$12:$A$17,Sheet1!$F$12:$F$17)</f>
        <v>2</v>
      </c>
      <c r="C1084" s="14">
        <f>_xlfn.XLOOKUP(Table1[[#This Row], [TEAM]],Sheet1!$A$12:$A$17,Sheet1!$G$12:$G$17)</f>
        <v>5949600</v>
      </c>
      <c r="D1084" t="s">
        <v>31</v>
      </c>
      <c r="E1084" s="4">
        <f>_xlfn.XLOOKUP(Table1[[#This Row], [ROOM]],Sheet1!$A$47:$A$66,Sheet1!$B$47:$B$66)</f>
        <v>256</v>
      </c>
      <c r="F1084" t="s">
        <v>58</v>
      </c>
      <c r="G1084" s="4">
        <f>_xlfn.XLOOKUP(Table1[[#This Row], [DISGUISE]],Sheet1!$A$21:$A$23,Sheet1!$B$21:$B$23)*Table1[[#This Row], [NUM OF MEM]]*(1+_xlfn.XLOOKUP(Table1[[#This Row], [DISGUISE]],Sheet1!$A$21:$A$23,Sheet1!$C$21:$C$23))</f>
        <v>25600</v>
      </c>
      <c r="H1084" s="13" t="s">
        <v>63</v>
      </c>
      <c r="I1084" s="4">
        <f>_xlfn.XLOOKUP(Table1[[#This Row], [WEAPON]],Sheet1!$A$27:$A$29,Sheet1!$B$27:$B$29)*Table1[[#This Row], [NUM OF MEM]]*(1+_xlfn.XLOOKUP(Table1[[#This Row], [WEAPON]],Sheet1!$A$27:$A$29,Sheet1!$C$27:$C$29))</f>
        <v>46000</v>
      </c>
      <c r="J1084" t="s">
        <v>60</v>
      </c>
      <c r="K1084" s="9">
        <f>Table1[[#This Row], [NUM OF MEM]]*Table1[[#This Row], [TOTAL TIME TAKEN]]*_xlfn.XLOOKUP(Table1[[#This Row], [EXIT]],Sheet1!$A$70:$A$71,Sheet1!$B$70:$B$71)*(1+_xlfn.XLOOKUP(Table1[[#This Row], [EXIT]],Sheet1!$A$70:$A$71,Sheet1!$C$70:$C$71))</f>
        <v>1634347.1999999993</v>
      </c>
      <c r="L1084" s="13" t="s">
        <v>65</v>
      </c>
      <c r="M1084" s="4">
        <f>IF(Table1[[#This Row], [EQUIPMENT]]="YES",Sheet1!$C$44*(1+Sheet1!$D$44),0)</f>
        <v>307500</v>
      </c>
      <c r="N1084" s="4">
        <f>_xlfn.XLOOKUP(Table1[[#This Row], [ROOM]],Sheet1!$A$47:$A$66,Sheet1!$F$47:$F$66)</f>
        <v>17500000</v>
      </c>
      <c r="O1084" s="9">
        <f>_xlfn.XLOOKUP(_xlfn.CONCAT(Table1[[#This Row], [TEAM]],Table1[[#This Row], [ROOM]]),'ROOM TIME'!$H$2:$H$121,'ROOM TIME'!$J$2:$J$121)</f>
        <v>56.254999999999981</v>
      </c>
      <c r="P1084" s="9">
        <f>(INDEX(Sheet1!$X$48:$Z$67,MATCH(Table1[[#This Row], [ROOM]],Sheet1!$P$48:$P$67,0),MATCH(Table1[[#This Row], [WEAPON]],Sheet1!$X$47:$Z$47,0)))/Table1[[#This Row], [NUM OF MEM]]</f>
        <v>7.4250000000000007</v>
      </c>
      <c r="Q1084" s="9">
        <f>Table1[[#This Row], [ROOM TIME]]+Table1[[#This Row], [GUARD TIME]]</f>
        <v>63.679999999999978</v>
      </c>
      <c r="R1084" s="4">
        <f>Sheet1!$K$3*_xlfn.XLOOKUP(Table1[[#This Row], [DISGUISE]],Sheet1!$A$21:$A$23,Sheet1!$D$21:$D$23)</f>
        <v>69</v>
      </c>
      <c r="S1084" s="9">
        <f>Table1[[#This Row], [TOTAL TIME]]-Table1[[#This Row], [TOTAL TIME TAKEN]]</f>
        <v>5.3200000000000216</v>
      </c>
      <c r="T1084" t="str">
        <f>IF(Table1[[#This Row], [TIME DIFFERENCE]]&gt;=0,"PASS","FAIL")</f>
        <v>PASS</v>
      </c>
      <c r="U1084" s="9">
        <f>Table1[[#This Row], [TRC]]+Table1[[#This Row], [DRC]]+Table1[[#This Row], [WRC]]+Table1[[#This Row], [ERC]]+Table1[[#This Row], [EQRC]]</f>
        <v>7963047.1999999993</v>
      </c>
      <c r="V1084" s="9">
        <f>Table1[[#This Row], [TOTAL COST]]+_xlfn.XLOOKUP(Table1[[#This Row], [TEAM]],Sheet1!$A$12:$A$17,Sheet1!$I$12:$I$17)</f>
        <v>8260527.1999999993</v>
      </c>
      <c r="W1084" s="9">
        <f>Table1[[#This Row], [LOOT]]-Table1[[#This Row], [TOTAL COST]]</f>
        <v>9536952.8000000007</v>
      </c>
      <c r="X1084" s="9">
        <f>IF(Table1[[#This Row], [PASS/FAIL]]="FAIL",0,Table1[[#This Row], [PROFIT]])</f>
        <v>9536952.8000000007</v>
      </c>
    </row>
    <row r="1085" spans="1:24" ht="19.5" customHeight="1" x14ac:dyDescent="0.45">
      <c r="A1085" t="s">
        <v>9</v>
      </c>
      <c r="B1085" s="14">
        <f>_xlfn.XLOOKUP(Table1[[#This Row], [TEAM]],Sheet1!$A$12:$A$17,Sheet1!$F$12:$F$17)</f>
        <v>3</v>
      </c>
      <c r="C1085" s="14">
        <f>_xlfn.XLOOKUP(Table1[[#This Row], [TEAM]],Sheet1!$A$12:$A$17,Sheet1!$G$12:$G$17)</f>
        <v>6238750</v>
      </c>
      <c r="D1085" t="s">
        <v>27</v>
      </c>
      <c r="E1085" s="4">
        <f>_xlfn.XLOOKUP(Table1[[#This Row], [ROOM]],Sheet1!$A$47:$A$66,Sheet1!$B$47:$B$66)</f>
        <v>146</v>
      </c>
      <c r="F1085" t="s">
        <v>58</v>
      </c>
      <c r="G1085" s="4">
        <f>_xlfn.XLOOKUP(Table1[[#This Row], [DISGUISE]],Sheet1!$A$21:$A$23,Sheet1!$B$21:$B$23)*Table1[[#This Row], [NUM OF MEM]]*(1+_xlfn.XLOOKUP(Table1[[#This Row], [DISGUISE]],Sheet1!$A$21:$A$23,Sheet1!$C$21:$C$23))</f>
        <v>38400</v>
      </c>
      <c r="H1085" s="13" t="s">
        <v>63</v>
      </c>
      <c r="I1085" s="4">
        <f>_xlfn.XLOOKUP(Table1[[#This Row], [WEAPON]],Sheet1!$A$27:$A$29,Sheet1!$B$27:$B$29)*Table1[[#This Row], [NUM OF MEM]]*(1+_xlfn.XLOOKUP(Table1[[#This Row], [WEAPON]],Sheet1!$A$27:$A$29,Sheet1!$C$27:$C$29))</f>
        <v>69000</v>
      </c>
      <c r="J1085" t="s">
        <v>60</v>
      </c>
      <c r="K1085" s="9">
        <f>Table1[[#This Row], [NUM OF MEM]]*Table1[[#This Row], [TOTAL TIME TAKEN]]*_xlfn.XLOOKUP(Table1[[#This Row], [EXIT]],Sheet1!$A$70:$A$71,Sheet1!$B$70:$B$71)*(1+_xlfn.XLOOKUP(Table1[[#This Row], [EXIT]],Sheet1!$A$70:$A$71,Sheet1!$C$70:$C$71))</f>
        <v>1559512.3374999997</v>
      </c>
      <c r="L1085" s="13" t="s">
        <v>65</v>
      </c>
      <c r="M1085" s="4">
        <f>IF(Table1[[#This Row], [EQUIPMENT]]="YES",Sheet1!$C$44*(1+Sheet1!$D$44),0)</f>
        <v>307500</v>
      </c>
      <c r="N1085" s="4">
        <f>_xlfn.XLOOKUP(Table1[[#This Row], [ROOM]],Sheet1!$A$47:$A$66,Sheet1!$F$47:$F$66)</f>
        <v>17750000</v>
      </c>
      <c r="O1085" s="9">
        <f>_xlfn.XLOOKUP(_xlfn.CONCAT(Table1[[#This Row], [TEAM]],Table1[[#This Row], [ROOM]]),'ROOM TIME'!$H$2:$H$121,'ROOM TIME'!$J$2:$J$121)</f>
        <v>35.559444444444431</v>
      </c>
      <c r="P1085" s="9">
        <f>(INDEX(Sheet1!$X$48:$Z$67,MATCH(Table1[[#This Row], [ROOM]],Sheet1!$P$48:$P$67,0),MATCH(Table1[[#This Row], [WEAPON]],Sheet1!$X$47:$Z$47,0)))/Table1[[#This Row], [NUM OF MEM]]</f>
        <v>4.95</v>
      </c>
      <c r="Q1085" s="9">
        <f>Table1[[#This Row], [ROOM TIME]]+Table1[[#This Row], [GUARD TIME]]</f>
        <v>40.509444444444433</v>
      </c>
      <c r="R1085" s="4">
        <f>Sheet1!$K$3*_xlfn.XLOOKUP(Table1[[#This Row], [DISGUISE]],Sheet1!$A$21:$A$23,Sheet1!$D$21:$D$23)</f>
        <v>69</v>
      </c>
      <c r="S1085" s="9">
        <f>Table1[[#This Row], [TOTAL TIME]]-Table1[[#This Row], [TOTAL TIME TAKEN]]</f>
        <v>28.490555555555567</v>
      </c>
      <c r="T1085" t="str">
        <f>IF(Table1[[#This Row], [TIME DIFFERENCE]]&gt;=0,"PASS","FAIL")</f>
        <v>PASS</v>
      </c>
      <c r="U1085" s="9">
        <f>Table1[[#This Row], [TRC]]+Table1[[#This Row], [DRC]]+Table1[[#This Row], [WRC]]+Table1[[#This Row], [ERC]]+Table1[[#This Row], [EQRC]]</f>
        <v>8213162.3374999994</v>
      </c>
      <c r="V1085" s="9">
        <f>Table1[[#This Row], [TOTAL COST]]+_xlfn.XLOOKUP(Table1[[#This Row], [TEAM]],Sheet1!$A$12:$A$17,Sheet1!$I$12:$I$17)</f>
        <v>8525099.8374999985</v>
      </c>
      <c r="W1085" s="9">
        <f>Table1[[#This Row], [LOOT]]-Table1[[#This Row], [TOTAL COST]]</f>
        <v>9536837.6625000015</v>
      </c>
      <c r="X1085" s="9">
        <f>IF(Table1[[#This Row], [PASS/FAIL]]="FAIL",0,Table1[[#This Row], [PROFIT]])</f>
        <v>9536837.6625000015</v>
      </c>
    </row>
    <row r="1086" spans="1:24" ht="19.5" customHeight="1" x14ac:dyDescent="0.45">
      <c r="A1086" t="s">
        <v>14</v>
      </c>
      <c r="B1086" s="14">
        <f>_xlfn.XLOOKUP(Table1[[#This Row], [TEAM]],Sheet1!$A$12:$A$17,Sheet1!$F$12:$F$17)</f>
        <v>2</v>
      </c>
      <c r="C1086" s="14">
        <f>_xlfn.XLOOKUP(Table1[[#This Row], [TEAM]],Sheet1!$A$12:$A$17,Sheet1!$G$12:$G$17)</f>
        <v>5949600</v>
      </c>
      <c r="D1086" t="s">
        <v>31</v>
      </c>
      <c r="E1086" s="4">
        <f>_xlfn.XLOOKUP(Table1[[#This Row], [ROOM]],Sheet1!$A$47:$A$66,Sheet1!$B$47:$B$66)</f>
        <v>256</v>
      </c>
      <c r="F1086" t="s">
        <v>62</v>
      </c>
      <c r="G1086" s="4">
        <f>_xlfn.XLOOKUP(Table1[[#This Row], [DISGUISE]],Sheet1!$A$21:$A$23,Sheet1!$B$21:$B$23)*Table1[[#This Row], [NUM OF MEM]]*(1+_xlfn.XLOOKUP(Table1[[#This Row], [DISGUISE]],Sheet1!$A$21:$A$23,Sheet1!$C$21:$C$23))</f>
        <v>10400</v>
      </c>
      <c r="H1086" s="13" t="s">
        <v>63</v>
      </c>
      <c r="I1086" s="4">
        <f>_xlfn.XLOOKUP(Table1[[#This Row], [WEAPON]],Sheet1!$A$27:$A$29,Sheet1!$B$27:$B$29)*Table1[[#This Row], [NUM OF MEM]]*(1+_xlfn.XLOOKUP(Table1[[#This Row], [WEAPON]],Sheet1!$A$27:$A$29,Sheet1!$C$27:$C$29))</f>
        <v>46000</v>
      </c>
      <c r="J1086" t="s">
        <v>64</v>
      </c>
      <c r="K1086" s="9">
        <f>Table1[[#This Row], [NUM OF MEM]]*Table1[[#This Row], [TOTAL TIME TAKEN]]*_xlfn.XLOOKUP(Table1[[#This Row], [EXIT]],Sheet1!$A$70:$A$71,Sheet1!$B$70:$B$71)*(1+_xlfn.XLOOKUP(Table1[[#This Row], [EXIT]],Sheet1!$A$70:$A$71,Sheet1!$C$70:$C$71))</f>
        <v>1650585.5999999994</v>
      </c>
      <c r="L1086" s="13" t="s">
        <v>65</v>
      </c>
      <c r="M1086" s="4">
        <f>IF(Table1[[#This Row], [EQUIPMENT]]="YES",Sheet1!$C$44*(1+Sheet1!$D$44),0)</f>
        <v>307500</v>
      </c>
      <c r="N1086" s="4">
        <f>_xlfn.XLOOKUP(Table1[[#This Row], [ROOM]],Sheet1!$A$47:$A$66,Sheet1!$F$47:$F$66)</f>
        <v>17500000</v>
      </c>
      <c r="O1086" s="9">
        <f>_xlfn.XLOOKUP(_xlfn.CONCAT(Table1[[#This Row], [TEAM]],Table1[[#This Row], [ROOM]]),'ROOM TIME'!$H$2:$H$121,'ROOM TIME'!$J$2:$J$121)</f>
        <v>56.254999999999981</v>
      </c>
      <c r="P1086" s="9">
        <f>(INDEX(Sheet1!$X$48:$Z$67,MATCH(Table1[[#This Row], [ROOM]],Sheet1!$P$48:$P$67,0),MATCH(Table1[[#This Row], [WEAPON]],Sheet1!$X$47:$Z$47,0)))/Table1[[#This Row], [NUM OF MEM]]</f>
        <v>7.4250000000000007</v>
      </c>
      <c r="Q1086" s="9">
        <f>Table1[[#This Row], [ROOM TIME]]+Table1[[#This Row], [GUARD TIME]]</f>
        <v>63.679999999999978</v>
      </c>
      <c r="R1086" s="4">
        <f>Sheet1!$K$3*_xlfn.XLOOKUP(Table1[[#This Row], [DISGUISE]],Sheet1!$A$21:$A$23,Sheet1!$D$21:$D$23)</f>
        <v>66</v>
      </c>
      <c r="S1086" s="9">
        <f>Table1[[#This Row], [TOTAL TIME]]-Table1[[#This Row], [TOTAL TIME TAKEN]]</f>
        <v>2.3200000000000216</v>
      </c>
      <c r="T1086" t="str">
        <f>IF(Table1[[#This Row], [TIME DIFFERENCE]]&gt;=0,"PASS","FAIL")</f>
        <v>PASS</v>
      </c>
      <c r="U1086" s="9">
        <f>Table1[[#This Row], [TRC]]+Table1[[#This Row], [DRC]]+Table1[[#This Row], [WRC]]+Table1[[#This Row], [ERC]]+Table1[[#This Row], [EQRC]]</f>
        <v>7964085.5999999996</v>
      </c>
      <c r="V1086" s="9">
        <f>Table1[[#This Row], [TOTAL COST]]+_xlfn.XLOOKUP(Table1[[#This Row], [TEAM]],Sheet1!$A$12:$A$17,Sheet1!$I$12:$I$17)</f>
        <v>8261565.5999999996</v>
      </c>
      <c r="W1086" s="9">
        <f>Table1[[#This Row], [LOOT]]-Table1[[#This Row], [TOTAL COST]]</f>
        <v>9535914.4000000004</v>
      </c>
      <c r="X1086" s="9">
        <f>IF(Table1[[#This Row], [PASS/FAIL]]="FAIL",0,Table1[[#This Row], [PROFIT]])</f>
        <v>9535914.4000000004</v>
      </c>
    </row>
    <row r="1087" spans="1:24" ht="19.5" customHeight="1" x14ac:dyDescent="0.45">
      <c r="A1087" t="s">
        <v>13</v>
      </c>
      <c r="B1087" s="14">
        <f>_xlfn.XLOOKUP(Table1[[#This Row], [TEAM]],Sheet1!$A$12:$A$17,Sheet1!$F$12:$F$17)</f>
        <v>3</v>
      </c>
      <c r="C1087" s="14">
        <f>_xlfn.XLOOKUP(Table1[[#This Row], [TEAM]],Sheet1!$A$12:$A$17,Sheet1!$G$12:$G$17)</f>
        <v>5930000</v>
      </c>
      <c r="D1087" t="s">
        <v>23</v>
      </c>
      <c r="E1087" s="4">
        <f>_xlfn.XLOOKUP(Table1[[#This Row], [ROOM]],Sheet1!$A$47:$A$66,Sheet1!$B$47:$B$66)</f>
        <v>245</v>
      </c>
      <c r="F1087" t="s">
        <v>62</v>
      </c>
      <c r="G108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87" s="13" t="s">
        <v>59</v>
      </c>
      <c r="I1087" s="4">
        <f>_xlfn.XLOOKUP(Table1[[#This Row], [WEAPON]],Sheet1!$A$27:$A$29,Sheet1!$B$27:$B$29)*Table1[[#This Row], [NUM OF MEM]]*(1+_xlfn.XLOOKUP(Table1[[#This Row], [WEAPON]],Sheet1!$A$27:$A$29,Sheet1!$C$27:$C$29))</f>
        <v>136500</v>
      </c>
      <c r="J1087" t="s">
        <v>60</v>
      </c>
      <c r="K1087" s="9">
        <f>Table1[[#This Row], [NUM OF MEM]]*Table1[[#This Row], [TOTAL TIME TAKEN]]*_xlfn.XLOOKUP(Table1[[#This Row], [EXIT]],Sheet1!$A$70:$A$71,Sheet1!$B$70:$B$71)*(1+_xlfn.XLOOKUP(Table1[[#This Row], [EXIT]],Sheet1!$A$70:$A$71,Sheet1!$C$70:$C$71))</f>
        <v>1782241.7625</v>
      </c>
      <c r="L1087" s="13" t="s">
        <v>61</v>
      </c>
      <c r="M1087" s="4">
        <f>IF(Table1[[#This Row], [EQUIPMENT]]="YES",Sheet1!$C$44*(1+Sheet1!$D$44),0)</f>
        <v>0</v>
      </c>
      <c r="N1087" s="4">
        <f>_xlfn.XLOOKUP(Table1[[#This Row], [ROOM]],Sheet1!$A$47:$A$66,Sheet1!$F$47:$F$66)</f>
        <v>17400000</v>
      </c>
      <c r="O1087" s="9">
        <f>_xlfn.XLOOKUP(_xlfn.CONCAT(Table1[[#This Row], [TEAM]],Table1[[#This Row], [ROOM]]),'ROOM TIME'!$H$2:$H$121,'ROOM TIME'!$J$2:$J$121)</f>
        <v>42.078333333333326</v>
      </c>
      <c r="P1087" s="9">
        <f>(INDEX(Sheet1!$X$48:$Z$67,MATCH(Table1[[#This Row], [ROOM]],Sheet1!$P$48:$P$67,0),MATCH(Table1[[#This Row], [WEAPON]],Sheet1!$X$47:$Z$47,0)))/Table1[[#This Row], [NUM OF MEM]]</f>
        <v>4.2166666666666659</v>
      </c>
      <c r="Q1087" s="9">
        <f>Table1[[#This Row], [ROOM TIME]]+Table1[[#This Row], [GUARD TIME]]</f>
        <v>46.294999999999995</v>
      </c>
      <c r="R1087" s="4">
        <f>Sheet1!$K$3*_xlfn.XLOOKUP(Table1[[#This Row], [DISGUISE]],Sheet1!$A$21:$A$23,Sheet1!$D$21:$D$23)</f>
        <v>66</v>
      </c>
      <c r="S1087" s="9">
        <f>Table1[[#This Row], [TOTAL TIME]]-Table1[[#This Row], [TOTAL TIME TAKEN]]</f>
        <v>19.705000000000005</v>
      </c>
      <c r="T1087" t="str">
        <f>IF(Table1[[#This Row], [TIME DIFFERENCE]]&gt;=0,"PASS","FAIL")</f>
        <v>PASS</v>
      </c>
      <c r="U1087" s="9">
        <f>Table1[[#This Row], [TRC]]+Table1[[#This Row], [DRC]]+Table1[[#This Row], [WRC]]+Table1[[#This Row], [ERC]]+Table1[[#This Row], [EQRC]]</f>
        <v>7864341.7625000002</v>
      </c>
      <c r="V1087" s="9">
        <f>Table1[[#This Row], [TOTAL COST]]+_xlfn.XLOOKUP(Table1[[#This Row], [TEAM]],Sheet1!$A$12:$A$17,Sheet1!$I$12:$I$17)</f>
        <v>8160841.7625000002</v>
      </c>
      <c r="W1087" s="9">
        <f>Table1[[#This Row], [LOOT]]-Table1[[#This Row], [TOTAL COST]]</f>
        <v>9535658.2375000007</v>
      </c>
      <c r="X1087" s="9">
        <f>IF(Table1[[#This Row], [PASS/FAIL]]="FAIL",0,Table1[[#This Row], [PROFIT]])</f>
        <v>9535658.2375000007</v>
      </c>
    </row>
    <row r="1088" spans="1:24" ht="19.5" customHeight="1" x14ac:dyDescent="0.45">
      <c r="A1088" t="s">
        <v>12</v>
      </c>
      <c r="B1088" s="14">
        <f>_xlfn.XLOOKUP(Table1[[#This Row], [TEAM]],Sheet1!$A$12:$A$17,Sheet1!$F$12:$F$17)</f>
        <v>3</v>
      </c>
      <c r="C1088" s="14">
        <f>_xlfn.XLOOKUP(Table1[[#This Row], [TEAM]],Sheet1!$A$12:$A$17,Sheet1!$G$12:$G$17)</f>
        <v>5988750</v>
      </c>
      <c r="D1088" t="s">
        <v>17</v>
      </c>
      <c r="E1088" s="4">
        <f>_xlfn.XLOOKUP(Table1[[#This Row], [ROOM]],Sheet1!$A$47:$A$66,Sheet1!$B$47:$B$66)</f>
        <v>125</v>
      </c>
      <c r="F1088" t="s">
        <v>58</v>
      </c>
      <c r="G1088" s="4">
        <f>_xlfn.XLOOKUP(Table1[[#This Row], [DISGUISE]],Sheet1!$A$21:$A$23,Sheet1!$B$21:$B$23)*Table1[[#This Row], [NUM OF MEM]]*(1+_xlfn.XLOOKUP(Table1[[#This Row], [DISGUISE]],Sheet1!$A$21:$A$23,Sheet1!$C$21:$C$23))</f>
        <v>38400</v>
      </c>
      <c r="H1088" s="13" t="s">
        <v>63</v>
      </c>
      <c r="I1088" s="4">
        <f>_xlfn.XLOOKUP(Table1[[#This Row], [WEAPON]],Sheet1!$A$27:$A$29,Sheet1!$B$27:$B$29)*Table1[[#This Row], [NUM OF MEM]]*(1+_xlfn.XLOOKUP(Table1[[#This Row], [WEAPON]],Sheet1!$A$27:$A$29,Sheet1!$C$27:$C$29))</f>
        <v>69000</v>
      </c>
      <c r="J1088" t="s">
        <v>60</v>
      </c>
      <c r="K1088" s="9">
        <f>Table1[[#This Row], [NUM OF MEM]]*Table1[[#This Row], [TOTAL TIME TAKEN]]*_xlfn.XLOOKUP(Table1[[#This Row], [EXIT]],Sheet1!$A$70:$A$71,Sheet1!$B$70:$B$71)*(1+_xlfn.XLOOKUP(Table1[[#This Row], [EXIT]],Sheet1!$A$70:$A$71,Sheet1!$C$70:$C$71))</f>
        <v>1718228.9749999992</v>
      </c>
      <c r="L1088" s="13" t="s">
        <v>61</v>
      </c>
      <c r="M1088" s="4">
        <f>IF(Table1[[#This Row], [EQUIPMENT]]="YES",Sheet1!$C$44*(1+Sheet1!$D$44),0)</f>
        <v>0</v>
      </c>
      <c r="N1088" s="4">
        <f>_xlfn.XLOOKUP(Table1[[#This Row], [ROOM]],Sheet1!$A$47:$A$66,Sheet1!$F$47:$F$66)</f>
        <v>17350000</v>
      </c>
      <c r="O1088" s="9">
        <f>_xlfn.XLOOKUP(_xlfn.CONCAT(Table1[[#This Row], [TEAM]],Table1[[#This Row], [ROOM]]),'ROOM TIME'!$H$2:$H$121,'ROOM TIME'!$J$2:$J$121)</f>
        <v>40.132222222222204</v>
      </c>
      <c r="P1088" s="9">
        <f>(INDEX(Sheet1!$X$48:$Z$67,MATCH(Table1[[#This Row], [ROOM]],Sheet1!$P$48:$P$67,0),MATCH(Table1[[#This Row], [WEAPON]],Sheet1!$X$47:$Z$47,0)))/Table1[[#This Row], [NUM OF MEM]]</f>
        <v>4.5</v>
      </c>
      <c r="Q1088" s="9">
        <f>Table1[[#This Row], [ROOM TIME]]+Table1[[#This Row], [GUARD TIME]]</f>
        <v>44.632222222222204</v>
      </c>
      <c r="R1088" s="4">
        <f>Sheet1!$K$3*_xlfn.XLOOKUP(Table1[[#This Row], [DISGUISE]],Sheet1!$A$21:$A$23,Sheet1!$D$21:$D$23)</f>
        <v>69</v>
      </c>
      <c r="S1088" s="9">
        <f>Table1[[#This Row], [TOTAL TIME]]-Table1[[#This Row], [TOTAL TIME TAKEN]]</f>
        <v>24.367777777777796</v>
      </c>
      <c r="T1088" t="str">
        <f>IF(Table1[[#This Row], [TIME DIFFERENCE]]&gt;=0,"PASS","FAIL")</f>
        <v>PASS</v>
      </c>
      <c r="U1088" s="9">
        <f>Table1[[#This Row], [TRC]]+Table1[[#This Row], [DRC]]+Table1[[#This Row], [WRC]]+Table1[[#This Row], [ERC]]+Table1[[#This Row], [EQRC]]</f>
        <v>7814378.9749999996</v>
      </c>
      <c r="V1088" s="9">
        <f>Table1[[#This Row], [TOTAL COST]]+_xlfn.XLOOKUP(Table1[[#This Row], [TEAM]],Sheet1!$A$12:$A$17,Sheet1!$I$12:$I$17)</f>
        <v>8113816.4749999996</v>
      </c>
      <c r="W1088" s="9">
        <f>Table1[[#This Row], [LOOT]]-Table1[[#This Row], [TOTAL COST]]</f>
        <v>9535621.0250000004</v>
      </c>
      <c r="X1088" s="9">
        <f>IF(Table1[[#This Row], [PASS/FAIL]]="FAIL",0,Table1[[#This Row], [PROFIT]])</f>
        <v>9535621.0250000004</v>
      </c>
    </row>
    <row r="1089" spans="1:24" ht="19.5" customHeight="1" x14ac:dyDescent="0.45">
      <c r="A1089" t="s">
        <v>14</v>
      </c>
      <c r="B1089" s="14">
        <f>_xlfn.XLOOKUP(Table1[[#This Row], [TEAM]],Sheet1!$A$12:$A$17,Sheet1!$F$12:$F$17)</f>
        <v>2</v>
      </c>
      <c r="C1089" s="14">
        <f>_xlfn.XLOOKUP(Table1[[#This Row], [TEAM]],Sheet1!$A$12:$A$17,Sheet1!$G$12:$G$17)</f>
        <v>5949600</v>
      </c>
      <c r="D1089" t="s">
        <v>31</v>
      </c>
      <c r="E1089" s="4">
        <f>_xlfn.XLOOKUP(Table1[[#This Row], [ROOM]],Sheet1!$A$47:$A$66,Sheet1!$B$47:$B$66)</f>
        <v>256</v>
      </c>
      <c r="F1089" t="s">
        <v>62</v>
      </c>
      <c r="G1089" s="4">
        <f>_xlfn.XLOOKUP(Table1[[#This Row], [DISGUISE]],Sheet1!$A$21:$A$23,Sheet1!$B$21:$B$23)*Table1[[#This Row], [NUM OF MEM]]*(1+_xlfn.XLOOKUP(Table1[[#This Row], [DISGUISE]],Sheet1!$A$21:$A$23,Sheet1!$C$21:$C$23))</f>
        <v>10400</v>
      </c>
      <c r="H1089" s="13" t="s">
        <v>59</v>
      </c>
      <c r="I1089" s="4">
        <f>_xlfn.XLOOKUP(Table1[[#This Row], [WEAPON]],Sheet1!$A$27:$A$29,Sheet1!$B$27:$B$29)*Table1[[#This Row], [NUM OF MEM]]*(1+_xlfn.XLOOKUP(Table1[[#This Row], [WEAPON]],Sheet1!$A$27:$A$29,Sheet1!$C$27:$C$29))</f>
        <v>91000</v>
      </c>
      <c r="J1089" t="s">
        <v>60</v>
      </c>
      <c r="K1089" s="9">
        <f>Table1[[#This Row], [NUM OF MEM]]*Table1[[#This Row], [TOTAL TIME TAKEN]]*_xlfn.XLOOKUP(Table1[[#This Row], [EXIT]],Sheet1!$A$70:$A$71,Sheet1!$B$70:$B$71)*(1+_xlfn.XLOOKUP(Table1[[#This Row], [EXIT]],Sheet1!$A$70:$A$71,Sheet1!$C$70:$C$71))</f>
        <v>1606115.6999999997</v>
      </c>
      <c r="L1089" s="13" t="s">
        <v>65</v>
      </c>
      <c r="M1089" s="4">
        <f>IF(Table1[[#This Row], [EQUIPMENT]]="YES",Sheet1!$C$44*(1+Sheet1!$D$44),0)</f>
        <v>307500</v>
      </c>
      <c r="N1089" s="4">
        <f>_xlfn.XLOOKUP(Table1[[#This Row], [ROOM]],Sheet1!$A$47:$A$66,Sheet1!$F$47:$F$66)</f>
        <v>17500000</v>
      </c>
      <c r="O1089" s="9">
        <f>_xlfn.XLOOKUP(_xlfn.CONCAT(Table1[[#This Row], [TEAM]],Table1[[#This Row], [ROOM]]),'ROOM TIME'!$H$2:$H$121,'ROOM TIME'!$J$2:$J$121)</f>
        <v>56.254999999999981</v>
      </c>
      <c r="P1089" s="9">
        <f>(INDEX(Sheet1!$X$48:$Z$67,MATCH(Table1[[#This Row], [ROOM]],Sheet1!$P$48:$P$67,0),MATCH(Table1[[#This Row], [WEAPON]],Sheet1!$X$47:$Z$47,0)))/Table1[[#This Row], [NUM OF MEM]]</f>
        <v>6.3249999999999993</v>
      </c>
      <c r="Q1089" s="9">
        <f>Table1[[#This Row], [ROOM TIME]]+Table1[[#This Row], [GUARD TIME]]</f>
        <v>62.579999999999984</v>
      </c>
      <c r="R1089" s="4">
        <f>Sheet1!$K$3*_xlfn.XLOOKUP(Table1[[#This Row], [DISGUISE]],Sheet1!$A$21:$A$23,Sheet1!$D$21:$D$23)</f>
        <v>66</v>
      </c>
      <c r="S1089" s="9">
        <f>Table1[[#This Row], [TOTAL TIME]]-Table1[[#This Row], [TOTAL TIME TAKEN]]</f>
        <v>3.4200000000000159</v>
      </c>
      <c r="T1089" t="str">
        <f>IF(Table1[[#This Row], [TIME DIFFERENCE]]&gt;=0,"PASS","FAIL")</f>
        <v>PASS</v>
      </c>
      <c r="U1089" s="9">
        <f>Table1[[#This Row], [TRC]]+Table1[[#This Row], [DRC]]+Table1[[#This Row], [WRC]]+Table1[[#This Row], [ERC]]+Table1[[#This Row], [EQRC]]</f>
        <v>7964615.6999999993</v>
      </c>
      <c r="V1089" s="9">
        <f>Table1[[#This Row], [TOTAL COST]]+_xlfn.XLOOKUP(Table1[[#This Row], [TEAM]],Sheet1!$A$12:$A$17,Sheet1!$I$12:$I$17)</f>
        <v>8262095.6999999993</v>
      </c>
      <c r="W1089" s="9">
        <f>Table1[[#This Row], [LOOT]]-Table1[[#This Row], [TOTAL COST]]</f>
        <v>9535384.3000000007</v>
      </c>
      <c r="X1089" s="9">
        <f>IF(Table1[[#This Row], [PASS/FAIL]]="FAIL",0,Table1[[#This Row], [PROFIT]])</f>
        <v>9535384.3000000007</v>
      </c>
    </row>
    <row r="1090" spans="1:24" ht="19.5" customHeight="1" x14ac:dyDescent="0.45">
      <c r="A1090" t="s">
        <v>15</v>
      </c>
      <c r="B1090" s="14">
        <f>_xlfn.XLOOKUP(Table1[[#This Row], [TEAM]],Sheet1!$A$12:$A$17,Sheet1!$F$12:$F$17)</f>
        <v>2</v>
      </c>
      <c r="C1090" s="14">
        <f>_xlfn.XLOOKUP(Table1[[#This Row], [TEAM]],Sheet1!$A$12:$A$17,Sheet1!$G$12:$G$17)</f>
        <v>5932950</v>
      </c>
      <c r="D1090" t="s">
        <v>20</v>
      </c>
      <c r="E1090" s="4">
        <f>_xlfn.XLOOKUP(Table1[[#This Row], [ROOM]],Sheet1!$A$47:$A$66,Sheet1!$B$47:$B$66)</f>
        <v>145</v>
      </c>
      <c r="F1090" t="s">
        <v>58</v>
      </c>
      <c r="G1090" s="4">
        <f>_xlfn.XLOOKUP(Table1[[#This Row], [DISGUISE]],Sheet1!$A$21:$A$23,Sheet1!$B$21:$B$23)*Table1[[#This Row], [NUM OF MEM]]*(1+_xlfn.XLOOKUP(Table1[[#This Row], [DISGUISE]],Sheet1!$A$21:$A$23,Sheet1!$C$21:$C$23))</f>
        <v>25600</v>
      </c>
      <c r="H1090" s="13" t="s">
        <v>63</v>
      </c>
      <c r="I1090" s="4">
        <f>_xlfn.XLOOKUP(Table1[[#This Row], [WEAPON]],Sheet1!$A$27:$A$29,Sheet1!$B$27:$B$29)*Table1[[#This Row], [NUM OF MEM]]*(1+_xlfn.XLOOKUP(Table1[[#This Row], [WEAPON]],Sheet1!$A$27:$A$29,Sheet1!$C$27:$C$29))</f>
        <v>46000</v>
      </c>
      <c r="J1090" t="s">
        <v>60</v>
      </c>
      <c r="K1090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1702648.1812499992</v>
      </c>
      <c r="L1090" s="13" t="s">
        <v>65</v>
      </c>
      <c r="M1090" s="4">
        <f>IF(Table1[[#This Row], [EQUIPMENT]]="YES",Sheet1!$C$44*(1+Sheet1!$D$44),0)</f>
        <v>307500</v>
      </c>
      <c r="N1090" s="4">
        <f>_xlfn.XLOOKUP(Table1[[#This Row], [ROOM]],Sheet1!$A$47:$A$66,Sheet1!$F$47:$F$66)</f>
        <v>17550000</v>
      </c>
      <c r="O1090" s="9">
        <f>_xlfn.XLOOKUP(_xlfn.CONCAT(Table1[[#This Row], [TEAM]],Table1[[#This Row], [ROOM]]),'ROOM TIME'!$H$2:$H$121,'ROOM TIME'!$J$2:$J$121)</f>
        <v>59.591249999999981</v>
      </c>
      <c r="P1090" s="9">
        <f>(INDEX(Sheet1!$X$48:$Z$67,MATCH(Table1[[#This Row], [ROOM]],Sheet1!$P$48:$P$67,0),MATCH(Table1[[#This Row], [WEAPON]],Sheet1!$X$47:$Z$47,0)))/Table1[[#This Row], [NUM OF MEM]]</f>
        <v>6.75</v>
      </c>
      <c r="Q1090" s="9">
        <f>Table1[[#This Row], [ROOM TIME]]+Table1[[#This Row], [GUARD TIME]]</f>
        <v>66.341249999999974</v>
      </c>
      <c r="R1090" s="4">
        <f>Sheet1!$K$3*_xlfn.XLOOKUP(Table1[[#This Row], [DISGUISE]],Sheet1!$A$21:$A$23,Sheet1!$D$21:$D$23)</f>
        <v>69</v>
      </c>
      <c r="S1090" s="9">
        <f>Table1[[#This Row], [TOTAL TIME]]-Table1[[#This Row], [TOTAL TIME TAKEN]]</f>
        <v>2.6587500000000261</v>
      </c>
      <c r="T1090" t="str">
        <f>IF(Table1[[#This Row], [TIME DIFFERENCE]]&gt;=0,"PASS","FAIL")</f>
        <v>PASS</v>
      </c>
      <c r="U1090" s="9">
        <f>Table1[[#This Row], [TRC]]+Table1[[#This Row], [DRC]]+Table1[[#This Row], [WRC]]+Table1[[#This Row], [ERC]]+Table1[[#This Row], [EQRC]]</f>
        <v>8014698.1812499994</v>
      </c>
      <c r="V1090" s="9">
        <f>Table1[[#This Row], [TOTAL COST]]+_xlfn.XLOOKUP(Table1[[#This Row], [TEAM]],Sheet1!$A$12:$A$17,Sheet1!$I$12:$I$17)</f>
        <v>8311345.6812499994</v>
      </c>
      <c r="W1090" s="9">
        <f>Table1[[#This Row], [LOOT]]-Table1[[#This Row], [TOTAL COST]]</f>
        <v>9535301.8187500015</v>
      </c>
      <c r="X1090" s="9">
        <f>IF(Table1[[#This Row], [PASS/FAIL]]="FAIL",0,Table1[[#This Row], [PROFIT]])</f>
        <v>9535301.8187500015</v>
      </c>
    </row>
    <row r="1091" spans="1:24" ht="19.5" customHeight="1" x14ac:dyDescent="0.45">
      <c r="A1091" t="s">
        <v>9</v>
      </c>
      <c r="B1091" s="14">
        <f>_xlfn.XLOOKUP(Table1[[#This Row], [TEAM]],Sheet1!$A$12:$A$17,Sheet1!$F$12:$F$17)</f>
        <v>3</v>
      </c>
      <c r="C1091" s="14">
        <f>_xlfn.XLOOKUP(Table1[[#This Row], [TEAM]],Sheet1!$A$12:$A$17,Sheet1!$G$12:$G$17)</f>
        <v>6238750</v>
      </c>
      <c r="D1091" t="s">
        <v>20</v>
      </c>
      <c r="E1091" s="4">
        <f>_xlfn.XLOOKUP(Table1[[#This Row], [ROOM]],Sheet1!$A$47:$A$66,Sheet1!$B$47:$B$66)</f>
        <v>145</v>
      </c>
      <c r="F1091" t="s">
        <v>58</v>
      </c>
      <c r="G1091" s="4">
        <f>_xlfn.XLOOKUP(Table1[[#This Row], [DISGUISE]],Sheet1!$A$21:$A$23,Sheet1!$B$21:$B$23)*Table1[[#This Row], [NUM OF MEM]]*(1+_xlfn.XLOOKUP(Table1[[#This Row], [DISGUISE]],Sheet1!$A$21:$A$23,Sheet1!$C$21:$C$23))</f>
        <v>38400</v>
      </c>
      <c r="H1091" s="13" t="s">
        <v>59</v>
      </c>
      <c r="I1091" s="4">
        <f>_xlfn.XLOOKUP(Table1[[#This Row], [WEAPON]],Sheet1!$A$27:$A$29,Sheet1!$B$27:$B$29)*Table1[[#This Row], [NUM OF MEM]]*(1+_xlfn.XLOOKUP(Table1[[#This Row], [WEAPON]],Sheet1!$A$27:$A$29,Sheet1!$C$27:$C$29))</f>
        <v>136500</v>
      </c>
      <c r="J1091" t="s">
        <v>60</v>
      </c>
      <c r="K1091" s="9">
        <f>Table1[[#This Row], [NUM OF MEM]]*Table1[[#This Row], [TOTAL TIME TAKEN]]*_xlfn.XLOOKUP(Table1[[#This Row], [EXIT]],Sheet1!$A$70:$A$71,Sheet1!$B$70:$B$71)*(1+_xlfn.XLOOKUP(Table1[[#This Row], [EXIT]],Sheet1!$A$70:$A$71,Sheet1!$C$70:$C$71))</f>
        <v>1601474.6124999996</v>
      </c>
      <c r="L1091" s="13" t="s">
        <v>61</v>
      </c>
      <c r="M1091" s="4">
        <f>IF(Table1[[#This Row], [EQUIPMENT]]="YES",Sheet1!$C$44*(1+Sheet1!$D$44),0)</f>
        <v>0</v>
      </c>
      <c r="N1091" s="4">
        <f>_xlfn.XLOOKUP(Table1[[#This Row], [ROOM]],Sheet1!$A$47:$A$66,Sheet1!$F$47:$F$66)</f>
        <v>17550000</v>
      </c>
      <c r="O1091" s="9">
        <f>_xlfn.XLOOKUP(_xlfn.CONCAT(Table1[[#This Row], [TEAM]],Table1[[#This Row], [ROOM]]),'ROOM TIME'!$H$2:$H$121,'ROOM TIME'!$J$2:$J$121)</f>
        <v>37.766111111111101</v>
      </c>
      <c r="P1091" s="9">
        <f>(INDEX(Sheet1!$X$48:$Z$67,MATCH(Table1[[#This Row], [ROOM]],Sheet1!$P$48:$P$67,0),MATCH(Table1[[#This Row], [WEAPON]],Sheet1!$X$47:$Z$47,0)))/Table1[[#This Row], [NUM OF MEM]]</f>
        <v>3.8333333333333335</v>
      </c>
      <c r="Q1091" s="9">
        <f>Table1[[#This Row], [ROOM TIME]]+Table1[[#This Row], [GUARD TIME]]</f>
        <v>41.599444444444437</v>
      </c>
      <c r="R1091" s="4">
        <f>Sheet1!$K$3*_xlfn.XLOOKUP(Table1[[#This Row], [DISGUISE]],Sheet1!$A$21:$A$23,Sheet1!$D$21:$D$23)</f>
        <v>69</v>
      </c>
      <c r="S1091" s="9">
        <f>Table1[[#This Row], [TOTAL TIME]]-Table1[[#This Row], [TOTAL TIME TAKEN]]</f>
        <v>27.400555555555563</v>
      </c>
      <c r="T1091" t="str">
        <f>IF(Table1[[#This Row], [TIME DIFFERENCE]]&gt;=0,"PASS","FAIL")</f>
        <v>PASS</v>
      </c>
      <c r="U1091" s="9">
        <f>Table1[[#This Row], [TRC]]+Table1[[#This Row], [DRC]]+Table1[[#This Row], [WRC]]+Table1[[#This Row], [ERC]]+Table1[[#This Row], [EQRC]]</f>
        <v>8015124.6124999998</v>
      </c>
      <c r="V1091" s="9">
        <f>Table1[[#This Row], [TOTAL COST]]+_xlfn.XLOOKUP(Table1[[#This Row], [TEAM]],Sheet1!$A$12:$A$17,Sheet1!$I$12:$I$17)</f>
        <v>8327062.1124999998</v>
      </c>
      <c r="W1091" s="9">
        <f>Table1[[#This Row], [LOOT]]-Table1[[#This Row], [TOTAL COST]]</f>
        <v>9534875.3874999993</v>
      </c>
      <c r="X1091" s="9">
        <f>IF(Table1[[#This Row], [PASS/FAIL]]="FAIL",0,Table1[[#This Row], [PROFIT]])</f>
        <v>9534875.3874999993</v>
      </c>
    </row>
    <row r="1092" spans="1:24" ht="19.5" customHeight="1" x14ac:dyDescent="0.45">
      <c r="A1092" t="s">
        <v>12</v>
      </c>
      <c r="B1092" s="14">
        <f>_xlfn.XLOOKUP(Table1[[#This Row], [TEAM]],Sheet1!$A$12:$A$17,Sheet1!$F$12:$F$17)</f>
        <v>3</v>
      </c>
      <c r="C1092" s="14">
        <f>_xlfn.XLOOKUP(Table1[[#This Row], [TEAM]],Sheet1!$A$12:$A$17,Sheet1!$G$12:$G$17)</f>
        <v>5988750</v>
      </c>
      <c r="D1092" t="s">
        <v>23</v>
      </c>
      <c r="E1092" s="4">
        <f>_xlfn.XLOOKUP(Table1[[#This Row], [ROOM]],Sheet1!$A$47:$A$66,Sheet1!$B$47:$B$66)</f>
        <v>245</v>
      </c>
      <c r="F1092" t="s">
        <v>58</v>
      </c>
      <c r="G1092" s="4">
        <f>_xlfn.XLOOKUP(Table1[[#This Row], [DISGUISE]],Sheet1!$A$21:$A$23,Sheet1!$B$21:$B$23)*Table1[[#This Row], [NUM OF MEM]]*(1+_xlfn.XLOOKUP(Table1[[#This Row], [DISGUISE]],Sheet1!$A$21:$A$23,Sheet1!$C$21:$C$23))</f>
        <v>38400</v>
      </c>
      <c r="H1092" s="13" t="s">
        <v>66</v>
      </c>
      <c r="I1092" s="4">
        <f>_xlfn.XLOOKUP(Table1[[#This Row], [WEAPON]],Sheet1!$A$27:$A$29,Sheet1!$B$27:$B$29)*Table1[[#This Row], [NUM OF MEM]]*(1+_xlfn.XLOOKUP(Table1[[#This Row], [WEAPON]],Sheet1!$A$27:$A$29,Sheet1!$C$27:$C$29))</f>
        <v>108000</v>
      </c>
      <c r="J1092" t="s">
        <v>64</v>
      </c>
      <c r="K1092" s="9">
        <f>Table1[[#This Row], [NUM OF MEM]]*Table1[[#This Row], [TOTAL TIME TAKEN]]*_xlfn.XLOOKUP(Table1[[#This Row], [EXIT]],Sheet1!$A$70:$A$71,Sheet1!$B$70:$B$71)*(1+_xlfn.XLOOKUP(Table1[[#This Row], [EXIT]],Sheet1!$A$70:$A$71,Sheet1!$C$70:$C$71))</f>
        <v>1730030.3999999994</v>
      </c>
      <c r="L1092" s="13" t="s">
        <v>61</v>
      </c>
      <c r="M1092" s="4">
        <f>IF(Table1[[#This Row], [EQUIPMENT]]="YES",Sheet1!$C$44*(1+Sheet1!$D$44),0)</f>
        <v>0</v>
      </c>
      <c r="N1092" s="4">
        <f>_xlfn.XLOOKUP(Table1[[#This Row], [ROOM]],Sheet1!$A$47:$A$66,Sheet1!$F$47:$F$66)</f>
        <v>17400000</v>
      </c>
      <c r="O1092" s="9">
        <f>_xlfn.XLOOKUP(_xlfn.CONCAT(Table1[[#This Row], [TEAM]],Table1[[#This Row], [ROOM]]),'ROOM TIME'!$H$2:$H$121,'ROOM TIME'!$J$2:$J$121)</f>
        <v>39.91333333333332</v>
      </c>
      <c r="P1092" s="9">
        <f>(INDEX(Sheet1!$X$48:$Z$67,MATCH(Table1[[#This Row], [ROOM]],Sheet1!$P$48:$P$67,0),MATCH(Table1[[#This Row], [WEAPON]],Sheet1!$X$47:$Z$47,0)))/Table1[[#This Row], [NUM OF MEM]]</f>
        <v>4.583333333333333</v>
      </c>
      <c r="Q1092" s="9">
        <f>Table1[[#This Row], [ROOM TIME]]+Table1[[#This Row], [GUARD TIME]]</f>
        <v>44.496666666666655</v>
      </c>
      <c r="R1092" s="4">
        <f>Sheet1!$K$3*_xlfn.XLOOKUP(Table1[[#This Row], [DISGUISE]],Sheet1!$A$21:$A$23,Sheet1!$D$21:$D$23)</f>
        <v>69</v>
      </c>
      <c r="S1092" s="9">
        <f>Table1[[#This Row], [TOTAL TIME]]-Table1[[#This Row], [TOTAL TIME TAKEN]]</f>
        <v>24.503333333333345</v>
      </c>
      <c r="T1092" t="str">
        <f>IF(Table1[[#This Row], [TIME DIFFERENCE]]&gt;=0,"PASS","FAIL")</f>
        <v>PASS</v>
      </c>
      <c r="U1092" s="9">
        <f>Table1[[#This Row], [TRC]]+Table1[[#This Row], [DRC]]+Table1[[#This Row], [WRC]]+Table1[[#This Row], [ERC]]+Table1[[#This Row], [EQRC]]</f>
        <v>7865180.3999999994</v>
      </c>
      <c r="V1092" s="9">
        <f>Table1[[#This Row], [TOTAL COST]]+_xlfn.XLOOKUP(Table1[[#This Row], [TEAM]],Sheet1!$A$12:$A$17,Sheet1!$I$12:$I$17)</f>
        <v>8164617.8999999994</v>
      </c>
      <c r="W1092" s="9">
        <f>Table1[[#This Row], [LOOT]]-Table1[[#This Row], [TOTAL COST]]</f>
        <v>9534819.6000000015</v>
      </c>
      <c r="X1092" s="9">
        <f>IF(Table1[[#This Row], [PASS/FAIL]]="FAIL",0,Table1[[#This Row], [PROFIT]])</f>
        <v>9534819.6000000015</v>
      </c>
    </row>
    <row r="1093" spans="1:24" ht="19.5" customHeight="1" x14ac:dyDescent="0.45">
      <c r="A1093" t="s">
        <v>9</v>
      </c>
      <c r="B1093" s="14">
        <f>_xlfn.XLOOKUP(Table1[[#This Row], [TEAM]],Sheet1!$A$12:$A$17,Sheet1!$F$12:$F$17)</f>
        <v>3</v>
      </c>
      <c r="C1093" s="14">
        <f>_xlfn.XLOOKUP(Table1[[#This Row], [TEAM]],Sheet1!$A$12:$A$17,Sheet1!$G$12:$G$17)</f>
        <v>6238750</v>
      </c>
      <c r="D1093" t="s">
        <v>27</v>
      </c>
      <c r="E1093" s="4">
        <f>_xlfn.XLOOKUP(Table1[[#This Row], [ROOM]],Sheet1!$A$47:$A$66,Sheet1!$B$47:$B$66)</f>
        <v>146</v>
      </c>
      <c r="F1093" t="s">
        <v>62</v>
      </c>
      <c r="G1093" s="4">
        <f>_xlfn.XLOOKUP(Table1[[#This Row], [DISGUISE]],Sheet1!$A$21:$A$23,Sheet1!$B$21:$B$23)*Table1[[#This Row], [NUM OF MEM]]*(1+_xlfn.XLOOKUP(Table1[[#This Row], [DISGUISE]],Sheet1!$A$21:$A$23,Sheet1!$C$21:$C$23))</f>
        <v>15600</v>
      </c>
      <c r="H1093" s="13" t="s">
        <v>66</v>
      </c>
      <c r="I1093" s="4">
        <f>_xlfn.XLOOKUP(Table1[[#This Row], [WEAPON]],Sheet1!$A$27:$A$29,Sheet1!$B$27:$B$29)*Table1[[#This Row], [NUM OF MEM]]*(1+_xlfn.XLOOKUP(Table1[[#This Row], [WEAPON]],Sheet1!$A$27:$A$29,Sheet1!$C$27:$C$29))</f>
        <v>108000</v>
      </c>
      <c r="J1093" t="s">
        <v>60</v>
      </c>
      <c r="K1093" s="9">
        <f>Table1[[#This Row], [NUM OF MEM]]*Table1[[#This Row], [TOTAL TIME TAKEN]]*_xlfn.XLOOKUP(Table1[[#This Row], [EXIT]],Sheet1!$A$70:$A$71,Sheet1!$B$70:$B$71)*(1+_xlfn.XLOOKUP(Table1[[#This Row], [EXIT]],Sheet1!$A$70:$A$71,Sheet1!$C$70:$C$71))</f>
        <v>1545396.5874999997</v>
      </c>
      <c r="L1093" s="13" t="s">
        <v>65</v>
      </c>
      <c r="M1093" s="4">
        <f>IF(Table1[[#This Row], [EQUIPMENT]]="YES",Sheet1!$C$44*(1+Sheet1!$D$44),0)</f>
        <v>307500</v>
      </c>
      <c r="N1093" s="4">
        <f>_xlfn.XLOOKUP(Table1[[#This Row], [ROOM]],Sheet1!$A$47:$A$66,Sheet1!$F$47:$F$66)</f>
        <v>17750000</v>
      </c>
      <c r="O1093" s="9">
        <f>_xlfn.XLOOKUP(_xlfn.CONCAT(Table1[[#This Row], [TEAM]],Table1[[#This Row], [ROOM]]),'ROOM TIME'!$H$2:$H$121,'ROOM TIME'!$J$2:$J$121)</f>
        <v>35.559444444444431</v>
      </c>
      <c r="P1093" s="9">
        <f>(INDEX(Sheet1!$X$48:$Z$67,MATCH(Table1[[#This Row], [ROOM]],Sheet1!$P$48:$P$67,0),MATCH(Table1[[#This Row], [WEAPON]],Sheet1!$X$47:$Z$47,0)))/Table1[[#This Row], [NUM OF MEM]]</f>
        <v>4.583333333333333</v>
      </c>
      <c r="Q1093" s="9">
        <f>Table1[[#This Row], [ROOM TIME]]+Table1[[#This Row], [GUARD TIME]]</f>
        <v>40.142777777777766</v>
      </c>
      <c r="R1093" s="4">
        <f>Sheet1!$K$3*_xlfn.XLOOKUP(Table1[[#This Row], [DISGUISE]],Sheet1!$A$21:$A$23,Sheet1!$D$21:$D$23)</f>
        <v>66</v>
      </c>
      <c r="S1093" s="9">
        <f>Table1[[#This Row], [TOTAL TIME]]-Table1[[#This Row], [TOTAL TIME TAKEN]]</f>
        <v>25.857222222222234</v>
      </c>
      <c r="T1093" t="str">
        <f>IF(Table1[[#This Row], [TIME DIFFERENCE]]&gt;=0,"PASS","FAIL")</f>
        <v>PASS</v>
      </c>
      <c r="U1093" s="9">
        <f>Table1[[#This Row], [TRC]]+Table1[[#This Row], [DRC]]+Table1[[#This Row], [WRC]]+Table1[[#This Row], [ERC]]+Table1[[#This Row], [EQRC]]</f>
        <v>8215246.5874999994</v>
      </c>
      <c r="V1093" s="9">
        <f>Table1[[#This Row], [TOTAL COST]]+_xlfn.XLOOKUP(Table1[[#This Row], [TEAM]],Sheet1!$A$12:$A$17,Sheet1!$I$12:$I$17)</f>
        <v>8527184.0874999985</v>
      </c>
      <c r="W1093" s="9">
        <f>Table1[[#This Row], [LOOT]]-Table1[[#This Row], [TOTAL COST]]</f>
        <v>9534753.4125000015</v>
      </c>
      <c r="X1093" s="9">
        <f>IF(Table1[[#This Row], [PASS/FAIL]]="FAIL",0,Table1[[#This Row], [PROFIT]])</f>
        <v>9534753.4125000015</v>
      </c>
    </row>
    <row r="1094" spans="1:24" ht="19.5" customHeight="1" x14ac:dyDescent="0.45">
      <c r="A1094" t="s">
        <v>9</v>
      </c>
      <c r="B1094" s="14">
        <f>_xlfn.XLOOKUP(Table1[[#This Row], [TEAM]],Sheet1!$A$12:$A$17,Sheet1!$F$12:$F$17)</f>
        <v>3</v>
      </c>
      <c r="C1094" s="14">
        <f>_xlfn.XLOOKUP(Table1[[#This Row], [TEAM]],Sheet1!$A$12:$A$17,Sheet1!$G$12:$G$17)</f>
        <v>6238750</v>
      </c>
      <c r="D1094" t="s">
        <v>20</v>
      </c>
      <c r="E1094" s="4">
        <f>_xlfn.XLOOKUP(Table1[[#This Row], [ROOM]],Sheet1!$A$47:$A$66,Sheet1!$B$47:$B$66)</f>
        <v>145</v>
      </c>
      <c r="F1094" t="s">
        <v>58</v>
      </c>
      <c r="G1094" s="4">
        <f>_xlfn.XLOOKUP(Table1[[#This Row], [DISGUISE]],Sheet1!$A$21:$A$23,Sheet1!$B$21:$B$23)*Table1[[#This Row], [NUM OF MEM]]*(1+_xlfn.XLOOKUP(Table1[[#This Row], [DISGUISE]],Sheet1!$A$21:$A$23,Sheet1!$C$21:$C$23))</f>
        <v>38400</v>
      </c>
      <c r="H1094" s="13" t="s">
        <v>66</v>
      </c>
      <c r="I1094" s="4">
        <f>_xlfn.XLOOKUP(Table1[[#This Row], [WEAPON]],Sheet1!$A$27:$A$29,Sheet1!$B$27:$B$29)*Table1[[#This Row], [NUM OF MEM]]*(1+_xlfn.XLOOKUP(Table1[[#This Row], [WEAPON]],Sheet1!$A$27:$A$29,Sheet1!$C$27:$C$29))</f>
        <v>108000</v>
      </c>
      <c r="J1094" t="s">
        <v>64</v>
      </c>
      <c r="K1094" s="9">
        <f>Table1[[#This Row], [NUM OF MEM]]*Table1[[#This Row], [TOTAL TIME TAKEN]]*_xlfn.XLOOKUP(Table1[[#This Row], [EXIT]],Sheet1!$A$70:$A$71,Sheet1!$B$70:$B$71)*(1+_xlfn.XLOOKUP(Table1[[#This Row], [EXIT]],Sheet1!$A$70:$A$71,Sheet1!$C$70:$C$71))</f>
        <v>1630346.3999999994</v>
      </c>
      <c r="L1094" s="13" t="s">
        <v>61</v>
      </c>
      <c r="M1094" s="4">
        <f>IF(Table1[[#This Row], [EQUIPMENT]]="YES",Sheet1!$C$44*(1+Sheet1!$D$44),0)</f>
        <v>0</v>
      </c>
      <c r="N1094" s="4">
        <f>_xlfn.XLOOKUP(Table1[[#This Row], [ROOM]],Sheet1!$A$47:$A$66,Sheet1!$F$47:$F$66)</f>
        <v>17550000</v>
      </c>
      <c r="O1094" s="9">
        <f>_xlfn.XLOOKUP(_xlfn.CONCAT(Table1[[#This Row], [TEAM]],Table1[[#This Row], [ROOM]]),'ROOM TIME'!$H$2:$H$121,'ROOM TIME'!$J$2:$J$121)</f>
        <v>37.766111111111101</v>
      </c>
      <c r="P1094" s="9">
        <f>(INDEX(Sheet1!$X$48:$Z$67,MATCH(Table1[[#This Row], [ROOM]],Sheet1!$P$48:$P$67,0),MATCH(Table1[[#This Row], [WEAPON]],Sheet1!$X$47:$Z$47,0)))/Table1[[#This Row], [NUM OF MEM]]</f>
        <v>4.166666666666667</v>
      </c>
      <c r="Q1094" s="9">
        <f>Table1[[#This Row], [ROOM TIME]]+Table1[[#This Row], [GUARD TIME]]</f>
        <v>41.932777777777765</v>
      </c>
      <c r="R1094" s="4">
        <f>Sheet1!$K$3*_xlfn.XLOOKUP(Table1[[#This Row], [DISGUISE]],Sheet1!$A$21:$A$23,Sheet1!$D$21:$D$23)</f>
        <v>69</v>
      </c>
      <c r="S1094" s="9">
        <f>Table1[[#This Row], [TOTAL TIME]]-Table1[[#This Row], [TOTAL TIME TAKEN]]</f>
        <v>27.067222222222235</v>
      </c>
      <c r="T1094" t="str">
        <f>IF(Table1[[#This Row], [TIME DIFFERENCE]]&gt;=0,"PASS","FAIL")</f>
        <v>PASS</v>
      </c>
      <c r="U1094" s="9">
        <f>Table1[[#This Row], [TRC]]+Table1[[#This Row], [DRC]]+Table1[[#This Row], [WRC]]+Table1[[#This Row], [ERC]]+Table1[[#This Row], [EQRC]]</f>
        <v>8015496.3999999994</v>
      </c>
      <c r="V1094" s="9">
        <f>Table1[[#This Row], [TOTAL COST]]+_xlfn.XLOOKUP(Table1[[#This Row], [TEAM]],Sheet1!$A$12:$A$17,Sheet1!$I$12:$I$17)</f>
        <v>8327433.8999999994</v>
      </c>
      <c r="W1094" s="9">
        <f>Table1[[#This Row], [LOOT]]-Table1[[#This Row], [TOTAL COST]]</f>
        <v>9534503.6000000015</v>
      </c>
      <c r="X1094" s="9">
        <f>IF(Table1[[#This Row], [PASS/FAIL]]="FAIL",0,Table1[[#This Row], [PROFIT]])</f>
        <v>9534503.6000000015</v>
      </c>
    </row>
    <row r="1095" spans="1:24" ht="19.5" customHeight="1" x14ac:dyDescent="0.45">
      <c r="A1095" t="s">
        <v>13</v>
      </c>
      <c r="B1095" s="14">
        <f>_xlfn.XLOOKUP(Table1[[#This Row], [TEAM]],Sheet1!$A$12:$A$17,Sheet1!$F$12:$F$17)</f>
        <v>3</v>
      </c>
      <c r="C1095" s="14">
        <f>_xlfn.XLOOKUP(Table1[[#This Row], [TEAM]],Sheet1!$A$12:$A$17,Sheet1!$G$12:$G$17)</f>
        <v>5930000</v>
      </c>
      <c r="D1095" t="s">
        <v>23</v>
      </c>
      <c r="E1095" s="4">
        <f>_xlfn.XLOOKUP(Table1[[#This Row], [ROOM]],Sheet1!$A$47:$A$66,Sheet1!$B$47:$B$66)</f>
        <v>245</v>
      </c>
      <c r="F1095" t="s">
        <v>58</v>
      </c>
      <c r="G1095" s="4">
        <f>_xlfn.XLOOKUP(Table1[[#This Row], [DISGUISE]],Sheet1!$A$21:$A$23,Sheet1!$B$21:$B$23)*Table1[[#This Row], [NUM OF MEM]]*(1+_xlfn.XLOOKUP(Table1[[#This Row], [DISGUISE]],Sheet1!$A$21:$A$23,Sheet1!$C$21:$C$23))</f>
        <v>38400</v>
      </c>
      <c r="H1095" s="13" t="s">
        <v>63</v>
      </c>
      <c r="I1095" s="4">
        <f>_xlfn.XLOOKUP(Table1[[#This Row], [WEAPON]],Sheet1!$A$27:$A$29,Sheet1!$B$27:$B$29)*Table1[[#This Row], [NUM OF MEM]]*(1+_xlfn.XLOOKUP(Table1[[#This Row], [WEAPON]],Sheet1!$A$27:$A$29,Sheet1!$C$27:$C$29))</f>
        <v>69000</v>
      </c>
      <c r="J1095" t="s">
        <v>64</v>
      </c>
      <c r="K1095" s="9">
        <f>Table1[[#This Row], [NUM OF MEM]]*Table1[[#This Row], [TOTAL TIME TAKEN]]*_xlfn.XLOOKUP(Table1[[#This Row], [EXIT]],Sheet1!$A$70:$A$71,Sheet1!$B$70:$B$71)*(1+_xlfn.XLOOKUP(Table1[[#This Row], [EXIT]],Sheet1!$A$70:$A$71,Sheet1!$C$70:$C$71))</f>
        <v>1828461.5999999996</v>
      </c>
      <c r="L1095" s="13" t="s">
        <v>61</v>
      </c>
      <c r="M1095" s="4">
        <f>IF(Table1[[#This Row], [EQUIPMENT]]="YES",Sheet1!$C$44*(1+Sheet1!$D$44),0)</f>
        <v>0</v>
      </c>
      <c r="N1095" s="4">
        <f>_xlfn.XLOOKUP(Table1[[#This Row], [ROOM]],Sheet1!$A$47:$A$66,Sheet1!$F$47:$F$66)</f>
        <v>17400000</v>
      </c>
      <c r="O1095" s="9">
        <f>_xlfn.XLOOKUP(_xlfn.CONCAT(Table1[[#This Row], [TEAM]],Table1[[#This Row], [ROOM]]),'ROOM TIME'!$H$2:$H$121,'ROOM TIME'!$J$2:$J$121)</f>
        <v>42.078333333333326</v>
      </c>
      <c r="P1095" s="9">
        <f>(INDEX(Sheet1!$X$48:$Z$67,MATCH(Table1[[#This Row], [ROOM]],Sheet1!$P$48:$P$67,0),MATCH(Table1[[#This Row], [WEAPON]],Sheet1!$X$47:$Z$47,0)))/Table1[[#This Row], [NUM OF MEM]]</f>
        <v>4.95</v>
      </c>
      <c r="Q1095" s="9">
        <f>Table1[[#This Row], [ROOM TIME]]+Table1[[#This Row], [GUARD TIME]]</f>
        <v>47.028333333333329</v>
      </c>
      <c r="R1095" s="4">
        <f>Sheet1!$K$3*_xlfn.XLOOKUP(Table1[[#This Row], [DISGUISE]],Sheet1!$A$21:$A$23,Sheet1!$D$21:$D$23)</f>
        <v>69</v>
      </c>
      <c r="S1095" s="9">
        <f>Table1[[#This Row], [TOTAL TIME]]-Table1[[#This Row], [TOTAL TIME TAKEN]]</f>
        <v>21.971666666666671</v>
      </c>
      <c r="T1095" t="str">
        <f>IF(Table1[[#This Row], [TIME DIFFERENCE]]&gt;=0,"PASS","FAIL")</f>
        <v>PASS</v>
      </c>
      <c r="U1095" s="9">
        <f>Table1[[#This Row], [TRC]]+Table1[[#This Row], [DRC]]+Table1[[#This Row], [WRC]]+Table1[[#This Row], [ERC]]+Table1[[#This Row], [EQRC]]</f>
        <v>7865861.5999999996</v>
      </c>
      <c r="V1095" s="9">
        <f>Table1[[#This Row], [TOTAL COST]]+_xlfn.XLOOKUP(Table1[[#This Row], [TEAM]],Sheet1!$A$12:$A$17,Sheet1!$I$12:$I$17)</f>
        <v>8162361.5999999996</v>
      </c>
      <c r="W1095" s="9">
        <f>Table1[[#This Row], [LOOT]]-Table1[[#This Row], [TOTAL COST]]</f>
        <v>9534138.4000000004</v>
      </c>
      <c r="X1095" s="9">
        <f>IF(Table1[[#This Row], [PASS/FAIL]]="FAIL",0,Table1[[#This Row], [PROFIT]])</f>
        <v>9534138.4000000004</v>
      </c>
    </row>
    <row r="1096" spans="1:24" ht="19.5" customHeight="1" x14ac:dyDescent="0.45">
      <c r="A1096" t="s">
        <v>12</v>
      </c>
      <c r="B1096" s="14">
        <f>_xlfn.XLOOKUP(Table1[[#This Row], [TEAM]],Sheet1!$A$12:$A$17,Sheet1!$F$12:$F$17)</f>
        <v>3</v>
      </c>
      <c r="C1096" s="14">
        <f>_xlfn.XLOOKUP(Table1[[#This Row], [TEAM]],Sheet1!$A$12:$A$17,Sheet1!$G$12:$G$17)</f>
        <v>5988750</v>
      </c>
      <c r="D1096" t="s">
        <v>17</v>
      </c>
      <c r="E1096" s="4">
        <f>_xlfn.XLOOKUP(Table1[[#This Row], [ROOM]],Sheet1!$A$47:$A$66,Sheet1!$B$47:$B$66)</f>
        <v>125</v>
      </c>
      <c r="F1096" t="s">
        <v>62</v>
      </c>
      <c r="G1096" s="4">
        <f>_xlfn.XLOOKUP(Table1[[#This Row], [DISGUISE]],Sheet1!$A$21:$A$23,Sheet1!$B$21:$B$23)*Table1[[#This Row], [NUM OF MEM]]*(1+_xlfn.XLOOKUP(Table1[[#This Row], [DISGUISE]],Sheet1!$A$21:$A$23,Sheet1!$C$21:$C$23))</f>
        <v>15600</v>
      </c>
      <c r="H1096" s="13" t="s">
        <v>66</v>
      </c>
      <c r="I1096" s="4">
        <f>_xlfn.XLOOKUP(Table1[[#This Row], [WEAPON]],Sheet1!$A$27:$A$29,Sheet1!$B$27:$B$29)*Table1[[#This Row], [NUM OF MEM]]*(1+_xlfn.XLOOKUP(Table1[[#This Row], [WEAPON]],Sheet1!$A$27:$A$29,Sheet1!$C$27:$C$29))</f>
        <v>108000</v>
      </c>
      <c r="J1096" t="s">
        <v>60</v>
      </c>
      <c r="K1096" s="9">
        <f>Table1[[#This Row], [NUM OF MEM]]*Table1[[#This Row], [TOTAL TIME TAKEN]]*_xlfn.XLOOKUP(Table1[[#This Row], [EXIT]],Sheet1!$A$70:$A$71,Sheet1!$B$70:$B$71)*(1+_xlfn.XLOOKUP(Table1[[#This Row], [EXIT]],Sheet1!$A$70:$A$71,Sheet1!$C$70:$C$71))</f>
        <v>1705396.4749999989</v>
      </c>
      <c r="L1096" s="13" t="s">
        <v>61</v>
      </c>
      <c r="M1096" s="4">
        <f>IF(Table1[[#This Row], [EQUIPMENT]]="YES",Sheet1!$C$44*(1+Sheet1!$D$44),0)</f>
        <v>0</v>
      </c>
      <c r="N1096" s="4">
        <f>_xlfn.XLOOKUP(Table1[[#This Row], [ROOM]],Sheet1!$A$47:$A$66,Sheet1!$F$47:$F$66)</f>
        <v>17350000</v>
      </c>
      <c r="O1096" s="9">
        <f>_xlfn.XLOOKUP(_xlfn.CONCAT(Table1[[#This Row], [TEAM]],Table1[[#This Row], [ROOM]]),'ROOM TIME'!$H$2:$H$121,'ROOM TIME'!$J$2:$J$121)</f>
        <v>40.132222222222204</v>
      </c>
      <c r="P1096" s="9">
        <f>(INDEX(Sheet1!$X$48:$Z$67,MATCH(Table1[[#This Row], [ROOM]],Sheet1!$P$48:$P$67,0),MATCH(Table1[[#This Row], [WEAPON]],Sheet1!$X$47:$Z$47,0)))/Table1[[#This Row], [NUM OF MEM]]</f>
        <v>4.166666666666667</v>
      </c>
      <c r="Q1096" s="9">
        <f>Table1[[#This Row], [ROOM TIME]]+Table1[[#This Row], [GUARD TIME]]</f>
        <v>44.298888888888868</v>
      </c>
      <c r="R1096" s="4">
        <f>Sheet1!$K$3*_xlfn.XLOOKUP(Table1[[#This Row], [DISGUISE]],Sheet1!$A$21:$A$23,Sheet1!$D$21:$D$23)</f>
        <v>66</v>
      </c>
      <c r="S1096" s="9">
        <f>Table1[[#This Row], [TOTAL TIME]]-Table1[[#This Row], [TOTAL TIME TAKEN]]</f>
        <v>21.701111111111132</v>
      </c>
      <c r="T1096" t="str">
        <f>IF(Table1[[#This Row], [TIME DIFFERENCE]]&gt;=0,"PASS","FAIL")</f>
        <v>PASS</v>
      </c>
      <c r="U1096" s="9">
        <f>Table1[[#This Row], [TRC]]+Table1[[#This Row], [DRC]]+Table1[[#This Row], [WRC]]+Table1[[#This Row], [ERC]]+Table1[[#This Row], [EQRC]]</f>
        <v>7817746.4749999987</v>
      </c>
      <c r="V1096" s="9">
        <f>Table1[[#This Row], [TOTAL COST]]+_xlfn.XLOOKUP(Table1[[#This Row], [TEAM]],Sheet1!$A$12:$A$17,Sheet1!$I$12:$I$17)</f>
        <v>8117183.9749999987</v>
      </c>
      <c r="W1096" s="9">
        <f>Table1[[#This Row], [LOOT]]-Table1[[#This Row], [TOTAL COST]]</f>
        <v>9532253.5250000022</v>
      </c>
      <c r="X1096" s="9">
        <f>IF(Table1[[#This Row], [PASS/FAIL]]="FAIL",0,Table1[[#This Row], [PROFIT]])</f>
        <v>9532253.5250000022</v>
      </c>
    </row>
    <row r="1097" spans="1:24" ht="19.5" customHeight="1" x14ac:dyDescent="0.45">
      <c r="A1097" t="s">
        <v>13</v>
      </c>
      <c r="B1097" s="14">
        <f>_xlfn.XLOOKUP(Table1[[#This Row], [TEAM]],Sheet1!$A$12:$A$17,Sheet1!$F$12:$F$17)</f>
        <v>3</v>
      </c>
      <c r="C1097" s="14">
        <f>_xlfn.XLOOKUP(Table1[[#This Row], [TEAM]],Sheet1!$A$12:$A$17,Sheet1!$G$12:$G$17)</f>
        <v>5930000</v>
      </c>
      <c r="D1097" t="s">
        <v>23</v>
      </c>
      <c r="E1097" s="4">
        <f>_xlfn.XLOOKUP(Table1[[#This Row], [ROOM]],Sheet1!$A$47:$A$66,Sheet1!$B$47:$B$66)</f>
        <v>245</v>
      </c>
      <c r="F1097" t="s">
        <v>62</v>
      </c>
      <c r="G1097" s="4">
        <f>_xlfn.XLOOKUP(Table1[[#This Row], [DISGUISE]],Sheet1!$A$21:$A$23,Sheet1!$B$21:$B$23)*Table1[[#This Row], [NUM OF MEM]]*(1+_xlfn.XLOOKUP(Table1[[#This Row], [DISGUISE]],Sheet1!$A$21:$A$23,Sheet1!$C$21:$C$23))</f>
        <v>15600</v>
      </c>
      <c r="H1097" s="13" t="s">
        <v>66</v>
      </c>
      <c r="I1097" s="4">
        <f>_xlfn.XLOOKUP(Table1[[#This Row], [WEAPON]],Sheet1!$A$27:$A$29,Sheet1!$B$27:$B$29)*Table1[[#This Row], [NUM OF MEM]]*(1+_xlfn.XLOOKUP(Table1[[#This Row], [WEAPON]],Sheet1!$A$27:$A$29,Sheet1!$C$27:$C$29))</f>
        <v>108000</v>
      </c>
      <c r="J1097" t="s">
        <v>64</v>
      </c>
      <c r="K1097" s="9">
        <f>Table1[[#This Row], [NUM OF MEM]]*Table1[[#This Row], [TOTAL TIME TAKEN]]*_xlfn.XLOOKUP(Table1[[#This Row], [EXIT]],Sheet1!$A$70:$A$71,Sheet1!$B$70:$B$71)*(1+_xlfn.XLOOKUP(Table1[[#This Row], [EXIT]],Sheet1!$A$70:$A$71,Sheet1!$C$70:$C$71))</f>
        <v>1814205.5999999996</v>
      </c>
      <c r="L1097" s="13" t="s">
        <v>61</v>
      </c>
      <c r="M1097" s="4">
        <f>IF(Table1[[#This Row], [EQUIPMENT]]="YES",Sheet1!$C$44*(1+Sheet1!$D$44),0)</f>
        <v>0</v>
      </c>
      <c r="N1097" s="4">
        <f>_xlfn.XLOOKUP(Table1[[#This Row], [ROOM]],Sheet1!$A$47:$A$66,Sheet1!$F$47:$F$66)</f>
        <v>17400000</v>
      </c>
      <c r="O1097" s="9">
        <f>_xlfn.XLOOKUP(_xlfn.CONCAT(Table1[[#This Row], [TEAM]],Table1[[#This Row], [ROOM]]),'ROOM TIME'!$H$2:$H$121,'ROOM TIME'!$J$2:$J$121)</f>
        <v>42.078333333333326</v>
      </c>
      <c r="P1097" s="9">
        <f>(INDEX(Sheet1!$X$48:$Z$67,MATCH(Table1[[#This Row], [ROOM]],Sheet1!$P$48:$P$67,0),MATCH(Table1[[#This Row], [WEAPON]],Sheet1!$X$47:$Z$47,0)))/Table1[[#This Row], [NUM OF MEM]]</f>
        <v>4.583333333333333</v>
      </c>
      <c r="Q1097" s="9">
        <f>Table1[[#This Row], [ROOM TIME]]+Table1[[#This Row], [GUARD TIME]]</f>
        <v>46.661666666666662</v>
      </c>
      <c r="R1097" s="4">
        <f>Sheet1!$K$3*_xlfn.XLOOKUP(Table1[[#This Row], [DISGUISE]],Sheet1!$A$21:$A$23,Sheet1!$D$21:$D$23)</f>
        <v>66</v>
      </c>
      <c r="S1097" s="9">
        <f>Table1[[#This Row], [TOTAL TIME]]-Table1[[#This Row], [TOTAL TIME TAKEN]]</f>
        <v>19.338333333333338</v>
      </c>
      <c r="T1097" t="str">
        <f>IF(Table1[[#This Row], [TIME DIFFERENCE]]&gt;=0,"PASS","FAIL")</f>
        <v>PASS</v>
      </c>
      <c r="U1097" s="9">
        <f>Table1[[#This Row], [TRC]]+Table1[[#This Row], [DRC]]+Table1[[#This Row], [WRC]]+Table1[[#This Row], [ERC]]+Table1[[#This Row], [EQRC]]</f>
        <v>7867805.5999999996</v>
      </c>
      <c r="V1097" s="9">
        <f>Table1[[#This Row], [TOTAL COST]]+_xlfn.XLOOKUP(Table1[[#This Row], [TEAM]],Sheet1!$A$12:$A$17,Sheet1!$I$12:$I$17)</f>
        <v>8164305.5999999996</v>
      </c>
      <c r="W1097" s="9">
        <f>Table1[[#This Row], [LOOT]]-Table1[[#This Row], [TOTAL COST]]</f>
        <v>9532194.4000000004</v>
      </c>
      <c r="X1097" s="9">
        <f>IF(Table1[[#This Row], [PASS/FAIL]]="FAIL",0,Table1[[#This Row], [PROFIT]])</f>
        <v>9532194.4000000004</v>
      </c>
    </row>
    <row r="1098" spans="1:24" ht="19.5" customHeight="1" x14ac:dyDescent="0.45">
      <c r="A1098" t="s">
        <v>15</v>
      </c>
      <c r="B1098" s="14">
        <f>_xlfn.XLOOKUP(Table1[[#This Row], [TEAM]],Sheet1!$A$12:$A$17,Sheet1!$F$12:$F$17)</f>
        <v>2</v>
      </c>
      <c r="C1098" s="14">
        <f>_xlfn.XLOOKUP(Table1[[#This Row], [TEAM]],Sheet1!$A$12:$A$17,Sheet1!$G$12:$G$17)</f>
        <v>5932950</v>
      </c>
      <c r="D1098" t="s">
        <v>20</v>
      </c>
      <c r="E1098" s="4">
        <f>_xlfn.XLOOKUP(Table1[[#This Row], [ROOM]],Sheet1!$A$47:$A$66,Sheet1!$B$47:$B$66)</f>
        <v>145</v>
      </c>
      <c r="F1098" t="s">
        <v>62</v>
      </c>
      <c r="G1098" s="4">
        <f>_xlfn.XLOOKUP(Table1[[#This Row], [DISGUISE]],Sheet1!$A$21:$A$23,Sheet1!$B$21:$B$23)*Table1[[#This Row], [NUM OF MEM]]*(1+_xlfn.XLOOKUP(Table1[[#This Row], [DISGUISE]],Sheet1!$A$21:$A$23,Sheet1!$C$21:$C$23))</f>
        <v>10400</v>
      </c>
      <c r="H1098" s="13" t="s">
        <v>59</v>
      </c>
      <c r="I1098" s="4">
        <f>_xlfn.XLOOKUP(Table1[[#This Row], [WEAPON]],Sheet1!$A$27:$A$29,Sheet1!$B$27:$B$29)*Table1[[#This Row], [NUM OF MEM]]*(1+_xlfn.XLOOKUP(Table1[[#This Row], [WEAPON]],Sheet1!$A$27:$A$29,Sheet1!$C$27:$C$29))</f>
        <v>91000</v>
      </c>
      <c r="J1098" t="s">
        <v>60</v>
      </c>
      <c r="K1098" s="9">
        <f>Table1[[#This Row], [NUM OF MEM]]*Table1[[#This Row], [TOTAL TIME TAKEN]]*_xlfn.XLOOKUP(Table1[[#This Row], [EXIT]],Sheet1!$A$70:$A$71,Sheet1!$B$70:$B$71)*(1+_xlfn.XLOOKUP(Table1[[#This Row], [EXIT]],Sheet1!$A$70:$A$71,Sheet1!$C$70:$C$71))</f>
        <v>1676983.1812499992</v>
      </c>
      <c r="L1098" s="13" t="s">
        <v>65</v>
      </c>
      <c r="M1098" s="4">
        <f>IF(Table1[[#This Row], [EQUIPMENT]]="YES",Sheet1!$C$44*(1+Sheet1!$D$44),0)</f>
        <v>307500</v>
      </c>
      <c r="N1098" s="4">
        <f>_xlfn.XLOOKUP(Table1[[#This Row], [ROOM]],Sheet1!$A$47:$A$66,Sheet1!$F$47:$F$66)</f>
        <v>17550000</v>
      </c>
      <c r="O1098" s="9">
        <f>_xlfn.XLOOKUP(_xlfn.CONCAT(Table1[[#This Row], [TEAM]],Table1[[#This Row], [ROOM]]),'ROOM TIME'!$H$2:$H$121,'ROOM TIME'!$J$2:$J$121)</f>
        <v>59.591249999999981</v>
      </c>
      <c r="P1098" s="9">
        <f>(INDEX(Sheet1!$X$48:$Z$67,MATCH(Table1[[#This Row], [ROOM]],Sheet1!$P$48:$P$67,0),MATCH(Table1[[#This Row], [WEAPON]],Sheet1!$X$47:$Z$47,0)))/Table1[[#This Row], [NUM OF MEM]]</f>
        <v>5.75</v>
      </c>
      <c r="Q1098" s="9">
        <f>Table1[[#This Row], [ROOM TIME]]+Table1[[#This Row], [GUARD TIME]]</f>
        <v>65.341249999999974</v>
      </c>
      <c r="R1098" s="4">
        <f>Sheet1!$K$3*_xlfn.XLOOKUP(Table1[[#This Row], [DISGUISE]],Sheet1!$A$21:$A$23,Sheet1!$D$21:$D$23)</f>
        <v>66</v>
      </c>
      <c r="S1098" s="9">
        <f>Table1[[#This Row], [TOTAL TIME]]-Table1[[#This Row], [TOTAL TIME TAKEN]]</f>
        <v>0.65875000000002615</v>
      </c>
      <c r="T1098" t="str">
        <f>IF(Table1[[#This Row], [TIME DIFFERENCE]]&gt;=0,"PASS","FAIL")</f>
        <v>PASS</v>
      </c>
      <c r="U1098" s="9">
        <f>Table1[[#This Row], [TRC]]+Table1[[#This Row], [DRC]]+Table1[[#This Row], [WRC]]+Table1[[#This Row], [ERC]]+Table1[[#This Row], [EQRC]]</f>
        <v>8018833.1812499994</v>
      </c>
      <c r="V1098" s="9">
        <f>Table1[[#This Row], [TOTAL COST]]+_xlfn.XLOOKUP(Table1[[#This Row], [TEAM]],Sheet1!$A$12:$A$17,Sheet1!$I$12:$I$17)</f>
        <v>8315480.6812499994</v>
      </c>
      <c r="W1098" s="9">
        <f>Table1[[#This Row], [LOOT]]-Table1[[#This Row], [TOTAL COST]]</f>
        <v>9531166.8187500015</v>
      </c>
      <c r="X1098" s="9">
        <f>IF(Table1[[#This Row], [PASS/FAIL]]="FAIL",0,Table1[[#This Row], [PROFIT]])</f>
        <v>9531166.8187500015</v>
      </c>
    </row>
    <row r="1099" spans="1:24" ht="19.5" customHeight="1" x14ac:dyDescent="0.45">
      <c r="A1099" t="s">
        <v>13</v>
      </c>
      <c r="B1099" s="14">
        <f>_xlfn.XLOOKUP(Table1[[#This Row], [TEAM]],Sheet1!$A$12:$A$17,Sheet1!$F$12:$F$17)</f>
        <v>3</v>
      </c>
      <c r="C1099" s="14">
        <f>_xlfn.XLOOKUP(Table1[[#This Row], [TEAM]],Sheet1!$A$12:$A$17,Sheet1!$G$12:$G$17)</f>
        <v>5930000</v>
      </c>
      <c r="D1099" t="s">
        <v>30</v>
      </c>
      <c r="E1099" s="4">
        <f>_xlfn.XLOOKUP(Table1[[#This Row], [ROOM]],Sheet1!$A$47:$A$66,Sheet1!$B$47:$B$66)</f>
        <v>246</v>
      </c>
      <c r="F1099" t="s">
        <v>62</v>
      </c>
      <c r="G1099" s="4">
        <f>_xlfn.XLOOKUP(Table1[[#This Row], [DISGUISE]],Sheet1!$A$21:$A$23,Sheet1!$B$21:$B$23)*Table1[[#This Row], [NUM OF MEM]]*(1+_xlfn.XLOOKUP(Table1[[#This Row], [DISGUISE]],Sheet1!$A$21:$A$23,Sheet1!$C$21:$C$23))</f>
        <v>15600</v>
      </c>
      <c r="H1099" s="13" t="s">
        <v>63</v>
      </c>
      <c r="I1099" s="4">
        <f>_xlfn.XLOOKUP(Table1[[#This Row], [WEAPON]],Sheet1!$A$27:$A$29,Sheet1!$B$27:$B$29)*Table1[[#This Row], [NUM OF MEM]]*(1+_xlfn.XLOOKUP(Table1[[#This Row], [WEAPON]],Sheet1!$A$27:$A$29,Sheet1!$C$27:$C$29))</f>
        <v>69000</v>
      </c>
      <c r="J1099" t="s">
        <v>64</v>
      </c>
      <c r="K1099" s="9">
        <f>Table1[[#This Row], [NUM OF MEM]]*Table1[[#This Row], [TOTAL TIME TAKEN]]*_xlfn.XLOOKUP(Table1[[#This Row], [EXIT]],Sheet1!$A$70:$A$71,Sheet1!$B$70:$B$71)*(1+_xlfn.XLOOKUP(Table1[[#This Row], [EXIT]],Sheet1!$A$70:$A$71,Sheet1!$C$70:$C$71))</f>
        <v>1747720.7999999993</v>
      </c>
      <c r="L1099" s="13" t="s">
        <v>65</v>
      </c>
      <c r="M1099" s="4">
        <f>IF(Table1[[#This Row], [EQUIPMENT]]="YES",Sheet1!$C$44*(1+Sheet1!$D$44),0)</f>
        <v>307500</v>
      </c>
      <c r="N1099" s="4">
        <f>_xlfn.XLOOKUP(Table1[[#This Row], [ROOM]],Sheet1!$A$47:$A$66,Sheet1!$F$47:$F$66)</f>
        <v>17600000</v>
      </c>
      <c r="O1099" s="9">
        <f>_xlfn.XLOOKUP(_xlfn.CONCAT(Table1[[#This Row], [TEAM]],Table1[[#This Row], [ROOM]]),'ROOM TIME'!$H$2:$H$121,'ROOM TIME'!$J$2:$J$121)</f>
        <v>39.551666666666655</v>
      </c>
      <c r="P1099" s="9">
        <f>(INDEX(Sheet1!$X$48:$Z$67,MATCH(Table1[[#This Row], [ROOM]],Sheet1!$P$48:$P$67,0),MATCH(Table1[[#This Row], [WEAPON]],Sheet1!$X$47:$Z$47,0)))/Table1[[#This Row], [NUM OF MEM]]</f>
        <v>5.4000000000000012</v>
      </c>
      <c r="Q1099" s="9">
        <f>Table1[[#This Row], [ROOM TIME]]+Table1[[#This Row], [GUARD TIME]]</f>
        <v>44.951666666666654</v>
      </c>
      <c r="R1099" s="4">
        <f>Sheet1!$K$3*_xlfn.XLOOKUP(Table1[[#This Row], [DISGUISE]],Sheet1!$A$21:$A$23,Sheet1!$D$21:$D$23)</f>
        <v>66</v>
      </c>
      <c r="S1099" s="9">
        <f>Table1[[#This Row], [TOTAL TIME]]-Table1[[#This Row], [TOTAL TIME TAKEN]]</f>
        <v>21.048333333333346</v>
      </c>
      <c r="T1099" t="str">
        <f>IF(Table1[[#This Row], [TIME DIFFERENCE]]&gt;=0,"PASS","FAIL")</f>
        <v>PASS</v>
      </c>
      <c r="U1099" s="9">
        <f>Table1[[#This Row], [TRC]]+Table1[[#This Row], [DRC]]+Table1[[#This Row], [WRC]]+Table1[[#This Row], [ERC]]+Table1[[#This Row], [EQRC]]</f>
        <v>8069820.7999999989</v>
      </c>
      <c r="V1099" s="9">
        <f>Table1[[#This Row], [TOTAL COST]]+_xlfn.XLOOKUP(Table1[[#This Row], [TEAM]],Sheet1!$A$12:$A$17,Sheet1!$I$12:$I$17)</f>
        <v>8366320.7999999989</v>
      </c>
      <c r="W1099" s="9">
        <f>Table1[[#This Row], [LOOT]]-Table1[[#This Row], [TOTAL COST]]</f>
        <v>9530179.2000000011</v>
      </c>
      <c r="X1099" s="9">
        <f>IF(Table1[[#This Row], [PASS/FAIL]]="FAIL",0,Table1[[#This Row], [PROFIT]])</f>
        <v>9530179.2000000011</v>
      </c>
    </row>
    <row r="1100" spans="1:24" ht="19.5" customHeight="1" x14ac:dyDescent="0.45">
      <c r="A1100" t="s">
        <v>13</v>
      </c>
      <c r="B1100" s="14">
        <f>_xlfn.XLOOKUP(Table1[[#This Row], [TEAM]],Sheet1!$A$12:$A$17,Sheet1!$F$12:$F$17)</f>
        <v>3</v>
      </c>
      <c r="C1100" s="14">
        <f>_xlfn.XLOOKUP(Table1[[#This Row], [TEAM]],Sheet1!$A$12:$A$17,Sheet1!$G$12:$G$17)</f>
        <v>5930000</v>
      </c>
      <c r="D1100" t="s">
        <v>22</v>
      </c>
      <c r="E1100" s="4">
        <f>_xlfn.XLOOKUP(Table1[[#This Row], [ROOM]],Sheet1!$A$47:$A$66,Sheet1!$B$47:$B$66)</f>
        <v>235</v>
      </c>
      <c r="F1100" t="s">
        <v>58</v>
      </c>
      <c r="G1100" s="4">
        <f>_xlfn.XLOOKUP(Table1[[#This Row], [DISGUISE]],Sheet1!$A$21:$A$23,Sheet1!$B$21:$B$23)*Table1[[#This Row], [NUM OF MEM]]*(1+_xlfn.XLOOKUP(Table1[[#This Row], [DISGUISE]],Sheet1!$A$21:$A$23,Sheet1!$C$21:$C$23))</f>
        <v>38400</v>
      </c>
      <c r="H1100" s="13" t="s">
        <v>59</v>
      </c>
      <c r="I1100" s="4">
        <f>_xlfn.XLOOKUP(Table1[[#This Row], [WEAPON]],Sheet1!$A$27:$A$29,Sheet1!$B$27:$B$29)*Table1[[#This Row], [NUM OF MEM]]*(1+_xlfn.XLOOKUP(Table1[[#This Row], [WEAPON]],Sheet1!$A$27:$A$29,Sheet1!$C$27:$C$29))</f>
        <v>136500</v>
      </c>
      <c r="J1100" t="s">
        <v>64</v>
      </c>
      <c r="K1100" s="9">
        <f>Table1[[#This Row], [NUM OF MEM]]*Table1[[#This Row], [TOTAL TIME TAKEN]]*_xlfn.XLOOKUP(Table1[[#This Row], [EXIT]],Sheet1!$A$70:$A$71,Sheet1!$B$70:$B$71)*(1+_xlfn.XLOOKUP(Table1[[#This Row], [EXIT]],Sheet1!$A$70:$A$71,Sheet1!$C$70:$C$71))</f>
        <v>1858917.5999999999</v>
      </c>
      <c r="L1100" s="13" t="s">
        <v>65</v>
      </c>
      <c r="M1100" s="4">
        <f>IF(Table1[[#This Row], [EQUIPMENT]]="YES",Sheet1!$C$44*(1+Sheet1!$D$44),0)</f>
        <v>307500</v>
      </c>
      <c r="N1100" s="4">
        <f>_xlfn.XLOOKUP(Table1[[#This Row], [ROOM]],Sheet1!$A$47:$A$66,Sheet1!$F$47:$F$66)</f>
        <v>17800000</v>
      </c>
      <c r="O1100" s="9">
        <f>_xlfn.XLOOKUP(_xlfn.CONCAT(Table1[[#This Row], [TEAM]],Table1[[#This Row], [ROOM]]),'ROOM TIME'!$H$2:$H$121,'ROOM TIME'!$J$2:$J$121)</f>
        <v>43.211666666666666</v>
      </c>
      <c r="P1100" s="9">
        <f>(INDEX(Sheet1!$X$48:$Z$67,MATCH(Table1[[#This Row], [ROOM]],Sheet1!$P$48:$P$67,0),MATCH(Table1[[#This Row], [WEAPON]],Sheet1!$X$47:$Z$47,0)))/Table1[[#This Row], [NUM OF MEM]]</f>
        <v>4.5999999999999996</v>
      </c>
      <c r="Q1100" s="9">
        <f>Table1[[#This Row], [ROOM TIME]]+Table1[[#This Row], [GUARD TIME]]</f>
        <v>47.811666666666667</v>
      </c>
      <c r="R1100" s="4">
        <f>Sheet1!$K$3*_xlfn.XLOOKUP(Table1[[#This Row], [DISGUISE]],Sheet1!$A$21:$A$23,Sheet1!$D$21:$D$23)</f>
        <v>69</v>
      </c>
      <c r="S1100" s="9">
        <f>Table1[[#This Row], [TOTAL TIME]]-Table1[[#This Row], [TOTAL TIME TAKEN]]</f>
        <v>21.188333333333333</v>
      </c>
      <c r="T1100" t="str">
        <f>IF(Table1[[#This Row], [TIME DIFFERENCE]]&gt;=0,"PASS","FAIL")</f>
        <v>PASS</v>
      </c>
      <c r="U1100" s="9">
        <f>Table1[[#This Row], [TRC]]+Table1[[#This Row], [DRC]]+Table1[[#This Row], [WRC]]+Table1[[#This Row], [ERC]]+Table1[[#This Row], [EQRC]]</f>
        <v>8271317.5999999996</v>
      </c>
      <c r="V1100" s="9">
        <f>Table1[[#This Row], [TOTAL COST]]+_xlfn.XLOOKUP(Table1[[#This Row], [TEAM]],Sheet1!$A$12:$A$17,Sheet1!$I$12:$I$17)</f>
        <v>8567817.5999999996</v>
      </c>
      <c r="W1100" s="9">
        <f>Table1[[#This Row], [LOOT]]-Table1[[#This Row], [TOTAL COST]]</f>
        <v>9528682.4000000004</v>
      </c>
      <c r="X1100" s="9">
        <f>IF(Table1[[#This Row], [PASS/FAIL]]="FAIL",0,Table1[[#This Row], [PROFIT]])</f>
        <v>9528682.4000000004</v>
      </c>
    </row>
    <row r="1101" spans="1:24" ht="19.5" customHeight="1" x14ac:dyDescent="0.45">
      <c r="A1101" t="s">
        <v>13</v>
      </c>
      <c r="B1101" s="14">
        <f>_xlfn.XLOOKUP(Table1[[#This Row], [TEAM]],Sheet1!$A$12:$A$17,Sheet1!$F$12:$F$17)</f>
        <v>3</v>
      </c>
      <c r="C1101" s="14">
        <f>_xlfn.XLOOKUP(Table1[[#This Row], [TEAM]],Sheet1!$A$12:$A$17,Sheet1!$G$12:$G$17)</f>
        <v>5930000</v>
      </c>
      <c r="D1101" t="s">
        <v>11</v>
      </c>
      <c r="E1101" s="4">
        <f>_xlfn.XLOOKUP(Table1[[#This Row], [ROOM]],Sheet1!$A$47:$A$66,Sheet1!$B$47:$B$66)</f>
        <v>124</v>
      </c>
      <c r="F1101" t="s">
        <v>58</v>
      </c>
      <c r="G1101" s="4">
        <f>_xlfn.XLOOKUP(Table1[[#This Row], [DISGUISE]],Sheet1!$A$21:$A$23,Sheet1!$B$21:$B$23)*Table1[[#This Row], [NUM OF MEM]]*(1+_xlfn.XLOOKUP(Table1[[#This Row], [DISGUISE]],Sheet1!$A$21:$A$23,Sheet1!$C$21:$C$23))</f>
        <v>38400</v>
      </c>
      <c r="H1101" s="13" t="s">
        <v>59</v>
      </c>
      <c r="I1101" s="4">
        <f>_xlfn.XLOOKUP(Table1[[#This Row], [WEAPON]],Sheet1!$A$27:$A$29,Sheet1!$B$27:$B$29)*Table1[[#This Row], [NUM OF MEM]]*(1+_xlfn.XLOOKUP(Table1[[#This Row], [WEAPON]],Sheet1!$A$27:$A$29,Sheet1!$C$27:$C$29))</f>
        <v>136500</v>
      </c>
      <c r="J1101" t="s">
        <v>64</v>
      </c>
      <c r="K1101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1817164.7999999996</v>
      </c>
      <c r="L1101" s="13" t="s">
        <v>61</v>
      </c>
      <c r="M1101" s="4">
        <f>IF(Table1[[#This Row], [EQUIPMENT]]="YES",Sheet1!$C$44*(1+Sheet1!$D$44),0)</f>
        <v>0</v>
      </c>
      <c r="N1101" s="4">
        <f>_xlfn.XLOOKUP(Table1[[#This Row], [ROOM]],Sheet1!$A$47:$A$66,Sheet1!$F$47:$F$66)</f>
        <v>17450000</v>
      </c>
      <c r="O1101" s="9">
        <f>_xlfn.XLOOKUP(_xlfn.CONCAT(Table1[[#This Row], [TEAM]],Table1[[#This Row], [ROOM]]),'ROOM TIME'!$H$2:$H$121,'ROOM TIME'!$J$2:$J$121)</f>
        <v>42.521111111111104</v>
      </c>
      <c r="P1101" s="9">
        <f>(INDEX(Sheet1!$X$48:$Z$67,MATCH(Table1[[#This Row], [ROOM]],Sheet1!$P$48:$P$67,0),MATCH(Table1[[#This Row], [WEAPON]],Sheet1!$X$47:$Z$47,0)))/Table1[[#This Row], [NUM OF MEM]]</f>
        <v>4.2166666666666659</v>
      </c>
      <c r="Q1101" s="9">
        <f>Table1[[#This Row], [ROOM TIME]]+Table1[[#This Row], [GUARD TIME]]</f>
        <v>46.737777777777772</v>
      </c>
      <c r="R1101" s="4">
        <f>Sheet1!$K$3*_xlfn.XLOOKUP(Table1[[#This Row], [DISGUISE]],Sheet1!$A$21:$A$23,Sheet1!$D$21:$D$23)</f>
        <v>69</v>
      </c>
      <c r="S1101" s="9">
        <f>Table1[[#This Row], [TOTAL TIME]]-Table1[[#This Row], [TOTAL TIME TAKEN]]</f>
        <v>22.262222222222228</v>
      </c>
      <c r="T1101" t="str">
        <f>IF(Table1[[#This Row], [TIME DIFFERENCE]]&gt;=0,"PASS","FAIL")</f>
        <v>PASS</v>
      </c>
      <c r="U1101" s="9">
        <f>Table1[[#This Row], [TRC]]+Table1[[#This Row], [DRC]]+Table1[[#This Row], [WRC]]+Table1[[#This Row], [ERC]]+Table1[[#This Row], [EQRC]]</f>
        <v>7922064.7999999998</v>
      </c>
      <c r="V1101" s="9">
        <f>Table1[[#This Row], [TOTAL COST]]+_xlfn.XLOOKUP(Table1[[#This Row], [TEAM]],Sheet1!$A$12:$A$17,Sheet1!$I$12:$I$17)</f>
        <v>8218564.7999999998</v>
      </c>
      <c r="W1101" s="9">
        <f>Table1[[#This Row], [LOOT]]-Table1[[#This Row], [TOTAL COST]]</f>
        <v>9527935.1999999993</v>
      </c>
      <c r="X1101" s="9">
        <f>IF(Table1[[#This Row], [PASS/FAIL]]="FAIL",0,Table1[[#This Row], [PROFIT]])</f>
        <v>9527935.1999999993</v>
      </c>
    </row>
    <row r="1102" spans="1:24" ht="19.5" customHeight="1" x14ac:dyDescent="0.45">
      <c r="A1102" t="s">
        <v>12</v>
      </c>
      <c r="B1102" s="14">
        <f>_xlfn.XLOOKUP(Table1[[#This Row], [TEAM]],Sheet1!$A$12:$A$17,Sheet1!$F$12:$F$17)</f>
        <v>3</v>
      </c>
      <c r="C1102" s="14">
        <f>_xlfn.XLOOKUP(Table1[[#This Row], [TEAM]],Sheet1!$A$12:$A$17,Sheet1!$G$12:$G$17)</f>
        <v>5988750</v>
      </c>
      <c r="D1102" t="s">
        <v>30</v>
      </c>
      <c r="E1102" s="4">
        <f>_xlfn.XLOOKUP(Table1[[#This Row], [ROOM]],Sheet1!$A$47:$A$66,Sheet1!$B$47:$B$66)</f>
        <v>246</v>
      </c>
      <c r="F1102" t="s">
        <v>62</v>
      </c>
      <c r="G1102" s="4">
        <f>_xlfn.XLOOKUP(Table1[[#This Row], [DISGUISE]],Sheet1!$A$21:$A$23,Sheet1!$B$21:$B$23)*Table1[[#This Row], [NUM OF MEM]]*(1+_xlfn.XLOOKUP(Table1[[#This Row], [DISGUISE]],Sheet1!$A$21:$A$23,Sheet1!$C$21:$C$23))</f>
        <v>15600</v>
      </c>
      <c r="H1102" s="13" t="s">
        <v>59</v>
      </c>
      <c r="I1102" s="4">
        <f>_xlfn.XLOOKUP(Table1[[#This Row], [WEAPON]],Sheet1!$A$27:$A$29,Sheet1!$B$27:$B$29)*Table1[[#This Row], [NUM OF MEM]]*(1+_xlfn.XLOOKUP(Table1[[#This Row], [WEAPON]],Sheet1!$A$27:$A$29,Sheet1!$C$27:$C$29))</f>
        <v>136500</v>
      </c>
      <c r="J1102" t="s">
        <v>60</v>
      </c>
      <c r="K1102" s="9">
        <f>Table1[[#This Row], [NUM OF MEM]]*Table1[[#This Row], [TOTAL TIME TAKEN]]*_xlfn.XLOOKUP(Table1[[#This Row], [EXIT]],Sheet1!$A$70:$A$71,Sheet1!$B$70:$B$71)*(1+_xlfn.XLOOKUP(Table1[[#This Row], [EXIT]],Sheet1!$A$70:$A$71,Sheet1!$C$70:$C$71))</f>
        <v>1623910.0999999992</v>
      </c>
      <c r="L1102" s="13" t="s">
        <v>65</v>
      </c>
      <c r="M1102" s="4">
        <f>IF(Table1[[#This Row], [EQUIPMENT]]="YES",Sheet1!$C$44*(1+Sheet1!$D$44),0)</f>
        <v>307500</v>
      </c>
      <c r="N1102" s="4">
        <f>_xlfn.XLOOKUP(Table1[[#This Row], [ROOM]],Sheet1!$A$47:$A$66,Sheet1!$F$47:$F$66)</f>
        <v>17600000</v>
      </c>
      <c r="O1102" s="9">
        <f>_xlfn.XLOOKUP(_xlfn.CONCAT(Table1[[#This Row], [TEAM]],Table1[[#This Row], [ROOM]]),'ROOM TIME'!$H$2:$H$121,'ROOM TIME'!$J$2:$J$121)</f>
        <v>37.582222222222207</v>
      </c>
      <c r="P1102" s="9">
        <f>(INDEX(Sheet1!$X$48:$Z$67,MATCH(Table1[[#This Row], [ROOM]],Sheet1!$P$48:$P$67,0),MATCH(Table1[[#This Row], [WEAPON]],Sheet1!$X$47:$Z$47,0)))/Table1[[#This Row], [NUM OF MEM]]</f>
        <v>4.5999999999999996</v>
      </c>
      <c r="Q1102" s="9">
        <f>Table1[[#This Row], [ROOM TIME]]+Table1[[#This Row], [GUARD TIME]]</f>
        <v>42.182222222222208</v>
      </c>
      <c r="R1102" s="4">
        <f>Sheet1!$K$3*_xlfn.XLOOKUP(Table1[[#This Row], [DISGUISE]],Sheet1!$A$21:$A$23,Sheet1!$D$21:$D$23)</f>
        <v>66</v>
      </c>
      <c r="S1102" s="9">
        <f>Table1[[#This Row], [TOTAL TIME]]-Table1[[#This Row], [TOTAL TIME TAKEN]]</f>
        <v>23.817777777777792</v>
      </c>
      <c r="T1102" t="str">
        <f>IF(Table1[[#This Row], [TIME DIFFERENCE]]&gt;=0,"PASS","FAIL")</f>
        <v>PASS</v>
      </c>
      <c r="U1102" s="9">
        <f>Table1[[#This Row], [TRC]]+Table1[[#This Row], [DRC]]+Table1[[#This Row], [WRC]]+Table1[[#This Row], [ERC]]+Table1[[#This Row], [EQRC]]</f>
        <v>8072260.0999999996</v>
      </c>
      <c r="V1102" s="9">
        <f>Table1[[#This Row], [TOTAL COST]]+_xlfn.XLOOKUP(Table1[[#This Row], [TEAM]],Sheet1!$A$12:$A$17,Sheet1!$I$12:$I$17)</f>
        <v>8371697.5999999996</v>
      </c>
      <c r="W1102" s="9">
        <f>Table1[[#This Row], [LOOT]]-Table1[[#This Row], [TOTAL COST]]</f>
        <v>9527739.9000000004</v>
      </c>
      <c r="X1102" s="9">
        <f>IF(Table1[[#This Row], [PASS/FAIL]]="FAIL",0,Table1[[#This Row], [PROFIT]])</f>
        <v>9527739.9000000004</v>
      </c>
    </row>
    <row r="1103" spans="1:24" ht="19.5" customHeight="1" x14ac:dyDescent="0.45">
      <c r="A1103" t="s">
        <v>13</v>
      </c>
      <c r="B1103" s="14">
        <f>_xlfn.XLOOKUP(Table1[[#This Row], [TEAM]],Sheet1!$A$12:$A$17,Sheet1!$F$12:$F$17)</f>
        <v>3</v>
      </c>
      <c r="C1103" s="14">
        <f>_xlfn.XLOOKUP(Table1[[#This Row], [TEAM]],Sheet1!$A$12:$A$17,Sheet1!$G$12:$G$17)</f>
        <v>5930000</v>
      </c>
      <c r="D1103" t="s">
        <v>23</v>
      </c>
      <c r="E1103" s="4">
        <f>_xlfn.XLOOKUP(Table1[[#This Row], [ROOM]],Sheet1!$A$47:$A$66,Sheet1!$B$47:$B$66)</f>
        <v>245</v>
      </c>
      <c r="F1103" t="s">
        <v>58</v>
      </c>
      <c r="G1103" s="4">
        <f>_xlfn.XLOOKUP(Table1[[#This Row], [DISGUISE]],Sheet1!$A$21:$A$23,Sheet1!$B$21:$B$23)*Table1[[#This Row], [NUM OF MEM]]*(1+_xlfn.XLOOKUP(Table1[[#This Row], [DISGUISE]],Sheet1!$A$21:$A$23,Sheet1!$C$21:$C$23))</f>
        <v>38400</v>
      </c>
      <c r="H1103" s="13" t="s">
        <v>66</v>
      </c>
      <c r="I1103" s="4">
        <f>_xlfn.XLOOKUP(Table1[[#This Row], [WEAPON]],Sheet1!$A$27:$A$29,Sheet1!$B$27:$B$29)*Table1[[#This Row], [NUM OF MEM]]*(1+_xlfn.XLOOKUP(Table1[[#This Row], [WEAPON]],Sheet1!$A$27:$A$29,Sheet1!$C$27:$C$29))</f>
        <v>108000</v>
      </c>
      <c r="J1103" t="s">
        <v>60</v>
      </c>
      <c r="K1103" s="9">
        <f>Table1[[#This Row], [NUM OF MEM]]*Table1[[#This Row], [TOTAL TIME TAKEN]]*_xlfn.XLOOKUP(Table1[[#This Row], [EXIT]],Sheet1!$A$70:$A$71,Sheet1!$B$70:$B$71)*(1+_xlfn.XLOOKUP(Table1[[#This Row], [EXIT]],Sheet1!$A$70:$A$71,Sheet1!$C$70:$C$71))</f>
        <v>1796357.5124999997</v>
      </c>
      <c r="L1103" s="13" t="s">
        <v>61</v>
      </c>
      <c r="M1103" s="4">
        <f>IF(Table1[[#This Row], [EQUIPMENT]]="YES",Sheet1!$C$44*(1+Sheet1!$D$44),0)</f>
        <v>0</v>
      </c>
      <c r="N1103" s="4">
        <f>_xlfn.XLOOKUP(Table1[[#This Row], [ROOM]],Sheet1!$A$47:$A$66,Sheet1!$F$47:$F$66)</f>
        <v>17400000</v>
      </c>
      <c r="O1103" s="9">
        <f>_xlfn.XLOOKUP(_xlfn.CONCAT(Table1[[#This Row], [TEAM]],Table1[[#This Row], [ROOM]]),'ROOM TIME'!$H$2:$H$121,'ROOM TIME'!$J$2:$J$121)</f>
        <v>42.078333333333326</v>
      </c>
      <c r="P1103" s="9">
        <f>(INDEX(Sheet1!$X$48:$Z$67,MATCH(Table1[[#This Row], [ROOM]],Sheet1!$P$48:$P$67,0),MATCH(Table1[[#This Row], [WEAPON]],Sheet1!$X$47:$Z$47,0)))/Table1[[#This Row], [NUM OF MEM]]</f>
        <v>4.583333333333333</v>
      </c>
      <c r="Q1103" s="9">
        <f>Table1[[#This Row], [ROOM TIME]]+Table1[[#This Row], [GUARD TIME]]</f>
        <v>46.661666666666662</v>
      </c>
      <c r="R1103" s="4">
        <f>Sheet1!$K$3*_xlfn.XLOOKUP(Table1[[#This Row], [DISGUISE]],Sheet1!$A$21:$A$23,Sheet1!$D$21:$D$23)</f>
        <v>69</v>
      </c>
      <c r="S1103" s="9">
        <f>Table1[[#This Row], [TOTAL TIME]]-Table1[[#This Row], [TOTAL TIME TAKEN]]</f>
        <v>22.338333333333338</v>
      </c>
      <c r="T1103" t="str">
        <f>IF(Table1[[#This Row], [TIME DIFFERENCE]]&gt;=0,"PASS","FAIL")</f>
        <v>PASS</v>
      </c>
      <c r="U1103" s="9">
        <f>Table1[[#This Row], [TRC]]+Table1[[#This Row], [DRC]]+Table1[[#This Row], [WRC]]+Table1[[#This Row], [ERC]]+Table1[[#This Row], [EQRC]]</f>
        <v>7872757.5124999993</v>
      </c>
      <c r="V1103" s="9">
        <f>Table1[[#This Row], [TOTAL COST]]+_xlfn.XLOOKUP(Table1[[#This Row], [TEAM]],Sheet1!$A$12:$A$17,Sheet1!$I$12:$I$17)</f>
        <v>8169257.5124999993</v>
      </c>
      <c r="W1103" s="9">
        <f>Table1[[#This Row], [LOOT]]-Table1[[#This Row], [TOTAL COST]]</f>
        <v>9527242.4875000007</v>
      </c>
      <c r="X1103" s="9">
        <f>IF(Table1[[#This Row], [PASS/FAIL]]="FAIL",0,Table1[[#This Row], [PROFIT]])</f>
        <v>9527242.4875000007</v>
      </c>
    </row>
    <row r="1104" spans="1:24" ht="19.5" customHeight="1" x14ac:dyDescent="0.45">
      <c r="A1104" t="s">
        <v>15</v>
      </c>
      <c r="B1104" s="14">
        <f>_xlfn.XLOOKUP(Table1[[#This Row], [TEAM]],Sheet1!$A$12:$A$17,Sheet1!$F$12:$F$17)</f>
        <v>2</v>
      </c>
      <c r="C1104" s="14">
        <f>_xlfn.XLOOKUP(Table1[[#This Row], [TEAM]],Sheet1!$A$12:$A$17,Sheet1!$G$12:$G$17)</f>
        <v>5932950</v>
      </c>
      <c r="D1104" t="s">
        <v>31</v>
      </c>
      <c r="E1104" s="4">
        <f>_xlfn.XLOOKUP(Table1[[#This Row], [ROOM]],Sheet1!$A$47:$A$66,Sheet1!$B$47:$B$66)</f>
        <v>256</v>
      </c>
      <c r="F1104" t="s">
        <v>58</v>
      </c>
      <c r="G1104" s="4">
        <f>_xlfn.XLOOKUP(Table1[[#This Row], [DISGUISE]],Sheet1!$A$21:$A$23,Sheet1!$B$21:$B$23)*Table1[[#This Row], [NUM OF MEM]]*(1+_xlfn.XLOOKUP(Table1[[#This Row], [DISGUISE]],Sheet1!$A$21:$A$23,Sheet1!$C$21:$C$23))</f>
        <v>25600</v>
      </c>
      <c r="H1104" s="13" t="s">
        <v>66</v>
      </c>
      <c r="I1104" s="4">
        <f>_xlfn.XLOOKUP(Table1[[#This Row], [WEAPON]],Sheet1!$A$27:$A$29,Sheet1!$B$27:$B$29)*Table1[[#This Row], [NUM OF MEM]]*(1+_xlfn.XLOOKUP(Table1[[#This Row], [WEAPON]],Sheet1!$A$27:$A$29,Sheet1!$C$27:$C$29))</f>
        <v>72000</v>
      </c>
      <c r="J1104" t="s">
        <v>64</v>
      </c>
      <c r="K1104" s="9">
        <f>Table1[[#This Row], [NUM OF MEM]]*Table1[[#This Row], [TOTAL TIME TAKEN]]*_xlfn.XLOOKUP(Table1[[#This Row], [EXIT]],Sheet1!$A$70:$A$71,Sheet1!$B$70:$B$71)*(1+_xlfn.XLOOKUP(Table1[[#This Row], [EXIT]],Sheet1!$A$70:$A$71,Sheet1!$C$70:$C$71))</f>
        <v>1635033.5999999996</v>
      </c>
      <c r="L1104" s="13" t="s">
        <v>65</v>
      </c>
      <c r="M1104" s="4">
        <f>IF(Table1[[#This Row], [EQUIPMENT]]="YES",Sheet1!$C$44*(1+Sheet1!$D$44),0)</f>
        <v>307500</v>
      </c>
      <c r="N1104" s="4">
        <f>_xlfn.XLOOKUP(Table1[[#This Row], [ROOM]],Sheet1!$A$47:$A$66,Sheet1!$F$47:$F$66)</f>
        <v>17500000</v>
      </c>
      <c r="O1104" s="9">
        <f>_xlfn.XLOOKUP(_xlfn.CONCAT(Table1[[#This Row], [TEAM]],Table1[[#This Row], [ROOM]]),'ROOM TIME'!$H$2:$H$121,'ROOM TIME'!$J$2:$J$121)</f>
        <v>56.204999999999984</v>
      </c>
      <c r="P1104" s="9">
        <f>(INDEX(Sheet1!$X$48:$Z$67,MATCH(Table1[[#This Row], [ROOM]],Sheet1!$P$48:$P$67,0),MATCH(Table1[[#This Row], [WEAPON]],Sheet1!$X$47:$Z$47,0)))/Table1[[#This Row], [NUM OF MEM]]</f>
        <v>6.875</v>
      </c>
      <c r="Q1104" s="9">
        <f>Table1[[#This Row], [ROOM TIME]]+Table1[[#This Row], [GUARD TIME]]</f>
        <v>63.079999999999984</v>
      </c>
      <c r="R1104" s="4">
        <f>Sheet1!$K$3*_xlfn.XLOOKUP(Table1[[#This Row], [DISGUISE]],Sheet1!$A$21:$A$23,Sheet1!$D$21:$D$23)</f>
        <v>69</v>
      </c>
      <c r="S1104" s="9">
        <f>Table1[[#This Row], [TOTAL TIME]]-Table1[[#This Row], [TOTAL TIME TAKEN]]</f>
        <v>5.9200000000000159</v>
      </c>
      <c r="T1104" t="str">
        <f>IF(Table1[[#This Row], [TIME DIFFERENCE]]&gt;=0,"PASS","FAIL")</f>
        <v>PASS</v>
      </c>
      <c r="U1104" s="9">
        <f>Table1[[#This Row], [TRC]]+Table1[[#This Row], [DRC]]+Table1[[#This Row], [WRC]]+Table1[[#This Row], [ERC]]+Table1[[#This Row], [EQRC]]</f>
        <v>7973083.5999999996</v>
      </c>
      <c r="V1104" s="9">
        <f>Table1[[#This Row], [TOTAL COST]]+_xlfn.XLOOKUP(Table1[[#This Row], [TEAM]],Sheet1!$A$12:$A$17,Sheet1!$I$12:$I$17)</f>
        <v>8269731.0999999996</v>
      </c>
      <c r="W1104" s="9">
        <f>Table1[[#This Row], [LOOT]]-Table1[[#This Row], [TOTAL COST]]</f>
        <v>9526916.4000000004</v>
      </c>
      <c r="X1104" s="9">
        <f>IF(Table1[[#This Row], [PASS/FAIL]]="FAIL",0,Table1[[#This Row], [PROFIT]])</f>
        <v>9526916.4000000004</v>
      </c>
    </row>
    <row r="1105" spans="1:24" ht="19.5" customHeight="1" x14ac:dyDescent="0.45">
      <c r="A1105" t="s">
        <v>16</v>
      </c>
      <c r="B1105" s="14">
        <f>_xlfn.XLOOKUP(Table1[[#This Row], [TEAM]],Sheet1!$A$12:$A$17,Sheet1!$F$12:$F$17)</f>
        <v>2</v>
      </c>
      <c r="C1105" s="14">
        <f>_xlfn.XLOOKUP(Table1[[#This Row], [TEAM]],Sheet1!$A$12:$A$17,Sheet1!$G$12:$G$17)</f>
        <v>6082800</v>
      </c>
      <c r="D1105" t="s">
        <v>22</v>
      </c>
      <c r="E1105" s="4">
        <f>_xlfn.XLOOKUP(Table1[[#This Row], [ROOM]],Sheet1!$A$47:$A$66,Sheet1!$B$47:$B$66)</f>
        <v>235</v>
      </c>
      <c r="F1105" t="s">
        <v>58</v>
      </c>
      <c r="G1105" s="4">
        <f>_xlfn.XLOOKUP(Table1[[#This Row], [DISGUISE]],Sheet1!$A$21:$A$23,Sheet1!$B$21:$B$23)*Table1[[#This Row], [NUM OF MEM]]*(1+_xlfn.XLOOKUP(Table1[[#This Row], [DISGUISE]],Sheet1!$A$21:$A$23,Sheet1!$C$21:$C$23))</f>
        <v>25600</v>
      </c>
      <c r="H1105" s="13" t="s">
        <v>59</v>
      </c>
      <c r="I1105" s="4">
        <f>_xlfn.XLOOKUP(Table1[[#This Row], [WEAPON]],Sheet1!$A$27:$A$29,Sheet1!$B$27:$B$29)*Table1[[#This Row], [NUM OF MEM]]*(1+_xlfn.XLOOKUP(Table1[[#This Row], [WEAPON]],Sheet1!$A$27:$A$29,Sheet1!$C$27:$C$29))</f>
        <v>91000</v>
      </c>
      <c r="J1105" t="s">
        <v>60</v>
      </c>
      <c r="K1105" s="9">
        <f>Table1[[#This Row], [NUM OF MEM]]*Table1[[#This Row], [TOTAL TIME TAKEN]]*_xlfn.XLOOKUP(Table1[[#This Row], [EXIT]],Sheet1!$A$70:$A$71,Sheet1!$B$70:$B$71)*(1+_xlfn.XLOOKUP(Table1[[#This Row], [EXIT]],Sheet1!$A$70:$A$71,Sheet1!$C$70:$C$71))</f>
        <v>1767773.1187499997</v>
      </c>
      <c r="L1105" s="13" t="s">
        <v>65</v>
      </c>
      <c r="M1105" s="4">
        <f>IF(Table1[[#This Row], [EQUIPMENT]]="YES",Sheet1!$C$44*(1+Sheet1!$D$44),0)</f>
        <v>307500</v>
      </c>
      <c r="N1105" s="4">
        <f>_xlfn.XLOOKUP(Table1[[#This Row], [ROOM]],Sheet1!$A$47:$A$66,Sheet1!$F$47:$F$66)</f>
        <v>17800000</v>
      </c>
      <c r="O1105" s="9">
        <f>_xlfn.XLOOKUP(_xlfn.CONCAT(Table1[[#This Row], [TEAM]],Table1[[#This Row], [ROOM]]),'ROOM TIME'!$H$2:$H$121,'ROOM TIME'!$J$2:$J$121)</f>
        <v>61.978749999999984</v>
      </c>
      <c r="P1105" s="9">
        <f>(INDEX(Sheet1!$X$48:$Z$67,MATCH(Table1[[#This Row], [ROOM]],Sheet1!$P$48:$P$67,0),MATCH(Table1[[#This Row], [WEAPON]],Sheet1!$X$47:$Z$47,0)))/Table1[[#This Row], [NUM OF MEM]]</f>
        <v>6.8999999999999995</v>
      </c>
      <c r="Q1105" s="9">
        <f>Table1[[#This Row], [ROOM TIME]]+Table1[[#This Row], [GUARD TIME]]</f>
        <v>68.878749999999982</v>
      </c>
      <c r="R1105" s="4">
        <f>Sheet1!$K$3*_xlfn.XLOOKUP(Table1[[#This Row], [DISGUISE]],Sheet1!$A$21:$A$23,Sheet1!$D$21:$D$23)</f>
        <v>69</v>
      </c>
      <c r="S1105" s="9">
        <f>Table1[[#This Row], [TOTAL TIME]]-Table1[[#This Row], [TOTAL TIME TAKEN]]</f>
        <v>0.12125000000001762</v>
      </c>
      <c r="T1105" t="str">
        <f>IF(Table1[[#This Row], [TIME DIFFERENCE]]&gt;=0,"PASS","FAIL")</f>
        <v>PASS</v>
      </c>
      <c r="U1105" s="9">
        <f>Table1[[#This Row], [TRC]]+Table1[[#This Row], [DRC]]+Table1[[#This Row], [WRC]]+Table1[[#This Row], [ERC]]+Table1[[#This Row], [EQRC]]</f>
        <v>8274673.1187499994</v>
      </c>
      <c r="V1105" s="9">
        <f>Table1[[#This Row], [TOTAL COST]]+_xlfn.XLOOKUP(Table1[[#This Row], [TEAM]],Sheet1!$A$12:$A$17,Sheet1!$I$12:$I$17)</f>
        <v>8578813.1187499985</v>
      </c>
      <c r="W1105" s="9">
        <f>Table1[[#This Row], [LOOT]]-Table1[[#This Row], [TOTAL COST]]</f>
        <v>9525326.8812500015</v>
      </c>
      <c r="X1105" s="9">
        <f>IF(Table1[[#This Row], [PASS/FAIL]]="FAIL",0,Table1[[#This Row], [PROFIT]])</f>
        <v>9525326.8812500015</v>
      </c>
    </row>
    <row r="1106" spans="1:24" ht="19.5" customHeight="1" x14ac:dyDescent="0.45">
      <c r="A1106" t="s">
        <v>12</v>
      </c>
      <c r="B1106" s="14">
        <f>_xlfn.XLOOKUP(Table1[[#This Row], [TEAM]],Sheet1!$A$12:$A$17,Sheet1!$F$12:$F$17)</f>
        <v>3</v>
      </c>
      <c r="C1106" s="14">
        <f>_xlfn.XLOOKUP(Table1[[#This Row], [TEAM]],Sheet1!$A$12:$A$17,Sheet1!$G$12:$G$17)</f>
        <v>5988750</v>
      </c>
      <c r="D1106" t="s">
        <v>30</v>
      </c>
      <c r="E1106" s="4">
        <f>_xlfn.XLOOKUP(Table1[[#This Row], [ROOM]],Sheet1!$A$47:$A$66,Sheet1!$B$47:$B$66)</f>
        <v>246</v>
      </c>
      <c r="F1106" t="s">
        <v>58</v>
      </c>
      <c r="G110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06" s="13" t="s">
        <v>63</v>
      </c>
      <c r="I1106" s="4">
        <f>_xlfn.XLOOKUP(Table1[[#This Row], [WEAPON]],Sheet1!$A$27:$A$29,Sheet1!$B$27:$B$29)*Table1[[#This Row], [NUM OF MEM]]*(1+_xlfn.XLOOKUP(Table1[[#This Row], [WEAPON]],Sheet1!$A$27:$A$29,Sheet1!$C$27:$C$29))</f>
        <v>69000</v>
      </c>
      <c r="J1106" t="s">
        <v>64</v>
      </c>
      <c r="K1106" s="9">
        <f>Table1[[#This Row], [NUM OF MEM]]*Table1[[#This Row], [TOTAL TIME TAKEN]]*_xlfn.XLOOKUP(Table1[[#This Row], [EXIT]],Sheet1!$A$70:$A$71,Sheet1!$B$70:$B$71)*(1+_xlfn.XLOOKUP(Table1[[#This Row], [EXIT]],Sheet1!$A$70:$A$71,Sheet1!$C$70:$C$71))</f>
        <v>1671148.7999999991</v>
      </c>
      <c r="L1106" s="13" t="s">
        <v>65</v>
      </c>
      <c r="M1106" s="4">
        <f>IF(Table1[[#This Row], [EQUIPMENT]]="YES",Sheet1!$C$44*(1+Sheet1!$D$44),0)</f>
        <v>307500</v>
      </c>
      <c r="N1106" s="4">
        <f>_xlfn.XLOOKUP(Table1[[#This Row], [ROOM]],Sheet1!$A$47:$A$66,Sheet1!$F$47:$F$66)</f>
        <v>17600000</v>
      </c>
      <c r="O1106" s="9">
        <f>_xlfn.XLOOKUP(_xlfn.CONCAT(Table1[[#This Row], [TEAM]],Table1[[#This Row], [ROOM]]),'ROOM TIME'!$H$2:$H$121,'ROOM TIME'!$J$2:$J$121)</f>
        <v>37.582222222222207</v>
      </c>
      <c r="P1106" s="9">
        <f>(INDEX(Sheet1!$X$48:$Z$67,MATCH(Table1[[#This Row], [ROOM]],Sheet1!$P$48:$P$67,0),MATCH(Table1[[#This Row], [WEAPON]],Sheet1!$X$47:$Z$47,0)))/Table1[[#This Row], [NUM OF MEM]]</f>
        <v>5.4000000000000012</v>
      </c>
      <c r="Q1106" s="9">
        <f>Table1[[#This Row], [ROOM TIME]]+Table1[[#This Row], [GUARD TIME]]</f>
        <v>42.982222222222205</v>
      </c>
      <c r="R1106" s="4">
        <f>Sheet1!$K$3*_xlfn.XLOOKUP(Table1[[#This Row], [DISGUISE]],Sheet1!$A$21:$A$23,Sheet1!$D$21:$D$23)</f>
        <v>69</v>
      </c>
      <c r="S1106" s="9">
        <f>Table1[[#This Row], [TOTAL TIME]]-Table1[[#This Row], [TOTAL TIME TAKEN]]</f>
        <v>26.017777777777795</v>
      </c>
      <c r="T1106" t="str">
        <f>IF(Table1[[#This Row], [TIME DIFFERENCE]]&gt;=0,"PASS","FAIL")</f>
        <v>PASS</v>
      </c>
      <c r="U1106" s="9">
        <f>Table1[[#This Row], [TRC]]+Table1[[#This Row], [DRC]]+Table1[[#This Row], [WRC]]+Table1[[#This Row], [ERC]]+Table1[[#This Row], [EQRC]]</f>
        <v>8074798.7999999989</v>
      </c>
      <c r="V1106" s="9">
        <f>Table1[[#This Row], [TOTAL COST]]+_xlfn.XLOOKUP(Table1[[#This Row], [TEAM]],Sheet1!$A$12:$A$17,Sheet1!$I$12:$I$17)</f>
        <v>8374236.2999999989</v>
      </c>
      <c r="W1106" s="9">
        <f>Table1[[#This Row], [LOOT]]-Table1[[#This Row], [TOTAL COST]]</f>
        <v>9525201.2000000011</v>
      </c>
      <c r="X1106" s="9">
        <f>IF(Table1[[#This Row], [PASS/FAIL]]="FAIL",0,Table1[[#This Row], [PROFIT]])</f>
        <v>9525201.2000000011</v>
      </c>
    </row>
    <row r="1107" spans="1:24" ht="19.5" customHeight="1" x14ac:dyDescent="0.45">
      <c r="A1107" t="s">
        <v>14</v>
      </c>
      <c r="B1107" s="14">
        <f>_xlfn.XLOOKUP(Table1[[#This Row], [TEAM]],Sheet1!$A$12:$A$17,Sheet1!$F$12:$F$17)</f>
        <v>2</v>
      </c>
      <c r="C1107" s="14">
        <f>_xlfn.XLOOKUP(Table1[[#This Row], [TEAM]],Sheet1!$A$12:$A$17,Sheet1!$G$12:$G$17)</f>
        <v>5949600</v>
      </c>
      <c r="D1107" t="s">
        <v>31</v>
      </c>
      <c r="E1107" s="4">
        <f>_xlfn.XLOOKUP(Table1[[#This Row], [ROOM]],Sheet1!$A$47:$A$66,Sheet1!$B$47:$B$66)</f>
        <v>256</v>
      </c>
      <c r="F1107" t="s">
        <v>58</v>
      </c>
      <c r="G110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07" s="13" t="s">
        <v>66</v>
      </c>
      <c r="I1107" s="4">
        <f>_xlfn.XLOOKUP(Table1[[#This Row], [WEAPON]],Sheet1!$A$27:$A$29,Sheet1!$B$27:$B$29)*Table1[[#This Row], [NUM OF MEM]]*(1+_xlfn.XLOOKUP(Table1[[#This Row], [WEAPON]],Sheet1!$A$27:$A$29,Sheet1!$C$27:$C$29))</f>
        <v>72000</v>
      </c>
      <c r="J1107" t="s">
        <v>60</v>
      </c>
      <c r="K1107" s="9">
        <f>Table1[[#This Row], [NUM OF MEM]]*Table1[[#This Row], [TOTAL TIME TAKEN]]*_xlfn.XLOOKUP(Table1[[#This Row], [EXIT]],Sheet1!$A$70:$A$71,Sheet1!$B$70:$B$71)*(1+_xlfn.XLOOKUP(Table1[[#This Row], [EXIT]],Sheet1!$A$70:$A$71,Sheet1!$C$70:$C$71))</f>
        <v>1620231.4499999997</v>
      </c>
      <c r="L1107" s="13" t="s">
        <v>65</v>
      </c>
      <c r="M1107" s="4">
        <f>IF(Table1[[#This Row], [EQUIPMENT]]="YES",Sheet1!$C$44*(1+Sheet1!$D$44),0)</f>
        <v>307500</v>
      </c>
      <c r="N1107" s="4">
        <f>_xlfn.XLOOKUP(Table1[[#This Row], [ROOM]],Sheet1!$A$47:$A$66,Sheet1!$F$47:$F$66)</f>
        <v>17500000</v>
      </c>
      <c r="O1107" s="9">
        <f>_xlfn.XLOOKUP(_xlfn.CONCAT(Table1[[#This Row], [TEAM]],Table1[[#This Row], [ROOM]]),'ROOM TIME'!$H$2:$H$121,'ROOM TIME'!$J$2:$J$121)</f>
        <v>56.254999999999981</v>
      </c>
      <c r="P1107" s="9">
        <f>(INDEX(Sheet1!$X$48:$Z$67,MATCH(Table1[[#This Row], [ROOM]],Sheet1!$P$48:$P$67,0),MATCH(Table1[[#This Row], [WEAPON]],Sheet1!$X$47:$Z$47,0)))/Table1[[#This Row], [NUM OF MEM]]</f>
        <v>6.875</v>
      </c>
      <c r="Q1107" s="9">
        <f>Table1[[#This Row], [ROOM TIME]]+Table1[[#This Row], [GUARD TIME]]</f>
        <v>63.129999999999981</v>
      </c>
      <c r="R1107" s="4">
        <f>Sheet1!$K$3*_xlfn.XLOOKUP(Table1[[#This Row], [DISGUISE]],Sheet1!$A$21:$A$23,Sheet1!$D$21:$D$23)</f>
        <v>69</v>
      </c>
      <c r="S1107" s="9">
        <f>Table1[[#This Row], [TOTAL TIME]]-Table1[[#This Row], [TOTAL TIME TAKEN]]</f>
        <v>5.8700000000000188</v>
      </c>
      <c r="T1107" t="str">
        <f>IF(Table1[[#This Row], [TIME DIFFERENCE]]&gt;=0,"PASS","FAIL")</f>
        <v>PASS</v>
      </c>
      <c r="U1107" s="9">
        <f>Table1[[#This Row], [TRC]]+Table1[[#This Row], [DRC]]+Table1[[#This Row], [WRC]]+Table1[[#This Row], [ERC]]+Table1[[#This Row], [EQRC]]</f>
        <v>7974931.4499999993</v>
      </c>
      <c r="V1107" s="9">
        <f>Table1[[#This Row], [TOTAL COST]]+_xlfn.XLOOKUP(Table1[[#This Row], [TEAM]],Sheet1!$A$12:$A$17,Sheet1!$I$12:$I$17)</f>
        <v>8272411.4499999993</v>
      </c>
      <c r="W1107" s="9">
        <f>Table1[[#This Row], [LOOT]]-Table1[[#This Row], [TOTAL COST]]</f>
        <v>9525068.5500000007</v>
      </c>
      <c r="X1107" s="9">
        <f>IF(Table1[[#This Row], [PASS/FAIL]]="FAIL",0,Table1[[#This Row], [PROFIT]])</f>
        <v>9525068.5500000007</v>
      </c>
    </row>
    <row r="1108" spans="1:24" ht="19.5" customHeight="1" x14ac:dyDescent="0.45">
      <c r="A1108" t="s">
        <v>13</v>
      </c>
      <c r="B1108" s="14">
        <f>_xlfn.XLOOKUP(Table1[[#This Row], [TEAM]],Sheet1!$A$12:$A$17,Sheet1!$F$12:$F$17)</f>
        <v>3</v>
      </c>
      <c r="C1108" s="14">
        <f>_xlfn.XLOOKUP(Table1[[#This Row], [TEAM]],Sheet1!$A$12:$A$17,Sheet1!$G$12:$G$17)</f>
        <v>5930000</v>
      </c>
      <c r="D1108" t="s">
        <v>30</v>
      </c>
      <c r="E1108" s="4">
        <f>_xlfn.XLOOKUP(Table1[[#This Row], [ROOM]],Sheet1!$A$47:$A$66,Sheet1!$B$47:$B$66)</f>
        <v>246</v>
      </c>
      <c r="F1108" t="s">
        <v>58</v>
      </c>
      <c r="G110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08" s="13" t="s">
        <v>63</v>
      </c>
      <c r="I1108" s="4">
        <f>_xlfn.XLOOKUP(Table1[[#This Row], [WEAPON]],Sheet1!$A$27:$A$29,Sheet1!$B$27:$B$29)*Table1[[#This Row], [NUM OF MEM]]*(1+_xlfn.XLOOKUP(Table1[[#This Row], [WEAPON]],Sheet1!$A$27:$A$29,Sheet1!$C$27:$C$29))</f>
        <v>69000</v>
      </c>
      <c r="J1108" t="s">
        <v>60</v>
      </c>
      <c r="K1108" s="9">
        <f>Table1[[#This Row], [NUM OF MEM]]*Table1[[#This Row], [TOTAL TIME TAKEN]]*_xlfn.XLOOKUP(Table1[[#This Row], [EXIT]],Sheet1!$A$70:$A$71,Sheet1!$B$70:$B$71)*(1+_xlfn.XLOOKUP(Table1[[#This Row], [EXIT]],Sheet1!$A$70:$A$71,Sheet1!$C$70:$C$71))</f>
        <v>1730526.7874999996</v>
      </c>
      <c r="L1108" s="13" t="s">
        <v>65</v>
      </c>
      <c r="M1108" s="4">
        <f>IF(Table1[[#This Row], [EQUIPMENT]]="YES",Sheet1!$C$44*(1+Sheet1!$D$44),0)</f>
        <v>307500</v>
      </c>
      <c r="N1108" s="4">
        <f>_xlfn.XLOOKUP(Table1[[#This Row], [ROOM]],Sheet1!$A$47:$A$66,Sheet1!$F$47:$F$66)</f>
        <v>17600000</v>
      </c>
      <c r="O1108" s="9">
        <f>_xlfn.XLOOKUP(_xlfn.CONCAT(Table1[[#This Row], [TEAM]],Table1[[#This Row], [ROOM]]),'ROOM TIME'!$H$2:$H$121,'ROOM TIME'!$J$2:$J$121)</f>
        <v>39.551666666666655</v>
      </c>
      <c r="P1108" s="9">
        <f>(INDEX(Sheet1!$X$48:$Z$67,MATCH(Table1[[#This Row], [ROOM]],Sheet1!$P$48:$P$67,0),MATCH(Table1[[#This Row], [WEAPON]],Sheet1!$X$47:$Z$47,0)))/Table1[[#This Row], [NUM OF MEM]]</f>
        <v>5.4000000000000012</v>
      </c>
      <c r="Q1108" s="9">
        <f>Table1[[#This Row], [ROOM TIME]]+Table1[[#This Row], [GUARD TIME]]</f>
        <v>44.951666666666654</v>
      </c>
      <c r="R1108" s="4">
        <f>Sheet1!$K$3*_xlfn.XLOOKUP(Table1[[#This Row], [DISGUISE]],Sheet1!$A$21:$A$23,Sheet1!$D$21:$D$23)</f>
        <v>69</v>
      </c>
      <c r="S1108" s="9">
        <f>Table1[[#This Row], [TOTAL TIME]]-Table1[[#This Row], [TOTAL TIME TAKEN]]</f>
        <v>24.048333333333346</v>
      </c>
      <c r="T1108" t="str">
        <f>IF(Table1[[#This Row], [TIME DIFFERENCE]]&gt;=0,"PASS","FAIL")</f>
        <v>PASS</v>
      </c>
      <c r="U1108" s="9">
        <f>Table1[[#This Row], [TRC]]+Table1[[#This Row], [DRC]]+Table1[[#This Row], [WRC]]+Table1[[#This Row], [ERC]]+Table1[[#This Row], [EQRC]]</f>
        <v>8075426.7874999996</v>
      </c>
      <c r="V1108" s="9">
        <f>Table1[[#This Row], [TOTAL COST]]+_xlfn.XLOOKUP(Table1[[#This Row], [TEAM]],Sheet1!$A$12:$A$17,Sheet1!$I$12:$I$17)</f>
        <v>8371926.7874999996</v>
      </c>
      <c r="W1108" s="9">
        <f>Table1[[#This Row], [LOOT]]-Table1[[#This Row], [TOTAL COST]]</f>
        <v>9524573.2125000004</v>
      </c>
      <c r="X1108" s="9">
        <f>IF(Table1[[#This Row], [PASS/FAIL]]="FAIL",0,Table1[[#This Row], [PROFIT]])</f>
        <v>9524573.2125000004</v>
      </c>
    </row>
    <row r="1109" spans="1:24" ht="19.5" customHeight="1" x14ac:dyDescent="0.45">
      <c r="A1109" t="s">
        <v>12</v>
      </c>
      <c r="B1109" s="14">
        <f>_xlfn.XLOOKUP(Table1[[#This Row], [TEAM]],Sheet1!$A$12:$A$17,Sheet1!$F$12:$F$17)</f>
        <v>3</v>
      </c>
      <c r="C1109" s="14">
        <f>_xlfn.XLOOKUP(Table1[[#This Row], [TEAM]],Sheet1!$A$12:$A$17,Sheet1!$G$12:$G$17)</f>
        <v>5988750</v>
      </c>
      <c r="D1109" t="s">
        <v>30</v>
      </c>
      <c r="E1109" s="4">
        <f>_xlfn.XLOOKUP(Table1[[#This Row], [ROOM]],Sheet1!$A$47:$A$66,Sheet1!$B$47:$B$66)</f>
        <v>246</v>
      </c>
      <c r="F1109" t="s">
        <v>62</v>
      </c>
      <c r="G110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09" s="13" t="s">
        <v>66</v>
      </c>
      <c r="I1109" s="4">
        <f>_xlfn.XLOOKUP(Table1[[#This Row], [WEAPON]],Sheet1!$A$27:$A$29,Sheet1!$B$27:$B$29)*Table1[[#This Row], [NUM OF MEM]]*(1+_xlfn.XLOOKUP(Table1[[#This Row], [WEAPON]],Sheet1!$A$27:$A$29,Sheet1!$C$27:$C$29))</f>
        <v>108000</v>
      </c>
      <c r="J1109" t="s">
        <v>64</v>
      </c>
      <c r="K1109" s="9">
        <f>Table1[[#This Row], [NUM OF MEM]]*Table1[[#This Row], [TOTAL TIME TAKEN]]*_xlfn.XLOOKUP(Table1[[#This Row], [EXIT]],Sheet1!$A$70:$A$71,Sheet1!$B$70:$B$71)*(1+_xlfn.XLOOKUP(Table1[[#This Row], [EXIT]],Sheet1!$A$70:$A$71,Sheet1!$C$70:$C$71))</f>
        <v>1655596.7999999993</v>
      </c>
      <c r="L1109" s="13" t="s">
        <v>65</v>
      </c>
      <c r="M1109" s="4">
        <f>IF(Table1[[#This Row], [EQUIPMENT]]="YES",Sheet1!$C$44*(1+Sheet1!$D$44),0)</f>
        <v>307500</v>
      </c>
      <c r="N1109" s="4">
        <f>_xlfn.XLOOKUP(Table1[[#This Row], [ROOM]],Sheet1!$A$47:$A$66,Sheet1!$F$47:$F$66)</f>
        <v>17600000</v>
      </c>
      <c r="O1109" s="9">
        <f>_xlfn.XLOOKUP(_xlfn.CONCAT(Table1[[#This Row], [TEAM]],Table1[[#This Row], [ROOM]]),'ROOM TIME'!$H$2:$H$121,'ROOM TIME'!$J$2:$J$121)</f>
        <v>37.582222222222207</v>
      </c>
      <c r="P1109" s="4">
        <f>(INDEX(Sheet1!$X$48:$Z$67,MATCH(Table1[[#This Row], [ROOM]],Sheet1!$P$48:$P$67,0),MATCH(Table1[[#This Row], [WEAPON]],Sheet1!$X$47:$Z$47,0)))/Table1[[#This Row], [NUM OF MEM]]</f>
        <v>5</v>
      </c>
      <c r="Q1109" s="9">
        <f>Table1[[#This Row], [ROOM TIME]]+Table1[[#This Row], [GUARD TIME]]</f>
        <v>42.582222222222207</v>
      </c>
      <c r="R1109" s="4">
        <f>Sheet1!$K$3*_xlfn.XLOOKUP(Table1[[#This Row], [DISGUISE]],Sheet1!$A$21:$A$23,Sheet1!$D$21:$D$23)</f>
        <v>66</v>
      </c>
      <c r="S1109" s="9">
        <f>Table1[[#This Row], [TOTAL TIME]]-Table1[[#This Row], [TOTAL TIME TAKEN]]</f>
        <v>23.417777777777793</v>
      </c>
      <c r="T1109" t="str">
        <f>IF(Table1[[#This Row], [TIME DIFFERENCE]]&gt;=0,"PASS","FAIL")</f>
        <v>PASS</v>
      </c>
      <c r="U1109" s="9">
        <f>Table1[[#This Row], [TRC]]+Table1[[#This Row], [DRC]]+Table1[[#This Row], [WRC]]+Table1[[#This Row], [ERC]]+Table1[[#This Row], [EQRC]]</f>
        <v>8075446.7999999989</v>
      </c>
      <c r="V1109" s="9">
        <f>Table1[[#This Row], [TOTAL COST]]+_xlfn.XLOOKUP(Table1[[#This Row], [TEAM]],Sheet1!$A$12:$A$17,Sheet1!$I$12:$I$17)</f>
        <v>8374884.2999999989</v>
      </c>
      <c r="W1109" s="9">
        <f>Table1[[#This Row], [LOOT]]-Table1[[#This Row], [TOTAL COST]]</f>
        <v>9524553.2000000011</v>
      </c>
      <c r="X1109" s="9">
        <f>IF(Table1[[#This Row], [PASS/FAIL]]="FAIL",0,Table1[[#This Row], [PROFIT]])</f>
        <v>9524553.2000000011</v>
      </c>
    </row>
    <row r="1110" spans="1:24" ht="19.5" customHeight="1" x14ac:dyDescent="0.45">
      <c r="A1110" t="s">
        <v>14</v>
      </c>
      <c r="B1110" s="14">
        <f>_xlfn.XLOOKUP(Table1[[#This Row], [TEAM]],Sheet1!$A$12:$A$17,Sheet1!$F$12:$F$17)</f>
        <v>2</v>
      </c>
      <c r="C1110" s="14">
        <f>_xlfn.XLOOKUP(Table1[[#This Row], [TEAM]],Sheet1!$A$12:$A$17,Sheet1!$G$12:$G$17)</f>
        <v>5949600</v>
      </c>
      <c r="D1110" t="s">
        <v>31</v>
      </c>
      <c r="E1110" s="4">
        <f>_xlfn.XLOOKUP(Table1[[#This Row], [ROOM]],Sheet1!$A$47:$A$66,Sheet1!$B$47:$B$66)</f>
        <v>256</v>
      </c>
      <c r="F1110" t="s">
        <v>62</v>
      </c>
      <c r="G1110" s="4">
        <f>_xlfn.XLOOKUP(Table1[[#This Row], [DISGUISE]],Sheet1!$A$21:$A$23,Sheet1!$B$21:$B$23)*Table1[[#This Row], [NUM OF MEM]]*(1+_xlfn.XLOOKUP(Table1[[#This Row], [DISGUISE]],Sheet1!$A$21:$A$23,Sheet1!$C$21:$C$23))</f>
        <v>10400</v>
      </c>
      <c r="H1110" s="13" t="s">
        <v>66</v>
      </c>
      <c r="I1110" s="4">
        <f>_xlfn.XLOOKUP(Table1[[#This Row], [WEAPON]],Sheet1!$A$27:$A$29,Sheet1!$B$27:$B$29)*Table1[[#This Row], [NUM OF MEM]]*(1+_xlfn.XLOOKUP(Table1[[#This Row], [WEAPON]],Sheet1!$A$27:$A$29,Sheet1!$C$27:$C$29))</f>
        <v>72000</v>
      </c>
      <c r="J1110" t="s">
        <v>64</v>
      </c>
      <c r="K1110" s="9">
        <f>Table1[[#This Row], [NUM OF MEM]]*Table1[[#This Row], [TOTAL TIME TAKEN]]*_xlfn.XLOOKUP(Table1[[#This Row], [EXIT]],Sheet1!$A$70:$A$71,Sheet1!$B$70:$B$71)*(1+_xlfn.XLOOKUP(Table1[[#This Row], [EXIT]],Sheet1!$A$70:$A$71,Sheet1!$C$70:$C$71))</f>
        <v>1636329.5999999994</v>
      </c>
      <c r="L1110" s="13" t="s">
        <v>65</v>
      </c>
      <c r="M1110" s="4">
        <f>IF(Table1[[#This Row], [EQUIPMENT]]="YES",Sheet1!$C$44*(1+Sheet1!$D$44),0)</f>
        <v>307500</v>
      </c>
      <c r="N1110" s="4">
        <f>_xlfn.XLOOKUP(Table1[[#This Row], [ROOM]],Sheet1!$A$47:$A$66,Sheet1!$F$47:$F$66)</f>
        <v>17500000</v>
      </c>
      <c r="O1110" s="9">
        <f>_xlfn.XLOOKUP(_xlfn.CONCAT(Table1[[#This Row], [TEAM]],Table1[[#This Row], [ROOM]]),'ROOM TIME'!$H$2:$H$121,'ROOM TIME'!$J$2:$J$121)</f>
        <v>56.254999999999981</v>
      </c>
      <c r="P1110" s="9">
        <f>(INDEX(Sheet1!$X$48:$Z$67,MATCH(Table1[[#This Row], [ROOM]],Sheet1!$P$48:$P$67,0),MATCH(Table1[[#This Row], [WEAPON]],Sheet1!$X$47:$Z$47,0)))/Table1[[#This Row], [NUM OF MEM]]</f>
        <v>6.875</v>
      </c>
      <c r="Q1110" s="9">
        <f>Table1[[#This Row], [ROOM TIME]]+Table1[[#This Row], [GUARD TIME]]</f>
        <v>63.129999999999981</v>
      </c>
      <c r="R1110" s="4">
        <f>Sheet1!$K$3*_xlfn.XLOOKUP(Table1[[#This Row], [DISGUISE]],Sheet1!$A$21:$A$23,Sheet1!$D$21:$D$23)</f>
        <v>66</v>
      </c>
      <c r="S1110" s="9">
        <f>Table1[[#This Row], [TOTAL TIME]]-Table1[[#This Row], [TOTAL TIME TAKEN]]</f>
        <v>2.8700000000000188</v>
      </c>
      <c r="T1110" t="str">
        <f>IF(Table1[[#This Row], [TIME DIFFERENCE]]&gt;=0,"PASS","FAIL")</f>
        <v>PASS</v>
      </c>
      <c r="U1110" s="9">
        <f>Table1[[#This Row], [TRC]]+Table1[[#This Row], [DRC]]+Table1[[#This Row], [WRC]]+Table1[[#This Row], [ERC]]+Table1[[#This Row], [EQRC]]</f>
        <v>7975829.5999999996</v>
      </c>
      <c r="V1110" s="9">
        <f>Table1[[#This Row], [TOTAL COST]]+_xlfn.XLOOKUP(Table1[[#This Row], [TEAM]],Sheet1!$A$12:$A$17,Sheet1!$I$12:$I$17)</f>
        <v>8273309.5999999996</v>
      </c>
      <c r="W1110" s="9">
        <f>Table1[[#This Row], [LOOT]]-Table1[[#This Row], [TOTAL COST]]</f>
        <v>9524170.4000000004</v>
      </c>
      <c r="X1110" s="9">
        <f>IF(Table1[[#This Row], [PASS/FAIL]]="FAIL",0,Table1[[#This Row], [PROFIT]])</f>
        <v>9524170.4000000004</v>
      </c>
    </row>
    <row r="1111" spans="1:24" ht="19.5" customHeight="1" x14ac:dyDescent="0.45">
      <c r="A1111" t="s">
        <v>13</v>
      </c>
      <c r="B1111" s="14">
        <f>_xlfn.XLOOKUP(Table1[[#This Row], [TEAM]],Sheet1!$A$12:$A$17,Sheet1!$F$12:$F$17)</f>
        <v>3</v>
      </c>
      <c r="C1111" s="14">
        <f>_xlfn.XLOOKUP(Table1[[#This Row], [TEAM]],Sheet1!$A$12:$A$17,Sheet1!$G$12:$G$17)</f>
        <v>5930000</v>
      </c>
      <c r="D1111" t="s">
        <v>30</v>
      </c>
      <c r="E1111" s="4">
        <f>_xlfn.XLOOKUP(Table1[[#This Row], [ROOM]],Sheet1!$A$47:$A$66,Sheet1!$B$47:$B$66)</f>
        <v>246</v>
      </c>
      <c r="F1111" t="s">
        <v>62</v>
      </c>
      <c r="G111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11" s="13" t="s">
        <v>66</v>
      </c>
      <c r="I1111" s="4">
        <f>_xlfn.XLOOKUP(Table1[[#This Row], [WEAPON]],Sheet1!$A$27:$A$29,Sheet1!$B$27:$B$29)*Table1[[#This Row], [NUM OF MEM]]*(1+_xlfn.XLOOKUP(Table1[[#This Row], [WEAPON]],Sheet1!$A$27:$A$29,Sheet1!$C$27:$C$29))</f>
        <v>108000</v>
      </c>
      <c r="J1111" t="s">
        <v>60</v>
      </c>
      <c r="K1111" s="9">
        <f>Table1[[#This Row], [NUM OF MEM]]*Table1[[#This Row], [TOTAL TIME TAKEN]]*_xlfn.XLOOKUP(Table1[[#This Row], [EXIT]],Sheet1!$A$70:$A$71,Sheet1!$B$70:$B$71)*(1+_xlfn.XLOOKUP(Table1[[#This Row], [EXIT]],Sheet1!$A$70:$A$71,Sheet1!$C$70:$C$71))</f>
        <v>1715127.7874999996</v>
      </c>
      <c r="L1111" s="13" t="s">
        <v>65</v>
      </c>
      <c r="M1111" s="4">
        <f>IF(Table1[[#This Row], [EQUIPMENT]]="YES",Sheet1!$C$44*(1+Sheet1!$D$44),0)</f>
        <v>307500</v>
      </c>
      <c r="N1111" s="4">
        <f>_xlfn.XLOOKUP(Table1[[#This Row], [ROOM]],Sheet1!$A$47:$A$66,Sheet1!$F$47:$F$66)</f>
        <v>17600000</v>
      </c>
      <c r="O1111" s="9">
        <f>_xlfn.XLOOKUP(_xlfn.CONCAT(Table1[[#This Row], [TEAM]],Table1[[#This Row], [ROOM]]),'ROOM TIME'!$H$2:$H$121,'ROOM TIME'!$J$2:$J$121)</f>
        <v>39.551666666666655</v>
      </c>
      <c r="P1111" s="4">
        <f>(INDEX(Sheet1!$X$48:$Z$67,MATCH(Table1[[#This Row], [ROOM]],Sheet1!$P$48:$P$67,0),MATCH(Table1[[#This Row], [WEAPON]],Sheet1!$X$47:$Z$47,0)))/Table1[[#This Row], [NUM OF MEM]]</f>
        <v>5</v>
      </c>
      <c r="Q1111" s="9">
        <f>Table1[[#This Row], [ROOM TIME]]+Table1[[#This Row], [GUARD TIME]]</f>
        <v>44.551666666666655</v>
      </c>
      <c r="R1111" s="4">
        <f>Sheet1!$K$3*_xlfn.XLOOKUP(Table1[[#This Row], [DISGUISE]],Sheet1!$A$21:$A$23,Sheet1!$D$21:$D$23)</f>
        <v>66</v>
      </c>
      <c r="S1111" s="9">
        <f>Table1[[#This Row], [TOTAL TIME]]-Table1[[#This Row], [TOTAL TIME TAKEN]]</f>
        <v>21.448333333333345</v>
      </c>
      <c r="T1111" t="str">
        <f>IF(Table1[[#This Row], [TIME DIFFERENCE]]&gt;=0,"PASS","FAIL")</f>
        <v>PASS</v>
      </c>
      <c r="U1111" s="9">
        <f>Table1[[#This Row], [TRC]]+Table1[[#This Row], [DRC]]+Table1[[#This Row], [WRC]]+Table1[[#This Row], [ERC]]+Table1[[#This Row], [EQRC]]</f>
        <v>8076227.7874999996</v>
      </c>
      <c r="V1111" s="9">
        <f>Table1[[#This Row], [TOTAL COST]]+_xlfn.XLOOKUP(Table1[[#This Row], [TEAM]],Sheet1!$A$12:$A$17,Sheet1!$I$12:$I$17)</f>
        <v>8372727.7874999996</v>
      </c>
      <c r="W1111" s="9">
        <f>Table1[[#This Row], [LOOT]]-Table1[[#This Row], [TOTAL COST]]</f>
        <v>9523772.2125000004</v>
      </c>
      <c r="X1111" s="9">
        <f>IF(Table1[[#This Row], [PASS/FAIL]]="FAIL",0,Table1[[#This Row], [PROFIT]])</f>
        <v>9523772.2125000004</v>
      </c>
    </row>
    <row r="1112" spans="1:24" ht="19.5" customHeight="1" x14ac:dyDescent="0.45">
      <c r="A1112" t="s">
        <v>12</v>
      </c>
      <c r="B1112" s="14">
        <f>_xlfn.XLOOKUP(Table1[[#This Row], [TEAM]],Sheet1!$A$12:$A$17,Sheet1!$F$12:$F$17)</f>
        <v>3</v>
      </c>
      <c r="C1112" s="14">
        <f>_xlfn.XLOOKUP(Table1[[#This Row], [TEAM]],Sheet1!$A$12:$A$17,Sheet1!$G$12:$G$17)</f>
        <v>5988750</v>
      </c>
      <c r="D1112" t="s">
        <v>25</v>
      </c>
      <c r="E1112" s="4">
        <f>_xlfn.XLOOKUP(Table1[[#This Row], [ROOM]],Sheet1!$A$47:$A$66,Sheet1!$B$47:$B$66)</f>
        <v>126</v>
      </c>
      <c r="F1112" t="s">
        <v>62</v>
      </c>
      <c r="G1112" s="4">
        <f>_xlfn.XLOOKUP(Table1[[#This Row], [DISGUISE]],Sheet1!$A$21:$A$23,Sheet1!$B$21:$B$23)*Table1[[#This Row], [NUM OF MEM]]*(1+_xlfn.XLOOKUP(Table1[[#This Row], [DISGUISE]],Sheet1!$A$21:$A$23,Sheet1!$C$21:$C$23))</f>
        <v>15600</v>
      </c>
      <c r="H1112" s="13" t="s">
        <v>63</v>
      </c>
      <c r="I1112" s="4">
        <f>_xlfn.XLOOKUP(Table1[[#This Row], [WEAPON]],Sheet1!$A$27:$A$29,Sheet1!$B$27:$B$29)*Table1[[#This Row], [NUM OF MEM]]*(1+_xlfn.XLOOKUP(Table1[[#This Row], [WEAPON]],Sheet1!$A$27:$A$29,Sheet1!$C$27:$C$29))</f>
        <v>69000</v>
      </c>
      <c r="J1112" t="s">
        <v>60</v>
      </c>
      <c r="K1112" s="9">
        <f>Table1[[#This Row], [NUM OF MEM]]*Table1[[#This Row], [TOTAL TIME TAKEN]]*_xlfn.XLOOKUP(Table1[[#This Row], [EXIT]],Sheet1!$A$70:$A$71,Sheet1!$B$70:$B$71)*(1+_xlfn.XLOOKUP(Table1[[#This Row], [EXIT]],Sheet1!$A$70:$A$71,Sheet1!$C$70:$C$71))</f>
        <v>1645810.8999999992</v>
      </c>
      <c r="L1112" s="13" t="s">
        <v>65</v>
      </c>
      <c r="M1112" s="4">
        <f>IF(Table1[[#This Row], [EQUIPMENT]]="YES",Sheet1!$C$44*(1+Sheet1!$D$44),0)</f>
        <v>307500</v>
      </c>
      <c r="N1112" s="4">
        <f>_xlfn.XLOOKUP(Table1[[#This Row], [ROOM]],Sheet1!$A$47:$A$66,Sheet1!$F$47:$F$66)</f>
        <v>17550000</v>
      </c>
      <c r="O1112" s="9">
        <f>_xlfn.XLOOKUP(_xlfn.CONCAT(Table1[[#This Row], [TEAM]],Table1[[#This Row], [ROOM]]),'ROOM TIME'!$H$2:$H$121,'ROOM TIME'!$J$2:$J$121)</f>
        <v>37.801111111111091</v>
      </c>
      <c r="P1112" s="9">
        <f>(INDEX(Sheet1!$X$48:$Z$67,MATCH(Table1[[#This Row], [ROOM]],Sheet1!$P$48:$P$67,0),MATCH(Table1[[#This Row], [WEAPON]],Sheet1!$X$47:$Z$47,0)))/Table1[[#This Row], [NUM OF MEM]]</f>
        <v>4.95</v>
      </c>
      <c r="Q1112" s="9">
        <f>Table1[[#This Row], [ROOM TIME]]+Table1[[#This Row], [GUARD TIME]]</f>
        <v>42.751111111111094</v>
      </c>
      <c r="R1112" s="4">
        <f>Sheet1!$K$3*_xlfn.XLOOKUP(Table1[[#This Row], [DISGUISE]],Sheet1!$A$21:$A$23,Sheet1!$D$21:$D$23)</f>
        <v>66</v>
      </c>
      <c r="S1112" s="9">
        <f>Table1[[#This Row], [TOTAL TIME]]-Table1[[#This Row], [TOTAL TIME TAKEN]]</f>
        <v>23.248888888888906</v>
      </c>
      <c r="T1112" t="str">
        <f>IF(Table1[[#This Row], [TIME DIFFERENCE]]&gt;=0,"PASS","FAIL")</f>
        <v>PASS</v>
      </c>
      <c r="U1112" s="9">
        <f>Table1[[#This Row], [TRC]]+Table1[[#This Row], [DRC]]+Table1[[#This Row], [WRC]]+Table1[[#This Row], [ERC]]+Table1[[#This Row], [EQRC]]</f>
        <v>8026660.8999999994</v>
      </c>
      <c r="V1112" s="9">
        <f>Table1[[#This Row], [TOTAL COST]]+_xlfn.XLOOKUP(Table1[[#This Row], [TEAM]],Sheet1!$A$12:$A$17,Sheet1!$I$12:$I$17)</f>
        <v>8326098.3999999994</v>
      </c>
      <c r="W1112" s="9">
        <f>Table1[[#This Row], [LOOT]]-Table1[[#This Row], [TOTAL COST]]</f>
        <v>9523339.1000000015</v>
      </c>
      <c r="X1112" s="9">
        <f>IF(Table1[[#This Row], [PASS/FAIL]]="FAIL",0,Table1[[#This Row], [PROFIT]])</f>
        <v>9523339.1000000015</v>
      </c>
    </row>
    <row r="1113" spans="1:24" ht="19.5" customHeight="1" x14ac:dyDescent="0.45">
      <c r="A1113" t="s">
        <v>15</v>
      </c>
      <c r="B1113" s="14">
        <f>_xlfn.XLOOKUP(Table1[[#This Row], [TEAM]],Sheet1!$A$12:$A$17,Sheet1!$F$12:$F$17)</f>
        <v>2</v>
      </c>
      <c r="C1113" s="14">
        <f>_xlfn.XLOOKUP(Table1[[#This Row], [TEAM]],Sheet1!$A$12:$A$17,Sheet1!$G$12:$G$17)</f>
        <v>5932950</v>
      </c>
      <c r="D1113" t="s">
        <v>31</v>
      </c>
      <c r="E1113" s="4">
        <f>_xlfn.XLOOKUP(Table1[[#This Row], [ROOM]],Sheet1!$A$47:$A$66,Sheet1!$B$47:$B$66)</f>
        <v>256</v>
      </c>
      <c r="F1113" t="s">
        <v>58</v>
      </c>
      <c r="G1113" s="4">
        <f>_xlfn.XLOOKUP(Table1[[#This Row], [DISGUISE]],Sheet1!$A$21:$A$23,Sheet1!$B$21:$B$23)*Table1[[#This Row], [NUM OF MEM]]*(1+_xlfn.XLOOKUP(Table1[[#This Row], [DISGUISE]],Sheet1!$A$21:$A$23,Sheet1!$C$21:$C$23))</f>
        <v>25600</v>
      </c>
      <c r="H1113" s="13" t="s">
        <v>59</v>
      </c>
      <c r="I1113" s="4">
        <f>_xlfn.XLOOKUP(Table1[[#This Row], [WEAPON]],Sheet1!$A$27:$A$29,Sheet1!$B$27:$B$29)*Table1[[#This Row], [NUM OF MEM]]*(1+_xlfn.XLOOKUP(Table1[[#This Row], [WEAPON]],Sheet1!$A$27:$A$29,Sheet1!$C$27:$C$29))</f>
        <v>91000</v>
      </c>
      <c r="J1113" t="s">
        <v>64</v>
      </c>
      <c r="K1113" s="9">
        <f>Table1[[#This Row], [NUM OF MEM]]*Table1[[#This Row], [TOTAL TIME TAKEN]]*_xlfn.XLOOKUP(Table1[[#This Row], [EXIT]],Sheet1!$A$70:$A$71,Sheet1!$B$70:$B$71)*(1+_xlfn.XLOOKUP(Table1[[#This Row], [EXIT]],Sheet1!$A$70:$A$71,Sheet1!$C$70:$C$71))</f>
        <v>1620777.5999999996</v>
      </c>
      <c r="L1113" s="13" t="s">
        <v>65</v>
      </c>
      <c r="M1113" s="4">
        <f>IF(Table1[[#This Row], [EQUIPMENT]]="YES",Sheet1!$C$44*(1+Sheet1!$D$44),0)</f>
        <v>307500</v>
      </c>
      <c r="N1113" s="4">
        <f>_xlfn.XLOOKUP(Table1[[#This Row], [ROOM]],Sheet1!$A$47:$A$66,Sheet1!$F$47:$F$66)</f>
        <v>17500000</v>
      </c>
      <c r="O1113" s="9">
        <f>_xlfn.XLOOKUP(_xlfn.CONCAT(Table1[[#This Row], [TEAM]],Table1[[#This Row], [ROOM]]),'ROOM TIME'!$H$2:$H$121,'ROOM TIME'!$J$2:$J$121)</f>
        <v>56.204999999999984</v>
      </c>
      <c r="P1113" s="9">
        <f>(INDEX(Sheet1!$X$48:$Z$67,MATCH(Table1[[#This Row], [ROOM]],Sheet1!$P$48:$P$67,0),MATCH(Table1[[#This Row], [WEAPON]],Sheet1!$X$47:$Z$47,0)))/Table1[[#This Row], [NUM OF MEM]]</f>
        <v>6.3249999999999993</v>
      </c>
      <c r="Q1113" s="9">
        <f>Table1[[#This Row], [ROOM TIME]]+Table1[[#This Row], [GUARD TIME]]</f>
        <v>62.529999999999987</v>
      </c>
      <c r="R1113" s="4">
        <f>Sheet1!$K$3*_xlfn.XLOOKUP(Table1[[#This Row], [DISGUISE]],Sheet1!$A$21:$A$23,Sheet1!$D$21:$D$23)</f>
        <v>69</v>
      </c>
      <c r="S1113" s="9">
        <f>Table1[[#This Row], [TOTAL TIME]]-Table1[[#This Row], [TOTAL TIME TAKEN]]</f>
        <v>6.4700000000000131</v>
      </c>
      <c r="T1113" t="str">
        <f>IF(Table1[[#This Row], [TIME DIFFERENCE]]&gt;=0,"PASS","FAIL")</f>
        <v>PASS</v>
      </c>
      <c r="U1113" s="9">
        <f>Table1[[#This Row], [TRC]]+Table1[[#This Row], [DRC]]+Table1[[#This Row], [WRC]]+Table1[[#This Row], [ERC]]+Table1[[#This Row], [EQRC]]</f>
        <v>7977827.5999999996</v>
      </c>
      <c r="V1113" s="9">
        <f>Table1[[#This Row], [TOTAL COST]]+_xlfn.XLOOKUP(Table1[[#This Row], [TEAM]],Sheet1!$A$12:$A$17,Sheet1!$I$12:$I$17)</f>
        <v>8274475.0999999996</v>
      </c>
      <c r="W1113" s="9">
        <f>Table1[[#This Row], [LOOT]]-Table1[[#This Row], [TOTAL COST]]</f>
        <v>9522172.4000000004</v>
      </c>
      <c r="X1113" s="9">
        <f>IF(Table1[[#This Row], [PASS/FAIL]]="FAIL",0,Table1[[#This Row], [PROFIT]])</f>
        <v>9522172.4000000004</v>
      </c>
    </row>
    <row r="1114" spans="1:24" ht="19.5" customHeight="1" x14ac:dyDescent="0.45">
      <c r="A1114" t="s">
        <v>15</v>
      </c>
      <c r="B1114" s="14">
        <f>_xlfn.XLOOKUP(Table1[[#This Row], [TEAM]],Sheet1!$A$12:$A$17,Sheet1!$F$12:$F$17)</f>
        <v>2</v>
      </c>
      <c r="C1114" s="14">
        <f>_xlfn.XLOOKUP(Table1[[#This Row], [TEAM]],Sheet1!$A$12:$A$17,Sheet1!$G$12:$G$17)</f>
        <v>5932950</v>
      </c>
      <c r="D1114" t="s">
        <v>20</v>
      </c>
      <c r="E1114" s="4">
        <f>_xlfn.XLOOKUP(Table1[[#This Row], [ROOM]],Sheet1!$A$47:$A$66,Sheet1!$B$47:$B$66)</f>
        <v>145</v>
      </c>
      <c r="F1114" t="s">
        <v>58</v>
      </c>
      <c r="G1114" s="4">
        <f>_xlfn.XLOOKUP(Table1[[#This Row], [DISGUISE]],Sheet1!$A$21:$A$23,Sheet1!$B$21:$B$23)*Table1[[#This Row], [NUM OF MEM]]*(1+_xlfn.XLOOKUP(Table1[[#This Row], [DISGUISE]],Sheet1!$A$21:$A$23,Sheet1!$C$21:$C$23))</f>
        <v>25600</v>
      </c>
      <c r="H1114" s="13" t="s">
        <v>66</v>
      </c>
      <c r="I1114" s="4">
        <f>_xlfn.XLOOKUP(Table1[[#This Row], [WEAPON]],Sheet1!$A$27:$A$29,Sheet1!$B$27:$B$29)*Table1[[#This Row], [NUM OF MEM]]*(1+_xlfn.XLOOKUP(Table1[[#This Row], [WEAPON]],Sheet1!$A$27:$A$29,Sheet1!$C$27:$C$29))</f>
        <v>72000</v>
      </c>
      <c r="J1114" t="s">
        <v>60</v>
      </c>
      <c r="K1114" s="9">
        <f>Table1[[#This Row], [NUM OF MEM]]*Table1[[#This Row], [TOTAL TIME TAKEN]]*_xlfn.XLOOKUP(Table1[[#This Row], [EXIT]],Sheet1!$A$70:$A$71,Sheet1!$B$70:$B$71)*(1+_xlfn.XLOOKUP(Table1[[#This Row], [EXIT]],Sheet1!$A$70:$A$71,Sheet1!$C$70:$C$71))</f>
        <v>1689815.6812499992</v>
      </c>
      <c r="L1114" s="13" t="s">
        <v>65</v>
      </c>
      <c r="M1114" s="4">
        <f>IF(Table1[[#This Row], [EQUIPMENT]]="YES",Sheet1!$C$44*(1+Sheet1!$D$44),0)</f>
        <v>307500</v>
      </c>
      <c r="N1114" s="4">
        <f>_xlfn.XLOOKUP(Table1[[#This Row], [ROOM]],Sheet1!$A$47:$A$66,Sheet1!$F$47:$F$66)</f>
        <v>17550000</v>
      </c>
      <c r="O1114" s="9">
        <f>_xlfn.XLOOKUP(_xlfn.CONCAT(Table1[[#This Row], [TEAM]],Table1[[#This Row], [ROOM]]),'ROOM TIME'!$H$2:$H$121,'ROOM TIME'!$J$2:$J$121)</f>
        <v>59.591249999999981</v>
      </c>
      <c r="P1114" s="9">
        <f>(INDEX(Sheet1!$X$48:$Z$67,MATCH(Table1[[#This Row], [ROOM]],Sheet1!$P$48:$P$67,0),MATCH(Table1[[#This Row], [WEAPON]],Sheet1!$X$47:$Z$47,0)))/Table1[[#This Row], [NUM OF MEM]]</f>
        <v>6.25</v>
      </c>
      <c r="Q1114" s="9">
        <f>Table1[[#This Row], [ROOM TIME]]+Table1[[#This Row], [GUARD TIME]]</f>
        <v>65.841249999999974</v>
      </c>
      <c r="R1114" s="4">
        <f>Sheet1!$K$3*_xlfn.XLOOKUP(Table1[[#This Row], [DISGUISE]],Sheet1!$A$21:$A$23,Sheet1!$D$21:$D$23)</f>
        <v>69</v>
      </c>
      <c r="S1114" s="9">
        <f>Table1[[#This Row], [TOTAL TIME]]-Table1[[#This Row], [TOTAL TIME TAKEN]]</f>
        <v>3.1587500000000261</v>
      </c>
      <c r="T1114" t="str">
        <f>IF(Table1[[#This Row], [TIME DIFFERENCE]]&gt;=0,"PASS","FAIL")</f>
        <v>PASS</v>
      </c>
      <c r="U1114" s="9">
        <f>Table1[[#This Row], [TRC]]+Table1[[#This Row], [DRC]]+Table1[[#This Row], [WRC]]+Table1[[#This Row], [ERC]]+Table1[[#This Row], [EQRC]]</f>
        <v>8027865.6812499994</v>
      </c>
      <c r="V1114" s="9">
        <f>Table1[[#This Row], [TOTAL COST]]+_xlfn.XLOOKUP(Table1[[#This Row], [TEAM]],Sheet1!$A$12:$A$17,Sheet1!$I$12:$I$17)</f>
        <v>8324513.1812499994</v>
      </c>
      <c r="W1114" s="9">
        <f>Table1[[#This Row], [LOOT]]-Table1[[#This Row], [TOTAL COST]]</f>
        <v>9522134.3187500015</v>
      </c>
      <c r="X1114" s="9">
        <f>IF(Table1[[#This Row], [PASS/FAIL]]="FAIL",0,Table1[[#This Row], [PROFIT]])</f>
        <v>9522134.3187500015</v>
      </c>
    </row>
    <row r="1115" spans="1:24" ht="19.5" customHeight="1" x14ac:dyDescent="0.45">
      <c r="A1115" t="s">
        <v>9</v>
      </c>
      <c r="B1115" s="14">
        <f>_xlfn.XLOOKUP(Table1[[#This Row], [TEAM]],Sheet1!$A$12:$A$17,Sheet1!$F$12:$F$17)</f>
        <v>3</v>
      </c>
      <c r="C1115" s="14">
        <f>_xlfn.XLOOKUP(Table1[[#This Row], [TEAM]],Sheet1!$A$12:$A$17,Sheet1!$G$12:$G$17)</f>
        <v>6238750</v>
      </c>
      <c r="D1115" t="s">
        <v>27</v>
      </c>
      <c r="E1115" s="4">
        <f>_xlfn.XLOOKUP(Table1[[#This Row], [ROOM]],Sheet1!$A$47:$A$66,Sheet1!$B$47:$B$66)</f>
        <v>146</v>
      </c>
      <c r="F1115" t="s">
        <v>58</v>
      </c>
      <c r="G1115" s="4">
        <f>_xlfn.XLOOKUP(Table1[[#This Row], [DISGUISE]],Sheet1!$A$21:$A$23,Sheet1!$B$21:$B$23)*Table1[[#This Row], [NUM OF MEM]]*(1+_xlfn.XLOOKUP(Table1[[#This Row], [DISGUISE]],Sheet1!$A$21:$A$23,Sheet1!$C$21:$C$23))</f>
        <v>38400</v>
      </c>
      <c r="H1115" s="13" t="s">
        <v>63</v>
      </c>
      <c r="I1115" s="4">
        <f>_xlfn.XLOOKUP(Table1[[#This Row], [WEAPON]],Sheet1!$A$27:$A$29,Sheet1!$B$27:$B$29)*Table1[[#This Row], [NUM OF MEM]]*(1+_xlfn.XLOOKUP(Table1[[#This Row], [WEAPON]],Sheet1!$A$27:$A$29,Sheet1!$C$27:$C$29))</f>
        <v>69000</v>
      </c>
      <c r="J1115" t="s">
        <v>64</v>
      </c>
      <c r="K1115" s="9">
        <f>Table1[[#This Row], [NUM OF MEM]]*Table1[[#This Row], [TOTAL TIME TAKEN]]*_xlfn.XLOOKUP(Table1[[#This Row], [EXIT]],Sheet1!$A$70:$A$71,Sheet1!$B$70:$B$71)*(1+_xlfn.XLOOKUP(Table1[[#This Row], [EXIT]],Sheet1!$A$70:$A$71,Sheet1!$C$70:$C$71))</f>
        <v>1575007.1999999997</v>
      </c>
      <c r="L1115" s="13" t="s">
        <v>65</v>
      </c>
      <c r="M1115" s="4">
        <f>IF(Table1[[#This Row], [EQUIPMENT]]="YES",Sheet1!$C$44*(1+Sheet1!$D$44),0)</f>
        <v>307500</v>
      </c>
      <c r="N1115" s="4">
        <f>_xlfn.XLOOKUP(Table1[[#This Row], [ROOM]],Sheet1!$A$47:$A$66,Sheet1!$F$47:$F$66)</f>
        <v>17750000</v>
      </c>
      <c r="O1115" s="9">
        <f>_xlfn.XLOOKUP(_xlfn.CONCAT(Table1[[#This Row], [TEAM]],Table1[[#This Row], [ROOM]]),'ROOM TIME'!$H$2:$H$121,'ROOM TIME'!$J$2:$J$121)</f>
        <v>35.559444444444431</v>
      </c>
      <c r="P1115" s="9">
        <f>(INDEX(Sheet1!$X$48:$Z$67,MATCH(Table1[[#This Row], [ROOM]],Sheet1!$P$48:$P$67,0),MATCH(Table1[[#This Row], [WEAPON]],Sheet1!$X$47:$Z$47,0)))/Table1[[#This Row], [NUM OF MEM]]</f>
        <v>4.95</v>
      </c>
      <c r="Q1115" s="9">
        <f>Table1[[#This Row], [ROOM TIME]]+Table1[[#This Row], [GUARD TIME]]</f>
        <v>40.509444444444433</v>
      </c>
      <c r="R1115" s="4">
        <f>Sheet1!$K$3*_xlfn.XLOOKUP(Table1[[#This Row], [DISGUISE]],Sheet1!$A$21:$A$23,Sheet1!$D$21:$D$23)</f>
        <v>69</v>
      </c>
      <c r="S1115" s="9">
        <f>Table1[[#This Row], [TOTAL TIME]]-Table1[[#This Row], [TOTAL TIME TAKEN]]</f>
        <v>28.490555555555567</v>
      </c>
      <c r="T1115" t="str">
        <f>IF(Table1[[#This Row], [TIME DIFFERENCE]]&gt;=0,"PASS","FAIL")</f>
        <v>PASS</v>
      </c>
      <c r="U1115" s="9">
        <f>Table1[[#This Row], [TRC]]+Table1[[#This Row], [DRC]]+Table1[[#This Row], [WRC]]+Table1[[#This Row], [ERC]]+Table1[[#This Row], [EQRC]]</f>
        <v>8228657.1999999993</v>
      </c>
      <c r="V1115" s="9">
        <f>Table1[[#This Row], [TOTAL COST]]+_xlfn.XLOOKUP(Table1[[#This Row], [TEAM]],Sheet1!$A$12:$A$17,Sheet1!$I$12:$I$17)</f>
        <v>8540594.6999999993</v>
      </c>
      <c r="W1115" s="9">
        <f>Table1[[#This Row], [LOOT]]-Table1[[#This Row], [TOTAL COST]]</f>
        <v>9521342.8000000007</v>
      </c>
      <c r="X1115" s="9">
        <f>IF(Table1[[#This Row], [PASS/FAIL]]="FAIL",0,Table1[[#This Row], [PROFIT]])</f>
        <v>9521342.8000000007</v>
      </c>
    </row>
    <row r="1116" spans="1:24" ht="19.5" customHeight="1" x14ac:dyDescent="0.45">
      <c r="A1116" t="s">
        <v>13</v>
      </c>
      <c r="B1116" s="14">
        <f>_xlfn.XLOOKUP(Table1[[#This Row], [TEAM]],Sheet1!$A$12:$A$17,Sheet1!$F$12:$F$17)</f>
        <v>3</v>
      </c>
      <c r="C1116" s="14">
        <f>_xlfn.XLOOKUP(Table1[[#This Row], [TEAM]],Sheet1!$A$12:$A$17,Sheet1!$G$12:$G$17)</f>
        <v>5930000</v>
      </c>
      <c r="D1116" t="s">
        <v>17</v>
      </c>
      <c r="E1116" s="4">
        <f>_xlfn.XLOOKUP(Table1[[#This Row], [ROOM]],Sheet1!$A$47:$A$66,Sheet1!$B$47:$B$66)</f>
        <v>125</v>
      </c>
      <c r="F1116" t="s">
        <v>62</v>
      </c>
      <c r="G1116" s="4">
        <f>_xlfn.XLOOKUP(Table1[[#This Row], [DISGUISE]],Sheet1!$A$21:$A$23,Sheet1!$B$21:$B$23)*Table1[[#This Row], [NUM OF MEM]]*(1+_xlfn.XLOOKUP(Table1[[#This Row], [DISGUISE]],Sheet1!$A$21:$A$23,Sheet1!$C$21:$C$23))</f>
        <v>15600</v>
      </c>
      <c r="H1116" s="13" t="s">
        <v>63</v>
      </c>
      <c r="I1116" s="4">
        <f>_xlfn.XLOOKUP(Table1[[#This Row], [WEAPON]],Sheet1!$A$27:$A$29,Sheet1!$B$27:$B$29)*Table1[[#This Row], [NUM OF MEM]]*(1+_xlfn.XLOOKUP(Table1[[#This Row], [WEAPON]],Sheet1!$A$27:$A$29,Sheet1!$C$27:$C$29))</f>
        <v>69000</v>
      </c>
      <c r="J1116" t="s">
        <v>64</v>
      </c>
      <c r="K1116" s="9">
        <f>Table1[[#This Row], [NUM OF MEM]]*Table1[[#This Row], [TOTAL TIME TAKEN]]*_xlfn.XLOOKUP(Table1[[#This Row], [EXIT]],Sheet1!$A$70:$A$71,Sheet1!$B$70:$B$71)*(1+_xlfn.XLOOKUP(Table1[[#This Row], [EXIT]],Sheet1!$A$70:$A$71,Sheet1!$C$70:$C$71))</f>
        <v>1814421.5999999996</v>
      </c>
      <c r="L1116" s="13" t="s">
        <v>61</v>
      </c>
      <c r="M1116" s="4">
        <f>IF(Table1[[#This Row], [EQUIPMENT]]="YES",Sheet1!$C$44*(1+Sheet1!$D$44),0)</f>
        <v>0</v>
      </c>
      <c r="N1116" s="4">
        <f>_xlfn.XLOOKUP(Table1[[#This Row], [ROOM]],Sheet1!$A$47:$A$66,Sheet1!$F$47:$F$66)</f>
        <v>17350000</v>
      </c>
      <c r="O1116" s="9">
        <f>_xlfn.XLOOKUP(_xlfn.CONCAT(Table1[[#This Row], [TEAM]],Table1[[#This Row], [ROOM]]),'ROOM TIME'!$H$2:$H$121,'ROOM TIME'!$J$2:$J$121)</f>
        <v>42.167222222222215</v>
      </c>
      <c r="P1116" s="9">
        <f>(INDEX(Sheet1!$X$48:$Z$67,MATCH(Table1[[#This Row], [ROOM]],Sheet1!$P$48:$P$67,0),MATCH(Table1[[#This Row], [WEAPON]],Sheet1!$X$47:$Z$47,0)))/Table1[[#This Row], [NUM OF MEM]]</f>
        <v>4.5</v>
      </c>
      <c r="Q1116" s="9">
        <f>Table1[[#This Row], [ROOM TIME]]+Table1[[#This Row], [GUARD TIME]]</f>
        <v>46.667222222222215</v>
      </c>
      <c r="R1116" s="4">
        <f>Sheet1!$K$3*_xlfn.XLOOKUP(Table1[[#This Row], [DISGUISE]],Sheet1!$A$21:$A$23,Sheet1!$D$21:$D$23)</f>
        <v>66</v>
      </c>
      <c r="S1116" s="9">
        <f>Table1[[#This Row], [TOTAL TIME]]-Table1[[#This Row], [TOTAL TIME TAKEN]]</f>
        <v>19.332777777777785</v>
      </c>
      <c r="T1116" t="str">
        <f>IF(Table1[[#This Row], [TIME DIFFERENCE]]&gt;=0,"PASS","FAIL")</f>
        <v>PASS</v>
      </c>
      <c r="U1116" s="9">
        <f>Table1[[#This Row], [TRC]]+Table1[[#This Row], [DRC]]+Table1[[#This Row], [WRC]]+Table1[[#This Row], [ERC]]+Table1[[#This Row], [EQRC]]</f>
        <v>7829021.5999999996</v>
      </c>
      <c r="V1116" s="9">
        <f>Table1[[#This Row], [TOTAL COST]]+_xlfn.XLOOKUP(Table1[[#This Row], [TEAM]],Sheet1!$A$12:$A$17,Sheet1!$I$12:$I$17)</f>
        <v>8125521.5999999996</v>
      </c>
      <c r="W1116" s="9">
        <f>Table1[[#This Row], [LOOT]]-Table1[[#This Row], [TOTAL COST]]</f>
        <v>9520978.4000000004</v>
      </c>
      <c r="X1116" s="9">
        <f>IF(Table1[[#This Row], [PASS/FAIL]]="FAIL",0,Table1[[#This Row], [PROFIT]])</f>
        <v>9520978.4000000004</v>
      </c>
    </row>
    <row r="1117" spans="1:24" ht="19.5" customHeight="1" x14ac:dyDescent="0.45">
      <c r="A1117" t="s">
        <v>9</v>
      </c>
      <c r="B1117" s="14">
        <f>_xlfn.XLOOKUP(Table1[[#This Row], [TEAM]],Sheet1!$A$12:$A$17,Sheet1!$F$12:$F$17)</f>
        <v>3</v>
      </c>
      <c r="C1117" s="14">
        <f>_xlfn.XLOOKUP(Table1[[#This Row], [TEAM]],Sheet1!$A$12:$A$17,Sheet1!$G$12:$G$17)</f>
        <v>6238750</v>
      </c>
      <c r="D1117" t="s">
        <v>34</v>
      </c>
      <c r="E1117" s="4">
        <f>_xlfn.XLOOKUP(Table1[[#This Row], [ROOM]],Sheet1!$A$47:$A$66,Sheet1!$B$47:$B$66)</f>
        <v>456</v>
      </c>
      <c r="F1117" t="s">
        <v>62</v>
      </c>
      <c r="G1117" s="4">
        <f>_xlfn.XLOOKUP(Table1[[#This Row], [DISGUISE]],Sheet1!$A$21:$A$23,Sheet1!$B$21:$B$23)*Table1[[#This Row], [NUM OF MEM]]*(1+_xlfn.XLOOKUP(Table1[[#This Row], [DISGUISE]],Sheet1!$A$21:$A$23,Sheet1!$C$21:$C$23))</f>
        <v>15600</v>
      </c>
      <c r="H1117" s="13" t="s">
        <v>63</v>
      </c>
      <c r="I1117" s="4">
        <f>_xlfn.XLOOKUP(Table1[[#This Row], [WEAPON]],Sheet1!$A$27:$A$29,Sheet1!$B$27:$B$29)*Table1[[#This Row], [NUM OF MEM]]*(1+_xlfn.XLOOKUP(Table1[[#This Row], [WEAPON]],Sheet1!$A$27:$A$29,Sheet1!$C$27:$C$29))</f>
        <v>69000</v>
      </c>
      <c r="J1117" t="s">
        <v>60</v>
      </c>
      <c r="K1117" s="9">
        <f>Table1[[#This Row], [NUM OF MEM]]*Table1[[#This Row], [TOTAL TIME TAKEN]]*_xlfn.XLOOKUP(Table1[[#This Row], [EXIT]],Sheet1!$A$70:$A$71,Sheet1!$B$70:$B$71)*(1+_xlfn.XLOOKUP(Table1[[#This Row], [EXIT]],Sheet1!$A$70:$A$71,Sheet1!$C$70:$C$71))</f>
        <v>1548283.8999999997</v>
      </c>
      <c r="L1117" s="13" t="s">
        <v>65</v>
      </c>
      <c r="M1117" s="4">
        <f>IF(Table1[[#This Row], [EQUIPMENT]]="YES",Sheet1!$C$44*(1+Sheet1!$D$44),0)</f>
        <v>307500</v>
      </c>
      <c r="N1117" s="4">
        <f>_xlfn.XLOOKUP(Table1[[#This Row], [ROOM]],Sheet1!$A$47:$A$66,Sheet1!$F$47:$F$66)</f>
        <v>17700000</v>
      </c>
      <c r="O1117" s="9">
        <f>_xlfn.XLOOKUP(_xlfn.CONCAT(Table1[[#This Row], [TEAM]],Table1[[#This Row], [ROOM]]),'ROOM TIME'!$H$2:$H$121,'ROOM TIME'!$J$2:$J$121)</f>
        <v>35.267777777777766</v>
      </c>
      <c r="P1117" s="9">
        <f>(INDEX(Sheet1!$X$48:$Z$67,MATCH(Table1[[#This Row], [ROOM]],Sheet1!$P$48:$P$67,0),MATCH(Table1[[#This Row], [WEAPON]],Sheet1!$X$47:$Z$47,0)))/Table1[[#This Row], [NUM OF MEM]]</f>
        <v>4.95</v>
      </c>
      <c r="Q1117" s="9">
        <f>Table1[[#This Row], [ROOM TIME]]+Table1[[#This Row], [GUARD TIME]]</f>
        <v>40.217777777777769</v>
      </c>
      <c r="R1117" s="4">
        <f>Sheet1!$K$3*_xlfn.XLOOKUP(Table1[[#This Row], [DISGUISE]],Sheet1!$A$21:$A$23,Sheet1!$D$21:$D$23)</f>
        <v>66</v>
      </c>
      <c r="S1117" s="9">
        <f>Table1[[#This Row], [TOTAL TIME]]-Table1[[#This Row], [TOTAL TIME TAKEN]]</f>
        <v>25.782222222222231</v>
      </c>
      <c r="T1117" t="str">
        <f>IF(Table1[[#This Row], [TIME DIFFERENCE]]&gt;=0,"PASS","FAIL")</f>
        <v>PASS</v>
      </c>
      <c r="U1117" s="9">
        <f>Table1[[#This Row], [TRC]]+Table1[[#This Row], [DRC]]+Table1[[#This Row], [WRC]]+Table1[[#This Row], [ERC]]+Table1[[#This Row], [EQRC]]</f>
        <v>8179133.8999999994</v>
      </c>
      <c r="V1117" s="9">
        <f>Table1[[#This Row], [TOTAL COST]]+_xlfn.XLOOKUP(Table1[[#This Row], [TEAM]],Sheet1!$A$12:$A$17,Sheet1!$I$12:$I$17)</f>
        <v>8491071.3999999985</v>
      </c>
      <c r="W1117" s="9">
        <f>Table1[[#This Row], [LOOT]]-Table1[[#This Row], [TOTAL COST]]</f>
        <v>9520866.1000000015</v>
      </c>
      <c r="X1117" s="9">
        <f>IF(Table1[[#This Row], [PASS/FAIL]]="FAIL",0,Table1[[#This Row], [PROFIT]])</f>
        <v>9520866.1000000015</v>
      </c>
    </row>
    <row r="1118" spans="1:24" ht="19.5" customHeight="1" x14ac:dyDescent="0.45">
      <c r="A1118" t="s">
        <v>14</v>
      </c>
      <c r="B1118" s="14">
        <f>_xlfn.XLOOKUP(Table1[[#This Row], [TEAM]],Sheet1!$A$12:$A$17,Sheet1!$F$12:$F$17)</f>
        <v>2</v>
      </c>
      <c r="C1118" s="14">
        <f>_xlfn.XLOOKUP(Table1[[#This Row], [TEAM]],Sheet1!$A$12:$A$17,Sheet1!$G$12:$G$17)</f>
        <v>5949600</v>
      </c>
      <c r="D1118" t="s">
        <v>31</v>
      </c>
      <c r="E1118" s="4">
        <f>_xlfn.XLOOKUP(Table1[[#This Row], [ROOM]],Sheet1!$A$47:$A$66,Sheet1!$B$47:$B$66)</f>
        <v>256</v>
      </c>
      <c r="F1118" t="s">
        <v>58</v>
      </c>
      <c r="G1118" s="4">
        <f>_xlfn.XLOOKUP(Table1[[#This Row], [DISGUISE]],Sheet1!$A$21:$A$23,Sheet1!$B$21:$B$23)*Table1[[#This Row], [NUM OF MEM]]*(1+_xlfn.XLOOKUP(Table1[[#This Row], [DISGUISE]],Sheet1!$A$21:$A$23,Sheet1!$C$21:$C$23))</f>
        <v>25600</v>
      </c>
      <c r="H1118" s="13" t="s">
        <v>63</v>
      </c>
      <c r="I1118" s="4">
        <f>_xlfn.XLOOKUP(Table1[[#This Row], [WEAPON]],Sheet1!$A$27:$A$29,Sheet1!$B$27:$B$29)*Table1[[#This Row], [NUM OF MEM]]*(1+_xlfn.XLOOKUP(Table1[[#This Row], [WEAPON]],Sheet1!$A$27:$A$29,Sheet1!$C$27:$C$29))</f>
        <v>46000</v>
      </c>
      <c r="J1118" t="s">
        <v>64</v>
      </c>
      <c r="K1118" s="9">
        <f>Table1[[#This Row], [NUM OF MEM]]*Table1[[#This Row], [TOTAL TIME TAKEN]]*_xlfn.XLOOKUP(Table1[[#This Row], [EXIT]],Sheet1!$A$70:$A$71,Sheet1!$B$70:$B$71)*(1+_xlfn.XLOOKUP(Table1[[#This Row], [EXIT]],Sheet1!$A$70:$A$71,Sheet1!$C$70:$C$71))</f>
        <v>1650585.5999999994</v>
      </c>
      <c r="L1118" s="13" t="s">
        <v>65</v>
      </c>
      <c r="M1118" s="4">
        <f>IF(Table1[[#This Row], [EQUIPMENT]]="YES",Sheet1!$C$44*(1+Sheet1!$D$44),0)</f>
        <v>307500</v>
      </c>
      <c r="N1118" s="4">
        <f>_xlfn.XLOOKUP(Table1[[#This Row], [ROOM]],Sheet1!$A$47:$A$66,Sheet1!$F$47:$F$66)</f>
        <v>17500000</v>
      </c>
      <c r="O1118" s="9">
        <f>_xlfn.XLOOKUP(_xlfn.CONCAT(Table1[[#This Row], [TEAM]],Table1[[#This Row], [ROOM]]),'ROOM TIME'!$H$2:$H$121,'ROOM TIME'!$J$2:$J$121)</f>
        <v>56.254999999999981</v>
      </c>
      <c r="P1118" s="9">
        <f>(INDEX(Sheet1!$X$48:$Z$67,MATCH(Table1[[#This Row], [ROOM]],Sheet1!$P$48:$P$67,0),MATCH(Table1[[#This Row], [WEAPON]],Sheet1!$X$47:$Z$47,0)))/Table1[[#This Row], [NUM OF MEM]]</f>
        <v>7.4250000000000007</v>
      </c>
      <c r="Q1118" s="9">
        <f>Table1[[#This Row], [ROOM TIME]]+Table1[[#This Row], [GUARD TIME]]</f>
        <v>63.679999999999978</v>
      </c>
      <c r="R1118" s="4">
        <f>Sheet1!$K$3*_xlfn.XLOOKUP(Table1[[#This Row], [DISGUISE]],Sheet1!$A$21:$A$23,Sheet1!$D$21:$D$23)</f>
        <v>69</v>
      </c>
      <c r="S1118" s="9">
        <f>Table1[[#This Row], [TOTAL TIME]]-Table1[[#This Row], [TOTAL TIME TAKEN]]</f>
        <v>5.3200000000000216</v>
      </c>
      <c r="T1118" t="str">
        <f>IF(Table1[[#This Row], [TIME DIFFERENCE]]&gt;=0,"PASS","FAIL")</f>
        <v>PASS</v>
      </c>
      <c r="U1118" s="9">
        <f>Table1[[#This Row], [TRC]]+Table1[[#This Row], [DRC]]+Table1[[#This Row], [WRC]]+Table1[[#This Row], [ERC]]+Table1[[#This Row], [EQRC]]</f>
        <v>7979285.5999999996</v>
      </c>
      <c r="V1118" s="9">
        <f>Table1[[#This Row], [TOTAL COST]]+_xlfn.XLOOKUP(Table1[[#This Row], [TEAM]],Sheet1!$A$12:$A$17,Sheet1!$I$12:$I$17)</f>
        <v>8276765.5999999996</v>
      </c>
      <c r="W1118" s="9">
        <f>Table1[[#This Row], [LOOT]]-Table1[[#This Row], [TOTAL COST]]</f>
        <v>9520714.4000000004</v>
      </c>
      <c r="X1118" s="9">
        <f>IF(Table1[[#This Row], [PASS/FAIL]]="FAIL",0,Table1[[#This Row], [PROFIT]])</f>
        <v>9520714.4000000004</v>
      </c>
    </row>
    <row r="1119" spans="1:24" ht="19.5" customHeight="1" x14ac:dyDescent="0.45">
      <c r="A1119" t="s">
        <v>12</v>
      </c>
      <c r="B1119" s="14">
        <f>_xlfn.XLOOKUP(Table1[[#This Row], [TEAM]],Sheet1!$A$12:$A$17,Sheet1!$F$12:$F$17)</f>
        <v>3</v>
      </c>
      <c r="C1119" s="14">
        <f>_xlfn.XLOOKUP(Table1[[#This Row], [TEAM]],Sheet1!$A$12:$A$17,Sheet1!$G$12:$G$17)</f>
        <v>5988750</v>
      </c>
      <c r="D1119" t="s">
        <v>23</v>
      </c>
      <c r="E1119" s="4">
        <f>_xlfn.XLOOKUP(Table1[[#This Row], [ROOM]],Sheet1!$A$47:$A$66,Sheet1!$B$47:$B$66)</f>
        <v>245</v>
      </c>
      <c r="F1119" t="s">
        <v>58</v>
      </c>
      <c r="G1119" s="4">
        <f>_xlfn.XLOOKUP(Table1[[#This Row], [DISGUISE]],Sheet1!$A$21:$A$23,Sheet1!$B$21:$B$23)*Table1[[#This Row], [NUM OF MEM]]*(1+_xlfn.XLOOKUP(Table1[[#This Row], [DISGUISE]],Sheet1!$A$21:$A$23,Sheet1!$C$21:$C$23))</f>
        <v>38400</v>
      </c>
      <c r="H1119" s="13" t="s">
        <v>59</v>
      </c>
      <c r="I1119" s="4">
        <f>_xlfn.XLOOKUP(Table1[[#This Row], [WEAPON]],Sheet1!$A$27:$A$29,Sheet1!$B$27:$B$29)*Table1[[#This Row], [NUM OF MEM]]*(1+_xlfn.XLOOKUP(Table1[[#This Row], [WEAPON]],Sheet1!$A$27:$A$29,Sheet1!$C$27:$C$29))</f>
        <v>136500</v>
      </c>
      <c r="J1119" t="s">
        <v>64</v>
      </c>
      <c r="K1119" s="9">
        <f>Table1[[#This Row], [NUM OF MEM]]*Table1[[#This Row], [TOTAL TIME TAKEN]]*_xlfn.XLOOKUP(Table1[[#This Row], [EXIT]],Sheet1!$A$70:$A$71,Sheet1!$B$70:$B$71)*(1+_xlfn.XLOOKUP(Table1[[#This Row], [EXIT]],Sheet1!$A$70:$A$71,Sheet1!$C$70:$C$71))</f>
        <v>1715774.3999999994</v>
      </c>
      <c r="L1119" s="13" t="s">
        <v>61</v>
      </c>
      <c r="M1119" s="4">
        <f>IF(Table1[[#This Row], [EQUIPMENT]]="YES",Sheet1!$C$44*(1+Sheet1!$D$44),0)</f>
        <v>0</v>
      </c>
      <c r="N1119" s="4">
        <f>_xlfn.XLOOKUP(Table1[[#This Row], [ROOM]],Sheet1!$A$47:$A$66,Sheet1!$F$47:$F$66)</f>
        <v>17400000</v>
      </c>
      <c r="O1119" s="9">
        <f>_xlfn.XLOOKUP(_xlfn.CONCAT(Table1[[#This Row], [TEAM]],Table1[[#This Row], [ROOM]]),'ROOM TIME'!$H$2:$H$121,'ROOM TIME'!$J$2:$J$121)</f>
        <v>39.91333333333332</v>
      </c>
      <c r="P1119" s="9">
        <f>(INDEX(Sheet1!$X$48:$Z$67,MATCH(Table1[[#This Row], [ROOM]],Sheet1!$P$48:$P$67,0),MATCH(Table1[[#This Row], [WEAPON]],Sheet1!$X$47:$Z$47,0)))/Table1[[#This Row], [NUM OF MEM]]</f>
        <v>4.2166666666666659</v>
      </c>
      <c r="Q1119" s="9">
        <f>Table1[[#This Row], [ROOM TIME]]+Table1[[#This Row], [GUARD TIME]]</f>
        <v>44.129999999999988</v>
      </c>
      <c r="R1119" s="4">
        <f>Sheet1!$K$3*_xlfn.XLOOKUP(Table1[[#This Row], [DISGUISE]],Sheet1!$A$21:$A$23,Sheet1!$D$21:$D$23)</f>
        <v>69</v>
      </c>
      <c r="S1119" s="9">
        <f>Table1[[#This Row], [TOTAL TIME]]-Table1[[#This Row], [TOTAL TIME TAKEN]]</f>
        <v>24.870000000000012</v>
      </c>
      <c r="T1119" t="str">
        <f>IF(Table1[[#This Row], [TIME DIFFERENCE]]&gt;=0,"PASS","FAIL")</f>
        <v>PASS</v>
      </c>
      <c r="U1119" s="9">
        <f>Table1[[#This Row], [TRC]]+Table1[[#This Row], [DRC]]+Table1[[#This Row], [WRC]]+Table1[[#This Row], [ERC]]+Table1[[#This Row], [EQRC]]</f>
        <v>7879424.3999999994</v>
      </c>
      <c r="V1119" s="9">
        <f>Table1[[#This Row], [TOTAL COST]]+_xlfn.XLOOKUP(Table1[[#This Row], [TEAM]],Sheet1!$A$12:$A$17,Sheet1!$I$12:$I$17)</f>
        <v>8178861.8999999994</v>
      </c>
      <c r="W1119" s="9">
        <f>Table1[[#This Row], [LOOT]]-Table1[[#This Row], [TOTAL COST]]</f>
        <v>9520575.6000000015</v>
      </c>
      <c r="X1119" s="9">
        <f>IF(Table1[[#This Row], [PASS/FAIL]]="FAIL",0,Table1[[#This Row], [PROFIT]])</f>
        <v>9520575.6000000015</v>
      </c>
    </row>
    <row r="1120" spans="1:24" ht="19.5" customHeight="1" x14ac:dyDescent="0.45">
      <c r="A1120" t="s">
        <v>15</v>
      </c>
      <c r="B1120" s="14">
        <f>_xlfn.XLOOKUP(Table1[[#This Row], [TEAM]],Sheet1!$A$12:$A$17,Sheet1!$F$12:$F$17)</f>
        <v>2</v>
      </c>
      <c r="C1120" s="14">
        <f>_xlfn.XLOOKUP(Table1[[#This Row], [TEAM]],Sheet1!$A$12:$A$17,Sheet1!$G$12:$G$17)</f>
        <v>5932950</v>
      </c>
      <c r="D1120" t="s">
        <v>20</v>
      </c>
      <c r="E1120" s="4">
        <f>_xlfn.XLOOKUP(Table1[[#This Row], [ROOM]],Sheet1!$A$47:$A$66,Sheet1!$B$47:$B$66)</f>
        <v>145</v>
      </c>
      <c r="F1120" t="s">
        <v>62</v>
      </c>
      <c r="G1120" s="4">
        <f>_xlfn.XLOOKUP(Table1[[#This Row], [DISGUISE]],Sheet1!$A$21:$A$23,Sheet1!$B$21:$B$23)*Table1[[#This Row], [NUM OF MEM]]*(1+_xlfn.XLOOKUP(Table1[[#This Row], [DISGUISE]],Sheet1!$A$21:$A$23,Sheet1!$C$21:$C$23))</f>
        <v>10400</v>
      </c>
      <c r="H1120" s="13" t="s">
        <v>66</v>
      </c>
      <c r="I1120" s="4">
        <f>_xlfn.XLOOKUP(Table1[[#This Row], [WEAPON]],Sheet1!$A$27:$A$29,Sheet1!$B$27:$B$29)*Table1[[#This Row], [NUM OF MEM]]*(1+_xlfn.XLOOKUP(Table1[[#This Row], [WEAPON]],Sheet1!$A$27:$A$29,Sheet1!$C$27:$C$29))</f>
        <v>72000</v>
      </c>
      <c r="J1120" t="s">
        <v>64</v>
      </c>
      <c r="K1120" s="9">
        <f>Table1[[#This Row], [NUM OF MEM]]*Table1[[#This Row], [TOTAL TIME TAKEN]]*_xlfn.XLOOKUP(Table1[[#This Row], [EXIT]],Sheet1!$A$70:$A$71,Sheet1!$B$70:$B$71)*(1+_xlfn.XLOOKUP(Table1[[#This Row], [EXIT]],Sheet1!$A$70:$A$71,Sheet1!$C$70:$C$71))</f>
        <v>1706605.1999999995</v>
      </c>
      <c r="L1120" s="13" t="s">
        <v>65</v>
      </c>
      <c r="M1120" s="4">
        <f>IF(Table1[[#This Row], [EQUIPMENT]]="YES",Sheet1!$C$44*(1+Sheet1!$D$44),0)</f>
        <v>307500</v>
      </c>
      <c r="N1120" s="4">
        <f>_xlfn.XLOOKUP(Table1[[#This Row], [ROOM]],Sheet1!$A$47:$A$66,Sheet1!$F$47:$F$66)</f>
        <v>17550000</v>
      </c>
      <c r="O1120" s="9">
        <f>_xlfn.XLOOKUP(_xlfn.CONCAT(Table1[[#This Row], [TEAM]],Table1[[#This Row], [ROOM]]),'ROOM TIME'!$H$2:$H$121,'ROOM TIME'!$J$2:$J$121)</f>
        <v>59.591249999999981</v>
      </c>
      <c r="P1120" s="9">
        <f>(INDEX(Sheet1!$X$48:$Z$67,MATCH(Table1[[#This Row], [ROOM]],Sheet1!$P$48:$P$67,0),MATCH(Table1[[#This Row], [WEAPON]],Sheet1!$X$47:$Z$47,0)))/Table1[[#This Row], [NUM OF MEM]]</f>
        <v>6.25</v>
      </c>
      <c r="Q1120" s="9">
        <f>Table1[[#This Row], [ROOM TIME]]+Table1[[#This Row], [GUARD TIME]]</f>
        <v>65.841249999999974</v>
      </c>
      <c r="R1120" s="4">
        <f>Sheet1!$K$3*_xlfn.XLOOKUP(Table1[[#This Row], [DISGUISE]],Sheet1!$A$21:$A$23,Sheet1!$D$21:$D$23)</f>
        <v>66</v>
      </c>
      <c r="S1120" s="9">
        <f>Table1[[#This Row], [TOTAL TIME]]-Table1[[#This Row], [TOTAL TIME TAKEN]]</f>
        <v>0.15875000000002615</v>
      </c>
      <c r="T1120" t="str">
        <f>IF(Table1[[#This Row], [TIME DIFFERENCE]]&gt;=0,"PASS","FAIL")</f>
        <v>PASS</v>
      </c>
      <c r="U1120" s="9">
        <f>Table1[[#This Row], [TRC]]+Table1[[#This Row], [DRC]]+Table1[[#This Row], [WRC]]+Table1[[#This Row], [ERC]]+Table1[[#This Row], [EQRC]]</f>
        <v>8029455.1999999993</v>
      </c>
      <c r="V1120" s="9">
        <f>Table1[[#This Row], [TOTAL COST]]+_xlfn.XLOOKUP(Table1[[#This Row], [TEAM]],Sheet1!$A$12:$A$17,Sheet1!$I$12:$I$17)</f>
        <v>8326102.6999999993</v>
      </c>
      <c r="W1120" s="9">
        <f>Table1[[#This Row], [LOOT]]-Table1[[#This Row], [TOTAL COST]]</f>
        <v>9520544.8000000007</v>
      </c>
      <c r="X1120" s="9">
        <f>IF(Table1[[#This Row], [PASS/FAIL]]="FAIL",0,Table1[[#This Row], [PROFIT]])</f>
        <v>9520544.8000000007</v>
      </c>
    </row>
    <row r="1121" spans="1:24" ht="19.5" customHeight="1" x14ac:dyDescent="0.45">
      <c r="A1121" t="s">
        <v>9</v>
      </c>
      <c r="B1121" s="14">
        <f>_xlfn.XLOOKUP(Table1[[#This Row], [TEAM]],Sheet1!$A$12:$A$17,Sheet1!$F$12:$F$17)</f>
        <v>3</v>
      </c>
      <c r="C1121" s="14">
        <f>_xlfn.XLOOKUP(Table1[[#This Row], [TEAM]],Sheet1!$A$12:$A$17,Sheet1!$G$12:$G$17)</f>
        <v>6238750</v>
      </c>
      <c r="D1121" t="s">
        <v>27</v>
      </c>
      <c r="E1121" s="4">
        <f>_xlfn.XLOOKUP(Table1[[#This Row], [ROOM]],Sheet1!$A$47:$A$66,Sheet1!$B$47:$B$66)</f>
        <v>146</v>
      </c>
      <c r="F1121" t="s">
        <v>62</v>
      </c>
      <c r="G112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21" s="13" t="s">
        <v>59</v>
      </c>
      <c r="I1121" s="4">
        <f>_xlfn.XLOOKUP(Table1[[#This Row], [WEAPON]],Sheet1!$A$27:$A$29,Sheet1!$B$27:$B$29)*Table1[[#This Row], [NUM OF MEM]]*(1+_xlfn.XLOOKUP(Table1[[#This Row], [WEAPON]],Sheet1!$A$27:$A$29,Sheet1!$C$27:$C$29))</f>
        <v>136500</v>
      </c>
      <c r="J1121" t="s">
        <v>60</v>
      </c>
      <c r="K1121" s="9">
        <f>Table1[[#This Row], [NUM OF MEM]]*Table1[[#This Row], [TOTAL TIME TAKEN]]*_xlfn.XLOOKUP(Table1[[#This Row], [EXIT]],Sheet1!$A$70:$A$71,Sheet1!$B$70:$B$71)*(1+_xlfn.XLOOKUP(Table1[[#This Row], [EXIT]],Sheet1!$A$70:$A$71,Sheet1!$C$70:$C$71))</f>
        <v>1531280.8374999992</v>
      </c>
      <c r="L1121" s="13" t="s">
        <v>65</v>
      </c>
      <c r="M1121" s="4">
        <f>IF(Table1[[#This Row], [EQUIPMENT]]="YES",Sheet1!$C$44*(1+Sheet1!$D$44),0)</f>
        <v>307500</v>
      </c>
      <c r="N1121" s="4">
        <f>_xlfn.XLOOKUP(Table1[[#This Row], [ROOM]],Sheet1!$A$47:$A$66,Sheet1!$F$47:$F$66)</f>
        <v>17750000</v>
      </c>
      <c r="O1121" s="9">
        <f>_xlfn.XLOOKUP(_xlfn.CONCAT(Table1[[#This Row], [TEAM]],Table1[[#This Row], [ROOM]]),'ROOM TIME'!$H$2:$H$121,'ROOM TIME'!$J$2:$J$121)</f>
        <v>35.559444444444431</v>
      </c>
      <c r="P1121" s="9">
        <f>(INDEX(Sheet1!$X$48:$Z$67,MATCH(Table1[[#This Row], [ROOM]],Sheet1!$P$48:$P$67,0),MATCH(Table1[[#This Row], [WEAPON]],Sheet1!$X$47:$Z$47,0)))/Table1[[#This Row], [NUM OF MEM]]</f>
        <v>4.2166666666666659</v>
      </c>
      <c r="Q1121" s="9">
        <f>Table1[[#This Row], [ROOM TIME]]+Table1[[#This Row], [GUARD TIME]]</f>
        <v>39.776111111111099</v>
      </c>
      <c r="R1121" s="4">
        <f>Sheet1!$K$3*_xlfn.XLOOKUP(Table1[[#This Row], [DISGUISE]],Sheet1!$A$21:$A$23,Sheet1!$D$21:$D$23)</f>
        <v>66</v>
      </c>
      <c r="S1121" s="9">
        <f>Table1[[#This Row], [TOTAL TIME]]-Table1[[#This Row], [TOTAL TIME TAKEN]]</f>
        <v>26.223888888888901</v>
      </c>
      <c r="T1121" t="str">
        <f>IF(Table1[[#This Row], [TIME DIFFERENCE]]&gt;=0,"PASS","FAIL")</f>
        <v>PASS</v>
      </c>
      <c r="U1121" s="9">
        <f>Table1[[#This Row], [TRC]]+Table1[[#This Row], [DRC]]+Table1[[#This Row], [WRC]]+Table1[[#This Row], [ERC]]+Table1[[#This Row], [EQRC]]</f>
        <v>8229630.8374999994</v>
      </c>
      <c r="V1121" s="9">
        <f>Table1[[#This Row], [TOTAL COST]]+_xlfn.XLOOKUP(Table1[[#This Row], [TEAM]],Sheet1!$A$12:$A$17,Sheet1!$I$12:$I$17)</f>
        <v>8541568.3374999985</v>
      </c>
      <c r="W1121" s="9">
        <f>Table1[[#This Row], [LOOT]]-Table1[[#This Row], [TOTAL COST]]</f>
        <v>9520369.1625000015</v>
      </c>
      <c r="X1121" s="9">
        <f>IF(Table1[[#This Row], [PASS/FAIL]]="FAIL",0,Table1[[#This Row], [PROFIT]])</f>
        <v>9520369.1625000015</v>
      </c>
    </row>
    <row r="1122" spans="1:24" ht="19.5" customHeight="1" x14ac:dyDescent="0.45">
      <c r="A1122" t="s">
        <v>14</v>
      </c>
      <c r="B1122" s="14">
        <f>_xlfn.XLOOKUP(Table1[[#This Row], [TEAM]],Sheet1!$A$12:$A$17,Sheet1!$F$12:$F$17)</f>
        <v>2</v>
      </c>
      <c r="C1122" s="14">
        <f>_xlfn.XLOOKUP(Table1[[#This Row], [TEAM]],Sheet1!$A$12:$A$17,Sheet1!$G$12:$G$17)</f>
        <v>5949600</v>
      </c>
      <c r="D1122" t="s">
        <v>31</v>
      </c>
      <c r="E1122" s="4">
        <f>_xlfn.XLOOKUP(Table1[[#This Row], [ROOM]],Sheet1!$A$47:$A$66,Sheet1!$B$47:$B$66)</f>
        <v>256</v>
      </c>
      <c r="F1122" t="s">
        <v>58</v>
      </c>
      <c r="G1122" s="4">
        <f>_xlfn.XLOOKUP(Table1[[#This Row], [DISGUISE]],Sheet1!$A$21:$A$23,Sheet1!$B$21:$B$23)*Table1[[#This Row], [NUM OF MEM]]*(1+_xlfn.XLOOKUP(Table1[[#This Row], [DISGUISE]],Sheet1!$A$21:$A$23,Sheet1!$C$21:$C$23))</f>
        <v>25600</v>
      </c>
      <c r="H1122" s="13" t="s">
        <v>59</v>
      </c>
      <c r="I1122" s="4">
        <f>_xlfn.XLOOKUP(Table1[[#This Row], [WEAPON]],Sheet1!$A$27:$A$29,Sheet1!$B$27:$B$29)*Table1[[#This Row], [NUM OF MEM]]*(1+_xlfn.XLOOKUP(Table1[[#This Row], [WEAPON]],Sheet1!$A$27:$A$29,Sheet1!$C$27:$C$29))</f>
        <v>91000</v>
      </c>
      <c r="J1122" t="s">
        <v>60</v>
      </c>
      <c r="K1122" s="9">
        <f>Table1[[#This Row], [NUM OF MEM]]*Table1[[#This Row], [TOTAL TIME TAKEN]]*_xlfn.XLOOKUP(Table1[[#This Row], [EXIT]],Sheet1!$A$70:$A$71,Sheet1!$B$70:$B$71)*(1+_xlfn.XLOOKUP(Table1[[#This Row], [EXIT]],Sheet1!$A$70:$A$71,Sheet1!$C$70:$C$71))</f>
        <v>1606115.6999999997</v>
      </c>
      <c r="L1122" s="13" t="s">
        <v>65</v>
      </c>
      <c r="M1122" s="4">
        <f>IF(Table1[[#This Row], [EQUIPMENT]]="YES",Sheet1!$C$44*(1+Sheet1!$D$44),0)</f>
        <v>307500</v>
      </c>
      <c r="N1122" s="4">
        <f>_xlfn.XLOOKUP(Table1[[#This Row], [ROOM]],Sheet1!$A$47:$A$66,Sheet1!$F$47:$F$66)</f>
        <v>17500000</v>
      </c>
      <c r="O1122" s="9">
        <f>_xlfn.XLOOKUP(_xlfn.CONCAT(Table1[[#This Row], [TEAM]],Table1[[#This Row], [ROOM]]),'ROOM TIME'!$H$2:$H$121,'ROOM TIME'!$J$2:$J$121)</f>
        <v>56.254999999999981</v>
      </c>
      <c r="P1122" s="9">
        <f>(INDEX(Sheet1!$X$48:$Z$67,MATCH(Table1[[#This Row], [ROOM]],Sheet1!$P$48:$P$67,0),MATCH(Table1[[#This Row], [WEAPON]],Sheet1!$X$47:$Z$47,0)))/Table1[[#This Row], [NUM OF MEM]]</f>
        <v>6.3249999999999993</v>
      </c>
      <c r="Q1122" s="9">
        <f>Table1[[#This Row], [ROOM TIME]]+Table1[[#This Row], [GUARD TIME]]</f>
        <v>62.579999999999984</v>
      </c>
      <c r="R1122" s="4">
        <f>Sheet1!$K$3*_xlfn.XLOOKUP(Table1[[#This Row], [DISGUISE]],Sheet1!$A$21:$A$23,Sheet1!$D$21:$D$23)</f>
        <v>69</v>
      </c>
      <c r="S1122" s="9">
        <f>Table1[[#This Row], [TOTAL TIME]]-Table1[[#This Row], [TOTAL TIME TAKEN]]</f>
        <v>6.4200000000000159</v>
      </c>
      <c r="T1122" t="str">
        <f>IF(Table1[[#This Row], [TIME DIFFERENCE]]&gt;=0,"PASS","FAIL")</f>
        <v>PASS</v>
      </c>
      <c r="U1122" s="9">
        <f>Table1[[#This Row], [TRC]]+Table1[[#This Row], [DRC]]+Table1[[#This Row], [WRC]]+Table1[[#This Row], [ERC]]+Table1[[#This Row], [EQRC]]</f>
        <v>7979815.6999999993</v>
      </c>
      <c r="V1122" s="9">
        <f>Table1[[#This Row], [TOTAL COST]]+_xlfn.XLOOKUP(Table1[[#This Row], [TEAM]],Sheet1!$A$12:$A$17,Sheet1!$I$12:$I$17)</f>
        <v>8277295.6999999993</v>
      </c>
      <c r="W1122" s="9">
        <f>Table1[[#This Row], [LOOT]]-Table1[[#This Row], [TOTAL COST]]</f>
        <v>9520184.3000000007</v>
      </c>
      <c r="X1122" s="9">
        <f>IF(Table1[[#This Row], [PASS/FAIL]]="FAIL",0,Table1[[#This Row], [PROFIT]])</f>
        <v>9520184.3000000007</v>
      </c>
    </row>
    <row r="1123" spans="1:24" ht="19.5" customHeight="1" x14ac:dyDescent="0.45">
      <c r="A1123" t="s">
        <v>14</v>
      </c>
      <c r="B1123" s="14">
        <f>_xlfn.XLOOKUP(Table1[[#This Row], [TEAM]],Sheet1!$A$12:$A$17,Sheet1!$F$12:$F$17)</f>
        <v>2</v>
      </c>
      <c r="C1123" s="14">
        <f>_xlfn.XLOOKUP(Table1[[#This Row], [TEAM]],Sheet1!$A$12:$A$17,Sheet1!$G$12:$G$17)</f>
        <v>5949600</v>
      </c>
      <c r="D1123" t="s">
        <v>31</v>
      </c>
      <c r="E1123" s="4">
        <f>_xlfn.XLOOKUP(Table1[[#This Row], [ROOM]],Sheet1!$A$47:$A$66,Sheet1!$B$47:$B$66)</f>
        <v>256</v>
      </c>
      <c r="F1123" t="s">
        <v>62</v>
      </c>
      <c r="G1123" s="4">
        <f>_xlfn.XLOOKUP(Table1[[#This Row], [DISGUISE]],Sheet1!$A$21:$A$23,Sheet1!$B$21:$B$23)*Table1[[#This Row], [NUM OF MEM]]*(1+_xlfn.XLOOKUP(Table1[[#This Row], [DISGUISE]],Sheet1!$A$21:$A$23,Sheet1!$C$21:$C$23))</f>
        <v>10400</v>
      </c>
      <c r="H1123" s="13" t="s">
        <v>59</v>
      </c>
      <c r="I1123" s="4">
        <f>_xlfn.XLOOKUP(Table1[[#This Row], [WEAPON]],Sheet1!$A$27:$A$29,Sheet1!$B$27:$B$29)*Table1[[#This Row], [NUM OF MEM]]*(1+_xlfn.XLOOKUP(Table1[[#This Row], [WEAPON]],Sheet1!$A$27:$A$29,Sheet1!$C$27:$C$29))</f>
        <v>91000</v>
      </c>
      <c r="J1123" t="s">
        <v>64</v>
      </c>
      <c r="K1123" s="9">
        <f>Table1[[#This Row], [NUM OF MEM]]*Table1[[#This Row], [TOTAL TIME TAKEN]]*_xlfn.XLOOKUP(Table1[[#This Row], [EXIT]],Sheet1!$A$70:$A$71,Sheet1!$B$70:$B$71)*(1+_xlfn.XLOOKUP(Table1[[#This Row], [EXIT]],Sheet1!$A$70:$A$71,Sheet1!$C$70:$C$71))</f>
        <v>1622073.5999999996</v>
      </c>
      <c r="L1123" s="13" t="s">
        <v>65</v>
      </c>
      <c r="M1123" s="4">
        <f>IF(Table1[[#This Row], [EQUIPMENT]]="YES",Sheet1!$C$44*(1+Sheet1!$D$44),0)</f>
        <v>307500</v>
      </c>
      <c r="N1123" s="4">
        <f>_xlfn.XLOOKUP(Table1[[#This Row], [ROOM]],Sheet1!$A$47:$A$66,Sheet1!$F$47:$F$66)</f>
        <v>17500000</v>
      </c>
      <c r="O1123" s="9">
        <f>_xlfn.XLOOKUP(_xlfn.CONCAT(Table1[[#This Row], [TEAM]],Table1[[#This Row], [ROOM]]),'ROOM TIME'!$H$2:$H$121,'ROOM TIME'!$J$2:$J$121)</f>
        <v>56.254999999999981</v>
      </c>
      <c r="P1123" s="9">
        <f>(INDEX(Sheet1!$X$48:$Z$67,MATCH(Table1[[#This Row], [ROOM]],Sheet1!$P$48:$P$67,0),MATCH(Table1[[#This Row], [WEAPON]],Sheet1!$X$47:$Z$47,0)))/Table1[[#This Row], [NUM OF MEM]]</f>
        <v>6.3249999999999993</v>
      </c>
      <c r="Q1123" s="9">
        <f>Table1[[#This Row], [ROOM TIME]]+Table1[[#This Row], [GUARD TIME]]</f>
        <v>62.579999999999984</v>
      </c>
      <c r="R1123" s="4">
        <f>Sheet1!$K$3*_xlfn.XLOOKUP(Table1[[#This Row], [DISGUISE]],Sheet1!$A$21:$A$23,Sheet1!$D$21:$D$23)</f>
        <v>66</v>
      </c>
      <c r="S1123" s="9">
        <f>Table1[[#This Row], [TOTAL TIME]]-Table1[[#This Row], [TOTAL TIME TAKEN]]</f>
        <v>3.4200000000000159</v>
      </c>
      <c r="T1123" t="str">
        <f>IF(Table1[[#This Row], [TIME DIFFERENCE]]&gt;=0,"PASS","FAIL")</f>
        <v>PASS</v>
      </c>
      <c r="U1123" s="9">
        <f>Table1[[#This Row], [TRC]]+Table1[[#This Row], [DRC]]+Table1[[#This Row], [WRC]]+Table1[[#This Row], [ERC]]+Table1[[#This Row], [EQRC]]</f>
        <v>7980573.5999999996</v>
      </c>
      <c r="V1123" s="9">
        <f>Table1[[#This Row], [TOTAL COST]]+_xlfn.XLOOKUP(Table1[[#This Row], [TEAM]],Sheet1!$A$12:$A$17,Sheet1!$I$12:$I$17)</f>
        <v>8278053.5999999996</v>
      </c>
      <c r="W1123" s="9">
        <f>Table1[[#This Row], [LOOT]]-Table1[[#This Row], [TOTAL COST]]</f>
        <v>9519426.4000000004</v>
      </c>
      <c r="X1123" s="9">
        <f>IF(Table1[[#This Row], [PASS/FAIL]]="FAIL",0,Table1[[#This Row], [PROFIT]])</f>
        <v>9519426.4000000004</v>
      </c>
    </row>
    <row r="1124" spans="1:24" ht="19.5" customHeight="1" x14ac:dyDescent="0.45">
      <c r="A1124" t="s">
        <v>9</v>
      </c>
      <c r="B1124" s="14">
        <f>_xlfn.XLOOKUP(Table1[[#This Row], [TEAM]],Sheet1!$A$12:$A$17,Sheet1!$F$12:$F$17)</f>
        <v>3</v>
      </c>
      <c r="C1124" s="14">
        <f>_xlfn.XLOOKUP(Table1[[#This Row], [TEAM]],Sheet1!$A$12:$A$17,Sheet1!$G$12:$G$17)</f>
        <v>6238750</v>
      </c>
      <c r="D1124" t="s">
        <v>27</v>
      </c>
      <c r="E1124" s="4">
        <f>_xlfn.XLOOKUP(Table1[[#This Row], [ROOM]],Sheet1!$A$47:$A$66,Sheet1!$B$47:$B$66)</f>
        <v>146</v>
      </c>
      <c r="F1124" t="s">
        <v>62</v>
      </c>
      <c r="G1124" s="4">
        <f>_xlfn.XLOOKUP(Table1[[#This Row], [DISGUISE]],Sheet1!$A$21:$A$23,Sheet1!$B$21:$B$23)*Table1[[#This Row], [NUM OF MEM]]*(1+_xlfn.XLOOKUP(Table1[[#This Row], [DISGUISE]],Sheet1!$A$21:$A$23,Sheet1!$C$21:$C$23))</f>
        <v>15600</v>
      </c>
      <c r="H1124" s="13" t="s">
        <v>66</v>
      </c>
      <c r="I1124" s="4">
        <f>_xlfn.XLOOKUP(Table1[[#This Row], [WEAPON]],Sheet1!$A$27:$A$29,Sheet1!$B$27:$B$29)*Table1[[#This Row], [NUM OF MEM]]*(1+_xlfn.XLOOKUP(Table1[[#This Row], [WEAPON]],Sheet1!$A$27:$A$29,Sheet1!$C$27:$C$29))</f>
        <v>108000</v>
      </c>
      <c r="J1124" t="s">
        <v>64</v>
      </c>
      <c r="K1124" s="9">
        <f>Table1[[#This Row], [NUM OF MEM]]*Table1[[#This Row], [TOTAL TIME TAKEN]]*_xlfn.XLOOKUP(Table1[[#This Row], [EXIT]],Sheet1!$A$70:$A$71,Sheet1!$B$70:$B$71)*(1+_xlfn.XLOOKUP(Table1[[#This Row], [EXIT]],Sheet1!$A$70:$A$71,Sheet1!$C$70:$C$71))</f>
        <v>1560751.1999999995</v>
      </c>
      <c r="L1124" s="13" t="s">
        <v>65</v>
      </c>
      <c r="M1124" s="4">
        <f>IF(Table1[[#This Row], [EQUIPMENT]]="YES",Sheet1!$C$44*(1+Sheet1!$D$44),0)</f>
        <v>307500</v>
      </c>
      <c r="N1124" s="4">
        <f>_xlfn.XLOOKUP(Table1[[#This Row], [ROOM]],Sheet1!$A$47:$A$66,Sheet1!$F$47:$F$66)</f>
        <v>17750000</v>
      </c>
      <c r="O1124" s="9">
        <f>_xlfn.XLOOKUP(_xlfn.CONCAT(Table1[[#This Row], [TEAM]],Table1[[#This Row], [ROOM]]),'ROOM TIME'!$H$2:$H$121,'ROOM TIME'!$J$2:$J$121)</f>
        <v>35.559444444444431</v>
      </c>
      <c r="P1124" s="9">
        <f>(INDEX(Sheet1!$X$48:$Z$67,MATCH(Table1[[#This Row], [ROOM]],Sheet1!$P$48:$P$67,0),MATCH(Table1[[#This Row], [WEAPON]],Sheet1!$X$47:$Z$47,0)))/Table1[[#This Row], [NUM OF MEM]]</f>
        <v>4.583333333333333</v>
      </c>
      <c r="Q1124" s="9">
        <f>Table1[[#This Row], [ROOM TIME]]+Table1[[#This Row], [GUARD TIME]]</f>
        <v>40.142777777777766</v>
      </c>
      <c r="R1124" s="4">
        <f>Sheet1!$K$3*_xlfn.XLOOKUP(Table1[[#This Row], [DISGUISE]],Sheet1!$A$21:$A$23,Sheet1!$D$21:$D$23)</f>
        <v>66</v>
      </c>
      <c r="S1124" s="9">
        <f>Table1[[#This Row], [TOTAL TIME]]-Table1[[#This Row], [TOTAL TIME TAKEN]]</f>
        <v>25.857222222222234</v>
      </c>
      <c r="T1124" t="str">
        <f>IF(Table1[[#This Row], [TIME DIFFERENCE]]&gt;=0,"PASS","FAIL")</f>
        <v>PASS</v>
      </c>
      <c r="U1124" s="9">
        <f>Table1[[#This Row], [TRC]]+Table1[[#This Row], [DRC]]+Table1[[#This Row], [WRC]]+Table1[[#This Row], [ERC]]+Table1[[#This Row], [EQRC]]</f>
        <v>8230601.1999999993</v>
      </c>
      <c r="V1124" s="9">
        <f>Table1[[#This Row], [TOTAL COST]]+_xlfn.XLOOKUP(Table1[[#This Row], [TEAM]],Sheet1!$A$12:$A$17,Sheet1!$I$12:$I$17)</f>
        <v>8542538.6999999993</v>
      </c>
      <c r="W1124" s="9">
        <f>Table1[[#This Row], [LOOT]]-Table1[[#This Row], [TOTAL COST]]</f>
        <v>9519398.8000000007</v>
      </c>
      <c r="X1124" s="9">
        <f>IF(Table1[[#This Row], [PASS/FAIL]]="FAIL",0,Table1[[#This Row], [PROFIT]])</f>
        <v>9519398.8000000007</v>
      </c>
    </row>
    <row r="1125" spans="1:24" ht="19.5" customHeight="1" x14ac:dyDescent="0.45">
      <c r="A1125" t="s">
        <v>9</v>
      </c>
      <c r="B1125" s="14">
        <f>_xlfn.XLOOKUP(Table1[[#This Row], [TEAM]],Sheet1!$A$12:$A$17,Sheet1!$F$12:$F$17)</f>
        <v>3</v>
      </c>
      <c r="C1125" s="14">
        <f>_xlfn.XLOOKUP(Table1[[#This Row], [TEAM]],Sheet1!$A$12:$A$17,Sheet1!$G$12:$G$17)</f>
        <v>6238750</v>
      </c>
      <c r="D1125" t="s">
        <v>20</v>
      </c>
      <c r="E1125" s="4">
        <f>_xlfn.XLOOKUP(Table1[[#This Row], [ROOM]],Sheet1!$A$47:$A$66,Sheet1!$B$47:$B$66)</f>
        <v>145</v>
      </c>
      <c r="F1125" t="s">
        <v>58</v>
      </c>
      <c r="G1125" s="4">
        <f>_xlfn.XLOOKUP(Table1[[#This Row], [DISGUISE]],Sheet1!$A$21:$A$23,Sheet1!$B$21:$B$23)*Table1[[#This Row], [NUM OF MEM]]*(1+_xlfn.XLOOKUP(Table1[[#This Row], [DISGUISE]],Sheet1!$A$21:$A$23,Sheet1!$C$21:$C$23))</f>
        <v>38400</v>
      </c>
      <c r="H1125" s="13" t="s">
        <v>59</v>
      </c>
      <c r="I1125" s="4">
        <f>_xlfn.XLOOKUP(Table1[[#This Row], [WEAPON]],Sheet1!$A$27:$A$29,Sheet1!$B$27:$B$29)*Table1[[#This Row], [NUM OF MEM]]*(1+_xlfn.XLOOKUP(Table1[[#This Row], [WEAPON]],Sheet1!$A$27:$A$29,Sheet1!$C$27:$C$29))</f>
        <v>136500</v>
      </c>
      <c r="J1125" t="s">
        <v>64</v>
      </c>
      <c r="K1125" s="9">
        <f>Table1[[#This Row], [NUM OF MEM]]*Table1[[#This Row], [TOTAL TIME TAKEN]]*_xlfn.XLOOKUP(Table1[[#This Row], [EXIT]],Sheet1!$A$70:$A$71,Sheet1!$B$70:$B$71)*(1+_xlfn.XLOOKUP(Table1[[#This Row], [EXIT]],Sheet1!$A$70:$A$71,Sheet1!$C$70:$C$71))</f>
        <v>1617386.3999999997</v>
      </c>
      <c r="L1125" s="13" t="s">
        <v>61</v>
      </c>
      <c r="M1125" s="4">
        <f>IF(Table1[[#This Row], [EQUIPMENT]]="YES",Sheet1!$C$44*(1+Sheet1!$D$44),0)</f>
        <v>0</v>
      </c>
      <c r="N1125" s="4">
        <f>_xlfn.XLOOKUP(Table1[[#This Row], [ROOM]],Sheet1!$A$47:$A$66,Sheet1!$F$47:$F$66)</f>
        <v>17550000</v>
      </c>
      <c r="O1125" s="9">
        <f>_xlfn.XLOOKUP(_xlfn.CONCAT(Table1[[#This Row], [TEAM]],Table1[[#This Row], [ROOM]]),'ROOM TIME'!$H$2:$H$121,'ROOM TIME'!$J$2:$J$121)</f>
        <v>37.766111111111101</v>
      </c>
      <c r="P1125" s="9">
        <f>(INDEX(Sheet1!$X$48:$Z$67,MATCH(Table1[[#This Row], [ROOM]],Sheet1!$P$48:$P$67,0),MATCH(Table1[[#This Row], [WEAPON]],Sheet1!$X$47:$Z$47,0)))/Table1[[#This Row], [NUM OF MEM]]</f>
        <v>3.8333333333333335</v>
      </c>
      <c r="Q1125" s="9">
        <f>Table1[[#This Row], [ROOM TIME]]+Table1[[#This Row], [GUARD TIME]]</f>
        <v>41.599444444444437</v>
      </c>
      <c r="R1125" s="4">
        <f>Sheet1!$K$3*_xlfn.XLOOKUP(Table1[[#This Row], [DISGUISE]],Sheet1!$A$21:$A$23,Sheet1!$D$21:$D$23)</f>
        <v>69</v>
      </c>
      <c r="S1125" s="9">
        <f>Table1[[#This Row], [TOTAL TIME]]-Table1[[#This Row], [TOTAL TIME TAKEN]]</f>
        <v>27.400555555555563</v>
      </c>
      <c r="T1125" t="str">
        <f>IF(Table1[[#This Row], [TIME DIFFERENCE]]&gt;=0,"PASS","FAIL")</f>
        <v>PASS</v>
      </c>
      <c r="U1125" s="9">
        <f>Table1[[#This Row], [TRC]]+Table1[[#This Row], [DRC]]+Table1[[#This Row], [WRC]]+Table1[[#This Row], [ERC]]+Table1[[#This Row], [EQRC]]</f>
        <v>8031036.3999999994</v>
      </c>
      <c r="V1125" s="9">
        <f>Table1[[#This Row], [TOTAL COST]]+_xlfn.XLOOKUP(Table1[[#This Row], [TEAM]],Sheet1!$A$12:$A$17,Sheet1!$I$12:$I$17)</f>
        <v>8342973.8999999994</v>
      </c>
      <c r="W1125" s="9">
        <f>Table1[[#This Row], [LOOT]]-Table1[[#This Row], [TOTAL COST]]</f>
        <v>9518963.6000000015</v>
      </c>
      <c r="X1125" s="9">
        <f>IF(Table1[[#This Row], [PASS/FAIL]]="FAIL",0,Table1[[#This Row], [PROFIT]])</f>
        <v>9518963.6000000015</v>
      </c>
    </row>
    <row r="1126" spans="1:24" ht="19.5" customHeight="1" x14ac:dyDescent="0.45">
      <c r="A1126" t="s">
        <v>12</v>
      </c>
      <c r="B1126" s="14">
        <f>_xlfn.XLOOKUP(Table1[[#This Row], [TEAM]],Sheet1!$A$12:$A$17,Sheet1!$F$12:$F$17)</f>
        <v>3</v>
      </c>
      <c r="C1126" s="14">
        <f>_xlfn.XLOOKUP(Table1[[#This Row], [TEAM]],Sheet1!$A$12:$A$17,Sheet1!$G$12:$G$17)</f>
        <v>5988750</v>
      </c>
      <c r="D1126" t="s">
        <v>17</v>
      </c>
      <c r="E1126" s="4">
        <f>_xlfn.XLOOKUP(Table1[[#This Row], [ROOM]],Sheet1!$A$47:$A$66,Sheet1!$B$47:$B$66)</f>
        <v>125</v>
      </c>
      <c r="F1126" t="s">
        <v>58</v>
      </c>
      <c r="G112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26" s="13" t="s">
        <v>63</v>
      </c>
      <c r="I1126" s="4">
        <f>_xlfn.XLOOKUP(Table1[[#This Row], [WEAPON]],Sheet1!$A$27:$A$29,Sheet1!$B$27:$B$29)*Table1[[#This Row], [NUM OF MEM]]*(1+_xlfn.XLOOKUP(Table1[[#This Row], [WEAPON]],Sheet1!$A$27:$A$29,Sheet1!$C$27:$C$29))</f>
        <v>69000</v>
      </c>
      <c r="J1126" t="s">
        <v>64</v>
      </c>
      <c r="K1126" s="9">
        <f>Table1[[#This Row], [NUM OF MEM]]*Table1[[#This Row], [TOTAL TIME TAKEN]]*_xlfn.XLOOKUP(Table1[[#This Row], [EXIT]],Sheet1!$A$70:$A$71,Sheet1!$B$70:$B$71)*(1+_xlfn.XLOOKUP(Table1[[#This Row], [EXIT]],Sheet1!$A$70:$A$71,Sheet1!$C$70:$C$71))</f>
        <v>1735300.7999999993</v>
      </c>
      <c r="L1126" s="13" t="s">
        <v>61</v>
      </c>
      <c r="M1126" s="4">
        <f>IF(Table1[[#This Row], [EQUIPMENT]]="YES",Sheet1!$C$44*(1+Sheet1!$D$44),0)</f>
        <v>0</v>
      </c>
      <c r="N1126" s="4">
        <f>_xlfn.XLOOKUP(Table1[[#This Row], [ROOM]],Sheet1!$A$47:$A$66,Sheet1!$F$47:$F$66)</f>
        <v>17350000</v>
      </c>
      <c r="O1126" s="9">
        <f>_xlfn.XLOOKUP(_xlfn.CONCAT(Table1[[#This Row], [TEAM]],Table1[[#This Row], [ROOM]]),'ROOM TIME'!$H$2:$H$121,'ROOM TIME'!$J$2:$J$121)</f>
        <v>40.132222222222204</v>
      </c>
      <c r="P1126" s="9">
        <f>(INDEX(Sheet1!$X$48:$Z$67,MATCH(Table1[[#This Row], [ROOM]],Sheet1!$P$48:$P$67,0),MATCH(Table1[[#This Row], [WEAPON]],Sheet1!$X$47:$Z$47,0)))/Table1[[#This Row], [NUM OF MEM]]</f>
        <v>4.5</v>
      </c>
      <c r="Q1126" s="9">
        <f>Table1[[#This Row], [ROOM TIME]]+Table1[[#This Row], [GUARD TIME]]</f>
        <v>44.632222222222204</v>
      </c>
      <c r="R1126" s="4">
        <f>Sheet1!$K$3*_xlfn.XLOOKUP(Table1[[#This Row], [DISGUISE]],Sheet1!$A$21:$A$23,Sheet1!$D$21:$D$23)</f>
        <v>69</v>
      </c>
      <c r="S1126" s="9">
        <f>Table1[[#This Row], [TOTAL TIME]]-Table1[[#This Row], [TOTAL TIME TAKEN]]</f>
        <v>24.367777777777796</v>
      </c>
      <c r="T1126" t="str">
        <f>IF(Table1[[#This Row], [TIME DIFFERENCE]]&gt;=0,"PASS","FAIL")</f>
        <v>PASS</v>
      </c>
      <c r="U1126" s="9">
        <f>Table1[[#This Row], [TRC]]+Table1[[#This Row], [DRC]]+Table1[[#This Row], [WRC]]+Table1[[#This Row], [ERC]]+Table1[[#This Row], [EQRC]]</f>
        <v>7831450.7999999989</v>
      </c>
      <c r="V1126" s="9">
        <f>Table1[[#This Row], [TOTAL COST]]+_xlfn.XLOOKUP(Table1[[#This Row], [TEAM]],Sheet1!$A$12:$A$17,Sheet1!$I$12:$I$17)</f>
        <v>8130888.2999999989</v>
      </c>
      <c r="W1126" s="9">
        <f>Table1[[#This Row], [LOOT]]-Table1[[#This Row], [TOTAL COST]]</f>
        <v>9518549.2000000011</v>
      </c>
      <c r="X1126" s="9">
        <f>IF(Table1[[#This Row], [PASS/FAIL]]="FAIL",0,Table1[[#This Row], [PROFIT]])</f>
        <v>9518549.2000000011</v>
      </c>
    </row>
    <row r="1127" spans="1:24" ht="19.5" customHeight="1" x14ac:dyDescent="0.45">
      <c r="A1127" t="s">
        <v>15</v>
      </c>
      <c r="B1127" s="14">
        <f>_xlfn.XLOOKUP(Table1[[#This Row], [TEAM]],Sheet1!$A$12:$A$17,Sheet1!$F$12:$F$17)</f>
        <v>2</v>
      </c>
      <c r="C1127" s="14">
        <f>_xlfn.XLOOKUP(Table1[[#This Row], [TEAM]],Sheet1!$A$12:$A$17,Sheet1!$G$12:$G$17)</f>
        <v>5932950</v>
      </c>
      <c r="D1127" t="s">
        <v>20</v>
      </c>
      <c r="E1127" s="4">
        <f>_xlfn.XLOOKUP(Table1[[#This Row], [ROOM]],Sheet1!$A$47:$A$66,Sheet1!$B$47:$B$66)</f>
        <v>145</v>
      </c>
      <c r="F1127" t="s">
        <v>58</v>
      </c>
      <c r="G112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27" s="13" t="s">
        <v>63</v>
      </c>
      <c r="I1127" s="4">
        <f>_xlfn.XLOOKUP(Table1[[#This Row], [WEAPON]],Sheet1!$A$27:$A$29,Sheet1!$B$27:$B$29)*Table1[[#This Row], [NUM OF MEM]]*(1+_xlfn.XLOOKUP(Table1[[#This Row], [WEAPON]],Sheet1!$A$27:$A$29,Sheet1!$C$27:$C$29))</f>
        <v>46000</v>
      </c>
      <c r="J1127" t="s">
        <v>64</v>
      </c>
      <c r="K1127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1719565.1999999995</v>
      </c>
      <c r="L1127" s="13" t="s">
        <v>65</v>
      </c>
      <c r="M1127" s="4">
        <f>IF(Table1[[#This Row], [EQUIPMENT]]="YES",Sheet1!$C$44*(1+Sheet1!$D$44),0)</f>
        <v>307500</v>
      </c>
      <c r="N1127" s="4">
        <f>_xlfn.XLOOKUP(Table1[[#This Row], [ROOM]],Sheet1!$A$47:$A$66,Sheet1!$F$47:$F$66)</f>
        <v>17550000</v>
      </c>
      <c r="O1127" s="9">
        <f>_xlfn.XLOOKUP(_xlfn.CONCAT(Table1[[#This Row], [TEAM]],Table1[[#This Row], [ROOM]]),'ROOM TIME'!$H$2:$H$121,'ROOM TIME'!$J$2:$J$121)</f>
        <v>59.591249999999981</v>
      </c>
      <c r="P1127" s="9">
        <f>(INDEX(Sheet1!$X$48:$Z$67,MATCH(Table1[[#This Row], [ROOM]],Sheet1!$P$48:$P$67,0),MATCH(Table1[[#This Row], [WEAPON]],Sheet1!$X$47:$Z$47,0)))/Table1[[#This Row], [NUM OF MEM]]</f>
        <v>6.75</v>
      </c>
      <c r="Q1127" s="9">
        <f>Table1[[#This Row], [ROOM TIME]]+Table1[[#This Row], [GUARD TIME]]</f>
        <v>66.341249999999974</v>
      </c>
      <c r="R1127" s="4">
        <f>Sheet1!$K$3*_xlfn.XLOOKUP(Table1[[#This Row], [DISGUISE]],Sheet1!$A$21:$A$23,Sheet1!$D$21:$D$23)</f>
        <v>69</v>
      </c>
      <c r="S1127" s="9">
        <f>Table1[[#This Row], [TOTAL TIME]]-Table1[[#This Row], [TOTAL TIME TAKEN]]</f>
        <v>2.6587500000000261</v>
      </c>
      <c r="T1127" t="str">
        <f>IF(Table1[[#This Row], [TIME DIFFERENCE]]&gt;=0,"PASS","FAIL")</f>
        <v>PASS</v>
      </c>
      <c r="U1127" s="9">
        <f>Table1[[#This Row], [TRC]]+Table1[[#This Row], [DRC]]+Table1[[#This Row], [WRC]]+Table1[[#This Row], [ERC]]+Table1[[#This Row], [EQRC]]</f>
        <v>8031615.1999999993</v>
      </c>
      <c r="V1127" s="9">
        <f>Table1[[#This Row], [TOTAL COST]]+_xlfn.XLOOKUP(Table1[[#This Row], [TEAM]],Sheet1!$A$12:$A$17,Sheet1!$I$12:$I$17)</f>
        <v>8328262.6999999993</v>
      </c>
      <c r="W1127" s="9">
        <f>Table1[[#This Row], [LOOT]]-Table1[[#This Row], [TOTAL COST]]</f>
        <v>9518384.8000000007</v>
      </c>
      <c r="X1127" s="9">
        <f>IF(Table1[[#This Row], [PASS/FAIL]]="FAIL",0,Table1[[#This Row], [PROFIT]])</f>
        <v>9518384.8000000007</v>
      </c>
    </row>
    <row r="1128" spans="1:24" ht="19.5" customHeight="1" x14ac:dyDescent="0.45">
      <c r="A1128" t="s">
        <v>12</v>
      </c>
      <c r="B1128" s="14">
        <f>_xlfn.XLOOKUP(Table1[[#This Row], [TEAM]],Sheet1!$A$12:$A$17,Sheet1!$F$12:$F$17)</f>
        <v>3</v>
      </c>
      <c r="C1128" s="14">
        <f>_xlfn.XLOOKUP(Table1[[#This Row], [TEAM]],Sheet1!$A$12:$A$17,Sheet1!$G$12:$G$17)</f>
        <v>5988750</v>
      </c>
      <c r="D1128" t="s">
        <v>30</v>
      </c>
      <c r="E1128" s="4">
        <f>_xlfn.XLOOKUP(Table1[[#This Row], [ROOM]],Sheet1!$A$47:$A$66,Sheet1!$B$47:$B$66)</f>
        <v>246</v>
      </c>
      <c r="F1128" t="s">
        <v>58</v>
      </c>
      <c r="G112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28" s="13" t="s">
        <v>66</v>
      </c>
      <c r="I1128" s="4">
        <f>_xlfn.XLOOKUP(Table1[[#This Row], [WEAPON]],Sheet1!$A$27:$A$29,Sheet1!$B$27:$B$29)*Table1[[#This Row], [NUM OF MEM]]*(1+_xlfn.XLOOKUP(Table1[[#This Row], [WEAPON]],Sheet1!$A$27:$A$29,Sheet1!$C$27:$C$29))</f>
        <v>108000</v>
      </c>
      <c r="J1128" t="s">
        <v>60</v>
      </c>
      <c r="K1128" s="9">
        <f>Table1[[#This Row], [NUM OF MEM]]*Table1[[#This Row], [TOTAL TIME TAKEN]]*_xlfn.XLOOKUP(Table1[[#This Row], [EXIT]],Sheet1!$A$70:$A$71,Sheet1!$B$70:$B$71)*(1+_xlfn.XLOOKUP(Table1[[#This Row], [EXIT]],Sheet1!$A$70:$A$71,Sheet1!$C$70:$C$71))</f>
        <v>1639309.0999999992</v>
      </c>
      <c r="L1128" s="13" t="s">
        <v>65</v>
      </c>
      <c r="M1128" s="4">
        <f>IF(Table1[[#This Row], [EQUIPMENT]]="YES",Sheet1!$C$44*(1+Sheet1!$D$44),0)</f>
        <v>307500</v>
      </c>
      <c r="N1128" s="4">
        <f>_xlfn.XLOOKUP(Table1[[#This Row], [ROOM]],Sheet1!$A$47:$A$66,Sheet1!$F$47:$F$66)</f>
        <v>17600000</v>
      </c>
      <c r="O1128" s="9">
        <f>_xlfn.XLOOKUP(_xlfn.CONCAT(Table1[[#This Row], [TEAM]],Table1[[#This Row], [ROOM]]),'ROOM TIME'!$H$2:$H$121,'ROOM TIME'!$J$2:$J$121)</f>
        <v>37.582222222222207</v>
      </c>
      <c r="P1128" s="4">
        <f>(INDEX(Sheet1!$X$48:$Z$67,MATCH(Table1[[#This Row], [ROOM]],Sheet1!$P$48:$P$67,0),MATCH(Table1[[#This Row], [WEAPON]],Sheet1!$X$47:$Z$47,0)))/Table1[[#This Row], [NUM OF MEM]]</f>
        <v>5</v>
      </c>
      <c r="Q1128" s="9">
        <f>Table1[[#This Row], [ROOM TIME]]+Table1[[#This Row], [GUARD TIME]]</f>
        <v>42.582222222222207</v>
      </c>
      <c r="R1128" s="4">
        <f>Sheet1!$K$3*_xlfn.XLOOKUP(Table1[[#This Row], [DISGUISE]],Sheet1!$A$21:$A$23,Sheet1!$D$21:$D$23)</f>
        <v>69</v>
      </c>
      <c r="S1128" s="9">
        <f>Table1[[#This Row], [TOTAL TIME]]-Table1[[#This Row], [TOTAL TIME TAKEN]]</f>
        <v>26.417777777777793</v>
      </c>
      <c r="T1128" t="str">
        <f>IF(Table1[[#This Row], [TIME DIFFERENCE]]&gt;=0,"PASS","FAIL")</f>
        <v>PASS</v>
      </c>
      <c r="U1128" s="9">
        <f>Table1[[#This Row], [TRC]]+Table1[[#This Row], [DRC]]+Table1[[#This Row], [WRC]]+Table1[[#This Row], [ERC]]+Table1[[#This Row], [EQRC]]</f>
        <v>8081959.0999999996</v>
      </c>
      <c r="V1128" s="9">
        <f>Table1[[#This Row], [TOTAL COST]]+_xlfn.XLOOKUP(Table1[[#This Row], [TEAM]],Sheet1!$A$12:$A$17,Sheet1!$I$12:$I$17)</f>
        <v>8381396.5999999996</v>
      </c>
      <c r="W1128" s="9">
        <f>Table1[[#This Row], [LOOT]]-Table1[[#This Row], [TOTAL COST]]</f>
        <v>9518040.9000000004</v>
      </c>
      <c r="X1128" s="9">
        <f>IF(Table1[[#This Row], [PASS/FAIL]]="FAIL",0,Table1[[#This Row], [PROFIT]])</f>
        <v>9518040.9000000004</v>
      </c>
    </row>
    <row r="1129" spans="1:24" ht="19.5" customHeight="1" x14ac:dyDescent="0.45">
      <c r="A1129" t="s">
        <v>13</v>
      </c>
      <c r="B1129" s="14">
        <f>_xlfn.XLOOKUP(Table1[[#This Row], [TEAM]],Sheet1!$A$12:$A$17,Sheet1!$F$12:$F$17)</f>
        <v>3</v>
      </c>
      <c r="C1129" s="14">
        <f>_xlfn.XLOOKUP(Table1[[#This Row], [TEAM]],Sheet1!$A$12:$A$17,Sheet1!$G$12:$G$17)</f>
        <v>5930000</v>
      </c>
      <c r="D1129" t="s">
        <v>23</v>
      </c>
      <c r="E1129" s="4">
        <f>_xlfn.XLOOKUP(Table1[[#This Row], [ROOM]],Sheet1!$A$47:$A$66,Sheet1!$B$47:$B$66)</f>
        <v>245</v>
      </c>
      <c r="F1129" t="s">
        <v>62</v>
      </c>
      <c r="G112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29" s="13" t="s">
        <v>59</v>
      </c>
      <c r="I1129" s="4">
        <f>_xlfn.XLOOKUP(Table1[[#This Row], [WEAPON]],Sheet1!$A$27:$A$29,Sheet1!$B$27:$B$29)*Table1[[#This Row], [NUM OF MEM]]*(1+_xlfn.XLOOKUP(Table1[[#This Row], [WEAPON]],Sheet1!$A$27:$A$29,Sheet1!$C$27:$C$29))</f>
        <v>136500</v>
      </c>
      <c r="J1129" t="s">
        <v>64</v>
      </c>
      <c r="K1129" s="9">
        <f>Table1[[#This Row], [NUM OF MEM]]*Table1[[#This Row], [TOTAL TIME TAKEN]]*_xlfn.XLOOKUP(Table1[[#This Row], [EXIT]],Sheet1!$A$70:$A$71,Sheet1!$B$70:$B$71)*(1+_xlfn.XLOOKUP(Table1[[#This Row], [EXIT]],Sheet1!$A$70:$A$71,Sheet1!$C$70:$C$71))</f>
        <v>1799949.5999999999</v>
      </c>
      <c r="L1129" s="13" t="s">
        <v>61</v>
      </c>
      <c r="M1129" s="4">
        <f>IF(Table1[[#This Row], [EQUIPMENT]]="YES",Sheet1!$C$44*(1+Sheet1!$D$44),0)</f>
        <v>0</v>
      </c>
      <c r="N1129" s="4">
        <f>_xlfn.XLOOKUP(Table1[[#This Row], [ROOM]],Sheet1!$A$47:$A$66,Sheet1!$F$47:$F$66)</f>
        <v>17400000</v>
      </c>
      <c r="O1129" s="9">
        <f>_xlfn.XLOOKUP(_xlfn.CONCAT(Table1[[#This Row], [TEAM]],Table1[[#This Row], [ROOM]]),'ROOM TIME'!$H$2:$H$121,'ROOM TIME'!$J$2:$J$121)</f>
        <v>42.078333333333326</v>
      </c>
      <c r="P1129" s="9">
        <f>(INDEX(Sheet1!$X$48:$Z$67,MATCH(Table1[[#This Row], [ROOM]],Sheet1!$P$48:$P$67,0),MATCH(Table1[[#This Row], [WEAPON]],Sheet1!$X$47:$Z$47,0)))/Table1[[#This Row], [NUM OF MEM]]</f>
        <v>4.2166666666666659</v>
      </c>
      <c r="Q1129" s="9">
        <f>Table1[[#This Row], [ROOM TIME]]+Table1[[#This Row], [GUARD TIME]]</f>
        <v>46.294999999999995</v>
      </c>
      <c r="R1129" s="4">
        <f>Sheet1!$K$3*_xlfn.XLOOKUP(Table1[[#This Row], [DISGUISE]],Sheet1!$A$21:$A$23,Sheet1!$D$21:$D$23)</f>
        <v>66</v>
      </c>
      <c r="S1129" s="9">
        <f>Table1[[#This Row], [TOTAL TIME]]-Table1[[#This Row], [TOTAL TIME TAKEN]]</f>
        <v>19.705000000000005</v>
      </c>
      <c r="T1129" t="str">
        <f>IF(Table1[[#This Row], [TIME DIFFERENCE]]&gt;=0,"PASS","FAIL")</f>
        <v>PASS</v>
      </c>
      <c r="U1129" s="9">
        <f>Table1[[#This Row], [TRC]]+Table1[[#This Row], [DRC]]+Table1[[#This Row], [WRC]]+Table1[[#This Row], [ERC]]+Table1[[#This Row], [EQRC]]</f>
        <v>7882049.5999999996</v>
      </c>
      <c r="V1129" s="9">
        <f>Table1[[#This Row], [TOTAL COST]]+_xlfn.XLOOKUP(Table1[[#This Row], [TEAM]],Sheet1!$A$12:$A$17,Sheet1!$I$12:$I$17)</f>
        <v>8178549.5999999996</v>
      </c>
      <c r="W1129" s="9">
        <f>Table1[[#This Row], [LOOT]]-Table1[[#This Row], [TOTAL COST]]</f>
        <v>9517950.4000000004</v>
      </c>
      <c r="X1129" s="9">
        <f>IF(Table1[[#This Row], [PASS/FAIL]]="FAIL",0,Table1[[#This Row], [PROFIT]])</f>
        <v>9517950.4000000004</v>
      </c>
    </row>
    <row r="1130" spans="1:24" ht="19.5" customHeight="1" x14ac:dyDescent="0.45">
      <c r="A1130" t="s">
        <v>12</v>
      </c>
      <c r="B1130" s="14">
        <f>_xlfn.XLOOKUP(Table1[[#This Row], [TEAM]],Sheet1!$A$12:$A$17,Sheet1!$F$12:$F$17)</f>
        <v>3</v>
      </c>
      <c r="C1130" s="14">
        <f>_xlfn.XLOOKUP(Table1[[#This Row], [TEAM]],Sheet1!$A$12:$A$17,Sheet1!$G$12:$G$17)</f>
        <v>5988750</v>
      </c>
      <c r="D1130" t="s">
        <v>17</v>
      </c>
      <c r="E1130" s="4">
        <f>_xlfn.XLOOKUP(Table1[[#This Row], [ROOM]],Sheet1!$A$47:$A$66,Sheet1!$B$47:$B$66)</f>
        <v>125</v>
      </c>
      <c r="F1130" t="s">
        <v>62</v>
      </c>
      <c r="G1130" s="4">
        <f>_xlfn.XLOOKUP(Table1[[#This Row], [DISGUISE]],Sheet1!$A$21:$A$23,Sheet1!$B$21:$B$23)*Table1[[#This Row], [NUM OF MEM]]*(1+_xlfn.XLOOKUP(Table1[[#This Row], [DISGUISE]],Sheet1!$A$21:$A$23,Sheet1!$C$21:$C$23))</f>
        <v>15600</v>
      </c>
      <c r="H1130" s="13" t="s">
        <v>59</v>
      </c>
      <c r="I1130" s="4">
        <f>_xlfn.XLOOKUP(Table1[[#This Row], [WEAPON]],Sheet1!$A$27:$A$29,Sheet1!$B$27:$B$29)*Table1[[#This Row], [NUM OF MEM]]*(1+_xlfn.XLOOKUP(Table1[[#This Row], [WEAPON]],Sheet1!$A$27:$A$29,Sheet1!$C$27:$C$29))</f>
        <v>136500</v>
      </c>
      <c r="J1130" t="s">
        <v>60</v>
      </c>
      <c r="K1130" s="9">
        <f>Table1[[#This Row], [NUM OF MEM]]*Table1[[#This Row], [TOTAL TIME TAKEN]]*_xlfn.XLOOKUP(Table1[[#This Row], [EXIT]],Sheet1!$A$70:$A$71,Sheet1!$B$70:$B$71)*(1+_xlfn.XLOOKUP(Table1[[#This Row], [EXIT]],Sheet1!$A$70:$A$71,Sheet1!$C$70:$C$71))</f>
        <v>1692563.9749999992</v>
      </c>
      <c r="L1130" s="13" t="s">
        <v>61</v>
      </c>
      <c r="M1130" s="4">
        <f>IF(Table1[[#This Row], [EQUIPMENT]]="YES",Sheet1!$C$44*(1+Sheet1!$D$44),0)</f>
        <v>0</v>
      </c>
      <c r="N1130" s="4">
        <f>_xlfn.XLOOKUP(Table1[[#This Row], [ROOM]],Sheet1!$A$47:$A$66,Sheet1!$F$47:$F$66)</f>
        <v>17350000</v>
      </c>
      <c r="O1130" s="9">
        <f>_xlfn.XLOOKUP(_xlfn.CONCAT(Table1[[#This Row], [TEAM]],Table1[[#This Row], [ROOM]]),'ROOM TIME'!$H$2:$H$121,'ROOM TIME'!$J$2:$J$121)</f>
        <v>40.132222222222204</v>
      </c>
      <c r="P1130" s="9">
        <f>(INDEX(Sheet1!$X$48:$Z$67,MATCH(Table1[[#This Row], [ROOM]],Sheet1!$P$48:$P$67,0),MATCH(Table1[[#This Row], [WEAPON]],Sheet1!$X$47:$Z$47,0)))/Table1[[#This Row], [NUM OF MEM]]</f>
        <v>3.8333333333333335</v>
      </c>
      <c r="Q1130" s="9">
        <f>Table1[[#This Row], [ROOM TIME]]+Table1[[#This Row], [GUARD TIME]]</f>
        <v>43.96555555555554</v>
      </c>
      <c r="R1130" s="4">
        <f>Sheet1!$K$3*_xlfn.XLOOKUP(Table1[[#This Row], [DISGUISE]],Sheet1!$A$21:$A$23,Sheet1!$D$21:$D$23)</f>
        <v>66</v>
      </c>
      <c r="S1130" s="9">
        <f>Table1[[#This Row], [TOTAL TIME]]-Table1[[#This Row], [TOTAL TIME TAKEN]]</f>
        <v>22.03444444444446</v>
      </c>
      <c r="T1130" t="str">
        <f>IF(Table1[[#This Row], [TIME DIFFERENCE]]&gt;=0,"PASS","FAIL")</f>
        <v>PASS</v>
      </c>
      <c r="U1130" s="9">
        <f>Table1[[#This Row], [TRC]]+Table1[[#This Row], [DRC]]+Table1[[#This Row], [WRC]]+Table1[[#This Row], [ERC]]+Table1[[#This Row], [EQRC]]</f>
        <v>7833413.9749999996</v>
      </c>
      <c r="V1130" s="9">
        <f>Table1[[#This Row], [TOTAL COST]]+_xlfn.XLOOKUP(Table1[[#This Row], [TEAM]],Sheet1!$A$12:$A$17,Sheet1!$I$12:$I$17)</f>
        <v>8132851.4749999996</v>
      </c>
      <c r="W1130" s="9">
        <f>Table1[[#This Row], [LOOT]]-Table1[[#This Row], [TOTAL COST]]</f>
        <v>9516586.0250000004</v>
      </c>
      <c r="X1130" s="9">
        <f>IF(Table1[[#This Row], [PASS/FAIL]]="FAIL",0,Table1[[#This Row], [PROFIT]])</f>
        <v>9516586.0250000004</v>
      </c>
    </row>
    <row r="1131" spans="1:24" ht="19.5" customHeight="1" x14ac:dyDescent="0.45">
      <c r="A1131" t="s">
        <v>13</v>
      </c>
      <c r="B1131" s="14">
        <f>_xlfn.XLOOKUP(Table1[[#This Row], [TEAM]],Sheet1!$A$12:$A$17,Sheet1!$F$12:$F$17)</f>
        <v>3</v>
      </c>
      <c r="C1131" s="14">
        <f>_xlfn.XLOOKUP(Table1[[#This Row], [TEAM]],Sheet1!$A$12:$A$17,Sheet1!$G$12:$G$17)</f>
        <v>5930000</v>
      </c>
      <c r="D1131" t="s">
        <v>17</v>
      </c>
      <c r="E1131" s="4">
        <f>_xlfn.XLOOKUP(Table1[[#This Row], [ROOM]],Sheet1!$A$47:$A$66,Sheet1!$B$47:$B$66)</f>
        <v>125</v>
      </c>
      <c r="F1131" t="s">
        <v>58</v>
      </c>
      <c r="G1131" s="4">
        <f>_xlfn.XLOOKUP(Table1[[#This Row], [DISGUISE]],Sheet1!$A$21:$A$23,Sheet1!$B$21:$B$23)*Table1[[#This Row], [NUM OF MEM]]*(1+_xlfn.XLOOKUP(Table1[[#This Row], [DISGUISE]],Sheet1!$A$21:$A$23,Sheet1!$C$21:$C$23))</f>
        <v>38400</v>
      </c>
      <c r="H1131" s="13" t="s">
        <v>63</v>
      </c>
      <c r="I1131" s="4">
        <f>_xlfn.XLOOKUP(Table1[[#This Row], [WEAPON]],Sheet1!$A$27:$A$29,Sheet1!$B$27:$B$29)*Table1[[#This Row], [NUM OF MEM]]*(1+_xlfn.XLOOKUP(Table1[[#This Row], [WEAPON]],Sheet1!$A$27:$A$29,Sheet1!$C$27:$C$29))</f>
        <v>69000</v>
      </c>
      <c r="J1131" t="s">
        <v>60</v>
      </c>
      <c r="K1131" s="9">
        <f>Table1[[#This Row], [NUM OF MEM]]*Table1[[#This Row], [TOTAL TIME TAKEN]]*_xlfn.XLOOKUP(Table1[[#This Row], [EXIT]],Sheet1!$A$70:$A$71,Sheet1!$B$70:$B$71)*(1+_xlfn.XLOOKUP(Table1[[#This Row], [EXIT]],Sheet1!$A$70:$A$71,Sheet1!$C$70:$C$71))</f>
        <v>1796571.3874999997</v>
      </c>
      <c r="L1131" s="13" t="s">
        <v>61</v>
      </c>
      <c r="M1131" s="4">
        <f>IF(Table1[[#This Row], [EQUIPMENT]]="YES",Sheet1!$C$44*(1+Sheet1!$D$44),0)</f>
        <v>0</v>
      </c>
      <c r="N1131" s="4">
        <f>_xlfn.XLOOKUP(Table1[[#This Row], [ROOM]],Sheet1!$A$47:$A$66,Sheet1!$F$47:$F$66)</f>
        <v>17350000</v>
      </c>
      <c r="O1131" s="9">
        <f>_xlfn.XLOOKUP(_xlfn.CONCAT(Table1[[#This Row], [TEAM]],Table1[[#This Row], [ROOM]]),'ROOM TIME'!$H$2:$H$121,'ROOM TIME'!$J$2:$J$121)</f>
        <v>42.167222222222215</v>
      </c>
      <c r="P1131" s="9">
        <f>(INDEX(Sheet1!$X$48:$Z$67,MATCH(Table1[[#This Row], [ROOM]],Sheet1!$P$48:$P$67,0),MATCH(Table1[[#This Row], [WEAPON]],Sheet1!$X$47:$Z$47,0)))/Table1[[#This Row], [NUM OF MEM]]</f>
        <v>4.5</v>
      </c>
      <c r="Q1131" s="9">
        <f>Table1[[#This Row], [ROOM TIME]]+Table1[[#This Row], [GUARD TIME]]</f>
        <v>46.667222222222215</v>
      </c>
      <c r="R1131" s="4">
        <f>Sheet1!$K$3*_xlfn.XLOOKUP(Table1[[#This Row], [DISGUISE]],Sheet1!$A$21:$A$23,Sheet1!$D$21:$D$23)</f>
        <v>69</v>
      </c>
      <c r="S1131" s="9">
        <f>Table1[[#This Row], [TOTAL TIME]]-Table1[[#This Row], [TOTAL TIME TAKEN]]</f>
        <v>22.332777777777785</v>
      </c>
      <c r="T1131" t="str">
        <f>IF(Table1[[#This Row], [TIME DIFFERENCE]]&gt;=0,"PASS","FAIL")</f>
        <v>PASS</v>
      </c>
      <c r="U1131" s="9">
        <f>Table1[[#This Row], [TRC]]+Table1[[#This Row], [DRC]]+Table1[[#This Row], [WRC]]+Table1[[#This Row], [ERC]]+Table1[[#This Row], [EQRC]]</f>
        <v>7833971.3874999993</v>
      </c>
      <c r="V1131" s="9">
        <f>Table1[[#This Row], [TOTAL COST]]+_xlfn.XLOOKUP(Table1[[#This Row], [TEAM]],Sheet1!$A$12:$A$17,Sheet1!$I$12:$I$17)</f>
        <v>8130471.3874999993</v>
      </c>
      <c r="W1131" s="9">
        <f>Table1[[#This Row], [LOOT]]-Table1[[#This Row], [TOTAL COST]]</f>
        <v>9516028.6125000007</v>
      </c>
      <c r="X1131" s="9">
        <f>IF(Table1[[#This Row], [PASS/FAIL]]="FAIL",0,Table1[[#This Row], [PROFIT]])</f>
        <v>9516028.6125000007</v>
      </c>
    </row>
    <row r="1132" spans="1:24" ht="19.5" customHeight="1" x14ac:dyDescent="0.45">
      <c r="A1132" t="s">
        <v>15</v>
      </c>
      <c r="B1132" s="14">
        <f>_xlfn.XLOOKUP(Table1[[#This Row], [TEAM]],Sheet1!$A$12:$A$17,Sheet1!$F$12:$F$17)</f>
        <v>2</v>
      </c>
      <c r="C1132" s="14">
        <f>_xlfn.XLOOKUP(Table1[[#This Row], [TEAM]],Sheet1!$A$12:$A$17,Sheet1!$G$12:$G$17)</f>
        <v>5932950</v>
      </c>
      <c r="D1132" t="s">
        <v>20</v>
      </c>
      <c r="E1132" s="4">
        <f>_xlfn.XLOOKUP(Table1[[#This Row], [ROOM]],Sheet1!$A$47:$A$66,Sheet1!$B$47:$B$66)</f>
        <v>145</v>
      </c>
      <c r="F1132" t="s">
        <v>58</v>
      </c>
      <c r="G1132" s="4">
        <f>_xlfn.XLOOKUP(Table1[[#This Row], [DISGUISE]],Sheet1!$A$21:$A$23,Sheet1!$B$21:$B$23)*Table1[[#This Row], [NUM OF MEM]]*(1+_xlfn.XLOOKUP(Table1[[#This Row], [DISGUISE]],Sheet1!$A$21:$A$23,Sheet1!$C$21:$C$23))</f>
        <v>25600</v>
      </c>
      <c r="H1132" s="13" t="s">
        <v>59</v>
      </c>
      <c r="I1132" s="4">
        <f>_xlfn.XLOOKUP(Table1[[#This Row], [WEAPON]],Sheet1!$A$27:$A$29,Sheet1!$B$27:$B$29)*Table1[[#This Row], [NUM OF MEM]]*(1+_xlfn.XLOOKUP(Table1[[#This Row], [WEAPON]],Sheet1!$A$27:$A$29,Sheet1!$C$27:$C$29))</f>
        <v>91000</v>
      </c>
      <c r="J1132" t="s">
        <v>60</v>
      </c>
      <c r="K1132" s="9">
        <f>Table1[[#This Row], [NUM OF MEM]]*Table1[[#This Row], [TOTAL TIME TAKEN]]*_xlfn.XLOOKUP(Table1[[#This Row], [EXIT]],Sheet1!$A$70:$A$71,Sheet1!$B$70:$B$71)*(1+_xlfn.XLOOKUP(Table1[[#This Row], [EXIT]],Sheet1!$A$70:$A$71,Sheet1!$C$70:$C$71))</f>
        <v>1676983.1812499992</v>
      </c>
      <c r="L1132" s="13" t="s">
        <v>65</v>
      </c>
      <c r="M1132" s="4">
        <f>IF(Table1[[#This Row], [EQUIPMENT]]="YES",Sheet1!$C$44*(1+Sheet1!$D$44),0)</f>
        <v>307500</v>
      </c>
      <c r="N1132" s="4">
        <f>_xlfn.XLOOKUP(Table1[[#This Row], [ROOM]],Sheet1!$A$47:$A$66,Sheet1!$F$47:$F$66)</f>
        <v>17550000</v>
      </c>
      <c r="O1132" s="9">
        <f>_xlfn.XLOOKUP(_xlfn.CONCAT(Table1[[#This Row], [TEAM]],Table1[[#This Row], [ROOM]]),'ROOM TIME'!$H$2:$H$121,'ROOM TIME'!$J$2:$J$121)</f>
        <v>59.591249999999981</v>
      </c>
      <c r="P1132" s="9">
        <f>(INDEX(Sheet1!$X$48:$Z$67,MATCH(Table1[[#This Row], [ROOM]],Sheet1!$P$48:$P$67,0),MATCH(Table1[[#This Row], [WEAPON]],Sheet1!$X$47:$Z$47,0)))/Table1[[#This Row], [NUM OF MEM]]</f>
        <v>5.75</v>
      </c>
      <c r="Q1132" s="9">
        <f>Table1[[#This Row], [ROOM TIME]]+Table1[[#This Row], [GUARD TIME]]</f>
        <v>65.341249999999974</v>
      </c>
      <c r="R1132" s="4">
        <f>Sheet1!$K$3*_xlfn.XLOOKUP(Table1[[#This Row], [DISGUISE]],Sheet1!$A$21:$A$23,Sheet1!$D$21:$D$23)</f>
        <v>69</v>
      </c>
      <c r="S1132" s="9">
        <f>Table1[[#This Row], [TOTAL TIME]]-Table1[[#This Row], [TOTAL TIME TAKEN]]</f>
        <v>3.6587500000000261</v>
      </c>
      <c r="T1132" t="str">
        <f>IF(Table1[[#This Row], [TIME DIFFERENCE]]&gt;=0,"PASS","FAIL")</f>
        <v>PASS</v>
      </c>
      <c r="U1132" s="9">
        <f>Table1[[#This Row], [TRC]]+Table1[[#This Row], [DRC]]+Table1[[#This Row], [WRC]]+Table1[[#This Row], [ERC]]+Table1[[#This Row], [EQRC]]</f>
        <v>8034033.1812499994</v>
      </c>
      <c r="V1132" s="9">
        <f>Table1[[#This Row], [TOTAL COST]]+_xlfn.XLOOKUP(Table1[[#This Row], [TEAM]],Sheet1!$A$12:$A$17,Sheet1!$I$12:$I$17)</f>
        <v>8330680.6812499994</v>
      </c>
      <c r="W1132" s="9">
        <f>Table1[[#This Row], [LOOT]]-Table1[[#This Row], [TOTAL COST]]</f>
        <v>9515966.8187500015</v>
      </c>
      <c r="X1132" s="9">
        <f>IF(Table1[[#This Row], [PASS/FAIL]]="FAIL",0,Table1[[#This Row], [PROFIT]])</f>
        <v>9515966.8187500015</v>
      </c>
    </row>
    <row r="1133" spans="1:24" ht="19.5" customHeight="1" x14ac:dyDescent="0.45">
      <c r="A1133" t="s">
        <v>9</v>
      </c>
      <c r="B1133" s="14">
        <f>_xlfn.XLOOKUP(Table1[[#This Row], [TEAM]],Sheet1!$A$12:$A$17,Sheet1!$F$12:$F$17)</f>
        <v>3</v>
      </c>
      <c r="C1133" s="14">
        <f>_xlfn.XLOOKUP(Table1[[#This Row], [TEAM]],Sheet1!$A$12:$A$17,Sheet1!$G$12:$G$17)</f>
        <v>6238750</v>
      </c>
      <c r="D1133" t="s">
        <v>21</v>
      </c>
      <c r="E1133" s="4">
        <f>_xlfn.XLOOKUP(Table1[[#This Row], [ROOM]],Sheet1!$A$47:$A$66,Sheet1!$B$47:$B$66)</f>
        <v>234</v>
      </c>
      <c r="F1133" t="s">
        <v>62</v>
      </c>
      <c r="G113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33" s="13" t="s">
        <v>63</v>
      </c>
      <c r="I1133" s="4">
        <f>_xlfn.XLOOKUP(Table1[[#This Row], [WEAPON]],Sheet1!$A$27:$A$29,Sheet1!$B$27:$B$29)*Table1[[#This Row], [NUM OF MEM]]*(1+_xlfn.XLOOKUP(Table1[[#This Row], [WEAPON]],Sheet1!$A$27:$A$29,Sheet1!$C$27:$C$29))</f>
        <v>69000</v>
      </c>
      <c r="J1133" t="s">
        <v>60</v>
      </c>
      <c r="K1133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1753518.3499999996</v>
      </c>
      <c r="L1133" s="13" t="s">
        <v>65</v>
      </c>
      <c r="M1133" s="4">
        <f>IF(Table1[[#This Row], [EQUIPMENT]]="YES",Sheet1!$C$44*(1+Sheet1!$D$44),0)</f>
        <v>307500</v>
      </c>
      <c r="N1133" s="4">
        <f>_xlfn.XLOOKUP(Table1[[#This Row], [ROOM]],Sheet1!$A$47:$A$66,Sheet1!$F$47:$F$66)</f>
        <v>17900000</v>
      </c>
      <c r="O1133" s="9">
        <f>_xlfn.XLOOKUP(_xlfn.CONCAT(Table1[[#This Row], [TEAM]],Table1[[#This Row], [ROOM]]),'ROOM TIME'!$H$2:$H$121,'ROOM TIME'!$J$2:$J$121)</f>
        <v>39.698888888888881</v>
      </c>
      <c r="P1133" s="9">
        <f>(INDEX(Sheet1!$X$48:$Z$67,MATCH(Table1[[#This Row], [ROOM]],Sheet1!$P$48:$P$67,0),MATCH(Table1[[#This Row], [WEAPON]],Sheet1!$X$47:$Z$47,0)))/Table1[[#This Row], [NUM OF MEM]]</f>
        <v>5.8500000000000005</v>
      </c>
      <c r="Q1133" s="9">
        <f>Table1[[#This Row], [ROOM TIME]]+Table1[[#This Row], [GUARD TIME]]</f>
        <v>45.548888888888882</v>
      </c>
      <c r="R1133" s="4">
        <f>Sheet1!$K$3*_xlfn.XLOOKUP(Table1[[#This Row], [DISGUISE]],Sheet1!$A$21:$A$23,Sheet1!$D$21:$D$23)</f>
        <v>66</v>
      </c>
      <c r="S1133" s="9">
        <f>Table1[[#This Row], [TOTAL TIME]]-Table1[[#This Row], [TOTAL TIME TAKEN]]</f>
        <v>20.451111111111118</v>
      </c>
      <c r="T1133" t="str">
        <f>IF(Table1[[#This Row], [TIME DIFFERENCE]]&gt;=0,"PASS","FAIL")</f>
        <v>PASS</v>
      </c>
      <c r="U1133" s="9">
        <f>Table1[[#This Row], [TRC]]+Table1[[#This Row], [DRC]]+Table1[[#This Row], [WRC]]+Table1[[#This Row], [ERC]]+Table1[[#This Row], [EQRC]]</f>
        <v>8384368.3499999996</v>
      </c>
      <c r="V1133" s="9">
        <f>Table1[[#This Row], [TOTAL COST]]+_xlfn.XLOOKUP(Table1[[#This Row], [TEAM]],Sheet1!$A$12:$A$17,Sheet1!$I$12:$I$17)</f>
        <v>8696305.8499999996</v>
      </c>
      <c r="W1133" s="9">
        <f>Table1[[#This Row], [LOOT]]-Table1[[#This Row], [TOTAL COST]]</f>
        <v>9515631.6500000004</v>
      </c>
      <c r="X1133" s="9">
        <f>IF(Table1[[#This Row], [PASS/FAIL]]="FAIL",0,Table1[[#This Row], [PROFIT]])</f>
        <v>9515631.6500000004</v>
      </c>
    </row>
    <row r="1134" spans="1:24" ht="19.5" customHeight="1" x14ac:dyDescent="0.45">
      <c r="A1134" t="s">
        <v>12</v>
      </c>
      <c r="B1134" s="14">
        <f>_xlfn.XLOOKUP(Table1[[#This Row], [TEAM]],Sheet1!$A$12:$A$17,Sheet1!$F$12:$F$17)</f>
        <v>3</v>
      </c>
      <c r="C1134" s="14">
        <f>_xlfn.XLOOKUP(Table1[[#This Row], [TEAM]],Sheet1!$A$12:$A$17,Sheet1!$G$12:$G$17)</f>
        <v>5988750</v>
      </c>
      <c r="D1134" t="s">
        <v>17</v>
      </c>
      <c r="E1134" s="4">
        <f>_xlfn.XLOOKUP(Table1[[#This Row], [ROOM]],Sheet1!$A$47:$A$66,Sheet1!$B$47:$B$66)</f>
        <v>125</v>
      </c>
      <c r="F1134" t="s">
        <v>62</v>
      </c>
      <c r="G1134" s="4">
        <f>_xlfn.XLOOKUP(Table1[[#This Row], [DISGUISE]],Sheet1!$A$21:$A$23,Sheet1!$B$21:$B$23)*Table1[[#This Row], [NUM OF MEM]]*(1+_xlfn.XLOOKUP(Table1[[#This Row], [DISGUISE]],Sheet1!$A$21:$A$23,Sheet1!$C$21:$C$23))</f>
        <v>15600</v>
      </c>
      <c r="H1134" s="13" t="s">
        <v>66</v>
      </c>
      <c r="I1134" s="4">
        <f>_xlfn.XLOOKUP(Table1[[#This Row], [WEAPON]],Sheet1!$A$27:$A$29,Sheet1!$B$27:$B$29)*Table1[[#This Row], [NUM OF MEM]]*(1+_xlfn.XLOOKUP(Table1[[#This Row], [WEAPON]],Sheet1!$A$27:$A$29,Sheet1!$C$27:$C$29))</f>
        <v>108000</v>
      </c>
      <c r="J1134" t="s">
        <v>64</v>
      </c>
      <c r="K1134" s="9">
        <f>Table1[[#This Row], [NUM OF MEM]]*Table1[[#This Row], [TOTAL TIME TAKEN]]*_xlfn.XLOOKUP(Table1[[#This Row], [EXIT]],Sheet1!$A$70:$A$71,Sheet1!$B$70:$B$71)*(1+_xlfn.XLOOKUP(Table1[[#This Row], [EXIT]],Sheet1!$A$70:$A$71,Sheet1!$C$70:$C$71))</f>
        <v>1722340.7999999989</v>
      </c>
      <c r="L1134" s="13" t="s">
        <v>61</v>
      </c>
      <c r="M1134" s="4">
        <f>IF(Table1[[#This Row], [EQUIPMENT]]="YES",Sheet1!$C$44*(1+Sheet1!$D$44),0)</f>
        <v>0</v>
      </c>
      <c r="N1134" s="4">
        <f>_xlfn.XLOOKUP(Table1[[#This Row], [ROOM]],Sheet1!$A$47:$A$66,Sheet1!$F$47:$F$66)</f>
        <v>17350000</v>
      </c>
      <c r="O1134" s="9">
        <f>_xlfn.XLOOKUP(_xlfn.CONCAT(Table1[[#This Row], [TEAM]],Table1[[#This Row], [ROOM]]),'ROOM TIME'!$H$2:$H$121,'ROOM TIME'!$J$2:$J$121)</f>
        <v>40.132222222222204</v>
      </c>
      <c r="P1134" s="9">
        <f>(INDEX(Sheet1!$X$48:$Z$67,MATCH(Table1[[#This Row], [ROOM]],Sheet1!$P$48:$P$67,0),MATCH(Table1[[#This Row], [WEAPON]],Sheet1!$X$47:$Z$47,0)))/Table1[[#This Row], [NUM OF MEM]]</f>
        <v>4.166666666666667</v>
      </c>
      <c r="Q1134" s="9">
        <f>Table1[[#This Row], [ROOM TIME]]+Table1[[#This Row], [GUARD TIME]]</f>
        <v>44.298888888888868</v>
      </c>
      <c r="R1134" s="4">
        <f>Sheet1!$K$3*_xlfn.XLOOKUP(Table1[[#This Row], [DISGUISE]],Sheet1!$A$21:$A$23,Sheet1!$D$21:$D$23)</f>
        <v>66</v>
      </c>
      <c r="S1134" s="9">
        <f>Table1[[#This Row], [TOTAL TIME]]-Table1[[#This Row], [TOTAL TIME TAKEN]]</f>
        <v>21.701111111111132</v>
      </c>
      <c r="T1134" t="str">
        <f>IF(Table1[[#This Row], [TIME DIFFERENCE]]&gt;=0,"PASS","FAIL")</f>
        <v>PASS</v>
      </c>
      <c r="U1134" s="9">
        <f>Table1[[#This Row], [TRC]]+Table1[[#This Row], [DRC]]+Table1[[#This Row], [WRC]]+Table1[[#This Row], [ERC]]+Table1[[#This Row], [EQRC]]</f>
        <v>7834690.7999999989</v>
      </c>
      <c r="V1134" s="9">
        <f>Table1[[#This Row], [TOTAL COST]]+_xlfn.XLOOKUP(Table1[[#This Row], [TEAM]],Sheet1!$A$12:$A$17,Sheet1!$I$12:$I$17)</f>
        <v>8134128.2999999989</v>
      </c>
      <c r="W1134" s="9">
        <f>Table1[[#This Row], [LOOT]]-Table1[[#This Row], [TOTAL COST]]</f>
        <v>9515309.2000000011</v>
      </c>
      <c r="X1134" s="9">
        <f>IF(Table1[[#This Row], [PASS/FAIL]]="FAIL",0,Table1[[#This Row], [PROFIT]])</f>
        <v>9515309.2000000011</v>
      </c>
    </row>
    <row r="1135" spans="1:24" ht="19.5" customHeight="1" x14ac:dyDescent="0.45">
      <c r="A1135" t="s">
        <v>15</v>
      </c>
      <c r="B1135" s="14">
        <f>_xlfn.XLOOKUP(Table1[[#This Row], [TEAM]],Sheet1!$A$12:$A$17,Sheet1!$F$12:$F$17)</f>
        <v>2</v>
      </c>
      <c r="C1135" s="14">
        <f>_xlfn.XLOOKUP(Table1[[#This Row], [TEAM]],Sheet1!$A$12:$A$17,Sheet1!$G$12:$G$17)</f>
        <v>5932950</v>
      </c>
      <c r="D1135" t="s">
        <v>20</v>
      </c>
      <c r="E1135" s="4">
        <f>_xlfn.XLOOKUP(Table1[[#This Row], [ROOM]],Sheet1!$A$47:$A$66,Sheet1!$B$47:$B$66)</f>
        <v>145</v>
      </c>
      <c r="F1135" t="s">
        <v>62</v>
      </c>
      <c r="G1135" s="4">
        <f>_xlfn.XLOOKUP(Table1[[#This Row], [DISGUISE]],Sheet1!$A$21:$A$23,Sheet1!$B$21:$B$23)*Table1[[#This Row], [NUM OF MEM]]*(1+_xlfn.XLOOKUP(Table1[[#This Row], [DISGUISE]],Sheet1!$A$21:$A$23,Sheet1!$C$21:$C$23))</f>
        <v>10400</v>
      </c>
      <c r="H1135" s="13" t="s">
        <v>59</v>
      </c>
      <c r="I1135" s="4">
        <f>_xlfn.XLOOKUP(Table1[[#This Row], [WEAPON]],Sheet1!$A$27:$A$29,Sheet1!$B$27:$B$29)*Table1[[#This Row], [NUM OF MEM]]*(1+_xlfn.XLOOKUP(Table1[[#This Row], [WEAPON]],Sheet1!$A$27:$A$29,Sheet1!$C$27:$C$29))</f>
        <v>91000</v>
      </c>
      <c r="J1135" t="s">
        <v>64</v>
      </c>
      <c r="K1135" s="9">
        <f>Table1[[#This Row], [NUM OF MEM]]*Table1[[#This Row], [TOTAL TIME TAKEN]]*_xlfn.XLOOKUP(Table1[[#This Row], [EXIT]],Sheet1!$A$70:$A$71,Sheet1!$B$70:$B$71)*(1+_xlfn.XLOOKUP(Table1[[#This Row], [EXIT]],Sheet1!$A$70:$A$71,Sheet1!$C$70:$C$71))</f>
        <v>1693645.1999999995</v>
      </c>
      <c r="L1135" s="13" t="s">
        <v>65</v>
      </c>
      <c r="M1135" s="4">
        <f>IF(Table1[[#This Row], [EQUIPMENT]]="YES",Sheet1!$C$44*(1+Sheet1!$D$44),0)</f>
        <v>307500</v>
      </c>
      <c r="N1135" s="4">
        <f>_xlfn.XLOOKUP(Table1[[#This Row], [ROOM]],Sheet1!$A$47:$A$66,Sheet1!$F$47:$F$66)</f>
        <v>17550000</v>
      </c>
      <c r="O1135" s="9">
        <f>_xlfn.XLOOKUP(_xlfn.CONCAT(Table1[[#This Row], [TEAM]],Table1[[#This Row], [ROOM]]),'ROOM TIME'!$H$2:$H$121,'ROOM TIME'!$J$2:$J$121)</f>
        <v>59.591249999999981</v>
      </c>
      <c r="P1135" s="9">
        <f>(INDEX(Sheet1!$X$48:$Z$67,MATCH(Table1[[#This Row], [ROOM]],Sheet1!$P$48:$P$67,0),MATCH(Table1[[#This Row], [WEAPON]],Sheet1!$X$47:$Z$47,0)))/Table1[[#This Row], [NUM OF MEM]]</f>
        <v>5.75</v>
      </c>
      <c r="Q1135" s="9">
        <f>Table1[[#This Row], [ROOM TIME]]+Table1[[#This Row], [GUARD TIME]]</f>
        <v>65.341249999999974</v>
      </c>
      <c r="R1135" s="4">
        <f>Sheet1!$K$3*_xlfn.XLOOKUP(Table1[[#This Row], [DISGUISE]],Sheet1!$A$21:$A$23,Sheet1!$D$21:$D$23)</f>
        <v>66</v>
      </c>
      <c r="S1135" s="9">
        <f>Table1[[#This Row], [TOTAL TIME]]-Table1[[#This Row], [TOTAL TIME TAKEN]]</f>
        <v>0.65875000000002615</v>
      </c>
      <c r="T1135" t="str">
        <f>IF(Table1[[#This Row], [TIME DIFFERENCE]]&gt;=0,"PASS","FAIL")</f>
        <v>PASS</v>
      </c>
      <c r="U1135" s="9">
        <f>Table1[[#This Row], [TRC]]+Table1[[#This Row], [DRC]]+Table1[[#This Row], [WRC]]+Table1[[#This Row], [ERC]]+Table1[[#This Row], [EQRC]]</f>
        <v>8035495.1999999993</v>
      </c>
      <c r="V1135" s="9">
        <f>Table1[[#This Row], [TOTAL COST]]+_xlfn.XLOOKUP(Table1[[#This Row], [TEAM]],Sheet1!$A$12:$A$17,Sheet1!$I$12:$I$17)</f>
        <v>8332142.6999999993</v>
      </c>
      <c r="W1135" s="9">
        <f>Table1[[#This Row], [LOOT]]-Table1[[#This Row], [TOTAL COST]]</f>
        <v>9514504.8000000007</v>
      </c>
      <c r="X1135" s="9">
        <f>IF(Table1[[#This Row], [PASS/FAIL]]="FAIL",0,Table1[[#This Row], [PROFIT]])</f>
        <v>9514504.8000000007</v>
      </c>
    </row>
    <row r="1136" spans="1:24" ht="19.5" customHeight="1" x14ac:dyDescent="0.45">
      <c r="A1136" t="s">
        <v>13</v>
      </c>
      <c r="B1136" s="14">
        <f>_xlfn.XLOOKUP(Table1[[#This Row], [TEAM]],Sheet1!$A$12:$A$17,Sheet1!$F$12:$F$17)</f>
        <v>3</v>
      </c>
      <c r="C1136" s="14">
        <f>_xlfn.XLOOKUP(Table1[[#This Row], [TEAM]],Sheet1!$A$12:$A$17,Sheet1!$G$12:$G$17)</f>
        <v>5930000</v>
      </c>
      <c r="D1136" t="s">
        <v>23</v>
      </c>
      <c r="E1136" s="4">
        <f>_xlfn.XLOOKUP(Table1[[#This Row], [ROOM]],Sheet1!$A$47:$A$66,Sheet1!$B$47:$B$66)</f>
        <v>245</v>
      </c>
      <c r="F1136" t="s">
        <v>58</v>
      </c>
      <c r="G113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36" s="13" t="s">
        <v>59</v>
      </c>
      <c r="I1136" s="4">
        <f>_xlfn.XLOOKUP(Table1[[#This Row], [WEAPON]],Sheet1!$A$27:$A$29,Sheet1!$B$27:$B$29)*Table1[[#This Row], [NUM OF MEM]]*(1+_xlfn.XLOOKUP(Table1[[#This Row], [WEAPON]],Sheet1!$A$27:$A$29,Sheet1!$C$27:$C$29))</f>
        <v>136500</v>
      </c>
      <c r="J1136" t="s">
        <v>60</v>
      </c>
      <c r="K1136" s="9">
        <f>Table1[[#This Row], [NUM OF MEM]]*Table1[[#This Row], [TOTAL TIME TAKEN]]*_xlfn.XLOOKUP(Table1[[#This Row], [EXIT]],Sheet1!$A$70:$A$71,Sheet1!$B$70:$B$71)*(1+_xlfn.XLOOKUP(Table1[[#This Row], [EXIT]],Sheet1!$A$70:$A$71,Sheet1!$C$70:$C$71))</f>
        <v>1782241.7625</v>
      </c>
      <c r="L1136" s="13" t="s">
        <v>61</v>
      </c>
      <c r="M1136" s="4">
        <f>IF(Table1[[#This Row], [EQUIPMENT]]="YES",Sheet1!$C$44*(1+Sheet1!$D$44),0)</f>
        <v>0</v>
      </c>
      <c r="N1136" s="4">
        <f>_xlfn.XLOOKUP(Table1[[#This Row], [ROOM]],Sheet1!$A$47:$A$66,Sheet1!$F$47:$F$66)</f>
        <v>17400000</v>
      </c>
      <c r="O1136" s="9">
        <f>_xlfn.XLOOKUP(_xlfn.CONCAT(Table1[[#This Row], [TEAM]],Table1[[#This Row], [ROOM]]),'ROOM TIME'!$H$2:$H$121,'ROOM TIME'!$J$2:$J$121)</f>
        <v>42.078333333333326</v>
      </c>
      <c r="P1136" s="9">
        <f>(INDEX(Sheet1!$X$48:$Z$67,MATCH(Table1[[#This Row], [ROOM]],Sheet1!$P$48:$P$67,0),MATCH(Table1[[#This Row], [WEAPON]],Sheet1!$X$47:$Z$47,0)))/Table1[[#This Row], [NUM OF MEM]]</f>
        <v>4.2166666666666659</v>
      </c>
      <c r="Q1136" s="9">
        <f>Table1[[#This Row], [ROOM TIME]]+Table1[[#This Row], [GUARD TIME]]</f>
        <v>46.294999999999995</v>
      </c>
      <c r="R1136" s="4">
        <f>Sheet1!$K$3*_xlfn.XLOOKUP(Table1[[#This Row], [DISGUISE]],Sheet1!$A$21:$A$23,Sheet1!$D$21:$D$23)</f>
        <v>69</v>
      </c>
      <c r="S1136" s="9">
        <f>Table1[[#This Row], [TOTAL TIME]]-Table1[[#This Row], [TOTAL TIME TAKEN]]</f>
        <v>22.705000000000005</v>
      </c>
      <c r="T1136" t="str">
        <f>IF(Table1[[#This Row], [TIME DIFFERENCE]]&gt;=0,"PASS","FAIL")</f>
        <v>PASS</v>
      </c>
      <c r="U1136" s="9">
        <f>Table1[[#This Row], [TRC]]+Table1[[#This Row], [DRC]]+Table1[[#This Row], [WRC]]+Table1[[#This Row], [ERC]]+Table1[[#This Row], [EQRC]]</f>
        <v>7887141.7625000002</v>
      </c>
      <c r="V1136" s="9">
        <f>Table1[[#This Row], [TOTAL COST]]+_xlfn.XLOOKUP(Table1[[#This Row], [TEAM]],Sheet1!$A$12:$A$17,Sheet1!$I$12:$I$17)</f>
        <v>8183641.7625000002</v>
      </c>
      <c r="W1136" s="9">
        <f>Table1[[#This Row], [LOOT]]-Table1[[#This Row], [TOTAL COST]]</f>
        <v>9512858.2375000007</v>
      </c>
      <c r="X1136" s="9">
        <f>IF(Table1[[#This Row], [PASS/FAIL]]="FAIL",0,Table1[[#This Row], [PROFIT]])</f>
        <v>9512858.2375000007</v>
      </c>
    </row>
    <row r="1137" spans="1:24" ht="19.5" customHeight="1" x14ac:dyDescent="0.45">
      <c r="A1137" t="s">
        <v>13</v>
      </c>
      <c r="B1137" s="14">
        <f>_xlfn.XLOOKUP(Table1[[#This Row], [TEAM]],Sheet1!$A$12:$A$17,Sheet1!$F$12:$F$17)</f>
        <v>3</v>
      </c>
      <c r="C1137" s="14">
        <f>_xlfn.XLOOKUP(Table1[[#This Row], [TEAM]],Sheet1!$A$12:$A$17,Sheet1!$G$12:$G$17)</f>
        <v>5930000</v>
      </c>
      <c r="D1137" t="s">
        <v>17</v>
      </c>
      <c r="E1137" s="4">
        <f>_xlfn.XLOOKUP(Table1[[#This Row], [ROOM]],Sheet1!$A$47:$A$66,Sheet1!$B$47:$B$66)</f>
        <v>125</v>
      </c>
      <c r="F1137" t="s">
        <v>62</v>
      </c>
      <c r="G1137" s="4">
        <f>_xlfn.XLOOKUP(Table1[[#This Row], [DISGUISE]],Sheet1!$A$21:$A$23,Sheet1!$B$21:$B$23)*Table1[[#This Row], [NUM OF MEM]]*(1+_xlfn.XLOOKUP(Table1[[#This Row], [DISGUISE]],Sheet1!$A$21:$A$23,Sheet1!$C$21:$C$23))</f>
        <v>15600</v>
      </c>
      <c r="H1137" s="13" t="s">
        <v>66</v>
      </c>
      <c r="I1137" s="4">
        <f>_xlfn.XLOOKUP(Table1[[#This Row], [WEAPON]],Sheet1!$A$27:$A$29,Sheet1!$B$27:$B$29)*Table1[[#This Row], [NUM OF MEM]]*(1+_xlfn.XLOOKUP(Table1[[#This Row], [WEAPON]],Sheet1!$A$27:$A$29,Sheet1!$C$27:$C$29))</f>
        <v>108000</v>
      </c>
      <c r="J1137" t="s">
        <v>60</v>
      </c>
      <c r="K1137" s="9">
        <f>Table1[[#This Row], [NUM OF MEM]]*Table1[[#This Row], [TOTAL TIME TAKEN]]*_xlfn.XLOOKUP(Table1[[#This Row], [EXIT]],Sheet1!$A$70:$A$71,Sheet1!$B$70:$B$71)*(1+_xlfn.XLOOKUP(Table1[[#This Row], [EXIT]],Sheet1!$A$70:$A$71,Sheet1!$C$70:$C$71))</f>
        <v>1783738.8874999997</v>
      </c>
      <c r="L1137" s="13" t="s">
        <v>61</v>
      </c>
      <c r="M1137" s="4">
        <f>IF(Table1[[#This Row], [EQUIPMENT]]="YES",Sheet1!$C$44*(1+Sheet1!$D$44),0)</f>
        <v>0</v>
      </c>
      <c r="N1137" s="4">
        <f>_xlfn.XLOOKUP(Table1[[#This Row], [ROOM]],Sheet1!$A$47:$A$66,Sheet1!$F$47:$F$66)</f>
        <v>17350000</v>
      </c>
      <c r="O1137" s="9">
        <f>_xlfn.XLOOKUP(_xlfn.CONCAT(Table1[[#This Row], [TEAM]],Table1[[#This Row], [ROOM]]),'ROOM TIME'!$H$2:$H$121,'ROOM TIME'!$J$2:$J$121)</f>
        <v>42.167222222222215</v>
      </c>
      <c r="P1137" s="9">
        <f>(INDEX(Sheet1!$X$48:$Z$67,MATCH(Table1[[#This Row], [ROOM]],Sheet1!$P$48:$P$67,0),MATCH(Table1[[#This Row], [WEAPON]],Sheet1!$X$47:$Z$47,0)))/Table1[[#This Row], [NUM OF MEM]]</f>
        <v>4.166666666666667</v>
      </c>
      <c r="Q1137" s="9">
        <f>Table1[[#This Row], [ROOM TIME]]+Table1[[#This Row], [GUARD TIME]]</f>
        <v>46.333888888888879</v>
      </c>
      <c r="R1137" s="4">
        <f>Sheet1!$K$3*_xlfn.XLOOKUP(Table1[[#This Row], [DISGUISE]],Sheet1!$A$21:$A$23,Sheet1!$D$21:$D$23)</f>
        <v>66</v>
      </c>
      <c r="S1137" s="9">
        <f>Table1[[#This Row], [TOTAL TIME]]-Table1[[#This Row], [TOTAL TIME TAKEN]]</f>
        <v>19.666111111111121</v>
      </c>
      <c r="T1137" t="str">
        <f>IF(Table1[[#This Row], [TIME DIFFERENCE]]&gt;=0,"PASS","FAIL")</f>
        <v>PASS</v>
      </c>
      <c r="U1137" s="9">
        <f>Table1[[#This Row], [TRC]]+Table1[[#This Row], [DRC]]+Table1[[#This Row], [WRC]]+Table1[[#This Row], [ERC]]+Table1[[#This Row], [EQRC]]</f>
        <v>7837338.8874999993</v>
      </c>
      <c r="V1137" s="9">
        <f>Table1[[#This Row], [TOTAL COST]]+_xlfn.XLOOKUP(Table1[[#This Row], [TEAM]],Sheet1!$A$12:$A$17,Sheet1!$I$12:$I$17)</f>
        <v>8133838.8874999993</v>
      </c>
      <c r="W1137" s="9">
        <f>Table1[[#This Row], [LOOT]]-Table1[[#This Row], [TOTAL COST]]</f>
        <v>9512661.1125000007</v>
      </c>
      <c r="X1137" s="9">
        <f>IF(Table1[[#This Row], [PASS/FAIL]]="FAIL",0,Table1[[#This Row], [PROFIT]])</f>
        <v>9512661.1125000007</v>
      </c>
    </row>
    <row r="1138" spans="1:24" ht="19.5" customHeight="1" x14ac:dyDescent="0.45">
      <c r="A1138" t="s">
        <v>9</v>
      </c>
      <c r="B1138" s="14">
        <f>_xlfn.XLOOKUP(Table1[[#This Row], [TEAM]],Sheet1!$A$12:$A$17,Sheet1!$F$12:$F$17)</f>
        <v>3</v>
      </c>
      <c r="C1138" s="14">
        <f>_xlfn.XLOOKUP(Table1[[#This Row], [TEAM]],Sheet1!$A$12:$A$17,Sheet1!$G$12:$G$17)</f>
        <v>6238750</v>
      </c>
      <c r="D1138" t="s">
        <v>27</v>
      </c>
      <c r="E1138" s="4">
        <f>_xlfn.XLOOKUP(Table1[[#This Row], [ROOM]],Sheet1!$A$47:$A$66,Sheet1!$B$47:$B$66)</f>
        <v>146</v>
      </c>
      <c r="F1138" t="s">
        <v>58</v>
      </c>
      <c r="G113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38" s="13" t="s">
        <v>66</v>
      </c>
      <c r="I1138" s="4">
        <f>_xlfn.XLOOKUP(Table1[[#This Row], [WEAPON]],Sheet1!$A$27:$A$29,Sheet1!$B$27:$B$29)*Table1[[#This Row], [NUM OF MEM]]*(1+_xlfn.XLOOKUP(Table1[[#This Row], [WEAPON]],Sheet1!$A$27:$A$29,Sheet1!$C$27:$C$29))</f>
        <v>108000</v>
      </c>
      <c r="J1138" t="s">
        <v>60</v>
      </c>
      <c r="K1138" s="9">
        <f>Table1[[#This Row], [NUM OF MEM]]*Table1[[#This Row], [TOTAL TIME TAKEN]]*_xlfn.XLOOKUP(Table1[[#This Row], [EXIT]],Sheet1!$A$70:$A$71,Sheet1!$B$70:$B$71)*(1+_xlfn.XLOOKUP(Table1[[#This Row], [EXIT]],Sheet1!$A$70:$A$71,Sheet1!$C$70:$C$71))</f>
        <v>1545396.5874999997</v>
      </c>
      <c r="L1138" s="13" t="s">
        <v>65</v>
      </c>
      <c r="M1138" s="4">
        <f>IF(Table1[[#This Row], [EQUIPMENT]]="YES",Sheet1!$C$44*(1+Sheet1!$D$44),0)</f>
        <v>307500</v>
      </c>
      <c r="N1138" s="4">
        <f>_xlfn.XLOOKUP(Table1[[#This Row], [ROOM]],Sheet1!$A$47:$A$66,Sheet1!$F$47:$F$66)</f>
        <v>17750000</v>
      </c>
      <c r="O1138" s="9">
        <f>_xlfn.XLOOKUP(_xlfn.CONCAT(Table1[[#This Row], [TEAM]],Table1[[#This Row], [ROOM]]),'ROOM TIME'!$H$2:$H$121,'ROOM TIME'!$J$2:$J$121)</f>
        <v>35.559444444444431</v>
      </c>
      <c r="P1138" s="9">
        <f>(INDEX(Sheet1!$X$48:$Z$67,MATCH(Table1[[#This Row], [ROOM]],Sheet1!$P$48:$P$67,0),MATCH(Table1[[#This Row], [WEAPON]],Sheet1!$X$47:$Z$47,0)))/Table1[[#This Row], [NUM OF MEM]]</f>
        <v>4.583333333333333</v>
      </c>
      <c r="Q1138" s="9">
        <f>Table1[[#This Row], [ROOM TIME]]+Table1[[#This Row], [GUARD TIME]]</f>
        <v>40.142777777777766</v>
      </c>
      <c r="R1138" s="4">
        <f>Sheet1!$K$3*_xlfn.XLOOKUP(Table1[[#This Row], [DISGUISE]],Sheet1!$A$21:$A$23,Sheet1!$D$21:$D$23)</f>
        <v>69</v>
      </c>
      <c r="S1138" s="9">
        <f>Table1[[#This Row], [TOTAL TIME]]-Table1[[#This Row], [TOTAL TIME TAKEN]]</f>
        <v>28.857222222222234</v>
      </c>
      <c r="T1138" t="str">
        <f>IF(Table1[[#This Row], [TIME DIFFERENCE]]&gt;=0,"PASS","FAIL")</f>
        <v>PASS</v>
      </c>
      <c r="U1138" s="9">
        <f>Table1[[#This Row], [TRC]]+Table1[[#This Row], [DRC]]+Table1[[#This Row], [WRC]]+Table1[[#This Row], [ERC]]+Table1[[#This Row], [EQRC]]</f>
        <v>8238046.5874999994</v>
      </c>
      <c r="V1138" s="9">
        <f>Table1[[#This Row], [TOTAL COST]]+_xlfn.XLOOKUP(Table1[[#This Row], [TEAM]],Sheet1!$A$12:$A$17,Sheet1!$I$12:$I$17)</f>
        <v>8549984.0874999985</v>
      </c>
      <c r="W1138" s="9">
        <f>Table1[[#This Row], [LOOT]]-Table1[[#This Row], [TOTAL COST]]</f>
        <v>9511953.4125000015</v>
      </c>
      <c r="X1138" s="9">
        <f>IF(Table1[[#This Row], [PASS/FAIL]]="FAIL",0,Table1[[#This Row], [PROFIT]])</f>
        <v>9511953.4125000015</v>
      </c>
    </row>
    <row r="1139" spans="1:24" ht="19.5" customHeight="1" x14ac:dyDescent="0.45">
      <c r="A1139" t="s">
        <v>16</v>
      </c>
      <c r="B1139" s="14">
        <f>_xlfn.XLOOKUP(Table1[[#This Row], [TEAM]],Sheet1!$A$12:$A$17,Sheet1!$F$12:$F$17)</f>
        <v>2</v>
      </c>
      <c r="C1139" s="14">
        <f>_xlfn.XLOOKUP(Table1[[#This Row], [TEAM]],Sheet1!$A$12:$A$17,Sheet1!$G$12:$G$17)</f>
        <v>6082800</v>
      </c>
      <c r="D1139" t="s">
        <v>11</v>
      </c>
      <c r="E1139" s="4">
        <f>_xlfn.XLOOKUP(Table1[[#This Row], [ROOM]],Sheet1!$A$47:$A$66,Sheet1!$B$47:$B$66)</f>
        <v>124</v>
      </c>
      <c r="F1139" t="s">
        <v>58</v>
      </c>
      <c r="G1139" s="4">
        <f>_xlfn.XLOOKUP(Table1[[#This Row], [DISGUISE]],Sheet1!$A$21:$A$23,Sheet1!$B$21:$B$23)*Table1[[#This Row], [NUM OF MEM]]*(1+_xlfn.XLOOKUP(Table1[[#This Row], [DISGUISE]],Sheet1!$A$21:$A$23,Sheet1!$C$21:$C$23))</f>
        <v>25600</v>
      </c>
      <c r="H1139" s="13" t="s">
        <v>66</v>
      </c>
      <c r="I1139" s="4">
        <f>_xlfn.XLOOKUP(Table1[[#This Row], [WEAPON]],Sheet1!$A$27:$A$29,Sheet1!$B$27:$B$29)*Table1[[#This Row], [NUM OF MEM]]*(1+_xlfn.XLOOKUP(Table1[[#This Row], [WEAPON]],Sheet1!$A$27:$A$29,Sheet1!$C$27:$C$29))</f>
        <v>72000</v>
      </c>
      <c r="J1139" t="s">
        <v>60</v>
      </c>
      <c r="K1139" s="9">
        <f>Table1[[#This Row], [NUM OF MEM]]*Table1[[#This Row], [TOTAL TIME TAKEN]]*_xlfn.XLOOKUP(Table1[[#This Row], [EXIT]],Sheet1!$A$70:$A$71,Sheet1!$B$70:$B$71)*(1+_xlfn.XLOOKUP(Table1[[#This Row], [EXIT]],Sheet1!$A$70:$A$71,Sheet1!$C$70:$C$71))</f>
        <v>1757956.2562499996</v>
      </c>
      <c r="L1139" s="13" t="s">
        <v>61</v>
      </c>
      <c r="M1139" s="4">
        <f>IF(Table1[[#This Row], [EQUIPMENT]]="YES",Sheet1!$C$44*(1+Sheet1!$D$44),0)</f>
        <v>0</v>
      </c>
      <c r="N1139" s="4">
        <f>_xlfn.XLOOKUP(Table1[[#This Row], [ROOM]],Sheet1!$A$47:$A$66,Sheet1!$F$47:$F$66)</f>
        <v>17450000</v>
      </c>
      <c r="O1139" s="9">
        <f>_xlfn.XLOOKUP(_xlfn.CONCAT(Table1[[#This Row], [TEAM]],Table1[[#This Row], [ROOM]]),'ROOM TIME'!$H$2:$H$121,'ROOM TIME'!$J$2:$J$121)</f>
        <v>61.621249999999989</v>
      </c>
      <c r="P1139" s="9">
        <f>(INDEX(Sheet1!$X$48:$Z$67,MATCH(Table1[[#This Row], [ROOM]],Sheet1!$P$48:$P$67,0),MATCH(Table1[[#This Row], [WEAPON]],Sheet1!$X$47:$Z$47,0)))/Table1[[#This Row], [NUM OF MEM]]</f>
        <v>6.875</v>
      </c>
      <c r="Q1139" s="9">
        <f>Table1[[#This Row], [ROOM TIME]]+Table1[[#This Row], [GUARD TIME]]</f>
        <v>68.496249999999989</v>
      </c>
      <c r="R1139" s="4">
        <f>Sheet1!$K$3*_xlfn.XLOOKUP(Table1[[#This Row], [DISGUISE]],Sheet1!$A$21:$A$23,Sheet1!$D$21:$D$23)</f>
        <v>69</v>
      </c>
      <c r="S1139" s="9">
        <f>Table1[[#This Row], [TOTAL TIME]]-Table1[[#This Row], [TOTAL TIME TAKEN]]</f>
        <v>0.5037500000000108</v>
      </c>
      <c r="T1139" t="str">
        <f>IF(Table1[[#This Row], [TIME DIFFERENCE]]&gt;=0,"PASS","FAIL")</f>
        <v>PASS</v>
      </c>
      <c r="U1139" s="9">
        <f>Table1[[#This Row], [TRC]]+Table1[[#This Row], [DRC]]+Table1[[#This Row], [WRC]]+Table1[[#This Row], [ERC]]+Table1[[#This Row], [EQRC]]</f>
        <v>7938356.2562499996</v>
      </c>
      <c r="V1139" s="9">
        <f>Table1[[#This Row], [TOTAL COST]]+_xlfn.XLOOKUP(Table1[[#This Row], [TEAM]],Sheet1!$A$12:$A$17,Sheet1!$I$12:$I$17)</f>
        <v>8242496.2562499996</v>
      </c>
      <c r="W1139" s="9">
        <f>Table1[[#This Row], [LOOT]]-Table1[[#This Row], [TOTAL COST]]</f>
        <v>9511643.7437500004</v>
      </c>
      <c r="X1139" s="9">
        <f>IF(Table1[[#This Row], [PASS/FAIL]]="FAIL",0,Table1[[#This Row], [PROFIT]])</f>
        <v>9511643.7437500004</v>
      </c>
    </row>
    <row r="1140" spans="1:24" ht="19.5" customHeight="1" x14ac:dyDescent="0.45">
      <c r="A1140" t="s">
        <v>12</v>
      </c>
      <c r="B1140" s="14">
        <f>_xlfn.XLOOKUP(Table1[[#This Row], [TEAM]],Sheet1!$A$12:$A$17,Sheet1!$F$12:$F$17)</f>
        <v>3</v>
      </c>
      <c r="C1140" s="14">
        <f>_xlfn.XLOOKUP(Table1[[#This Row], [TEAM]],Sheet1!$A$12:$A$17,Sheet1!$G$12:$G$17)</f>
        <v>5988750</v>
      </c>
      <c r="D1140" t="s">
        <v>30</v>
      </c>
      <c r="E1140" s="4">
        <f>_xlfn.XLOOKUP(Table1[[#This Row], [ROOM]],Sheet1!$A$47:$A$66,Sheet1!$B$47:$B$66)</f>
        <v>246</v>
      </c>
      <c r="F1140" t="s">
        <v>62</v>
      </c>
      <c r="G1140" s="4">
        <f>_xlfn.XLOOKUP(Table1[[#This Row], [DISGUISE]],Sheet1!$A$21:$A$23,Sheet1!$B$21:$B$23)*Table1[[#This Row], [NUM OF MEM]]*(1+_xlfn.XLOOKUP(Table1[[#This Row], [DISGUISE]],Sheet1!$A$21:$A$23,Sheet1!$C$21:$C$23))</f>
        <v>15600</v>
      </c>
      <c r="H1140" s="13" t="s">
        <v>59</v>
      </c>
      <c r="I1140" s="4">
        <f>_xlfn.XLOOKUP(Table1[[#This Row], [WEAPON]],Sheet1!$A$27:$A$29,Sheet1!$B$27:$B$29)*Table1[[#This Row], [NUM OF MEM]]*(1+_xlfn.XLOOKUP(Table1[[#This Row], [WEAPON]],Sheet1!$A$27:$A$29,Sheet1!$C$27:$C$29))</f>
        <v>136500</v>
      </c>
      <c r="J1140" t="s">
        <v>64</v>
      </c>
      <c r="K1140" s="9">
        <f>Table1[[#This Row], [NUM OF MEM]]*Table1[[#This Row], [TOTAL TIME TAKEN]]*_xlfn.XLOOKUP(Table1[[#This Row], [EXIT]],Sheet1!$A$70:$A$71,Sheet1!$B$70:$B$71)*(1+_xlfn.XLOOKUP(Table1[[#This Row], [EXIT]],Sheet1!$A$70:$A$71,Sheet1!$C$70:$C$71))</f>
        <v>1640044.7999999993</v>
      </c>
      <c r="L1140" s="13" t="s">
        <v>65</v>
      </c>
      <c r="M1140" s="4">
        <f>IF(Table1[[#This Row], [EQUIPMENT]]="YES",Sheet1!$C$44*(1+Sheet1!$D$44),0)</f>
        <v>307500</v>
      </c>
      <c r="N1140" s="4">
        <f>_xlfn.XLOOKUP(Table1[[#This Row], [ROOM]],Sheet1!$A$47:$A$66,Sheet1!$F$47:$F$66)</f>
        <v>17600000</v>
      </c>
      <c r="O1140" s="9">
        <f>_xlfn.XLOOKUP(_xlfn.CONCAT(Table1[[#This Row], [TEAM]],Table1[[#This Row], [ROOM]]),'ROOM TIME'!$H$2:$H$121,'ROOM TIME'!$J$2:$J$121)</f>
        <v>37.582222222222207</v>
      </c>
      <c r="P1140" s="9">
        <f>(INDEX(Sheet1!$X$48:$Z$67,MATCH(Table1[[#This Row], [ROOM]],Sheet1!$P$48:$P$67,0),MATCH(Table1[[#This Row], [WEAPON]],Sheet1!$X$47:$Z$47,0)))/Table1[[#This Row], [NUM OF MEM]]</f>
        <v>4.5999999999999996</v>
      </c>
      <c r="Q1140" s="9">
        <f>Table1[[#This Row], [ROOM TIME]]+Table1[[#This Row], [GUARD TIME]]</f>
        <v>42.182222222222208</v>
      </c>
      <c r="R1140" s="4">
        <f>Sheet1!$K$3*_xlfn.XLOOKUP(Table1[[#This Row], [DISGUISE]],Sheet1!$A$21:$A$23,Sheet1!$D$21:$D$23)</f>
        <v>66</v>
      </c>
      <c r="S1140" s="9">
        <f>Table1[[#This Row], [TOTAL TIME]]-Table1[[#This Row], [TOTAL TIME TAKEN]]</f>
        <v>23.817777777777792</v>
      </c>
      <c r="T1140" t="str">
        <f>IF(Table1[[#This Row], [TIME DIFFERENCE]]&gt;=0,"PASS","FAIL")</f>
        <v>PASS</v>
      </c>
      <c r="U1140" s="9">
        <f>Table1[[#This Row], [TRC]]+Table1[[#This Row], [DRC]]+Table1[[#This Row], [WRC]]+Table1[[#This Row], [ERC]]+Table1[[#This Row], [EQRC]]</f>
        <v>8088394.7999999989</v>
      </c>
      <c r="V1140" s="9">
        <f>Table1[[#This Row], [TOTAL COST]]+_xlfn.XLOOKUP(Table1[[#This Row], [TEAM]],Sheet1!$A$12:$A$17,Sheet1!$I$12:$I$17)</f>
        <v>8387832.2999999989</v>
      </c>
      <c r="W1140" s="9">
        <f>Table1[[#This Row], [LOOT]]-Table1[[#This Row], [TOTAL COST]]</f>
        <v>9511605.2000000011</v>
      </c>
      <c r="X1140" s="9">
        <f>IF(Table1[[#This Row], [PASS/FAIL]]="FAIL",0,Table1[[#This Row], [PROFIT]])</f>
        <v>9511605.2000000011</v>
      </c>
    </row>
    <row r="1141" spans="1:24" ht="19.5" customHeight="1" x14ac:dyDescent="0.45">
      <c r="A1141" t="s">
        <v>13</v>
      </c>
      <c r="B1141" s="14">
        <f>_xlfn.XLOOKUP(Table1[[#This Row], [TEAM]],Sheet1!$A$12:$A$17,Sheet1!$F$12:$F$17)</f>
        <v>3</v>
      </c>
      <c r="C1141" s="14">
        <f>_xlfn.XLOOKUP(Table1[[#This Row], [TEAM]],Sheet1!$A$12:$A$17,Sheet1!$G$12:$G$17)</f>
        <v>5930000</v>
      </c>
      <c r="D1141" t="s">
        <v>25</v>
      </c>
      <c r="E1141" s="4">
        <f>_xlfn.XLOOKUP(Table1[[#This Row], [ROOM]],Sheet1!$A$47:$A$66,Sheet1!$B$47:$B$66)</f>
        <v>126</v>
      </c>
      <c r="F1141" t="s">
        <v>62</v>
      </c>
      <c r="G114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41" s="13" t="s">
        <v>63</v>
      </c>
      <c r="I1141" s="4">
        <f>_xlfn.XLOOKUP(Table1[[#This Row], [WEAPON]],Sheet1!$A$27:$A$29,Sheet1!$B$27:$B$29)*Table1[[#This Row], [NUM OF MEM]]*(1+_xlfn.XLOOKUP(Table1[[#This Row], [WEAPON]],Sheet1!$A$27:$A$29,Sheet1!$C$27:$C$29))</f>
        <v>69000</v>
      </c>
      <c r="J1141" t="s">
        <v>60</v>
      </c>
      <c r="K1141" s="9">
        <f>Table1[[#This Row], [NUM OF MEM]]*Table1[[#This Row], [TOTAL TIME TAKEN]]*_xlfn.XLOOKUP(Table1[[#This Row], [EXIT]],Sheet1!$A$70:$A$71,Sheet1!$B$70:$B$71)*(1+_xlfn.XLOOKUP(Table1[[#This Row], [EXIT]],Sheet1!$A$70:$A$71,Sheet1!$C$70:$C$71))</f>
        <v>1716624.9124999996</v>
      </c>
      <c r="L1141" s="13" t="s">
        <v>65</v>
      </c>
      <c r="M1141" s="4">
        <f>IF(Table1[[#This Row], [EQUIPMENT]]="YES",Sheet1!$C$44*(1+Sheet1!$D$44),0)</f>
        <v>307500</v>
      </c>
      <c r="N1141" s="4">
        <f>_xlfn.XLOOKUP(Table1[[#This Row], [ROOM]],Sheet1!$A$47:$A$66,Sheet1!$F$47:$F$66)</f>
        <v>17550000</v>
      </c>
      <c r="O1141" s="9">
        <f>_xlfn.XLOOKUP(_xlfn.CONCAT(Table1[[#This Row], [TEAM]],Table1[[#This Row], [ROOM]]),'ROOM TIME'!$H$2:$H$121,'ROOM TIME'!$J$2:$J$121)</f>
        <v>39.640555555555544</v>
      </c>
      <c r="P1141" s="9">
        <f>(INDEX(Sheet1!$X$48:$Z$67,MATCH(Table1[[#This Row], [ROOM]],Sheet1!$P$48:$P$67,0),MATCH(Table1[[#This Row], [WEAPON]],Sheet1!$X$47:$Z$47,0)))/Table1[[#This Row], [NUM OF MEM]]</f>
        <v>4.95</v>
      </c>
      <c r="Q1141" s="9">
        <f>Table1[[#This Row], [ROOM TIME]]+Table1[[#This Row], [GUARD TIME]]</f>
        <v>44.590555555555547</v>
      </c>
      <c r="R1141" s="4">
        <f>Sheet1!$K$3*_xlfn.XLOOKUP(Table1[[#This Row], [DISGUISE]],Sheet1!$A$21:$A$23,Sheet1!$D$21:$D$23)</f>
        <v>66</v>
      </c>
      <c r="S1141" s="9">
        <f>Table1[[#This Row], [TOTAL TIME]]-Table1[[#This Row], [TOTAL TIME TAKEN]]</f>
        <v>21.409444444444453</v>
      </c>
      <c r="T1141" t="str">
        <f>IF(Table1[[#This Row], [TIME DIFFERENCE]]&gt;=0,"PASS","FAIL")</f>
        <v>PASS</v>
      </c>
      <c r="U1141" s="9">
        <f>Table1[[#This Row], [TRC]]+Table1[[#This Row], [DRC]]+Table1[[#This Row], [WRC]]+Table1[[#This Row], [ERC]]+Table1[[#This Row], [EQRC]]</f>
        <v>8038724.9124999996</v>
      </c>
      <c r="V1141" s="9">
        <f>Table1[[#This Row], [TOTAL COST]]+_xlfn.XLOOKUP(Table1[[#This Row], [TEAM]],Sheet1!$A$12:$A$17,Sheet1!$I$12:$I$17)</f>
        <v>8335224.9124999996</v>
      </c>
      <c r="W1141" s="9">
        <f>Table1[[#This Row], [LOOT]]-Table1[[#This Row], [TOTAL COST]]</f>
        <v>9511275.0875000004</v>
      </c>
      <c r="X1141" s="9">
        <f>IF(Table1[[#This Row], [PASS/FAIL]]="FAIL",0,Table1[[#This Row], [PROFIT]])</f>
        <v>9511275.0875000004</v>
      </c>
    </row>
    <row r="1142" spans="1:24" ht="19.5" customHeight="1" x14ac:dyDescent="0.45">
      <c r="A1142" t="s">
        <v>14</v>
      </c>
      <c r="B1142" s="14">
        <f>_xlfn.XLOOKUP(Table1[[#This Row], [TEAM]],Sheet1!$A$12:$A$17,Sheet1!$F$12:$F$17)</f>
        <v>2</v>
      </c>
      <c r="C1142" s="14">
        <f>_xlfn.XLOOKUP(Table1[[#This Row], [TEAM]],Sheet1!$A$12:$A$17,Sheet1!$G$12:$G$17)</f>
        <v>5949600</v>
      </c>
      <c r="D1142" t="s">
        <v>20</v>
      </c>
      <c r="E1142" s="4">
        <f>_xlfn.XLOOKUP(Table1[[#This Row], [ROOM]],Sheet1!$A$47:$A$66,Sheet1!$B$47:$B$66)</f>
        <v>145</v>
      </c>
      <c r="F1142" t="s">
        <v>58</v>
      </c>
      <c r="G1142" s="4">
        <f>_xlfn.XLOOKUP(Table1[[#This Row], [DISGUISE]],Sheet1!$A$21:$A$23,Sheet1!$B$21:$B$23)*Table1[[#This Row], [NUM OF MEM]]*(1+_xlfn.XLOOKUP(Table1[[#This Row], [DISGUISE]],Sheet1!$A$21:$A$23,Sheet1!$C$21:$C$23))</f>
        <v>25600</v>
      </c>
      <c r="H1142" s="13" t="s">
        <v>63</v>
      </c>
      <c r="I1142" s="4">
        <f>_xlfn.XLOOKUP(Table1[[#This Row], [WEAPON]],Sheet1!$A$27:$A$29,Sheet1!$B$27:$B$29)*Table1[[#This Row], [NUM OF MEM]]*(1+_xlfn.XLOOKUP(Table1[[#This Row], [WEAPON]],Sheet1!$A$27:$A$29,Sheet1!$C$27:$C$29))</f>
        <v>46000</v>
      </c>
      <c r="J1142" t="s">
        <v>60</v>
      </c>
      <c r="K1142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1710315.5999999996</v>
      </c>
      <c r="L1142" s="13" t="s">
        <v>65</v>
      </c>
      <c r="M1142" s="4">
        <f>IF(Table1[[#This Row], [EQUIPMENT]]="YES",Sheet1!$C$44*(1+Sheet1!$D$44),0)</f>
        <v>307500</v>
      </c>
      <c r="N1142" s="4">
        <f>_xlfn.XLOOKUP(Table1[[#This Row], [ROOM]],Sheet1!$A$47:$A$66,Sheet1!$F$47:$F$66)</f>
        <v>17550000</v>
      </c>
      <c r="O1142" s="9">
        <f>_xlfn.XLOOKUP(_xlfn.CONCAT(Table1[[#This Row], [TEAM]],Table1[[#This Row], [ROOM]]),'ROOM TIME'!$H$2:$H$121,'ROOM TIME'!$J$2:$J$121)</f>
        <v>59.889999999999986</v>
      </c>
      <c r="P1142" s="9">
        <f>(INDEX(Sheet1!$X$48:$Z$67,MATCH(Table1[[#This Row], [ROOM]],Sheet1!$P$48:$P$67,0),MATCH(Table1[[#This Row], [WEAPON]],Sheet1!$X$47:$Z$47,0)))/Table1[[#This Row], [NUM OF MEM]]</f>
        <v>6.75</v>
      </c>
      <c r="Q1142" s="9">
        <f>Table1[[#This Row], [ROOM TIME]]+Table1[[#This Row], [GUARD TIME]]</f>
        <v>66.639999999999986</v>
      </c>
      <c r="R1142" s="4">
        <f>Sheet1!$K$3*_xlfn.XLOOKUP(Table1[[#This Row], [DISGUISE]],Sheet1!$A$21:$A$23,Sheet1!$D$21:$D$23)</f>
        <v>69</v>
      </c>
      <c r="S1142" s="9">
        <f>Table1[[#This Row], [TOTAL TIME]]-Table1[[#This Row], [TOTAL TIME TAKEN]]</f>
        <v>2.3600000000000136</v>
      </c>
      <c r="T1142" t="str">
        <f>IF(Table1[[#This Row], [TIME DIFFERENCE]]&gt;=0,"PASS","FAIL")</f>
        <v>PASS</v>
      </c>
      <c r="U1142" s="9">
        <f>Table1[[#This Row], [TRC]]+Table1[[#This Row], [DRC]]+Table1[[#This Row], [WRC]]+Table1[[#This Row], [ERC]]+Table1[[#This Row], [EQRC]]</f>
        <v>8039015.5999999996</v>
      </c>
      <c r="V1142" s="9">
        <f>Table1[[#This Row], [TOTAL COST]]+_xlfn.XLOOKUP(Table1[[#This Row], [TEAM]],Sheet1!$A$12:$A$17,Sheet1!$I$12:$I$17)</f>
        <v>8336495.5999999996</v>
      </c>
      <c r="W1142" s="9">
        <f>Table1[[#This Row], [LOOT]]-Table1[[#This Row], [TOTAL COST]]</f>
        <v>9510984.4000000004</v>
      </c>
      <c r="X1142" s="9">
        <f>IF(Table1[[#This Row], [PASS/FAIL]]="FAIL",0,Table1[[#This Row], [PROFIT]])</f>
        <v>9510984.4000000004</v>
      </c>
    </row>
    <row r="1143" spans="1:24" ht="19.5" customHeight="1" x14ac:dyDescent="0.45">
      <c r="A1143" t="s">
        <v>13</v>
      </c>
      <c r="B1143" s="14">
        <f>_xlfn.XLOOKUP(Table1[[#This Row], [TEAM]],Sheet1!$A$12:$A$17,Sheet1!$F$12:$F$17)</f>
        <v>3</v>
      </c>
      <c r="C1143" s="14">
        <f>_xlfn.XLOOKUP(Table1[[#This Row], [TEAM]],Sheet1!$A$12:$A$17,Sheet1!$G$12:$G$17)</f>
        <v>5930000</v>
      </c>
      <c r="D1143" t="s">
        <v>30</v>
      </c>
      <c r="E1143" s="4">
        <f>_xlfn.XLOOKUP(Table1[[#This Row], [ROOM]],Sheet1!$A$47:$A$66,Sheet1!$B$47:$B$66)</f>
        <v>246</v>
      </c>
      <c r="F1143" t="s">
        <v>62</v>
      </c>
      <c r="G114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43" s="13" t="s">
        <v>59</v>
      </c>
      <c r="I1143" s="4">
        <f>_xlfn.XLOOKUP(Table1[[#This Row], [WEAPON]],Sheet1!$A$27:$A$29,Sheet1!$B$27:$B$29)*Table1[[#This Row], [NUM OF MEM]]*(1+_xlfn.XLOOKUP(Table1[[#This Row], [WEAPON]],Sheet1!$A$27:$A$29,Sheet1!$C$27:$C$29))</f>
        <v>136500</v>
      </c>
      <c r="J1143" t="s">
        <v>60</v>
      </c>
      <c r="K1143" s="9">
        <f>Table1[[#This Row], [NUM OF MEM]]*Table1[[#This Row], [TOTAL TIME TAKEN]]*_xlfn.XLOOKUP(Table1[[#This Row], [EXIT]],Sheet1!$A$70:$A$71,Sheet1!$B$70:$B$71)*(1+_xlfn.XLOOKUP(Table1[[#This Row], [EXIT]],Sheet1!$A$70:$A$71,Sheet1!$C$70:$C$71))</f>
        <v>1699728.7874999996</v>
      </c>
      <c r="L1143" s="13" t="s">
        <v>65</v>
      </c>
      <c r="M1143" s="4">
        <f>IF(Table1[[#This Row], [EQUIPMENT]]="YES",Sheet1!$C$44*(1+Sheet1!$D$44),0)</f>
        <v>307500</v>
      </c>
      <c r="N1143" s="4">
        <f>_xlfn.XLOOKUP(Table1[[#This Row], [ROOM]],Sheet1!$A$47:$A$66,Sheet1!$F$47:$F$66)</f>
        <v>17600000</v>
      </c>
      <c r="O1143" s="9">
        <f>_xlfn.XLOOKUP(_xlfn.CONCAT(Table1[[#This Row], [TEAM]],Table1[[#This Row], [ROOM]]),'ROOM TIME'!$H$2:$H$121,'ROOM TIME'!$J$2:$J$121)</f>
        <v>39.551666666666655</v>
      </c>
      <c r="P1143" s="9">
        <f>(INDEX(Sheet1!$X$48:$Z$67,MATCH(Table1[[#This Row], [ROOM]],Sheet1!$P$48:$P$67,0),MATCH(Table1[[#This Row], [WEAPON]],Sheet1!$X$47:$Z$47,0)))/Table1[[#This Row], [NUM OF MEM]]</f>
        <v>4.5999999999999996</v>
      </c>
      <c r="Q1143" s="9">
        <f>Table1[[#This Row], [ROOM TIME]]+Table1[[#This Row], [GUARD TIME]]</f>
        <v>44.151666666666657</v>
      </c>
      <c r="R1143" s="4">
        <f>Sheet1!$K$3*_xlfn.XLOOKUP(Table1[[#This Row], [DISGUISE]],Sheet1!$A$21:$A$23,Sheet1!$D$21:$D$23)</f>
        <v>66</v>
      </c>
      <c r="S1143" s="9">
        <f>Table1[[#This Row], [TOTAL TIME]]-Table1[[#This Row], [TOTAL TIME TAKEN]]</f>
        <v>21.848333333333343</v>
      </c>
      <c r="T1143" t="str">
        <f>IF(Table1[[#This Row], [TIME DIFFERENCE]]&gt;=0,"PASS","FAIL")</f>
        <v>PASS</v>
      </c>
      <c r="U1143" s="9">
        <f>Table1[[#This Row], [TRC]]+Table1[[#This Row], [DRC]]+Table1[[#This Row], [WRC]]+Table1[[#This Row], [ERC]]+Table1[[#This Row], [EQRC]]</f>
        <v>8089328.7874999996</v>
      </c>
      <c r="V1143" s="9">
        <f>Table1[[#This Row], [TOTAL COST]]+_xlfn.XLOOKUP(Table1[[#This Row], [TEAM]],Sheet1!$A$12:$A$17,Sheet1!$I$12:$I$17)</f>
        <v>8385828.7874999996</v>
      </c>
      <c r="W1143" s="9">
        <f>Table1[[#This Row], [LOOT]]-Table1[[#This Row], [TOTAL COST]]</f>
        <v>9510671.2125000004</v>
      </c>
      <c r="X1143" s="9">
        <f>IF(Table1[[#This Row], [PASS/FAIL]]="FAIL",0,Table1[[#This Row], [PROFIT]])</f>
        <v>9510671.2125000004</v>
      </c>
    </row>
    <row r="1144" spans="1:24" ht="19.5" customHeight="1" x14ac:dyDescent="0.45">
      <c r="A1144" t="s">
        <v>12</v>
      </c>
      <c r="B1144" s="14">
        <f>_xlfn.XLOOKUP(Table1[[#This Row], [TEAM]],Sheet1!$A$12:$A$17,Sheet1!$F$12:$F$17)</f>
        <v>3</v>
      </c>
      <c r="C1144" s="14">
        <f>_xlfn.XLOOKUP(Table1[[#This Row], [TEAM]],Sheet1!$A$12:$A$17,Sheet1!$G$12:$G$17)</f>
        <v>5988750</v>
      </c>
      <c r="D1144" t="s">
        <v>17</v>
      </c>
      <c r="E1144" s="4">
        <f>_xlfn.XLOOKUP(Table1[[#This Row], [ROOM]],Sheet1!$A$47:$A$66,Sheet1!$B$47:$B$66)</f>
        <v>125</v>
      </c>
      <c r="F1144" t="s">
        <v>58</v>
      </c>
      <c r="G1144" s="4">
        <f>_xlfn.XLOOKUP(Table1[[#This Row], [DISGUISE]],Sheet1!$A$21:$A$23,Sheet1!$B$21:$B$23)*Table1[[#This Row], [NUM OF MEM]]*(1+_xlfn.XLOOKUP(Table1[[#This Row], [DISGUISE]],Sheet1!$A$21:$A$23,Sheet1!$C$21:$C$23))</f>
        <v>38400</v>
      </c>
      <c r="H1144" s="13" t="s">
        <v>66</v>
      </c>
      <c r="I1144" s="4">
        <f>_xlfn.XLOOKUP(Table1[[#This Row], [WEAPON]],Sheet1!$A$27:$A$29,Sheet1!$B$27:$B$29)*Table1[[#This Row], [NUM OF MEM]]*(1+_xlfn.XLOOKUP(Table1[[#This Row], [WEAPON]],Sheet1!$A$27:$A$29,Sheet1!$C$27:$C$29))</f>
        <v>108000</v>
      </c>
      <c r="J1144" t="s">
        <v>60</v>
      </c>
      <c r="K1144" s="9">
        <f>Table1[[#This Row], [NUM OF MEM]]*Table1[[#This Row], [TOTAL TIME TAKEN]]*_xlfn.XLOOKUP(Table1[[#This Row], [EXIT]],Sheet1!$A$70:$A$71,Sheet1!$B$70:$B$71)*(1+_xlfn.XLOOKUP(Table1[[#This Row], [EXIT]],Sheet1!$A$70:$A$71,Sheet1!$C$70:$C$71))</f>
        <v>1705396.4749999989</v>
      </c>
      <c r="L1144" s="13" t="s">
        <v>61</v>
      </c>
      <c r="M1144" s="4">
        <f>IF(Table1[[#This Row], [EQUIPMENT]]="YES",Sheet1!$C$44*(1+Sheet1!$D$44),0)</f>
        <v>0</v>
      </c>
      <c r="N1144" s="4">
        <f>_xlfn.XLOOKUP(Table1[[#This Row], [ROOM]],Sheet1!$A$47:$A$66,Sheet1!$F$47:$F$66)</f>
        <v>17350000</v>
      </c>
      <c r="O1144" s="9">
        <f>_xlfn.XLOOKUP(_xlfn.CONCAT(Table1[[#This Row], [TEAM]],Table1[[#This Row], [ROOM]]),'ROOM TIME'!$H$2:$H$121,'ROOM TIME'!$J$2:$J$121)</f>
        <v>40.132222222222204</v>
      </c>
      <c r="P1144" s="9">
        <f>(INDEX(Sheet1!$X$48:$Z$67,MATCH(Table1[[#This Row], [ROOM]],Sheet1!$P$48:$P$67,0),MATCH(Table1[[#This Row], [WEAPON]],Sheet1!$X$47:$Z$47,0)))/Table1[[#This Row], [NUM OF MEM]]</f>
        <v>4.166666666666667</v>
      </c>
      <c r="Q1144" s="9">
        <f>Table1[[#This Row], [ROOM TIME]]+Table1[[#This Row], [GUARD TIME]]</f>
        <v>44.298888888888868</v>
      </c>
      <c r="R1144" s="4">
        <f>Sheet1!$K$3*_xlfn.XLOOKUP(Table1[[#This Row], [DISGUISE]],Sheet1!$A$21:$A$23,Sheet1!$D$21:$D$23)</f>
        <v>69</v>
      </c>
      <c r="S1144" s="9">
        <f>Table1[[#This Row], [TOTAL TIME]]-Table1[[#This Row], [TOTAL TIME TAKEN]]</f>
        <v>24.701111111111132</v>
      </c>
      <c r="T1144" t="str">
        <f>IF(Table1[[#This Row], [TIME DIFFERENCE]]&gt;=0,"PASS","FAIL")</f>
        <v>PASS</v>
      </c>
      <c r="U1144" s="9">
        <f>Table1[[#This Row], [TRC]]+Table1[[#This Row], [DRC]]+Table1[[#This Row], [WRC]]+Table1[[#This Row], [ERC]]+Table1[[#This Row], [EQRC]]</f>
        <v>7840546.4749999987</v>
      </c>
      <c r="V1144" s="9">
        <f>Table1[[#This Row], [TOTAL COST]]+_xlfn.XLOOKUP(Table1[[#This Row], [TEAM]],Sheet1!$A$12:$A$17,Sheet1!$I$12:$I$17)</f>
        <v>8139983.9749999987</v>
      </c>
      <c r="W1144" s="9">
        <f>Table1[[#This Row], [LOOT]]-Table1[[#This Row], [TOTAL COST]]</f>
        <v>9509453.5250000022</v>
      </c>
      <c r="X1144" s="9">
        <f>IF(Table1[[#This Row], [PASS/FAIL]]="FAIL",0,Table1[[#This Row], [PROFIT]])</f>
        <v>9509453.5250000022</v>
      </c>
    </row>
    <row r="1145" spans="1:24" ht="19.5" customHeight="1" x14ac:dyDescent="0.45">
      <c r="A1145" t="s">
        <v>13</v>
      </c>
      <c r="B1145" s="14">
        <f>_xlfn.XLOOKUP(Table1[[#This Row], [TEAM]],Sheet1!$A$12:$A$17,Sheet1!$F$12:$F$17)</f>
        <v>3</v>
      </c>
      <c r="C1145" s="14">
        <f>_xlfn.XLOOKUP(Table1[[#This Row], [TEAM]],Sheet1!$A$12:$A$17,Sheet1!$G$12:$G$17)</f>
        <v>5930000</v>
      </c>
      <c r="D1145" t="s">
        <v>23</v>
      </c>
      <c r="E1145" s="4">
        <f>_xlfn.XLOOKUP(Table1[[#This Row], [ROOM]],Sheet1!$A$47:$A$66,Sheet1!$B$47:$B$66)</f>
        <v>245</v>
      </c>
      <c r="F1145" t="s">
        <v>58</v>
      </c>
      <c r="G1145" s="4">
        <f>_xlfn.XLOOKUP(Table1[[#This Row], [DISGUISE]],Sheet1!$A$21:$A$23,Sheet1!$B$21:$B$23)*Table1[[#This Row], [NUM OF MEM]]*(1+_xlfn.XLOOKUP(Table1[[#This Row], [DISGUISE]],Sheet1!$A$21:$A$23,Sheet1!$C$21:$C$23))</f>
        <v>38400</v>
      </c>
      <c r="H1145" s="13" t="s">
        <v>66</v>
      </c>
      <c r="I1145" s="4">
        <f>_xlfn.XLOOKUP(Table1[[#This Row], [WEAPON]],Sheet1!$A$27:$A$29,Sheet1!$B$27:$B$29)*Table1[[#This Row], [NUM OF MEM]]*(1+_xlfn.XLOOKUP(Table1[[#This Row], [WEAPON]],Sheet1!$A$27:$A$29,Sheet1!$C$27:$C$29))</f>
        <v>108000</v>
      </c>
      <c r="J1145" t="s">
        <v>64</v>
      </c>
      <c r="K1145" s="9">
        <f>Table1[[#This Row], [NUM OF MEM]]*Table1[[#This Row], [TOTAL TIME TAKEN]]*_xlfn.XLOOKUP(Table1[[#This Row], [EXIT]],Sheet1!$A$70:$A$71,Sheet1!$B$70:$B$71)*(1+_xlfn.XLOOKUP(Table1[[#This Row], [EXIT]],Sheet1!$A$70:$A$71,Sheet1!$C$70:$C$71))</f>
        <v>1814205.5999999996</v>
      </c>
      <c r="L1145" s="13" t="s">
        <v>61</v>
      </c>
      <c r="M1145" s="4">
        <f>IF(Table1[[#This Row], [EQUIPMENT]]="YES",Sheet1!$C$44*(1+Sheet1!$D$44),0)</f>
        <v>0</v>
      </c>
      <c r="N1145" s="4">
        <f>_xlfn.XLOOKUP(Table1[[#This Row], [ROOM]],Sheet1!$A$47:$A$66,Sheet1!$F$47:$F$66)</f>
        <v>17400000</v>
      </c>
      <c r="O1145" s="9">
        <f>_xlfn.XLOOKUP(_xlfn.CONCAT(Table1[[#This Row], [TEAM]],Table1[[#This Row], [ROOM]]),'ROOM TIME'!$H$2:$H$121,'ROOM TIME'!$J$2:$J$121)</f>
        <v>42.078333333333326</v>
      </c>
      <c r="P1145" s="9">
        <f>(INDEX(Sheet1!$X$48:$Z$67,MATCH(Table1[[#This Row], [ROOM]],Sheet1!$P$48:$P$67,0),MATCH(Table1[[#This Row], [WEAPON]],Sheet1!$X$47:$Z$47,0)))/Table1[[#This Row], [NUM OF MEM]]</f>
        <v>4.583333333333333</v>
      </c>
      <c r="Q1145" s="9">
        <f>Table1[[#This Row], [ROOM TIME]]+Table1[[#This Row], [GUARD TIME]]</f>
        <v>46.661666666666662</v>
      </c>
      <c r="R1145" s="4">
        <f>Sheet1!$K$3*_xlfn.XLOOKUP(Table1[[#This Row], [DISGUISE]],Sheet1!$A$21:$A$23,Sheet1!$D$21:$D$23)</f>
        <v>69</v>
      </c>
      <c r="S1145" s="9">
        <f>Table1[[#This Row], [TOTAL TIME]]-Table1[[#This Row], [TOTAL TIME TAKEN]]</f>
        <v>22.338333333333338</v>
      </c>
      <c r="T1145" t="str">
        <f>IF(Table1[[#This Row], [TIME DIFFERENCE]]&gt;=0,"PASS","FAIL")</f>
        <v>PASS</v>
      </c>
      <c r="U1145" s="9">
        <f>Table1[[#This Row], [TRC]]+Table1[[#This Row], [DRC]]+Table1[[#This Row], [WRC]]+Table1[[#This Row], [ERC]]+Table1[[#This Row], [EQRC]]</f>
        <v>7890605.5999999996</v>
      </c>
      <c r="V1145" s="9">
        <f>Table1[[#This Row], [TOTAL COST]]+_xlfn.XLOOKUP(Table1[[#This Row], [TEAM]],Sheet1!$A$12:$A$17,Sheet1!$I$12:$I$17)</f>
        <v>8187105.5999999996</v>
      </c>
      <c r="W1145" s="9">
        <f>Table1[[#This Row], [LOOT]]-Table1[[#This Row], [TOTAL COST]]</f>
        <v>9509394.4000000004</v>
      </c>
      <c r="X1145" s="9">
        <f>IF(Table1[[#This Row], [PASS/FAIL]]="FAIL",0,Table1[[#This Row], [PROFIT]])</f>
        <v>9509394.4000000004</v>
      </c>
    </row>
    <row r="1146" spans="1:24" ht="19.5" customHeight="1" x14ac:dyDescent="0.45">
      <c r="A1146" t="s">
        <v>14</v>
      </c>
      <c r="B1146" s="14">
        <f>_xlfn.XLOOKUP(Table1[[#This Row], [TEAM]],Sheet1!$A$12:$A$17,Sheet1!$F$12:$F$17)</f>
        <v>2</v>
      </c>
      <c r="C1146" s="14">
        <f>_xlfn.XLOOKUP(Table1[[#This Row], [TEAM]],Sheet1!$A$12:$A$17,Sheet1!$G$12:$G$17)</f>
        <v>5949600</v>
      </c>
      <c r="D1146" t="s">
        <v>31</v>
      </c>
      <c r="E1146" s="4">
        <f>_xlfn.XLOOKUP(Table1[[#This Row], [ROOM]],Sheet1!$A$47:$A$66,Sheet1!$B$47:$B$66)</f>
        <v>256</v>
      </c>
      <c r="F1146" t="s">
        <v>58</v>
      </c>
      <c r="G1146" s="4">
        <f>_xlfn.XLOOKUP(Table1[[#This Row], [DISGUISE]],Sheet1!$A$21:$A$23,Sheet1!$B$21:$B$23)*Table1[[#This Row], [NUM OF MEM]]*(1+_xlfn.XLOOKUP(Table1[[#This Row], [DISGUISE]],Sheet1!$A$21:$A$23,Sheet1!$C$21:$C$23))</f>
        <v>25600</v>
      </c>
      <c r="H1146" s="13" t="s">
        <v>66</v>
      </c>
      <c r="I1146" s="4">
        <f>_xlfn.XLOOKUP(Table1[[#This Row], [WEAPON]],Sheet1!$A$27:$A$29,Sheet1!$B$27:$B$29)*Table1[[#This Row], [NUM OF MEM]]*(1+_xlfn.XLOOKUP(Table1[[#This Row], [WEAPON]],Sheet1!$A$27:$A$29,Sheet1!$C$27:$C$29))</f>
        <v>72000</v>
      </c>
      <c r="J1146" t="s">
        <v>64</v>
      </c>
      <c r="K1146" s="9">
        <f>Table1[[#This Row], [NUM OF MEM]]*Table1[[#This Row], [TOTAL TIME TAKEN]]*_xlfn.XLOOKUP(Table1[[#This Row], [EXIT]],Sheet1!$A$70:$A$71,Sheet1!$B$70:$B$71)*(1+_xlfn.XLOOKUP(Table1[[#This Row], [EXIT]],Sheet1!$A$70:$A$71,Sheet1!$C$70:$C$71))</f>
        <v>1636329.5999999994</v>
      </c>
      <c r="L1146" s="13" t="s">
        <v>65</v>
      </c>
      <c r="M1146" s="4">
        <f>IF(Table1[[#This Row], [EQUIPMENT]]="YES",Sheet1!$C$44*(1+Sheet1!$D$44),0)</f>
        <v>307500</v>
      </c>
      <c r="N1146" s="4">
        <f>_xlfn.XLOOKUP(Table1[[#This Row], [ROOM]],Sheet1!$A$47:$A$66,Sheet1!$F$47:$F$66)</f>
        <v>17500000</v>
      </c>
      <c r="O1146" s="9">
        <f>_xlfn.XLOOKUP(_xlfn.CONCAT(Table1[[#This Row], [TEAM]],Table1[[#This Row], [ROOM]]),'ROOM TIME'!$H$2:$H$121,'ROOM TIME'!$J$2:$J$121)</f>
        <v>56.254999999999981</v>
      </c>
      <c r="P1146" s="9">
        <f>(INDEX(Sheet1!$X$48:$Z$67,MATCH(Table1[[#This Row], [ROOM]],Sheet1!$P$48:$P$67,0),MATCH(Table1[[#This Row], [WEAPON]],Sheet1!$X$47:$Z$47,0)))/Table1[[#This Row], [NUM OF MEM]]</f>
        <v>6.875</v>
      </c>
      <c r="Q1146" s="9">
        <f>Table1[[#This Row], [ROOM TIME]]+Table1[[#This Row], [GUARD TIME]]</f>
        <v>63.129999999999981</v>
      </c>
      <c r="R1146" s="4">
        <f>Sheet1!$K$3*_xlfn.XLOOKUP(Table1[[#This Row], [DISGUISE]],Sheet1!$A$21:$A$23,Sheet1!$D$21:$D$23)</f>
        <v>69</v>
      </c>
      <c r="S1146" s="9">
        <f>Table1[[#This Row], [TOTAL TIME]]-Table1[[#This Row], [TOTAL TIME TAKEN]]</f>
        <v>5.8700000000000188</v>
      </c>
      <c r="T1146" t="str">
        <f>IF(Table1[[#This Row], [TIME DIFFERENCE]]&gt;=0,"PASS","FAIL")</f>
        <v>PASS</v>
      </c>
      <c r="U1146" s="9">
        <f>Table1[[#This Row], [TRC]]+Table1[[#This Row], [DRC]]+Table1[[#This Row], [WRC]]+Table1[[#This Row], [ERC]]+Table1[[#This Row], [EQRC]]</f>
        <v>7991029.5999999996</v>
      </c>
      <c r="V1146" s="9">
        <f>Table1[[#This Row], [TOTAL COST]]+_xlfn.XLOOKUP(Table1[[#This Row], [TEAM]],Sheet1!$A$12:$A$17,Sheet1!$I$12:$I$17)</f>
        <v>8288509.5999999996</v>
      </c>
      <c r="W1146" s="9">
        <f>Table1[[#This Row], [LOOT]]-Table1[[#This Row], [TOTAL COST]]</f>
        <v>9508970.4000000004</v>
      </c>
      <c r="X1146" s="9">
        <f>IF(Table1[[#This Row], [PASS/FAIL]]="FAIL",0,Table1[[#This Row], [PROFIT]])</f>
        <v>9508970.4000000004</v>
      </c>
    </row>
    <row r="1147" spans="1:24" ht="19.5" customHeight="1" x14ac:dyDescent="0.45">
      <c r="A1147" t="s">
        <v>16</v>
      </c>
      <c r="B1147" s="14">
        <f>_xlfn.XLOOKUP(Table1[[#This Row], [TEAM]],Sheet1!$A$12:$A$17,Sheet1!$F$12:$F$17)</f>
        <v>2</v>
      </c>
      <c r="C1147" s="14">
        <f>_xlfn.XLOOKUP(Table1[[#This Row], [TEAM]],Sheet1!$A$12:$A$17,Sheet1!$G$12:$G$17)</f>
        <v>6082800</v>
      </c>
      <c r="D1147" t="s">
        <v>22</v>
      </c>
      <c r="E1147" s="4">
        <f>_xlfn.XLOOKUP(Table1[[#This Row], [ROOM]],Sheet1!$A$47:$A$66,Sheet1!$B$47:$B$66)</f>
        <v>235</v>
      </c>
      <c r="F1147" t="s">
        <v>58</v>
      </c>
      <c r="G114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47" s="13" t="s">
        <v>59</v>
      </c>
      <c r="I1147" s="4">
        <f>_xlfn.XLOOKUP(Table1[[#This Row], [WEAPON]],Sheet1!$A$27:$A$29,Sheet1!$B$27:$B$29)*Table1[[#This Row], [NUM OF MEM]]*(1+_xlfn.XLOOKUP(Table1[[#This Row], [WEAPON]],Sheet1!$A$27:$A$29,Sheet1!$C$27:$C$29))</f>
        <v>91000</v>
      </c>
      <c r="J1147" t="s">
        <v>64</v>
      </c>
      <c r="K1147" s="9">
        <f>Table1[[#This Row], [NUM OF MEM]]*Table1[[#This Row], [TOTAL TIME TAKEN]]*_xlfn.XLOOKUP(Table1[[#This Row], [EXIT]],Sheet1!$A$70:$A$71,Sheet1!$B$70:$B$71)*(1+_xlfn.XLOOKUP(Table1[[#This Row], [EXIT]],Sheet1!$A$70:$A$71,Sheet1!$C$70:$C$71))</f>
        <v>1785337.1999999995</v>
      </c>
      <c r="L1147" s="13" t="s">
        <v>65</v>
      </c>
      <c r="M1147" s="4">
        <f>IF(Table1[[#This Row], [EQUIPMENT]]="YES",Sheet1!$C$44*(1+Sheet1!$D$44),0)</f>
        <v>307500</v>
      </c>
      <c r="N1147" s="4">
        <f>_xlfn.XLOOKUP(Table1[[#This Row], [ROOM]],Sheet1!$A$47:$A$66,Sheet1!$F$47:$F$66)</f>
        <v>17800000</v>
      </c>
      <c r="O1147" s="9">
        <f>_xlfn.XLOOKUP(_xlfn.CONCAT(Table1[[#This Row], [TEAM]],Table1[[#This Row], [ROOM]]),'ROOM TIME'!$H$2:$H$121,'ROOM TIME'!$J$2:$J$121)</f>
        <v>61.978749999999984</v>
      </c>
      <c r="P1147" s="9">
        <f>(INDEX(Sheet1!$X$48:$Z$67,MATCH(Table1[[#This Row], [ROOM]],Sheet1!$P$48:$P$67,0),MATCH(Table1[[#This Row], [WEAPON]],Sheet1!$X$47:$Z$47,0)))/Table1[[#This Row], [NUM OF MEM]]</f>
        <v>6.8999999999999995</v>
      </c>
      <c r="Q1147" s="9">
        <f>Table1[[#This Row], [ROOM TIME]]+Table1[[#This Row], [GUARD TIME]]</f>
        <v>68.878749999999982</v>
      </c>
      <c r="R1147" s="4">
        <f>Sheet1!$K$3*_xlfn.XLOOKUP(Table1[[#This Row], [DISGUISE]],Sheet1!$A$21:$A$23,Sheet1!$D$21:$D$23)</f>
        <v>69</v>
      </c>
      <c r="S1147" s="9">
        <f>Table1[[#This Row], [TOTAL TIME]]-Table1[[#This Row], [TOTAL TIME TAKEN]]</f>
        <v>0.12125000000001762</v>
      </c>
      <c r="T1147" t="str">
        <f>IF(Table1[[#This Row], [TIME DIFFERENCE]]&gt;=0,"PASS","FAIL")</f>
        <v>PASS</v>
      </c>
      <c r="U1147" s="9">
        <f>Table1[[#This Row], [TRC]]+Table1[[#This Row], [DRC]]+Table1[[#This Row], [WRC]]+Table1[[#This Row], [ERC]]+Table1[[#This Row], [EQRC]]</f>
        <v>8292237.1999999993</v>
      </c>
      <c r="V1147" s="9">
        <f>Table1[[#This Row], [TOTAL COST]]+_xlfn.XLOOKUP(Table1[[#This Row], [TEAM]],Sheet1!$A$12:$A$17,Sheet1!$I$12:$I$17)</f>
        <v>8596377.1999999993</v>
      </c>
      <c r="W1147" s="9">
        <f>Table1[[#This Row], [LOOT]]-Table1[[#This Row], [TOTAL COST]]</f>
        <v>9507762.8000000007</v>
      </c>
      <c r="X1147" s="9">
        <f>IF(Table1[[#This Row], [PASS/FAIL]]="FAIL",0,Table1[[#This Row], [PROFIT]])</f>
        <v>9507762.8000000007</v>
      </c>
    </row>
    <row r="1148" spans="1:24" ht="19.5" customHeight="1" x14ac:dyDescent="0.45">
      <c r="A1148" t="s">
        <v>13</v>
      </c>
      <c r="B1148" s="14">
        <f>_xlfn.XLOOKUP(Table1[[#This Row], [TEAM]],Sheet1!$A$12:$A$17,Sheet1!$F$12:$F$17)</f>
        <v>3</v>
      </c>
      <c r="C1148" s="14">
        <f>_xlfn.XLOOKUP(Table1[[#This Row], [TEAM]],Sheet1!$A$12:$A$17,Sheet1!$G$12:$G$17)</f>
        <v>5930000</v>
      </c>
      <c r="D1148" t="s">
        <v>30</v>
      </c>
      <c r="E1148" s="4">
        <f>_xlfn.XLOOKUP(Table1[[#This Row], [ROOM]],Sheet1!$A$47:$A$66,Sheet1!$B$47:$B$66)</f>
        <v>246</v>
      </c>
      <c r="F1148" t="s">
        <v>58</v>
      </c>
      <c r="G114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48" s="13" t="s">
        <v>63</v>
      </c>
      <c r="I1148" s="4">
        <f>_xlfn.XLOOKUP(Table1[[#This Row], [WEAPON]],Sheet1!$A$27:$A$29,Sheet1!$B$27:$B$29)*Table1[[#This Row], [NUM OF MEM]]*(1+_xlfn.XLOOKUP(Table1[[#This Row], [WEAPON]],Sheet1!$A$27:$A$29,Sheet1!$C$27:$C$29))</f>
        <v>69000</v>
      </c>
      <c r="J1148" t="s">
        <v>64</v>
      </c>
      <c r="K1148" s="9">
        <f>Table1[[#This Row], [NUM OF MEM]]*Table1[[#This Row], [TOTAL TIME TAKEN]]*_xlfn.XLOOKUP(Table1[[#This Row], [EXIT]],Sheet1!$A$70:$A$71,Sheet1!$B$70:$B$71)*(1+_xlfn.XLOOKUP(Table1[[#This Row], [EXIT]],Sheet1!$A$70:$A$71,Sheet1!$C$70:$C$71))</f>
        <v>1747720.7999999993</v>
      </c>
      <c r="L1148" s="13" t="s">
        <v>65</v>
      </c>
      <c r="M1148" s="4">
        <f>IF(Table1[[#This Row], [EQUIPMENT]]="YES",Sheet1!$C$44*(1+Sheet1!$D$44),0)</f>
        <v>307500</v>
      </c>
      <c r="N1148" s="4">
        <f>_xlfn.XLOOKUP(Table1[[#This Row], [ROOM]],Sheet1!$A$47:$A$66,Sheet1!$F$47:$F$66)</f>
        <v>17600000</v>
      </c>
      <c r="O1148" s="9">
        <f>_xlfn.XLOOKUP(_xlfn.CONCAT(Table1[[#This Row], [TEAM]],Table1[[#This Row], [ROOM]]),'ROOM TIME'!$H$2:$H$121,'ROOM TIME'!$J$2:$J$121)</f>
        <v>39.551666666666655</v>
      </c>
      <c r="P1148" s="9">
        <f>(INDEX(Sheet1!$X$48:$Z$67,MATCH(Table1[[#This Row], [ROOM]],Sheet1!$P$48:$P$67,0),MATCH(Table1[[#This Row], [WEAPON]],Sheet1!$X$47:$Z$47,0)))/Table1[[#This Row], [NUM OF MEM]]</f>
        <v>5.4000000000000012</v>
      </c>
      <c r="Q1148" s="9">
        <f>Table1[[#This Row], [ROOM TIME]]+Table1[[#This Row], [GUARD TIME]]</f>
        <v>44.951666666666654</v>
      </c>
      <c r="R1148" s="4">
        <f>Sheet1!$K$3*_xlfn.XLOOKUP(Table1[[#This Row], [DISGUISE]],Sheet1!$A$21:$A$23,Sheet1!$D$21:$D$23)</f>
        <v>69</v>
      </c>
      <c r="S1148" s="9">
        <f>Table1[[#This Row], [TOTAL TIME]]-Table1[[#This Row], [TOTAL TIME TAKEN]]</f>
        <v>24.048333333333346</v>
      </c>
      <c r="T1148" t="str">
        <f>IF(Table1[[#This Row], [TIME DIFFERENCE]]&gt;=0,"PASS","FAIL")</f>
        <v>PASS</v>
      </c>
      <c r="U1148" s="9">
        <f>Table1[[#This Row], [TRC]]+Table1[[#This Row], [DRC]]+Table1[[#This Row], [WRC]]+Table1[[#This Row], [ERC]]+Table1[[#This Row], [EQRC]]</f>
        <v>8092620.7999999989</v>
      </c>
      <c r="V1148" s="9">
        <f>Table1[[#This Row], [TOTAL COST]]+_xlfn.XLOOKUP(Table1[[#This Row], [TEAM]],Sheet1!$A$12:$A$17,Sheet1!$I$12:$I$17)</f>
        <v>8389120.7999999989</v>
      </c>
      <c r="W1148" s="9">
        <f>Table1[[#This Row], [LOOT]]-Table1[[#This Row], [TOTAL COST]]</f>
        <v>9507379.2000000011</v>
      </c>
      <c r="X1148" s="9">
        <f>IF(Table1[[#This Row], [PASS/FAIL]]="FAIL",0,Table1[[#This Row], [PROFIT]])</f>
        <v>9507379.2000000011</v>
      </c>
    </row>
    <row r="1149" spans="1:24" ht="19.5" customHeight="1" x14ac:dyDescent="0.45">
      <c r="A1149" t="s">
        <v>12</v>
      </c>
      <c r="B1149" s="14">
        <f>_xlfn.XLOOKUP(Table1[[#This Row], [TEAM]],Sheet1!$A$12:$A$17,Sheet1!$F$12:$F$17)</f>
        <v>3</v>
      </c>
      <c r="C1149" s="14">
        <f>_xlfn.XLOOKUP(Table1[[#This Row], [TEAM]],Sheet1!$A$12:$A$17,Sheet1!$G$12:$G$17)</f>
        <v>5988750</v>
      </c>
      <c r="D1149" t="s">
        <v>25</v>
      </c>
      <c r="E1149" s="4">
        <f>_xlfn.XLOOKUP(Table1[[#This Row], [ROOM]],Sheet1!$A$47:$A$66,Sheet1!$B$47:$B$66)</f>
        <v>126</v>
      </c>
      <c r="F1149" t="s">
        <v>62</v>
      </c>
      <c r="G114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49" s="13" t="s">
        <v>63</v>
      </c>
      <c r="I1149" s="4">
        <f>_xlfn.XLOOKUP(Table1[[#This Row], [WEAPON]],Sheet1!$A$27:$A$29,Sheet1!$B$27:$B$29)*Table1[[#This Row], [NUM OF MEM]]*(1+_xlfn.XLOOKUP(Table1[[#This Row], [WEAPON]],Sheet1!$A$27:$A$29,Sheet1!$C$27:$C$29))</f>
        <v>69000</v>
      </c>
      <c r="J1149" t="s">
        <v>64</v>
      </c>
      <c r="K1149" s="9">
        <f>Table1[[#This Row], [NUM OF MEM]]*Table1[[#This Row], [TOTAL TIME TAKEN]]*_xlfn.XLOOKUP(Table1[[#This Row], [EXIT]],Sheet1!$A$70:$A$71,Sheet1!$B$70:$B$71)*(1+_xlfn.XLOOKUP(Table1[[#This Row], [EXIT]],Sheet1!$A$70:$A$71,Sheet1!$C$70:$C$71))</f>
        <v>1662163.199999999</v>
      </c>
      <c r="L1149" s="13" t="s">
        <v>65</v>
      </c>
      <c r="M1149" s="4">
        <f>IF(Table1[[#This Row], [EQUIPMENT]]="YES",Sheet1!$C$44*(1+Sheet1!$D$44),0)</f>
        <v>307500</v>
      </c>
      <c r="N1149" s="4">
        <f>_xlfn.XLOOKUP(Table1[[#This Row], [ROOM]],Sheet1!$A$47:$A$66,Sheet1!$F$47:$F$66)</f>
        <v>17550000</v>
      </c>
      <c r="O1149" s="9">
        <f>_xlfn.XLOOKUP(_xlfn.CONCAT(Table1[[#This Row], [TEAM]],Table1[[#This Row], [ROOM]]),'ROOM TIME'!$H$2:$H$121,'ROOM TIME'!$J$2:$J$121)</f>
        <v>37.801111111111091</v>
      </c>
      <c r="P1149" s="9">
        <f>(INDEX(Sheet1!$X$48:$Z$67,MATCH(Table1[[#This Row], [ROOM]],Sheet1!$P$48:$P$67,0),MATCH(Table1[[#This Row], [WEAPON]],Sheet1!$X$47:$Z$47,0)))/Table1[[#This Row], [NUM OF MEM]]</f>
        <v>4.95</v>
      </c>
      <c r="Q1149" s="9">
        <f>Table1[[#This Row], [ROOM TIME]]+Table1[[#This Row], [GUARD TIME]]</f>
        <v>42.751111111111094</v>
      </c>
      <c r="R1149" s="4">
        <f>Sheet1!$K$3*_xlfn.XLOOKUP(Table1[[#This Row], [DISGUISE]],Sheet1!$A$21:$A$23,Sheet1!$D$21:$D$23)</f>
        <v>66</v>
      </c>
      <c r="S1149" s="9">
        <f>Table1[[#This Row], [TOTAL TIME]]-Table1[[#This Row], [TOTAL TIME TAKEN]]</f>
        <v>23.248888888888906</v>
      </c>
      <c r="T1149" t="str">
        <f>IF(Table1[[#This Row], [TIME DIFFERENCE]]&gt;=0,"PASS","FAIL")</f>
        <v>PASS</v>
      </c>
      <c r="U1149" s="9">
        <f>Table1[[#This Row], [TRC]]+Table1[[#This Row], [DRC]]+Table1[[#This Row], [WRC]]+Table1[[#This Row], [ERC]]+Table1[[#This Row], [EQRC]]</f>
        <v>8043013.1999999993</v>
      </c>
      <c r="V1149" s="9">
        <f>Table1[[#This Row], [TOTAL COST]]+_xlfn.XLOOKUP(Table1[[#This Row], [TEAM]],Sheet1!$A$12:$A$17,Sheet1!$I$12:$I$17)</f>
        <v>8342450.6999999993</v>
      </c>
      <c r="W1149" s="9">
        <f>Table1[[#This Row], [LOOT]]-Table1[[#This Row], [TOTAL COST]]</f>
        <v>9506986.8000000007</v>
      </c>
      <c r="X1149" s="9">
        <f>IF(Table1[[#This Row], [PASS/FAIL]]="FAIL",0,Table1[[#This Row], [PROFIT]])</f>
        <v>9506986.8000000007</v>
      </c>
    </row>
    <row r="1150" spans="1:24" ht="19.5" customHeight="1" x14ac:dyDescent="0.45">
      <c r="A1150" t="s">
        <v>14</v>
      </c>
      <c r="B1150" s="14">
        <f>_xlfn.XLOOKUP(Table1[[#This Row], [TEAM]],Sheet1!$A$12:$A$17,Sheet1!$F$12:$F$17)</f>
        <v>2</v>
      </c>
      <c r="C1150" s="14">
        <f>_xlfn.XLOOKUP(Table1[[#This Row], [TEAM]],Sheet1!$A$12:$A$17,Sheet1!$G$12:$G$17)</f>
        <v>5949600</v>
      </c>
      <c r="D1150" t="s">
        <v>20</v>
      </c>
      <c r="E1150" s="4">
        <f>_xlfn.XLOOKUP(Table1[[#This Row], [ROOM]],Sheet1!$A$47:$A$66,Sheet1!$B$47:$B$66)</f>
        <v>145</v>
      </c>
      <c r="F1150" t="s">
        <v>62</v>
      </c>
      <c r="G1150" s="4">
        <f>_xlfn.XLOOKUP(Table1[[#This Row], [DISGUISE]],Sheet1!$A$21:$A$23,Sheet1!$B$21:$B$23)*Table1[[#This Row], [NUM OF MEM]]*(1+_xlfn.XLOOKUP(Table1[[#This Row], [DISGUISE]],Sheet1!$A$21:$A$23,Sheet1!$C$21:$C$23))</f>
        <v>10400</v>
      </c>
      <c r="H1150" s="13" t="s">
        <v>59</v>
      </c>
      <c r="I1150" s="4">
        <f>_xlfn.XLOOKUP(Table1[[#This Row], [WEAPON]],Sheet1!$A$27:$A$29,Sheet1!$B$27:$B$29)*Table1[[#This Row], [NUM OF MEM]]*(1+_xlfn.XLOOKUP(Table1[[#This Row], [WEAPON]],Sheet1!$A$27:$A$29,Sheet1!$C$27:$C$29))</f>
        <v>91000</v>
      </c>
      <c r="J1150" t="s">
        <v>60</v>
      </c>
      <c r="K1150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1150" s="13" t="s">
        <v>65</v>
      </c>
      <c r="M1150" s="4">
        <f>IF(Table1[[#This Row], [EQUIPMENT]]="YES",Sheet1!$C$44*(1+Sheet1!$D$44),0)</f>
        <v>307500</v>
      </c>
      <c r="N1150" s="4">
        <f>_xlfn.XLOOKUP(Table1[[#This Row], [ROOM]],Sheet1!$A$47:$A$66,Sheet1!$F$47:$F$66)</f>
        <v>17550000</v>
      </c>
      <c r="O1150" s="9">
        <f>_xlfn.XLOOKUP(_xlfn.CONCAT(Table1[[#This Row], [TEAM]],Table1[[#This Row], [ROOM]]),'ROOM TIME'!$H$2:$H$121,'ROOM TIME'!$J$2:$J$121)</f>
        <v>59.889999999999986</v>
      </c>
      <c r="P1150" s="9">
        <f>(INDEX(Sheet1!$X$48:$Z$67,MATCH(Table1[[#This Row], [ROOM]],Sheet1!$P$48:$P$67,0),MATCH(Table1[[#This Row], [WEAPON]],Sheet1!$X$47:$Z$47,0)))/Table1[[#This Row], [NUM OF MEM]]</f>
        <v>5.75</v>
      </c>
      <c r="Q1150" s="9">
        <f>Table1[[#This Row], [ROOM TIME]]+Table1[[#This Row], [GUARD TIME]]</f>
        <v>65.639999999999986</v>
      </c>
      <c r="R1150" s="4">
        <f>Sheet1!$K$3*_xlfn.XLOOKUP(Table1[[#This Row], [DISGUISE]],Sheet1!$A$21:$A$23,Sheet1!$D$21:$D$23)</f>
        <v>66</v>
      </c>
      <c r="S1150" s="9">
        <f>Table1[[#This Row], [TOTAL TIME]]-Table1[[#This Row], [TOTAL TIME TAKEN]]</f>
        <v>0.36000000000001364</v>
      </c>
      <c r="T1150" t="str">
        <f>IF(Table1[[#This Row], [TIME DIFFERENCE]]&gt;=0,"PASS","FAIL")</f>
        <v>PASS</v>
      </c>
      <c r="U1150" s="9">
        <f>Table1[[#This Row], [TRC]]+Table1[[#This Row], [DRC]]+Table1[[#This Row], [WRC]]+Table1[[#This Row], [ERC]]+Table1[[#This Row], [EQRC]]</f>
        <v>8043150.5999999996</v>
      </c>
      <c r="V1150" s="9">
        <f>Table1[[#This Row], [TOTAL COST]]+_xlfn.XLOOKUP(Table1[[#This Row], [TEAM]],Sheet1!$A$12:$A$17,Sheet1!$I$12:$I$17)</f>
        <v>8340630.5999999996</v>
      </c>
      <c r="W1150" s="9">
        <f>Table1[[#This Row], [LOOT]]-Table1[[#This Row], [TOTAL COST]]</f>
        <v>9506849.4000000004</v>
      </c>
      <c r="X1150" s="9">
        <f>IF(Table1[[#This Row], [PASS/FAIL]]="FAIL",0,Table1[[#This Row], [PROFIT]])</f>
        <v>9506849.4000000004</v>
      </c>
    </row>
    <row r="1151" spans="1:24" ht="19.5" customHeight="1" x14ac:dyDescent="0.45">
      <c r="A1151" t="s">
        <v>16</v>
      </c>
      <c r="B1151" s="14">
        <f>_xlfn.XLOOKUP(Table1[[#This Row], [TEAM]],Sheet1!$A$12:$A$17,Sheet1!$F$12:$F$17)</f>
        <v>2</v>
      </c>
      <c r="C1151" s="14">
        <f>_xlfn.XLOOKUP(Table1[[#This Row], [TEAM]],Sheet1!$A$12:$A$17,Sheet1!$G$12:$G$17)</f>
        <v>6082800</v>
      </c>
      <c r="D1151" t="s">
        <v>11</v>
      </c>
      <c r="E1151" s="4">
        <f>_xlfn.XLOOKUP(Table1[[#This Row], [ROOM]],Sheet1!$A$47:$A$66,Sheet1!$B$47:$B$66)</f>
        <v>124</v>
      </c>
      <c r="F1151" t="s">
        <v>58</v>
      </c>
      <c r="G1151" s="4">
        <f>_xlfn.XLOOKUP(Table1[[#This Row], [DISGUISE]],Sheet1!$A$21:$A$23,Sheet1!$B$21:$B$23)*Table1[[#This Row], [NUM OF MEM]]*(1+_xlfn.XLOOKUP(Table1[[#This Row], [DISGUISE]],Sheet1!$A$21:$A$23,Sheet1!$C$21:$C$23))</f>
        <v>25600</v>
      </c>
      <c r="H1151" s="13" t="s">
        <v>59</v>
      </c>
      <c r="I1151" s="4">
        <f>_xlfn.XLOOKUP(Table1[[#This Row], [WEAPON]],Sheet1!$A$27:$A$29,Sheet1!$B$27:$B$29)*Table1[[#This Row], [NUM OF MEM]]*(1+_xlfn.XLOOKUP(Table1[[#This Row], [WEAPON]],Sheet1!$A$27:$A$29,Sheet1!$C$27:$C$29))</f>
        <v>91000</v>
      </c>
      <c r="J1151" t="s">
        <v>60</v>
      </c>
      <c r="K1151" s="9">
        <f>Table1[[#This Row], [NUM OF MEM]]*Table1[[#This Row], [TOTAL TIME TAKEN]]*_xlfn.XLOOKUP(Table1[[#This Row], [EXIT]],Sheet1!$A$70:$A$71,Sheet1!$B$70:$B$71)*(1+_xlfn.XLOOKUP(Table1[[#This Row], [EXIT]],Sheet1!$A$70:$A$71,Sheet1!$C$70:$C$71))</f>
        <v>1743840.5062499996</v>
      </c>
      <c r="L1151" s="13" t="s">
        <v>61</v>
      </c>
      <c r="M1151" s="4">
        <f>IF(Table1[[#This Row], [EQUIPMENT]]="YES",Sheet1!$C$44*(1+Sheet1!$D$44),0)</f>
        <v>0</v>
      </c>
      <c r="N1151" s="4">
        <f>_xlfn.XLOOKUP(Table1[[#This Row], [ROOM]],Sheet1!$A$47:$A$66,Sheet1!$F$47:$F$66)</f>
        <v>17450000</v>
      </c>
      <c r="O1151" s="9">
        <f>_xlfn.XLOOKUP(_xlfn.CONCAT(Table1[[#This Row], [TEAM]],Table1[[#This Row], [ROOM]]),'ROOM TIME'!$H$2:$H$121,'ROOM TIME'!$J$2:$J$121)</f>
        <v>61.621249999999989</v>
      </c>
      <c r="P1151" s="9">
        <f>(INDEX(Sheet1!$X$48:$Z$67,MATCH(Table1[[#This Row], [ROOM]],Sheet1!$P$48:$P$67,0),MATCH(Table1[[#This Row], [WEAPON]],Sheet1!$X$47:$Z$47,0)))/Table1[[#This Row], [NUM OF MEM]]</f>
        <v>6.3249999999999993</v>
      </c>
      <c r="Q1151" s="9">
        <f>Table1[[#This Row], [ROOM TIME]]+Table1[[#This Row], [GUARD TIME]]</f>
        <v>67.946249999999992</v>
      </c>
      <c r="R1151" s="4">
        <f>Sheet1!$K$3*_xlfn.XLOOKUP(Table1[[#This Row], [DISGUISE]],Sheet1!$A$21:$A$23,Sheet1!$D$21:$D$23)</f>
        <v>69</v>
      </c>
      <c r="S1151" s="9">
        <f>Table1[[#This Row], [TOTAL TIME]]-Table1[[#This Row], [TOTAL TIME TAKEN]]</f>
        <v>1.053750000000008</v>
      </c>
      <c r="T1151" t="str">
        <f>IF(Table1[[#This Row], [TIME DIFFERENCE]]&gt;=0,"PASS","FAIL")</f>
        <v>PASS</v>
      </c>
      <c r="U1151" s="9">
        <f>Table1[[#This Row], [TRC]]+Table1[[#This Row], [DRC]]+Table1[[#This Row], [WRC]]+Table1[[#This Row], [ERC]]+Table1[[#This Row], [EQRC]]</f>
        <v>7943240.5062499996</v>
      </c>
      <c r="V1151" s="9">
        <f>Table1[[#This Row], [TOTAL COST]]+_xlfn.XLOOKUP(Table1[[#This Row], [TEAM]],Sheet1!$A$12:$A$17,Sheet1!$I$12:$I$17)</f>
        <v>8247380.5062499996</v>
      </c>
      <c r="W1151" s="9">
        <f>Table1[[#This Row], [LOOT]]-Table1[[#This Row], [TOTAL COST]]</f>
        <v>9506759.4937500004</v>
      </c>
      <c r="X1151" s="9">
        <f>IF(Table1[[#This Row], [PASS/FAIL]]="FAIL",0,Table1[[#This Row], [PROFIT]])</f>
        <v>9506759.4937500004</v>
      </c>
    </row>
    <row r="1152" spans="1:24" ht="19.5" customHeight="1" x14ac:dyDescent="0.45">
      <c r="A1152" t="s">
        <v>13</v>
      </c>
      <c r="B1152" s="14">
        <f>_xlfn.XLOOKUP(Table1[[#This Row], [TEAM]],Sheet1!$A$12:$A$17,Sheet1!$F$12:$F$17)</f>
        <v>3</v>
      </c>
      <c r="C1152" s="14">
        <f>_xlfn.XLOOKUP(Table1[[#This Row], [TEAM]],Sheet1!$A$12:$A$17,Sheet1!$G$12:$G$17)</f>
        <v>5930000</v>
      </c>
      <c r="D1152" t="s">
        <v>30</v>
      </c>
      <c r="E1152" s="4">
        <f>_xlfn.XLOOKUP(Table1[[#This Row], [ROOM]],Sheet1!$A$47:$A$66,Sheet1!$B$47:$B$66)</f>
        <v>246</v>
      </c>
      <c r="F1152" t="s">
        <v>62</v>
      </c>
      <c r="G1152" s="4">
        <f>_xlfn.XLOOKUP(Table1[[#This Row], [DISGUISE]],Sheet1!$A$21:$A$23,Sheet1!$B$21:$B$23)*Table1[[#This Row], [NUM OF MEM]]*(1+_xlfn.XLOOKUP(Table1[[#This Row], [DISGUISE]],Sheet1!$A$21:$A$23,Sheet1!$C$21:$C$23))</f>
        <v>15600</v>
      </c>
      <c r="H1152" s="13" t="s">
        <v>66</v>
      </c>
      <c r="I1152" s="4">
        <f>_xlfn.XLOOKUP(Table1[[#This Row], [WEAPON]],Sheet1!$A$27:$A$29,Sheet1!$B$27:$B$29)*Table1[[#This Row], [NUM OF MEM]]*(1+_xlfn.XLOOKUP(Table1[[#This Row], [WEAPON]],Sheet1!$A$27:$A$29,Sheet1!$C$27:$C$29))</f>
        <v>108000</v>
      </c>
      <c r="J1152" t="s">
        <v>64</v>
      </c>
      <c r="K1152" s="9">
        <f>Table1[[#This Row], [NUM OF MEM]]*Table1[[#This Row], [TOTAL TIME TAKEN]]*_xlfn.XLOOKUP(Table1[[#This Row], [EXIT]],Sheet1!$A$70:$A$71,Sheet1!$B$70:$B$71)*(1+_xlfn.XLOOKUP(Table1[[#This Row], [EXIT]],Sheet1!$A$70:$A$71,Sheet1!$C$70:$C$71))</f>
        <v>1732168.7999999996</v>
      </c>
      <c r="L1152" s="13" t="s">
        <v>65</v>
      </c>
      <c r="M1152" s="4">
        <f>IF(Table1[[#This Row], [EQUIPMENT]]="YES",Sheet1!$C$44*(1+Sheet1!$D$44),0)</f>
        <v>307500</v>
      </c>
      <c r="N1152" s="4">
        <f>_xlfn.XLOOKUP(Table1[[#This Row], [ROOM]],Sheet1!$A$47:$A$66,Sheet1!$F$47:$F$66)</f>
        <v>17600000</v>
      </c>
      <c r="O1152" s="9">
        <f>_xlfn.XLOOKUP(_xlfn.CONCAT(Table1[[#This Row], [TEAM]],Table1[[#This Row], [ROOM]]),'ROOM TIME'!$H$2:$H$121,'ROOM TIME'!$J$2:$J$121)</f>
        <v>39.551666666666655</v>
      </c>
      <c r="P1152" s="4">
        <f>(INDEX(Sheet1!$X$48:$Z$67,MATCH(Table1[[#This Row], [ROOM]],Sheet1!$P$48:$P$67,0),MATCH(Table1[[#This Row], [WEAPON]],Sheet1!$X$47:$Z$47,0)))/Table1[[#This Row], [NUM OF MEM]]</f>
        <v>5</v>
      </c>
      <c r="Q1152" s="9">
        <f>Table1[[#This Row], [ROOM TIME]]+Table1[[#This Row], [GUARD TIME]]</f>
        <v>44.551666666666655</v>
      </c>
      <c r="R1152" s="4">
        <f>Sheet1!$K$3*_xlfn.XLOOKUP(Table1[[#This Row], [DISGUISE]],Sheet1!$A$21:$A$23,Sheet1!$D$21:$D$23)</f>
        <v>66</v>
      </c>
      <c r="S1152" s="9">
        <f>Table1[[#This Row], [TOTAL TIME]]-Table1[[#This Row], [TOTAL TIME TAKEN]]</f>
        <v>21.448333333333345</v>
      </c>
      <c r="T1152" t="str">
        <f>IF(Table1[[#This Row], [TIME DIFFERENCE]]&gt;=0,"PASS","FAIL")</f>
        <v>PASS</v>
      </c>
      <c r="U1152" s="9">
        <f>Table1[[#This Row], [TRC]]+Table1[[#This Row], [DRC]]+Table1[[#This Row], [WRC]]+Table1[[#This Row], [ERC]]+Table1[[#This Row], [EQRC]]</f>
        <v>8093268.7999999998</v>
      </c>
      <c r="V1152" s="9">
        <f>Table1[[#This Row], [TOTAL COST]]+_xlfn.XLOOKUP(Table1[[#This Row], [TEAM]],Sheet1!$A$12:$A$17,Sheet1!$I$12:$I$17)</f>
        <v>8389768.8000000007</v>
      </c>
      <c r="W1152" s="9">
        <f>Table1[[#This Row], [LOOT]]-Table1[[#This Row], [TOTAL COST]]</f>
        <v>9506731.1999999993</v>
      </c>
      <c r="X1152" s="9">
        <f>IF(Table1[[#This Row], [PASS/FAIL]]="FAIL",0,Table1[[#This Row], [PROFIT]])</f>
        <v>9506731.1999999993</v>
      </c>
    </row>
    <row r="1153" spans="1:24" ht="19.5" customHeight="1" x14ac:dyDescent="0.45">
      <c r="A1153" t="s">
        <v>9</v>
      </c>
      <c r="B1153" s="14">
        <f>_xlfn.XLOOKUP(Table1[[#This Row], [TEAM]],Sheet1!$A$12:$A$17,Sheet1!$F$12:$F$17)</f>
        <v>3</v>
      </c>
      <c r="C1153" s="14">
        <f>_xlfn.XLOOKUP(Table1[[#This Row], [TEAM]],Sheet1!$A$12:$A$17,Sheet1!$G$12:$G$17)</f>
        <v>6238750</v>
      </c>
      <c r="D1153" t="s">
        <v>34</v>
      </c>
      <c r="E1153" s="4">
        <f>_xlfn.XLOOKUP(Table1[[#This Row], [ROOM]],Sheet1!$A$47:$A$66,Sheet1!$B$47:$B$66)</f>
        <v>456</v>
      </c>
      <c r="F1153" t="s">
        <v>62</v>
      </c>
      <c r="G115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53" s="13" t="s">
        <v>63</v>
      </c>
      <c r="I1153" s="4">
        <f>_xlfn.XLOOKUP(Table1[[#This Row], [WEAPON]],Sheet1!$A$27:$A$29,Sheet1!$B$27:$B$29)*Table1[[#This Row], [NUM OF MEM]]*(1+_xlfn.XLOOKUP(Table1[[#This Row], [WEAPON]],Sheet1!$A$27:$A$29,Sheet1!$C$27:$C$29))</f>
        <v>69000</v>
      </c>
      <c r="J1153" t="s">
        <v>64</v>
      </c>
      <c r="K1153" s="9">
        <f>Table1[[#This Row], [NUM OF MEM]]*Table1[[#This Row], [TOTAL TIME TAKEN]]*_xlfn.XLOOKUP(Table1[[#This Row], [EXIT]],Sheet1!$A$70:$A$71,Sheet1!$B$70:$B$71)*(1+_xlfn.XLOOKUP(Table1[[#This Row], [EXIT]],Sheet1!$A$70:$A$71,Sheet1!$C$70:$C$71))</f>
        <v>1563667.1999999997</v>
      </c>
      <c r="L1153" s="13" t="s">
        <v>65</v>
      </c>
      <c r="M1153" s="4">
        <f>IF(Table1[[#This Row], [EQUIPMENT]]="YES",Sheet1!$C$44*(1+Sheet1!$D$44),0)</f>
        <v>307500</v>
      </c>
      <c r="N1153" s="4">
        <f>_xlfn.XLOOKUP(Table1[[#This Row], [ROOM]],Sheet1!$A$47:$A$66,Sheet1!$F$47:$F$66)</f>
        <v>17700000</v>
      </c>
      <c r="O1153" s="9">
        <f>_xlfn.XLOOKUP(_xlfn.CONCAT(Table1[[#This Row], [TEAM]],Table1[[#This Row], [ROOM]]),'ROOM TIME'!$H$2:$H$121,'ROOM TIME'!$J$2:$J$121)</f>
        <v>35.267777777777766</v>
      </c>
      <c r="P1153" s="9">
        <f>(INDEX(Sheet1!$X$48:$Z$67,MATCH(Table1[[#This Row], [ROOM]],Sheet1!$P$48:$P$67,0),MATCH(Table1[[#This Row], [WEAPON]],Sheet1!$X$47:$Z$47,0)))/Table1[[#This Row], [NUM OF MEM]]</f>
        <v>4.95</v>
      </c>
      <c r="Q1153" s="9">
        <f>Table1[[#This Row], [ROOM TIME]]+Table1[[#This Row], [GUARD TIME]]</f>
        <v>40.217777777777769</v>
      </c>
      <c r="R1153" s="4">
        <f>Sheet1!$K$3*_xlfn.XLOOKUP(Table1[[#This Row], [DISGUISE]],Sheet1!$A$21:$A$23,Sheet1!$D$21:$D$23)</f>
        <v>66</v>
      </c>
      <c r="S1153" s="9">
        <f>Table1[[#This Row], [TOTAL TIME]]-Table1[[#This Row], [TOTAL TIME TAKEN]]</f>
        <v>25.782222222222231</v>
      </c>
      <c r="T1153" t="str">
        <f>IF(Table1[[#This Row], [TIME DIFFERENCE]]&gt;=0,"PASS","FAIL")</f>
        <v>PASS</v>
      </c>
      <c r="U1153" s="9">
        <f>Table1[[#This Row], [TRC]]+Table1[[#This Row], [DRC]]+Table1[[#This Row], [WRC]]+Table1[[#This Row], [ERC]]+Table1[[#This Row], [EQRC]]</f>
        <v>8194517.1999999993</v>
      </c>
      <c r="V1153" s="9">
        <f>Table1[[#This Row], [TOTAL COST]]+_xlfn.XLOOKUP(Table1[[#This Row], [TEAM]],Sheet1!$A$12:$A$17,Sheet1!$I$12:$I$17)</f>
        <v>8506454.6999999993</v>
      </c>
      <c r="W1153" s="9">
        <f>Table1[[#This Row], [LOOT]]-Table1[[#This Row], [TOTAL COST]]</f>
        <v>9505482.8000000007</v>
      </c>
      <c r="X1153" s="9">
        <f>IF(Table1[[#This Row], [PASS/FAIL]]="FAIL",0,Table1[[#This Row], [PROFIT]])</f>
        <v>9505482.8000000007</v>
      </c>
    </row>
    <row r="1154" spans="1:24" ht="19.5" customHeight="1" x14ac:dyDescent="0.45">
      <c r="A1154" t="s">
        <v>15</v>
      </c>
      <c r="B1154" s="14">
        <f>_xlfn.XLOOKUP(Table1[[#This Row], [TEAM]],Sheet1!$A$12:$A$17,Sheet1!$F$12:$F$17)</f>
        <v>2</v>
      </c>
      <c r="C1154" s="14">
        <f>_xlfn.XLOOKUP(Table1[[#This Row], [TEAM]],Sheet1!$A$12:$A$17,Sheet1!$G$12:$G$17)</f>
        <v>5932950</v>
      </c>
      <c r="D1154" t="s">
        <v>20</v>
      </c>
      <c r="E1154" s="4">
        <f>_xlfn.XLOOKUP(Table1[[#This Row], [ROOM]],Sheet1!$A$47:$A$66,Sheet1!$B$47:$B$66)</f>
        <v>145</v>
      </c>
      <c r="F1154" t="s">
        <v>58</v>
      </c>
      <c r="G1154" s="4">
        <f>_xlfn.XLOOKUP(Table1[[#This Row], [DISGUISE]],Sheet1!$A$21:$A$23,Sheet1!$B$21:$B$23)*Table1[[#This Row], [NUM OF MEM]]*(1+_xlfn.XLOOKUP(Table1[[#This Row], [DISGUISE]],Sheet1!$A$21:$A$23,Sheet1!$C$21:$C$23))</f>
        <v>25600</v>
      </c>
      <c r="H1154" s="13" t="s">
        <v>66</v>
      </c>
      <c r="I1154" s="4">
        <f>_xlfn.XLOOKUP(Table1[[#This Row], [WEAPON]],Sheet1!$A$27:$A$29,Sheet1!$B$27:$B$29)*Table1[[#This Row], [NUM OF MEM]]*(1+_xlfn.XLOOKUP(Table1[[#This Row], [WEAPON]],Sheet1!$A$27:$A$29,Sheet1!$C$27:$C$29))</f>
        <v>72000</v>
      </c>
      <c r="J1154" t="s">
        <v>64</v>
      </c>
      <c r="K1154" s="9">
        <f>Table1[[#This Row], [NUM OF MEM]]*Table1[[#This Row], [TOTAL TIME TAKEN]]*_xlfn.XLOOKUP(Table1[[#This Row], [EXIT]],Sheet1!$A$70:$A$71,Sheet1!$B$70:$B$71)*(1+_xlfn.XLOOKUP(Table1[[#This Row], [EXIT]],Sheet1!$A$70:$A$71,Sheet1!$C$70:$C$71))</f>
        <v>1706605.1999999995</v>
      </c>
      <c r="L1154" s="13" t="s">
        <v>65</v>
      </c>
      <c r="M1154" s="4">
        <f>IF(Table1[[#This Row], [EQUIPMENT]]="YES",Sheet1!$C$44*(1+Sheet1!$D$44),0)</f>
        <v>307500</v>
      </c>
      <c r="N1154" s="4">
        <f>_xlfn.XLOOKUP(Table1[[#This Row], [ROOM]],Sheet1!$A$47:$A$66,Sheet1!$F$47:$F$66)</f>
        <v>17550000</v>
      </c>
      <c r="O1154" s="9">
        <f>_xlfn.XLOOKUP(_xlfn.CONCAT(Table1[[#This Row], [TEAM]],Table1[[#This Row], [ROOM]]),'ROOM TIME'!$H$2:$H$121,'ROOM TIME'!$J$2:$J$121)</f>
        <v>59.591249999999981</v>
      </c>
      <c r="P1154" s="9">
        <f>(INDEX(Sheet1!$X$48:$Z$67,MATCH(Table1[[#This Row], [ROOM]],Sheet1!$P$48:$P$67,0),MATCH(Table1[[#This Row], [WEAPON]],Sheet1!$X$47:$Z$47,0)))/Table1[[#This Row], [NUM OF MEM]]</f>
        <v>6.25</v>
      </c>
      <c r="Q1154" s="9">
        <f>Table1[[#This Row], [ROOM TIME]]+Table1[[#This Row], [GUARD TIME]]</f>
        <v>65.841249999999974</v>
      </c>
      <c r="R1154" s="4">
        <f>Sheet1!$K$3*_xlfn.XLOOKUP(Table1[[#This Row], [DISGUISE]],Sheet1!$A$21:$A$23,Sheet1!$D$21:$D$23)</f>
        <v>69</v>
      </c>
      <c r="S1154" s="9">
        <f>Table1[[#This Row], [TOTAL TIME]]-Table1[[#This Row], [TOTAL TIME TAKEN]]</f>
        <v>3.1587500000000261</v>
      </c>
      <c r="T1154" t="str">
        <f>IF(Table1[[#This Row], [TIME DIFFERENCE]]&gt;=0,"PASS","FAIL")</f>
        <v>PASS</v>
      </c>
      <c r="U1154" s="9">
        <f>Table1[[#This Row], [TRC]]+Table1[[#This Row], [DRC]]+Table1[[#This Row], [WRC]]+Table1[[#This Row], [ERC]]+Table1[[#This Row], [EQRC]]</f>
        <v>8044655.1999999993</v>
      </c>
      <c r="V1154" s="9">
        <f>Table1[[#This Row], [TOTAL COST]]+_xlfn.XLOOKUP(Table1[[#This Row], [TEAM]],Sheet1!$A$12:$A$17,Sheet1!$I$12:$I$17)</f>
        <v>8341302.6999999993</v>
      </c>
      <c r="W1154" s="9">
        <f>Table1[[#This Row], [LOOT]]-Table1[[#This Row], [TOTAL COST]]</f>
        <v>9505344.8000000007</v>
      </c>
      <c r="X1154" s="9">
        <f>IF(Table1[[#This Row], [PASS/FAIL]]="FAIL",0,Table1[[#This Row], [PROFIT]])</f>
        <v>9505344.8000000007</v>
      </c>
    </row>
    <row r="1155" spans="1:24" ht="19.5" customHeight="1" x14ac:dyDescent="0.45">
      <c r="A1155" t="s">
        <v>9</v>
      </c>
      <c r="B1155" s="14">
        <f>_xlfn.XLOOKUP(Table1[[#This Row], [TEAM]],Sheet1!$A$12:$A$17,Sheet1!$F$12:$F$17)</f>
        <v>3</v>
      </c>
      <c r="C1155" s="14">
        <f>_xlfn.XLOOKUP(Table1[[#This Row], [TEAM]],Sheet1!$A$12:$A$17,Sheet1!$G$12:$G$17)</f>
        <v>6238750</v>
      </c>
      <c r="D1155" t="s">
        <v>27</v>
      </c>
      <c r="E1155" s="4">
        <f>_xlfn.XLOOKUP(Table1[[#This Row], [ROOM]],Sheet1!$A$47:$A$66,Sheet1!$B$47:$B$66)</f>
        <v>146</v>
      </c>
      <c r="F1155" t="s">
        <v>62</v>
      </c>
      <c r="G1155" s="4">
        <f>_xlfn.XLOOKUP(Table1[[#This Row], [DISGUISE]],Sheet1!$A$21:$A$23,Sheet1!$B$21:$B$23)*Table1[[#This Row], [NUM OF MEM]]*(1+_xlfn.XLOOKUP(Table1[[#This Row], [DISGUISE]],Sheet1!$A$21:$A$23,Sheet1!$C$21:$C$23))</f>
        <v>15600</v>
      </c>
      <c r="H1155" s="13" t="s">
        <v>59</v>
      </c>
      <c r="I1155" s="4">
        <f>_xlfn.XLOOKUP(Table1[[#This Row], [WEAPON]],Sheet1!$A$27:$A$29,Sheet1!$B$27:$B$29)*Table1[[#This Row], [NUM OF MEM]]*(1+_xlfn.XLOOKUP(Table1[[#This Row], [WEAPON]],Sheet1!$A$27:$A$29,Sheet1!$C$27:$C$29))</f>
        <v>136500</v>
      </c>
      <c r="J1155" t="s">
        <v>64</v>
      </c>
      <c r="K1155" s="9">
        <f>Table1[[#This Row], [NUM OF MEM]]*Table1[[#This Row], [TOTAL TIME TAKEN]]*_xlfn.XLOOKUP(Table1[[#This Row], [EXIT]],Sheet1!$A$70:$A$71,Sheet1!$B$70:$B$71)*(1+_xlfn.XLOOKUP(Table1[[#This Row], [EXIT]],Sheet1!$A$70:$A$71,Sheet1!$C$70:$C$71))</f>
        <v>1546495.1999999995</v>
      </c>
      <c r="L1155" s="13" t="s">
        <v>65</v>
      </c>
      <c r="M1155" s="4">
        <f>IF(Table1[[#This Row], [EQUIPMENT]]="YES",Sheet1!$C$44*(1+Sheet1!$D$44),0)</f>
        <v>307500</v>
      </c>
      <c r="N1155" s="4">
        <f>_xlfn.XLOOKUP(Table1[[#This Row], [ROOM]],Sheet1!$A$47:$A$66,Sheet1!$F$47:$F$66)</f>
        <v>17750000</v>
      </c>
      <c r="O1155" s="9">
        <f>_xlfn.XLOOKUP(_xlfn.CONCAT(Table1[[#This Row], [TEAM]],Table1[[#This Row], [ROOM]]),'ROOM TIME'!$H$2:$H$121,'ROOM TIME'!$J$2:$J$121)</f>
        <v>35.559444444444431</v>
      </c>
      <c r="P1155" s="9">
        <f>(INDEX(Sheet1!$X$48:$Z$67,MATCH(Table1[[#This Row], [ROOM]],Sheet1!$P$48:$P$67,0),MATCH(Table1[[#This Row], [WEAPON]],Sheet1!$X$47:$Z$47,0)))/Table1[[#This Row], [NUM OF MEM]]</f>
        <v>4.2166666666666659</v>
      </c>
      <c r="Q1155" s="9">
        <f>Table1[[#This Row], [ROOM TIME]]+Table1[[#This Row], [GUARD TIME]]</f>
        <v>39.776111111111099</v>
      </c>
      <c r="R1155" s="4">
        <f>Sheet1!$K$3*_xlfn.XLOOKUP(Table1[[#This Row], [DISGUISE]],Sheet1!$A$21:$A$23,Sheet1!$D$21:$D$23)</f>
        <v>66</v>
      </c>
      <c r="S1155" s="9">
        <f>Table1[[#This Row], [TOTAL TIME]]-Table1[[#This Row], [TOTAL TIME TAKEN]]</f>
        <v>26.223888888888901</v>
      </c>
      <c r="T1155" t="str">
        <f>IF(Table1[[#This Row], [TIME DIFFERENCE]]&gt;=0,"PASS","FAIL")</f>
        <v>PASS</v>
      </c>
      <c r="U1155" s="9">
        <f>Table1[[#This Row], [TRC]]+Table1[[#This Row], [DRC]]+Table1[[#This Row], [WRC]]+Table1[[#This Row], [ERC]]+Table1[[#This Row], [EQRC]]</f>
        <v>8244845.1999999993</v>
      </c>
      <c r="V1155" s="9">
        <f>Table1[[#This Row], [TOTAL COST]]+_xlfn.XLOOKUP(Table1[[#This Row], [TEAM]],Sheet1!$A$12:$A$17,Sheet1!$I$12:$I$17)</f>
        <v>8556782.6999999993</v>
      </c>
      <c r="W1155" s="9">
        <f>Table1[[#This Row], [LOOT]]-Table1[[#This Row], [TOTAL COST]]</f>
        <v>9505154.8000000007</v>
      </c>
      <c r="X1155" s="9">
        <f>IF(Table1[[#This Row], [PASS/FAIL]]="FAIL",0,Table1[[#This Row], [PROFIT]])</f>
        <v>9505154.8000000007</v>
      </c>
    </row>
    <row r="1156" spans="1:24" ht="19.5" customHeight="1" x14ac:dyDescent="0.45">
      <c r="A1156" t="s">
        <v>12</v>
      </c>
      <c r="B1156" s="14">
        <f>_xlfn.XLOOKUP(Table1[[#This Row], [TEAM]],Sheet1!$A$12:$A$17,Sheet1!$F$12:$F$17)</f>
        <v>3</v>
      </c>
      <c r="C1156" s="14">
        <f>_xlfn.XLOOKUP(Table1[[#This Row], [TEAM]],Sheet1!$A$12:$A$17,Sheet1!$G$12:$G$17)</f>
        <v>5988750</v>
      </c>
      <c r="D1156" t="s">
        <v>30</v>
      </c>
      <c r="E1156" s="4">
        <f>_xlfn.XLOOKUP(Table1[[#This Row], [ROOM]],Sheet1!$A$47:$A$66,Sheet1!$B$47:$B$66)</f>
        <v>246</v>
      </c>
      <c r="F1156" t="s">
        <v>58</v>
      </c>
      <c r="G11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56" s="13" t="s">
        <v>59</v>
      </c>
      <c r="I1156" s="4">
        <f>_xlfn.XLOOKUP(Table1[[#This Row], [WEAPON]],Sheet1!$A$27:$A$29,Sheet1!$B$27:$B$29)*Table1[[#This Row], [NUM OF MEM]]*(1+_xlfn.XLOOKUP(Table1[[#This Row], [WEAPON]],Sheet1!$A$27:$A$29,Sheet1!$C$27:$C$29))</f>
        <v>136500</v>
      </c>
      <c r="J1156" t="s">
        <v>60</v>
      </c>
      <c r="K1156" s="9">
        <f>Table1[[#This Row], [NUM OF MEM]]*Table1[[#This Row], [TOTAL TIME TAKEN]]*_xlfn.XLOOKUP(Table1[[#This Row], [EXIT]],Sheet1!$A$70:$A$71,Sheet1!$B$70:$B$71)*(1+_xlfn.XLOOKUP(Table1[[#This Row], [EXIT]],Sheet1!$A$70:$A$71,Sheet1!$C$70:$C$71))</f>
        <v>1623910.0999999992</v>
      </c>
      <c r="L1156" s="13" t="s">
        <v>65</v>
      </c>
      <c r="M1156" s="4">
        <f>IF(Table1[[#This Row], [EQUIPMENT]]="YES",Sheet1!$C$44*(1+Sheet1!$D$44),0)</f>
        <v>307500</v>
      </c>
      <c r="N1156" s="4">
        <f>_xlfn.XLOOKUP(Table1[[#This Row], [ROOM]],Sheet1!$A$47:$A$66,Sheet1!$F$47:$F$66)</f>
        <v>17600000</v>
      </c>
      <c r="O1156" s="9">
        <f>_xlfn.XLOOKUP(_xlfn.CONCAT(Table1[[#This Row], [TEAM]],Table1[[#This Row], [ROOM]]),'ROOM TIME'!$H$2:$H$121,'ROOM TIME'!$J$2:$J$121)</f>
        <v>37.582222222222207</v>
      </c>
      <c r="P1156" s="9">
        <f>(INDEX(Sheet1!$X$48:$Z$67,MATCH(Table1[[#This Row], [ROOM]],Sheet1!$P$48:$P$67,0),MATCH(Table1[[#This Row], [WEAPON]],Sheet1!$X$47:$Z$47,0)))/Table1[[#This Row], [NUM OF MEM]]</f>
        <v>4.5999999999999996</v>
      </c>
      <c r="Q1156" s="9">
        <f>Table1[[#This Row], [ROOM TIME]]+Table1[[#This Row], [GUARD TIME]]</f>
        <v>42.182222222222208</v>
      </c>
      <c r="R1156" s="4">
        <f>Sheet1!$K$3*_xlfn.XLOOKUP(Table1[[#This Row], [DISGUISE]],Sheet1!$A$21:$A$23,Sheet1!$D$21:$D$23)</f>
        <v>69</v>
      </c>
      <c r="S1156" s="9">
        <f>Table1[[#This Row], [TOTAL TIME]]-Table1[[#This Row], [TOTAL TIME TAKEN]]</f>
        <v>26.817777777777792</v>
      </c>
      <c r="T1156" t="str">
        <f>IF(Table1[[#This Row], [TIME DIFFERENCE]]&gt;=0,"PASS","FAIL")</f>
        <v>PASS</v>
      </c>
      <c r="U1156" s="9">
        <f>Table1[[#This Row], [TRC]]+Table1[[#This Row], [DRC]]+Table1[[#This Row], [WRC]]+Table1[[#This Row], [ERC]]+Table1[[#This Row], [EQRC]]</f>
        <v>8095060.0999999996</v>
      </c>
      <c r="V1156" s="9">
        <f>Table1[[#This Row], [TOTAL COST]]+_xlfn.XLOOKUP(Table1[[#This Row], [TEAM]],Sheet1!$A$12:$A$17,Sheet1!$I$12:$I$17)</f>
        <v>8394497.5999999996</v>
      </c>
      <c r="W1156" s="9">
        <f>Table1[[#This Row], [LOOT]]-Table1[[#This Row], [TOTAL COST]]</f>
        <v>9504939.9000000004</v>
      </c>
      <c r="X1156" s="9">
        <f>IF(Table1[[#This Row], [PASS/FAIL]]="FAIL",0,Table1[[#This Row], [PROFIT]])</f>
        <v>9504939.9000000004</v>
      </c>
    </row>
    <row r="1157" spans="1:24" ht="19.5" customHeight="1" x14ac:dyDescent="0.45">
      <c r="A1157" t="s">
        <v>14</v>
      </c>
      <c r="B1157" s="14">
        <f>_xlfn.XLOOKUP(Table1[[#This Row], [TEAM]],Sheet1!$A$12:$A$17,Sheet1!$F$12:$F$17)</f>
        <v>2</v>
      </c>
      <c r="C1157" s="14">
        <f>_xlfn.XLOOKUP(Table1[[#This Row], [TEAM]],Sheet1!$A$12:$A$17,Sheet1!$G$12:$G$17)</f>
        <v>5949600</v>
      </c>
      <c r="D1157" t="s">
        <v>31</v>
      </c>
      <c r="E1157" s="4">
        <f>_xlfn.XLOOKUP(Table1[[#This Row], [ROOM]],Sheet1!$A$47:$A$66,Sheet1!$B$47:$B$66)</f>
        <v>256</v>
      </c>
      <c r="F1157" t="s">
        <v>58</v>
      </c>
      <c r="G115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57" s="13" t="s">
        <v>59</v>
      </c>
      <c r="I1157" s="4">
        <f>_xlfn.XLOOKUP(Table1[[#This Row], [WEAPON]],Sheet1!$A$27:$A$29,Sheet1!$B$27:$B$29)*Table1[[#This Row], [NUM OF MEM]]*(1+_xlfn.XLOOKUP(Table1[[#This Row], [WEAPON]],Sheet1!$A$27:$A$29,Sheet1!$C$27:$C$29))</f>
        <v>91000</v>
      </c>
      <c r="J1157" t="s">
        <v>64</v>
      </c>
      <c r="K1157" s="9">
        <f>Table1[[#This Row], [NUM OF MEM]]*Table1[[#This Row], [TOTAL TIME TAKEN]]*_xlfn.XLOOKUP(Table1[[#This Row], [EXIT]],Sheet1!$A$70:$A$71,Sheet1!$B$70:$B$71)*(1+_xlfn.XLOOKUP(Table1[[#This Row], [EXIT]],Sheet1!$A$70:$A$71,Sheet1!$C$70:$C$71))</f>
        <v>1622073.5999999996</v>
      </c>
      <c r="L1157" s="13" t="s">
        <v>65</v>
      </c>
      <c r="M1157" s="4">
        <f>IF(Table1[[#This Row], [EQUIPMENT]]="YES",Sheet1!$C$44*(1+Sheet1!$D$44),0)</f>
        <v>307500</v>
      </c>
      <c r="N1157" s="4">
        <f>_xlfn.XLOOKUP(Table1[[#This Row], [ROOM]],Sheet1!$A$47:$A$66,Sheet1!$F$47:$F$66)</f>
        <v>17500000</v>
      </c>
      <c r="O1157" s="9">
        <f>_xlfn.XLOOKUP(_xlfn.CONCAT(Table1[[#This Row], [TEAM]],Table1[[#This Row], [ROOM]]),'ROOM TIME'!$H$2:$H$121,'ROOM TIME'!$J$2:$J$121)</f>
        <v>56.254999999999981</v>
      </c>
      <c r="P1157" s="9">
        <f>(INDEX(Sheet1!$X$48:$Z$67,MATCH(Table1[[#This Row], [ROOM]],Sheet1!$P$48:$P$67,0),MATCH(Table1[[#This Row], [WEAPON]],Sheet1!$X$47:$Z$47,0)))/Table1[[#This Row], [NUM OF MEM]]</f>
        <v>6.3249999999999993</v>
      </c>
      <c r="Q1157" s="9">
        <f>Table1[[#This Row], [ROOM TIME]]+Table1[[#This Row], [GUARD TIME]]</f>
        <v>62.579999999999984</v>
      </c>
      <c r="R1157" s="4">
        <f>Sheet1!$K$3*_xlfn.XLOOKUP(Table1[[#This Row], [DISGUISE]],Sheet1!$A$21:$A$23,Sheet1!$D$21:$D$23)</f>
        <v>69</v>
      </c>
      <c r="S1157" s="9">
        <f>Table1[[#This Row], [TOTAL TIME]]-Table1[[#This Row], [TOTAL TIME TAKEN]]</f>
        <v>6.4200000000000159</v>
      </c>
      <c r="T1157" t="str">
        <f>IF(Table1[[#This Row], [TIME DIFFERENCE]]&gt;=0,"PASS","FAIL")</f>
        <v>PASS</v>
      </c>
      <c r="U1157" s="9">
        <f>Table1[[#This Row], [TRC]]+Table1[[#This Row], [DRC]]+Table1[[#This Row], [WRC]]+Table1[[#This Row], [ERC]]+Table1[[#This Row], [EQRC]]</f>
        <v>7995773.5999999996</v>
      </c>
      <c r="V1157" s="9">
        <f>Table1[[#This Row], [TOTAL COST]]+_xlfn.XLOOKUP(Table1[[#This Row], [TEAM]],Sheet1!$A$12:$A$17,Sheet1!$I$12:$I$17)</f>
        <v>8293253.5999999996</v>
      </c>
      <c r="W1157" s="9">
        <f>Table1[[#This Row], [LOOT]]-Table1[[#This Row], [TOTAL COST]]</f>
        <v>9504226.4000000004</v>
      </c>
      <c r="X1157" s="9">
        <f>IF(Table1[[#This Row], [PASS/FAIL]]="FAIL",0,Table1[[#This Row], [PROFIT]])</f>
        <v>9504226.4000000004</v>
      </c>
    </row>
    <row r="1158" spans="1:24" ht="19.5" customHeight="1" x14ac:dyDescent="0.45">
      <c r="A1158" t="s">
        <v>12</v>
      </c>
      <c r="B1158" s="14">
        <f>_xlfn.XLOOKUP(Table1[[#This Row], [TEAM]],Sheet1!$A$12:$A$17,Sheet1!$F$12:$F$17)</f>
        <v>3</v>
      </c>
      <c r="C1158" s="14">
        <f>_xlfn.XLOOKUP(Table1[[#This Row], [TEAM]],Sheet1!$A$12:$A$17,Sheet1!$G$12:$G$17)</f>
        <v>5988750</v>
      </c>
      <c r="D1158" t="s">
        <v>30</v>
      </c>
      <c r="E1158" s="4">
        <f>_xlfn.XLOOKUP(Table1[[#This Row], [ROOM]],Sheet1!$A$47:$A$66,Sheet1!$B$47:$B$66)</f>
        <v>246</v>
      </c>
      <c r="F1158" t="s">
        <v>58</v>
      </c>
      <c r="G115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58" s="13" t="s">
        <v>66</v>
      </c>
      <c r="I1158" s="4">
        <f>_xlfn.XLOOKUP(Table1[[#This Row], [WEAPON]],Sheet1!$A$27:$A$29,Sheet1!$B$27:$B$29)*Table1[[#This Row], [NUM OF MEM]]*(1+_xlfn.XLOOKUP(Table1[[#This Row], [WEAPON]],Sheet1!$A$27:$A$29,Sheet1!$C$27:$C$29))</f>
        <v>108000</v>
      </c>
      <c r="J1158" t="s">
        <v>64</v>
      </c>
      <c r="K1158" s="9">
        <f>Table1[[#This Row], [NUM OF MEM]]*Table1[[#This Row], [TOTAL TIME TAKEN]]*_xlfn.XLOOKUP(Table1[[#This Row], [EXIT]],Sheet1!$A$70:$A$71,Sheet1!$B$70:$B$71)*(1+_xlfn.XLOOKUP(Table1[[#This Row], [EXIT]],Sheet1!$A$70:$A$71,Sheet1!$C$70:$C$71))</f>
        <v>1655596.7999999993</v>
      </c>
      <c r="L1158" s="13" t="s">
        <v>65</v>
      </c>
      <c r="M1158" s="4">
        <f>IF(Table1[[#This Row], [EQUIPMENT]]="YES",Sheet1!$C$44*(1+Sheet1!$D$44),0)</f>
        <v>307500</v>
      </c>
      <c r="N1158" s="4">
        <f>_xlfn.XLOOKUP(Table1[[#This Row], [ROOM]],Sheet1!$A$47:$A$66,Sheet1!$F$47:$F$66)</f>
        <v>17600000</v>
      </c>
      <c r="O1158" s="9">
        <f>_xlfn.XLOOKUP(_xlfn.CONCAT(Table1[[#This Row], [TEAM]],Table1[[#This Row], [ROOM]]),'ROOM TIME'!$H$2:$H$121,'ROOM TIME'!$J$2:$J$121)</f>
        <v>37.582222222222207</v>
      </c>
      <c r="P1158" s="4">
        <f>(INDEX(Sheet1!$X$48:$Z$67,MATCH(Table1[[#This Row], [ROOM]],Sheet1!$P$48:$P$67,0),MATCH(Table1[[#This Row], [WEAPON]],Sheet1!$X$47:$Z$47,0)))/Table1[[#This Row], [NUM OF MEM]]</f>
        <v>5</v>
      </c>
      <c r="Q1158" s="9">
        <f>Table1[[#This Row], [ROOM TIME]]+Table1[[#This Row], [GUARD TIME]]</f>
        <v>42.582222222222207</v>
      </c>
      <c r="R1158" s="4">
        <f>Sheet1!$K$3*_xlfn.XLOOKUP(Table1[[#This Row], [DISGUISE]],Sheet1!$A$21:$A$23,Sheet1!$D$21:$D$23)</f>
        <v>69</v>
      </c>
      <c r="S1158" s="9">
        <f>Table1[[#This Row], [TOTAL TIME]]-Table1[[#This Row], [TOTAL TIME TAKEN]]</f>
        <v>26.417777777777793</v>
      </c>
      <c r="T1158" t="str">
        <f>IF(Table1[[#This Row], [TIME DIFFERENCE]]&gt;=0,"PASS","FAIL")</f>
        <v>PASS</v>
      </c>
      <c r="U1158" s="9">
        <f>Table1[[#This Row], [TRC]]+Table1[[#This Row], [DRC]]+Table1[[#This Row], [WRC]]+Table1[[#This Row], [ERC]]+Table1[[#This Row], [EQRC]]</f>
        <v>8098246.7999999989</v>
      </c>
      <c r="V1158" s="9">
        <f>Table1[[#This Row], [TOTAL COST]]+_xlfn.XLOOKUP(Table1[[#This Row], [TEAM]],Sheet1!$A$12:$A$17,Sheet1!$I$12:$I$17)</f>
        <v>8397684.2999999989</v>
      </c>
      <c r="W1158" s="9">
        <f>Table1[[#This Row], [LOOT]]-Table1[[#This Row], [TOTAL COST]]</f>
        <v>9501753.2000000011</v>
      </c>
      <c r="X1158" s="9">
        <f>IF(Table1[[#This Row], [PASS/FAIL]]="FAIL",0,Table1[[#This Row], [PROFIT]])</f>
        <v>9501753.2000000011</v>
      </c>
    </row>
    <row r="1159" spans="1:24" ht="19.5" customHeight="1" x14ac:dyDescent="0.45">
      <c r="A1159" t="s">
        <v>13</v>
      </c>
      <c r="B1159" s="14">
        <f>_xlfn.XLOOKUP(Table1[[#This Row], [TEAM]],Sheet1!$A$12:$A$17,Sheet1!$F$12:$F$17)</f>
        <v>3</v>
      </c>
      <c r="C1159" s="14">
        <f>_xlfn.XLOOKUP(Table1[[#This Row], [TEAM]],Sheet1!$A$12:$A$17,Sheet1!$G$12:$G$17)</f>
        <v>5930000</v>
      </c>
      <c r="D1159" t="s">
        <v>30</v>
      </c>
      <c r="E1159" s="4">
        <f>_xlfn.XLOOKUP(Table1[[#This Row], [ROOM]],Sheet1!$A$47:$A$66,Sheet1!$B$47:$B$66)</f>
        <v>246</v>
      </c>
      <c r="F1159" t="s">
        <v>58</v>
      </c>
      <c r="G1159" s="4">
        <f>_xlfn.XLOOKUP(Table1[[#This Row], [DISGUISE]],Sheet1!$A$21:$A$23,Sheet1!$B$21:$B$23)*Table1[[#This Row], [NUM OF MEM]]*(1+_xlfn.XLOOKUP(Table1[[#This Row], [DISGUISE]],Sheet1!$A$21:$A$23,Sheet1!$C$21:$C$23))</f>
        <v>38400</v>
      </c>
      <c r="H1159" s="13" t="s">
        <v>66</v>
      </c>
      <c r="I1159" s="4">
        <f>_xlfn.XLOOKUP(Table1[[#This Row], [WEAPON]],Sheet1!$A$27:$A$29,Sheet1!$B$27:$B$29)*Table1[[#This Row], [NUM OF MEM]]*(1+_xlfn.XLOOKUP(Table1[[#This Row], [WEAPON]],Sheet1!$A$27:$A$29,Sheet1!$C$27:$C$29))</f>
        <v>108000</v>
      </c>
      <c r="J1159" t="s">
        <v>60</v>
      </c>
      <c r="K1159" s="9">
        <f>Table1[[#This Row], [NUM OF MEM]]*Table1[[#This Row], [TOTAL TIME TAKEN]]*_xlfn.XLOOKUP(Table1[[#This Row], [EXIT]],Sheet1!$A$70:$A$71,Sheet1!$B$70:$B$71)*(1+_xlfn.XLOOKUP(Table1[[#This Row], [EXIT]],Sheet1!$A$70:$A$71,Sheet1!$C$70:$C$71))</f>
        <v>1715127.7874999996</v>
      </c>
      <c r="L1159" s="13" t="s">
        <v>65</v>
      </c>
      <c r="M1159" s="4">
        <f>IF(Table1[[#This Row], [EQUIPMENT]]="YES",Sheet1!$C$44*(1+Sheet1!$D$44),0)</f>
        <v>307500</v>
      </c>
      <c r="N1159" s="4">
        <f>_xlfn.XLOOKUP(Table1[[#This Row], [ROOM]],Sheet1!$A$47:$A$66,Sheet1!$F$47:$F$66)</f>
        <v>17600000</v>
      </c>
      <c r="O1159" s="9">
        <f>_xlfn.XLOOKUP(_xlfn.CONCAT(Table1[[#This Row], [TEAM]],Table1[[#This Row], [ROOM]]),'ROOM TIME'!$H$2:$H$121,'ROOM TIME'!$J$2:$J$121)</f>
        <v>39.551666666666655</v>
      </c>
      <c r="P1159" s="4">
        <f>(INDEX(Sheet1!$X$48:$Z$67,MATCH(Table1[[#This Row], [ROOM]],Sheet1!$P$48:$P$67,0),MATCH(Table1[[#This Row], [WEAPON]],Sheet1!$X$47:$Z$47,0)))/Table1[[#This Row], [NUM OF MEM]]</f>
        <v>5</v>
      </c>
      <c r="Q1159" s="9">
        <f>Table1[[#This Row], [ROOM TIME]]+Table1[[#This Row], [GUARD TIME]]</f>
        <v>44.551666666666655</v>
      </c>
      <c r="R1159" s="4">
        <f>Sheet1!$K$3*_xlfn.XLOOKUP(Table1[[#This Row], [DISGUISE]],Sheet1!$A$21:$A$23,Sheet1!$D$21:$D$23)</f>
        <v>69</v>
      </c>
      <c r="S1159" s="9">
        <f>Table1[[#This Row], [TOTAL TIME]]-Table1[[#This Row], [TOTAL TIME TAKEN]]</f>
        <v>24.448333333333345</v>
      </c>
      <c r="T1159" t="str">
        <f>IF(Table1[[#This Row], [TIME DIFFERENCE]]&gt;=0,"PASS","FAIL")</f>
        <v>PASS</v>
      </c>
      <c r="U1159" s="9">
        <f>Table1[[#This Row], [TRC]]+Table1[[#This Row], [DRC]]+Table1[[#This Row], [WRC]]+Table1[[#This Row], [ERC]]+Table1[[#This Row], [EQRC]]</f>
        <v>8099027.7874999996</v>
      </c>
      <c r="V1159" s="9">
        <f>Table1[[#This Row], [TOTAL COST]]+_xlfn.XLOOKUP(Table1[[#This Row], [TEAM]],Sheet1!$A$12:$A$17,Sheet1!$I$12:$I$17)</f>
        <v>8395527.7874999996</v>
      </c>
      <c r="W1159" s="9">
        <f>Table1[[#This Row], [LOOT]]-Table1[[#This Row], [TOTAL COST]]</f>
        <v>9500972.2125000004</v>
      </c>
      <c r="X1159" s="9">
        <f>IF(Table1[[#This Row], [PASS/FAIL]]="FAIL",0,Table1[[#This Row], [PROFIT]])</f>
        <v>9500972.2125000004</v>
      </c>
    </row>
    <row r="1160" spans="1:24" ht="19.5" customHeight="1" x14ac:dyDescent="0.45">
      <c r="A1160" t="s">
        <v>12</v>
      </c>
      <c r="B1160" s="14">
        <f>_xlfn.XLOOKUP(Table1[[#This Row], [TEAM]],Sheet1!$A$12:$A$17,Sheet1!$F$12:$F$17)</f>
        <v>3</v>
      </c>
      <c r="C1160" s="14">
        <f>_xlfn.XLOOKUP(Table1[[#This Row], [TEAM]],Sheet1!$A$12:$A$17,Sheet1!$G$12:$G$17)</f>
        <v>5988750</v>
      </c>
      <c r="D1160" t="s">
        <v>25</v>
      </c>
      <c r="E1160" s="4">
        <f>_xlfn.XLOOKUP(Table1[[#This Row], [ROOM]],Sheet1!$A$47:$A$66,Sheet1!$B$47:$B$66)</f>
        <v>126</v>
      </c>
      <c r="F1160" t="s">
        <v>58</v>
      </c>
      <c r="G1160" s="4">
        <f>_xlfn.XLOOKUP(Table1[[#This Row], [DISGUISE]],Sheet1!$A$21:$A$23,Sheet1!$B$21:$B$23)*Table1[[#This Row], [NUM OF MEM]]*(1+_xlfn.XLOOKUP(Table1[[#This Row], [DISGUISE]],Sheet1!$A$21:$A$23,Sheet1!$C$21:$C$23))</f>
        <v>38400</v>
      </c>
      <c r="H1160" s="13" t="s">
        <v>63</v>
      </c>
      <c r="I1160" s="4">
        <f>_xlfn.XLOOKUP(Table1[[#This Row], [WEAPON]],Sheet1!$A$27:$A$29,Sheet1!$B$27:$B$29)*Table1[[#This Row], [NUM OF MEM]]*(1+_xlfn.XLOOKUP(Table1[[#This Row], [WEAPON]],Sheet1!$A$27:$A$29,Sheet1!$C$27:$C$29))</f>
        <v>69000</v>
      </c>
      <c r="J1160" t="s">
        <v>60</v>
      </c>
      <c r="K1160" s="9">
        <f>Table1[[#This Row], [NUM OF MEM]]*Table1[[#This Row], [TOTAL TIME TAKEN]]*_xlfn.XLOOKUP(Table1[[#This Row], [EXIT]],Sheet1!$A$70:$A$71,Sheet1!$B$70:$B$71)*(1+_xlfn.XLOOKUP(Table1[[#This Row], [EXIT]],Sheet1!$A$70:$A$71,Sheet1!$C$70:$C$71))</f>
        <v>1645810.8999999992</v>
      </c>
      <c r="L1160" s="13" t="s">
        <v>65</v>
      </c>
      <c r="M1160" s="4">
        <f>IF(Table1[[#This Row], [EQUIPMENT]]="YES",Sheet1!$C$44*(1+Sheet1!$D$44),0)</f>
        <v>307500</v>
      </c>
      <c r="N1160" s="4">
        <f>_xlfn.XLOOKUP(Table1[[#This Row], [ROOM]],Sheet1!$A$47:$A$66,Sheet1!$F$47:$F$66)</f>
        <v>17550000</v>
      </c>
      <c r="O1160" s="9">
        <f>_xlfn.XLOOKUP(_xlfn.CONCAT(Table1[[#This Row], [TEAM]],Table1[[#This Row], [ROOM]]),'ROOM TIME'!$H$2:$H$121,'ROOM TIME'!$J$2:$J$121)</f>
        <v>37.801111111111091</v>
      </c>
      <c r="P1160" s="9">
        <f>(INDEX(Sheet1!$X$48:$Z$67,MATCH(Table1[[#This Row], [ROOM]],Sheet1!$P$48:$P$67,0),MATCH(Table1[[#This Row], [WEAPON]],Sheet1!$X$47:$Z$47,0)))/Table1[[#This Row], [NUM OF MEM]]</f>
        <v>4.95</v>
      </c>
      <c r="Q1160" s="9">
        <f>Table1[[#This Row], [ROOM TIME]]+Table1[[#This Row], [GUARD TIME]]</f>
        <v>42.751111111111094</v>
      </c>
      <c r="R1160" s="4">
        <f>Sheet1!$K$3*_xlfn.XLOOKUP(Table1[[#This Row], [DISGUISE]],Sheet1!$A$21:$A$23,Sheet1!$D$21:$D$23)</f>
        <v>69</v>
      </c>
      <c r="S1160" s="9">
        <f>Table1[[#This Row], [TOTAL TIME]]-Table1[[#This Row], [TOTAL TIME TAKEN]]</f>
        <v>26.248888888888906</v>
      </c>
      <c r="T1160" t="str">
        <f>IF(Table1[[#This Row], [TIME DIFFERENCE]]&gt;=0,"PASS","FAIL")</f>
        <v>PASS</v>
      </c>
      <c r="U1160" s="9">
        <f>Table1[[#This Row], [TRC]]+Table1[[#This Row], [DRC]]+Table1[[#This Row], [WRC]]+Table1[[#This Row], [ERC]]+Table1[[#This Row], [EQRC]]</f>
        <v>8049460.8999999994</v>
      </c>
      <c r="V1160" s="9">
        <f>Table1[[#This Row], [TOTAL COST]]+_xlfn.XLOOKUP(Table1[[#This Row], [TEAM]],Sheet1!$A$12:$A$17,Sheet1!$I$12:$I$17)</f>
        <v>8348898.3999999994</v>
      </c>
      <c r="W1160" s="9">
        <f>Table1[[#This Row], [LOOT]]-Table1[[#This Row], [TOTAL COST]]</f>
        <v>9500539.1000000015</v>
      </c>
      <c r="X1160" s="9">
        <f>IF(Table1[[#This Row], [PASS/FAIL]]="FAIL",0,Table1[[#This Row], [PROFIT]])</f>
        <v>9500539.1000000015</v>
      </c>
    </row>
    <row r="1161" spans="1:24" ht="19.5" customHeight="1" x14ac:dyDescent="0.45">
      <c r="A1161" t="s">
        <v>12</v>
      </c>
      <c r="B1161" s="14">
        <f>_xlfn.XLOOKUP(Table1[[#This Row], [TEAM]],Sheet1!$A$12:$A$17,Sheet1!$F$12:$F$17)</f>
        <v>3</v>
      </c>
      <c r="C1161" s="14">
        <f>_xlfn.XLOOKUP(Table1[[#This Row], [TEAM]],Sheet1!$A$12:$A$17,Sheet1!$G$12:$G$17)</f>
        <v>5988750</v>
      </c>
      <c r="D1161" t="s">
        <v>17</v>
      </c>
      <c r="E1161" s="4">
        <f>_xlfn.XLOOKUP(Table1[[#This Row], [ROOM]],Sheet1!$A$47:$A$66,Sheet1!$B$47:$B$66)</f>
        <v>125</v>
      </c>
      <c r="F1161" t="s">
        <v>62</v>
      </c>
      <c r="G116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61" s="13" t="s">
        <v>59</v>
      </c>
      <c r="I1161" s="4">
        <f>_xlfn.XLOOKUP(Table1[[#This Row], [WEAPON]],Sheet1!$A$27:$A$29,Sheet1!$B$27:$B$29)*Table1[[#This Row], [NUM OF MEM]]*(1+_xlfn.XLOOKUP(Table1[[#This Row], [WEAPON]],Sheet1!$A$27:$A$29,Sheet1!$C$27:$C$29))</f>
        <v>136500</v>
      </c>
      <c r="J1161" t="s">
        <v>64</v>
      </c>
      <c r="K1161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1709380.7999999993</v>
      </c>
      <c r="L1161" s="13" t="s">
        <v>61</v>
      </c>
      <c r="M1161" s="4">
        <f>IF(Table1[[#This Row], [EQUIPMENT]]="YES",Sheet1!$C$44*(1+Sheet1!$D$44),0)</f>
        <v>0</v>
      </c>
      <c r="N1161" s="4">
        <f>_xlfn.XLOOKUP(Table1[[#This Row], [ROOM]],Sheet1!$A$47:$A$66,Sheet1!$F$47:$F$66)</f>
        <v>17350000</v>
      </c>
      <c r="O1161" s="9">
        <f>_xlfn.XLOOKUP(_xlfn.CONCAT(Table1[[#This Row], [TEAM]],Table1[[#This Row], [ROOM]]),'ROOM TIME'!$H$2:$H$121,'ROOM TIME'!$J$2:$J$121)</f>
        <v>40.132222222222204</v>
      </c>
      <c r="P1161" s="9">
        <f>(INDEX(Sheet1!$X$48:$Z$67,MATCH(Table1[[#This Row], [ROOM]],Sheet1!$P$48:$P$67,0),MATCH(Table1[[#This Row], [WEAPON]],Sheet1!$X$47:$Z$47,0)))/Table1[[#This Row], [NUM OF MEM]]</f>
        <v>3.8333333333333335</v>
      </c>
      <c r="Q1161" s="9">
        <f>Table1[[#This Row], [ROOM TIME]]+Table1[[#This Row], [GUARD TIME]]</f>
        <v>43.96555555555554</v>
      </c>
      <c r="R1161" s="4">
        <f>Sheet1!$K$3*_xlfn.XLOOKUP(Table1[[#This Row], [DISGUISE]],Sheet1!$A$21:$A$23,Sheet1!$D$21:$D$23)</f>
        <v>66</v>
      </c>
      <c r="S1161" s="9">
        <f>Table1[[#This Row], [TOTAL TIME]]-Table1[[#This Row], [TOTAL TIME TAKEN]]</f>
        <v>22.03444444444446</v>
      </c>
      <c r="T1161" t="str">
        <f>IF(Table1[[#This Row], [TIME DIFFERENCE]]&gt;=0,"PASS","FAIL")</f>
        <v>PASS</v>
      </c>
      <c r="U1161" s="9">
        <f>Table1[[#This Row], [TRC]]+Table1[[#This Row], [DRC]]+Table1[[#This Row], [WRC]]+Table1[[#This Row], [ERC]]+Table1[[#This Row], [EQRC]]</f>
        <v>7850230.7999999989</v>
      </c>
      <c r="V1161" s="9">
        <f>Table1[[#This Row], [TOTAL COST]]+_xlfn.XLOOKUP(Table1[[#This Row], [TEAM]],Sheet1!$A$12:$A$17,Sheet1!$I$12:$I$17)</f>
        <v>8149668.2999999989</v>
      </c>
      <c r="W1161" s="9">
        <f>Table1[[#This Row], [LOOT]]-Table1[[#This Row], [TOTAL COST]]</f>
        <v>9499769.2000000011</v>
      </c>
      <c r="X1161" s="9">
        <f>IF(Table1[[#This Row], [PASS/FAIL]]="FAIL",0,Table1[[#This Row], [PROFIT]])</f>
        <v>9499769.2000000011</v>
      </c>
    </row>
    <row r="1162" spans="1:24" ht="19.5" customHeight="1" x14ac:dyDescent="0.45">
      <c r="A1162" t="s">
        <v>15</v>
      </c>
      <c r="B1162" s="14">
        <f>_xlfn.XLOOKUP(Table1[[#This Row], [TEAM]],Sheet1!$A$12:$A$17,Sheet1!$F$12:$F$17)</f>
        <v>2</v>
      </c>
      <c r="C1162" s="14">
        <f>_xlfn.XLOOKUP(Table1[[#This Row], [TEAM]],Sheet1!$A$12:$A$17,Sheet1!$G$12:$G$17)</f>
        <v>5932950</v>
      </c>
      <c r="D1162" t="s">
        <v>20</v>
      </c>
      <c r="E1162" s="4">
        <f>_xlfn.XLOOKUP(Table1[[#This Row], [ROOM]],Sheet1!$A$47:$A$66,Sheet1!$B$47:$B$66)</f>
        <v>145</v>
      </c>
      <c r="F1162" t="s">
        <v>58</v>
      </c>
      <c r="G1162" s="4">
        <f>_xlfn.XLOOKUP(Table1[[#This Row], [DISGUISE]],Sheet1!$A$21:$A$23,Sheet1!$B$21:$B$23)*Table1[[#This Row], [NUM OF MEM]]*(1+_xlfn.XLOOKUP(Table1[[#This Row], [DISGUISE]],Sheet1!$A$21:$A$23,Sheet1!$C$21:$C$23))</f>
        <v>25600</v>
      </c>
      <c r="H1162" s="13" t="s">
        <v>59</v>
      </c>
      <c r="I1162" s="4">
        <f>_xlfn.XLOOKUP(Table1[[#This Row], [WEAPON]],Sheet1!$A$27:$A$29,Sheet1!$B$27:$B$29)*Table1[[#This Row], [NUM OF MEM]]*(1+_xlfn.XLOOKUP(Table1[[#This Row], [WEAPON]],Sheet1!$A$27:$A$29,Sheet1!$C$27:$C$29))</f>
        <v>91000</v>
      </c>
      <c r="J1162" t="s">
        <v>64</v>
      </c>
      <c r="K1162" s="9">
        <f>Table1[[#This Row], [NUM OF MEM]]*Table1[[#This Row], [TOTAL TIME TAKEN]]*_xlfn.XLOOKUP(Table1[[#This Row], [EXIT]],Sheet1!$A$70:$A$71,Sheet1!$B$70:$B$71)*(1+_xlfn.XLOOKUP(Table1[[#This Row], [EXIT]],Sheet1!$A$70:$A$71,Sheet1!$C$70:$C$71))</f>
        <v>1693645.1999999995</v>
      </c>
      <c r="L1162" s="13" t="s">
        <v>65</v>
      </c>
      <c r="M1162" s="4">
        <f>IF(Table1[[#This Row], [EQUIPMENT]]="YES",Sheet1!$C$44*(1+Sheet1!$D$44),0)</f>
        <v>307500</v>
      </c>
      <c r="N1162" s="4">
        <f>_xlfn.XLOOKUP(Table1[[#This Row], [ROOM]],Sheet1!$A$47:$A$66,Sheet1!$F$47:$F$66)</f>
        <v>17550000</v>
      </c>
      <c r="O1162" s="9">
        <f>_xlfn.XLOOKUP(_xlfn.CONCAT(Table1[[#This Row], [TEAM]],Table1[[#This Row], [ROOM]]),'ROOM TIME'!$H$2:$H$121,'ROOM TIME'!$J$2:$J$121)</f>
        <v>59.591249999999981</v>
      </c>
      <c r="P1162" s="9">
        <f>(INDEX(Sheet1!$X$48:$Z$67,MATCH(Table1[[#This Row], [ROOM]],Sheet1!$P$48:$P$67,0),MATCH(Table1[[#This Row], [WEAPON]],Sheet1!$X$47:$Z$47,0)))/Table1[[#This Row], [NUM OF MEM]]</f>
        <v>5.75</v>
      </c>
      <c r="Q1162" s="9">
        <f>Table1[[#This Row], [ROOM TIME]]+Table1[[#This Row], [GUARD TIME]]</f>
        <v>65.341249999999974</v>
      </c>
      <c r="R1162" s="4">
        <f>Sheet1!$K$3*_xlfn.XLOOKUP(Table1[[#This Row], [DISGUISE]],Sheet1!$A$21:$A$23,Sheet1!$D$21:$D$23)</f>
        <v>69</v>
      </c>
      <c r="S1162" s="9">
        <f>Table1[[#This Row], [TOTAL TIME]]-Table1[[#This Row], [TOTAL TIME TAKEN]]</f>
        <v>3.6587500000000261</v>
      </c>
      <c r="T1162" t="str">
        <f>IF(Table1[[#This Row], [TIME DIFFERENCE]]&gt;=0,"PASS","FAIL")</f>
        <v>PASS</v>
      </c>
      <c r="U1162" s="9">
        <f>Table1[[#This Row], [TRC]]+Table1[[#This Row], [DRC]]+Table1[[#This Row], [WRC]]+Table1[[#This Row], [ERC]]+Table1[[#This Row], [EQRC]]</f>
        <v>8050695.1999999993</v>
      </c>
      <c r="V1162" s="9">
        <f>Table1[[#This Row], [TOTAL COST]]+_xlfn.XLOOKUP(Table1[[#This Row], [TEAM]],Sheet1!$A$12:$A$17,Sheet1!$I$12:$I$17)</f>
        <v>8347342.6999999993</v>
      </c>
      <c r="W1162" s="9">
        <f>Table1[[#This Row], [LOOT]]-Table1[[#This Row], [TOTAL COST]]</f>
        <v>9499304.8000000007</v>
      </c>
      <c r="X1162" s="9">
        <f>IF(Table1[[#This Row], [PASS/FAIL]]="FAIL",0,Table1[[#This Row], [PROFIT]])</f>
        <v>9499304.8000000007</v>
      </c>
    </row>
    <row r="1163" spans="1:24" ht="19.5" customHeight="1" x14ac:dyDescent="0.45">
      <c r="A1163" t="s">
        <v>12</v>
      </c>
      <c r="B1163" s="14">
        <f>_xlfn.XLOOKUP(Table1[[#This Row], [TEAM]],Sheet1!$A$12:$A$17,Sheet1!$F$12:$F$17)</f>
        <v>3</v>
      </c>
      <c r="C1163" s="14">
        <f>_xlfn.XLOOKUP(Table1[[#This Row], [TEAM]],Sheet1!$A$12:$A$17,Sheet1!$G$12:$G$17)</f>
        <v>5988750</v>
      </c>
      <c r="D1163" t="s">
        <v>25</v>
      </c>
      <c r="E1163" s="4">
        <f>_xlfn.XLOOKUP(Table1[[#This Row], [ROOM]],Sheet1!$A$47:$A$66,Sheet1!$B$47:$B$66)</f>
        <v>126</v>
      </c>
      <c r="F1163" t="s">
        <v>62</v>
      </c>
      <c r="G116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63" s="13" t="s">
        <v>66</v>
      </c>
      <c r="I1163" s="4">
        <f>_xlfn.XLOOKUP(Table1[[#This Row], [WEAPON]],Sheet1!$A$27:$A$29,Sheet1!$B$27:$B$29)*Table1[[#This Row], [NUM OF MEM]]*(1+_xlfn.XLOOKUP(Table1[[#This Row], [WEAPON]],Sheet1!$A$27:$A$29,Sheet1!$C$27:$C$29))</f>
        <v>108000</v>
      </c>
      <c r="J1163" t="s">
        <v>60</v>
      </c>
      <c r="K1163" s="9">
        <f>Table1[[#This Row], [NUM OF MEM]]*Table1[[#This Row], [TOTAL TIME TAKEN]]*_xlfn.XLOOKUP(Table1[[#This Row], [EXIT]],Sheet1!$A$70:$A$71,Sheet1!$B$70:$B$71)*(1+_xlfn.XLOOKUP(Table1[[#This Row], [EXIT]],Sheet1!$A$70:$A$71,Sheet1!$C$70:$C$71))</f>
        <v>1631695.1499999992</v>
      </c>
      <c r="L1163" s="13" t="s">
        <v>65</v>
      </c>
      <c r="M1163" s="4">
        <f>IF(Table1[[#This Row], [EQUIPMENT]]="YES",Sheet1!$C$44*(1+Sheet1!$D$44),0)</f>
        <v>307500</v>
      </c>
      <c r="N1163" s="4">
        <f>_xlfn.XLOOKUP(Table1[[#This Row], [ROOM]],Sheet1!$A$47:$A$66,Sheet1!$F$47:$F$66)</f>
        <v>17550000</v>
      </c>
      <c r="O1163" s="9">
        <f>_xlfn.XLOOKUP(_xlfn.CONCAT(Table1[[#This Row], [TEAM]],Table1[[#This Row], [ROOM]]),'ROOM TIME'!$H$2:$H$121,'ROOM TIME'!$J$2:$J$121)</f>
        <v>37.801111111111091</v>
      </c>
      <c r="P1163" s="9">
        <f>(INDEX(Sheet1!$X$48:$Z$67,MATCH(Table1[[#This Row], [ROOM]],Sheet1!$P$48:$P$67,0),MATCH(Table1[[#This Row], [WEAPON]],Sheet1!$X$47:$Z$47,0)))/Table1[[#This Row], [NUM OF MEM]]</f>
        <v>4.583333333333333</v>
      </c>
      <c r="Q1163" s="9">
        <f>Table1[[#This Row], [ROOM TIME]]+Table1[[#This Row], [GUARD TIME]]</f>
        <v>42.384444444444426</v>
      </c>
      <c r="R1163" s="4">
        <f>Sheet1!$K$3*_xlfn.XLOOKUP(Table1[[#This Row], [DISGUISE]],Sheet1!$A$21:$A$23,Sheet1!$D$21:$D$23)</f>
        <v>66</v>
      </c>
      <c r="S1163" s="9">
        <f>Table1[[#This Row], [TOTAL TIME]]-Table1[[#This Row], [TOTAL TIME TAKEN]]</f>
        <v>23.615555555555574</v>
      </c>
      <c r="T1163" t="str">
        <f>IF(Table1[[#This Row], [TIME DIFFERENCE]]&gt;=0,"PASS","FAIL")</f>
        <v>PASS</v>
      </c>
      <c r="U1163" s="9">
        <f>Table1[[#This Row], [TRC]]+Table1[[#This Row], [DRC]]+Table1[[#This Row], [WRC]]+Table1[[#This Row], [ERC]]+Table1[[#This Row], [EQRC]]</f>
        <v>8051545.1499999994</v>
      </c>
      <c r="V1163" s="9">
        <f>Table1[[#This Row], [TOTAL COST]]+_xlfn.XLOOKUP(Table1[[#This Row], [TEAM]],Sheet1!$A$12:$A$17,Sheet1!$I$12:$I$17)</f>
        <v>8350982.6499999994</v>
      </c>
      <c r="W1163" s="9">
        <f>Table1[[#This Row], [LOOT]]-Table1[[#This Row], [TOTAL COST]]</f>
        <v>9498454.8500000015</v>
      </c>
      <c r="X1163" s="9">
        <f>IF(Table1[[#This Row], [PASS/FAIL]]="FAIL",0,Table1[[#This Row], [PROFIT]])</f>
        <v>9498454.8500000015</v>
      </c>
    </row>
    <row r="1164" spans="1:24" ht="19.5" customHeight="1" x14ac:dyDescent="0.45">
      <c r="A1164" t="s">
        <v>9</v>
      </c>
      <c r="B1164" s="14">
        <f>_xlfn.XLOOKUP(Table1[[#This Row], [TEAM]],Sheet1!$A$12:$A$17,Sheet1!$F$12:$F$17)</f>
        <v>3</v>
      </c>
      <c r="C1164" s="14">
        <f>_xlfn.XLOOKUP(Table1[[#This Row], [TEAM]],Sheet1!$A$12:$A$17,Sheet1!$G$12:$G$17)</f>
        <v>6238750</v>
      </c>
      <c r="D1164" t="s">
        <v>21</v>
      </c>
      <c r="E1164" s="4">
        <f>_xlfn.XLOOKUP(Table1[[#This Row], [ROOM]],Sheet1!$A$47:$A$66,Sheet1!$B$47:$B$66)</f>
        <v>234</v>
      </c>
      <c r="F1164" t="s">
        <v>62</v>
      </c>
      <c r="G1164" s="4">
        <f>_xlfn.XLOOKUP(Table1[[#This Row], [DISGUISE]],Sheet1!$A$21:$A$23,Sheet1!$B$21:$B$23)*Table1[[#This Row], [NUM OF MEM]]*(1+_xlfn.XLOOKUP(Table1[[#This Row], [DISGUISE]],Sheet1!$A$21:$A$23,Sheet1!$C$21:$C$23))</f>
        <v>15600</v>
      </c>
      <c r="H1164" s="13" t="s">
        <v>63</v>
      </c>
      <c r="I1164" s="4">
        <f>_xlfn.XLOOKUP(Table1[[#This Row], [WEAPON]],Sheet1!$A$27:$A$29,Sheet1!$B$27:$B$29)*Table1[[#This Row], [NUM OF MEM]]*(1+_xlfn.XLOOKUP(Table1[[#This Row], [WEAPON]],Sheet1!$A$27:$A$29,Sheet1!$C$27:$C$29))</f>
        <v>69000</v>
      </c>
      <c r="J1164" t="s">
        <v>64</v>
      </c>
      <c r="K1164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1770940.7999999996</v>
      </c>
      <c r="L1164" s="13" t="s">
        <v>65</v>
      </c>
      <c r="M1164" s="4">
        <f>IF(Table1[[#This Row], [EQUIPMENT]]="YES",Sheet1!$C$44*(1+Sheet1!$D$44),0)</f>
        <v>307500</v>
      </c>
      <c r="N1164" s="4">
        <f>_xlfn.XLOOKUP(Table1[[#This Row], [ROOM]],Sheet1!$A$47:$A$66,Sheet1!$F$47:$F$66)</f>
        <v>17900000</v>
      </c>
      <c r="O1164" s="9">
        <f>_xlfn.XLOOKUP(_xlfn.CONCAT(Table1[[#This Row], [TEAM]],Table1[[#This Row], [ROOM]]),'ROOM TIME'!$H$2:$H$121,'ROOM TIME'!$J$2:$J$121)</f>
        <v>39.698888888888881</v>
      </c>
      <c r="P1164" s="9">
        <f>(INDEX(Sheet1!$X$48:$Z$67,MATCH(Table1[[#This Row], [ROOM]],Sheet1!$P$48:$P$67,0),MATCH(Table1[[#This Row], [WEAPON]],Sheet1!$X$47:$Z$47,0)))/Table1[[#This Row], [NUM OF MEM]]</f>
        <v>5.8500000000000005</v>
      </c>
      <c r="Q1164" s="9">
        <f>Table1[[#This Row], [ROOM TIME]]+Table1[[#This Row], [GUARD TIME]]</f>
        <v>45.548888888888882</v>
      </c>
      <c r="R1164" s="4">
        <f>Sheet1!$K$3*_xlfn.XLOOKUP(Table1[[#This Row], [DISGUISE]],Sheet1!$A$21:$A$23,Sheet1!$D$21:$D$23)</f>
        <v>66</v>
      </c>
      <c r="S1164" s="9">
        <f>Table1[[#This Row], [TOTAL TIME]]-Table1[[#This Row], [TOTAL TIME TAKEN]]</f>
        <v>20.451111111111118</v>
      </c>
      <c r="T1164" t="str">
        <f>IF(Table1[[#This Row], [TIME DIFFERENCE]]&gt;=0,"PASS","FAIL")</f>
        <v>PASS</v>
      </c>
      <c r="U1164" s="9">
        <f>Table1[[#This Row], [TRC]]+Table1[[#This Row], [DRC]]+Table1[[#This Row], [WRC]]+Table1[[#This Row], [ERC]]+Table1[[#This Row], [EQRC]]</f>
        <v>8401790.8000000007</v>
      </c>
      <c r="V1164" s="9">
        <f>Table1[[#This Row], [TOTAL COST]]+_xlfn.XLOOKUP(Table1[[#This Row], [TEAM]],Sheet1!$A$12:$A$17,Sheet1!$I$12:$I$17)</f>
        <v>8713728.3000000007</v>
      </c>
      <c r="W1164" s="9">
        <f>Table1[[#This Row], [LOOT]]-Table1[[#This Row], [TOTAL COST]]</f>
        <v>9498209.1999999993</v>
      </c>
      <c r="X1164" s="9">
        <f>IF(Table1[[#This Row], [PASS/FAIL]]="FAIL",0,Table1[[#This Row], [PROFIT]])</f>
        <v>9498209.1999999993</v>
      </c>
    </row>
    <row r="1165" spans="1:24" ht="19.5" customHeight="1" x14ac:dyDescent="0.45">
      <c r="A1165" t="s">
        <v>13</v>
      </c>
      <c r="B1165" s="14">
        <f>_xlfn.XLOOKUP(Table1[[#This Row], [TEAM]],Sheet1!$A$12:$A$17,Sheet1!$F$12:$F$17)</f>
        <v>3</v>
      </c>
      <c r="C1165" s="14">
        <f>_xlfn.XLOOKUP(Table1[[#This Row], [TEAM]],Sheet1!$A$12:$A$17,Sheet1!$G$12:$G$17)</f>
        <v>5930000</v>
      </c>
      <c r="D1165" t="s">
        <v>17</v>
      </c>
      <c r="E1165" s="4">
        <f>_xlfn.XLOOKUP(Table1[[#This Row], [ROOM]],Sheet1!$A$47:$A$66,Sheet1!$B$47:$B$66)</f>
        <v>125</v>
      </c>
      <c r="F1165" t="s">
        <v>58</v>
      </c>
      <c r="G1165" s="4">
        <f>_xlfn.XLOOKUP(Table1[[#This Row], [DISGUISE]],Sheet1!$A$21:$A$23,Sheet1!$B$21:$B$23)*Table1[[#This Row], [NUM OF MEM]]*(1+_xlfn.XLOOKUP(Table1[[#This Row], [DISGUISE]],Sheet1!$A$21:$A$23,Sheet1!$C$21:$C$23))</f>
        <v>38400</v>
      </c>
      <c r="H1165" s="13" t="s">
        <v>63</v>
      </c>
      <c r="I1165" s="4">
        <f>_xlfn.XLOOKUP(Table1[[#This Row], [WEAPON]],Sheet1!$A$27:$A$29,Sheet1!$B$27:$B$29)*Table1[[#This Row], [NUM OF MEM]]*(1+_xlfn.XLOOKUP(Table1[[#This Row], [WEAPON]],Sheet1!$A$27:$A$29,Sheet1!$C$27:$C$29))</f>
        <v>69000</v>
      </c>
      <c r="J1165" t="s">
        <v>64</v>
      </c>
      <c r="K1165" s="9">
        <f>Table1[[#This Row], [NUM OF MEM]]*Table1[[#This Row], [TOTAL TIME TAKEN]]*_xlfn.XLOOKUP(Table1[[#This Row], [EXIT]],Sheet1!$A$70:$A$71,Sheet1!$B$70:$B$71)*(1+_xlfn.XLOOKUP(Table1[[#This Row], [EXIT]],Sheet1!$A$70:$A$71,Sheet1!$C$70:$C$71))</f>
        <v>1814421.5999999996</v>
      </c>
      <c r="L1165" s="13" t="s">
        <v>61</v>
      </c>
      <c r="M1165" s="4">
        <f>IF(Table1[[#This Row], [EQUIPMENT]]="YES",Sheet1!$C$44*(1+Sheet1!$D$44),0)</f>
        <v>0</v>
      </c>
      <c r="N1165" s="4">
        <f>_xlfn.XLOOKUP(Table1[[#This Row], [ROOM]],Sheet1!$A$47:$A$66,Sheet1!$F$47:$F$66)</f>
        <v>17350000</v>
      </c>
      <c r="O1165" s="9">
        <f>_xlfn.XLOOKUP(_xlfn.CONCAT(Table1[[#This Row], [TEAM]],Table1[[#This Row], [ROOM]]),'ROOM TIME'!$H$2:$H$121,'ROOM TIME'!$J$2:$J$121)</f>
        <v>42.167222222222215</v>
      </c>
      <c r="P1165" s="9">
        <f>(INDEX(Sheet1!$X$48:$Z$67,MATCH(Table1[[#This Row], [ROOM]],Sheet1!$P$48:$P$67,0),MATCH(Table1[[#This Row], [WEAPON]],Sheet1!$X$47:$Z$47,0)))/Table1[[#This Row], [NUM OF MEM]]</f>
        <v>4.5</v>
      </c>
      <c r="Q1165" s="9">
        <f>Table1[[#This Row], [ROOM TIME]]+Table1[[#This Row], [GUARD TIME]]</f>
        <v>46.667222222222215</v>
      </c>
      <c r="R1165" s="4">
        <f>Sheet1!$K$3*_xlfn.XLOOKUP(Table1[[#This Row], [DISGUISE]],Sheet1!$A$21:$A$23,Sheet1!$D$21:$D$23)</f>
        <v>69</v>
      </c>
      <c r="S1165" s="9">
        <f>Table1[[#This Row], [TOTAL TIME]]-Table1[[#This Row], [TOTAL TIME TAKEN]]</f>
        <v>22.332777777777785</v>
      </c>
      <c r="T1165" t="str">
        <f>IF(Table1[[#This Row], [TIME DIFFERENCE]]&gt;=0,"PASS","FAIL")</f>
        <v>PASS</v>
      </c>
      <c r="U1165" s="9">
        <f>Table1[[#This Row], [TRC]]+Table1[[#This Row], [DRC]]+Table1[[#This Row], [WRC]]+Table1[[#This Row], [ERC]]+Table1[[#This Row], [EQRC]]</f>
        <v>7851821.5999999996</v>
      </c>
      <c r="V1165" s="9">
        <f>Table1[[#This Row], [TOTAL COST]]+_xlfn.XLOOKUP(Table1[[#This Row], [TEAM]],Sheet1!$A$12:$A$17,Sheet1!$I$12:$I$17)</f>
        <v>8148321.5999999996</v>
      </c>
      <c r="W1165" s="9">
        <f>Table1[[#This Row], [LOOT]]-Table1[[#This Row], [TOTAL COST]]</f>
        <v>9498178.4000000004</v>
      </c>
      <c r="X1165" s="9">
        <f>IF(Table1[[#This Row], [PASS/FAIL]]="FAIL",0,Table1[[#This Row], [PROFIT]])</f>
        <v>9498178.4000000004</v>
      </c>
    </row>
    <row r="1166" spans="1:24" ht="19.5" customHeight="1" x14ac:dyDescent="0.45">
      <c r="A1166" t="s">
        <v>9</v>
      </c>
      <c r="B1166" s="14">
        <f>_xlfn.XLOOKUP(Table1[[#This Row], [TEAM]],Sheet1!$A$12:$A$17,Sheet1!$F$12:$F$17)</f>
        <v>3</v>
      </c>
      <c r="C1166" s="14">
        <f>_xlfn.XLOOKUP(Table1[[#This Row], [TEAM]],Sheet1!$A$12:$A$17,Sheet1!$G$12:$G$17)</f>
        <v>6238750</v>
      </c>
      <c r="D1166" t="s">
        <v>34</v>
      </c>
      <c r="E1166" s="4">
        <f>_xlfn.XLOOKUP(Table1[[#This Row], [ROOM]],Sheet1!$A$47:$A$66,Sheet1!$B$47:$B$66)</f>
        <v>456</v>
      </c>
      <c r="F1166" t="s">
        <v>58</v>
      </c>
      <c r="G116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66" s="13" t="s">
        <v>63</v>
      </c>
      <c r="I1166" s="4">
        <f>_xlfn.XLOOKUP(Table1[[#This Row], [WEAPON]],Sheet1!$A$27:$A$29,Sheet1!$B$27:$B$29)*Table1[[#This Row], [NUM OF MEM]]*(1+_xlfn.XLOOKUP(Table1[[#This Row], [WEAPON]],Sheet1!$A$27:$A$29,Sheet1!$C$27:$C$29))</f>
        <v>69000</v>
      </c>
      <c r="J1166" t="s">
        <v>60</v>
      </c>
      <c r="K1166" s="9">
        <f>Table1[[#This Row], [NUM OF MEM]]*Table1[[#This Row], [TOTAL TIME TAKEN]]*_xlfn.XLOOKUP(Table1[[#This Row], [EXIT]],Sheet1!$A$70:$A$71,Sheet1!$B$70:$B$71)*(1+_xlfn.XLOOKUP(Table1[[#This Row], [EXIT]],Sheet1!$A$70:$A$71,Sheet1!$C$70:$C$71))</f>
        <v>1548283.8999999997</v>
      </c>
      <c r="L1166" s="13" t="s">
        <v>65</v>
      </c>
      <c r="M1166" s="4">
        <f>IF(Table1[[#This Row], [EQUIPMENT]]="YES",Sheet1!$C$44*(1+Sheet1!$D$44),0)</f>
        <v>307500</v>
      </c>
      <c r="N1166" s="4">
        <f>_xlfn.XLOOKUP(Table1[[#This Row], [ROOM]],Sheet1!$A$47:$A$66,Sheet1!$F$47:$F$66)</f>
        <v>17700000</v>
      </c>
      <c r="O1166" s="9">
        <f>_xlfn.XLOOKUP(_xlfn.CONCAT(Table1[[#This Row], [TEAM]],Table1[[#This Row], [ROOM]]),'ROOM TIME'!$H$2:$H$121,'ROOM TIME'!$J$2:$J$121)</f>
        <v>35.267777777777766</v>
      </c>
      <c r="P1166" s="9">
        <f>(INDEX(Sheet1!$X$48:$Z$67,MATCH(Table1[[#This Row], [ROOM]],Sheet1!$P$48:$P$67,0),MATCH(Table1[[#This Row], [WEAPON]],Sheet1!$X$47:$Z$47,0)))/Table1[[#This Row], [NUM OF MEM]]</f>
        <v>4.95</v>
      </c>
      <c r="Q1166" s="9">
        <f>Table1[[#This Row], [ROOM TIME]]+Table1[[#This Row], [GUARD TIME]]</f>
        <v>40.217777777777769</v>
      </c>
      <c r="R1166" s="4">
        <f>Sheet1!$K$3*_xlfn.XLOOKUP(Table1[[#This Row], [DISGUISE]],Sheet1!$A$21:$A$23,Sheet1!$D$21:$D$23)</f>
        <v>69</v>
      </c>
      <c r="S1166" s="9">
        <f>Table1[[#This Row], [TOTAL TIME]]-Table1[[#This Row], [TOTAL TIME TAKEN]]</f>
        <v>28.782222222222231</v>
      </c>
      <c r="T1166" t="str">
        <f>IF(Table1[[#This Row], [TIME DIFFERENCE]]&gt;=0,"PASS","FAIL")</f>
        <v>PASS</v>
      </c>
      <c r="U1166" s="9">
        <f>Table1[[#This Row], [TRC]]+Table1[[#This Row], [DRC]]+Table1[[#This Row], [WRC]]+Table1[[#This Row], [ERC]]+Table1[[#This Row], [EQRC]]</f>
        <v>8201933.8999999994</v>
      </c>
      <c r="V1166" s="9">
        <f>Table1[[#This Row], [TOTAL COST]]+_xlfn.XLOOKUP(Table1[[#This Row], [TEAM]],Sheet1!$A$12:$A$17,Sheet1!$I$12:$I$17)</f>
        <v>8513871.3999999985</v>
      </c>
      <c r="W1166" s="9">
        <f>Table1[[#This Row], [LOOT]]-Table1[[#This Row], [TOTAL COST]]</f>
        <v>9498066.1000000015</v>
      </c>
      <c r="X1166" s="9">
        <f>IF(Table1[[#This Row], [PASS/FAIL]]="FAIL",0,Table1[[#This Row], [PROFIT]])</f>
        <v>9498066.1000000015</v>
      </c>
    </row>
    <row r="1167" spans="1:24" ht="19.5" customHeight="1" x14ac:dyDescent="0.45">
      <c r="A1167" t="s">
        <v>14</v>
      </c>
      <c r="B1167" s="14">
        <f>_xlfn.XLOOKUP(Table1[[#This Row], [TEAM]],Sheet1!$A$12:$A$17,Sheet1!$F$12:$F$17)</f>
        <v>2</v>
      </c>
      <c r="C1167" s="14">
        <f>_xlfn.XLOOKUP(Table1[[#This Row], [TEAM]],Sheet1!$A$12:$A$17,Sheet1!$G$12:$G$17)</f>
        <v>5949600</v>
      </c>
      <c r="D1167" t="s">
        <v>20</v>
      </c>
      <c r="E1167" s="4">
        <f>_xlfn.XLOOKUP(Table1[[#This Row], [ROOM]],Sheet1!$A$47:$A$66,Sheet1!$B$47:$B$66)</f>
        <v>145</v>
      </c>
      <c r="F1167" t="s">
        <v>58</v>
      </c>
      <c r="G116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67" s="13" t="s">
        <v>66</v>
      </c>
      <c r="I1167" s="4">
        <f>_xlfn.XLOOKUP(Table1[[#This Row], [WEAPON]],Sheet1!$A$27:$A$29,Sheet1!$B$27:$B$29)*Table1[[#This Row], [NUM OF MEM]]*(1+_xlfn.XLOOKUP(Table1[[#This Row], [WEAPON]],Sheet1!$A$27:$A$29,Sheet1!$C$27:$C$29))</f>
        <v>72000</v>
      </c>
      <c r="J1167" t="s">
        <v>60</v>
      </c>
      <c r="K1167" s="9">
        <f>Table1[[#This Row], [NUM OF MEM]]*Table1[[#This Row], [TOTAL TIME TAKEN]]*_xlfn.XLOOKUP(Table1[[#This Row], [EXIT]],Sheet1!$A$70:$A$71,Sheet1!$B$70:$B$71)*(1+_xlfn.XLOOKUP(Table1[[#This Row], [EXIT]],Sheet1!$A$70:$A$71,Sheet1!$C$70:$C$71))</f>
        <v>1697483.0999999996</v>
      </c>
      <c r="L1167" s="13" t="s">
        <v>65</v>
      </c>
      <c r="M1167" s="4">
        <f>IF(Table1[[#This Row], [EQUIPMENT]]="YES",Sheet1!$C$44*(1+Sheet1!$D$44),0)</f>
        <v>307500</v>
      </c>
      <c r="N1167" s="4">
        <f>_xlfn.XLOOKUP(Table1[[#This Row], [ROOM]],Sheet1!$A$47:$A$66,Sheet1!$F$47:$F$66)</f>
        <v>17550000</v>
      </c>
      <c r="O1167" s="9">
        <f>_xlfn.XLOOKUP(_xlfn.CONCAT(Table1[[#This Row], [TEAM]],Table1[[#This Row], [ROOM]]),'ROOM TIME'!$H$2:$H$121,'ROOM TIME'!$J$2:$J$121)</f>
        <v>59.889999999999986</v>
      </c>
      <c r="P1167" s="9">
        <f>(INDEX(Sheet1!$X$48:$Z$67,MATCH(Table1[[#This Row], [ROOM]],Sheet1!$P$48:$P$67,0),MATCH(Table1[[#This Row], [WEAPON]],Sheet1!$X$47:$Z$47,0)))/Table1[[#This Row], [NUM OF MEM]]</f>
        <v>6.25</v>
      </c>
      <c r="Q1167" s="9">
        <f>Table1[[#This Row], [ROOM TIME]]+Table1[[#This Row], [GUARD TIME]]</f>
        <v>66.139999999999986</v>
      </c>
      <c r="R1167" s="4">
        <f>Sheet1!$K$3*_xlfn.XLOOKUP(Table1[[#This Row], [DISGUISE]],Sheet1!$A$21:$A$23,Sheet1!$D$21:$D$23)</f>
        <v>69</v>
      </c>
      <c r="S1167" s="9">
        <f>Table1[[#This Row], [TOTAL TIME]]-Table1[[#This Row], [TOTAL TIME TAKEN]]</f>
        <v>2.8600000000000136</v>
      </c>
      <c r="T1167" t="str">
        <f>IF(Table1[[#This Row], [TIME DIFFERENCE]]&gt;=0,"PASS","FAIL")</f>
        <v>PASS</v>
      </c>
      <c r="U1167" s="9">
        <f>Table1[[#This Row], [TRC]]+Table1[[#This Row], [DRC]]+Table1[[#This Row], [WRC]]+Table1[[#This Row], [ERC]]+Table1[[#This Row], [EQRC]]</f>
        <v>8052183.0999999996</v>
      </c>
      <c r="V1167" s="9">
        <f>Table1[[#This Row], [TOTAL COST]]+_xlfn.XLOOKUP(Table1[[#This Row], [TEAM]],Sheet1!$A$12:$A$17,Sheet1!$I$12:$I$17)</f>
        <v>8349663.0999999996</v>
      </c>
      <c r="W1167" s="9">
        <f>Table1[[#This Row], [LOOT]]-Table1[[#This Row], [TOTAL COST]]</f>
        <v>9497816.9000000004</v>
      </c>
      <c r="X1167" s="9">
        <f>IF(Table1[[#This Row], [PASS/FAIL]]="FAIL",0,Table1[[#This Row], [PROFIT]])</f>
        <v>9497816.9000000004</v>
      </c>
    </row>
    <row r="1168" spans="1:24" ht="19.5" customHeight="1" x14ac:dyDescent="0.45">
      <c r="A1168" t="s">
        <v>9</v>
      </c>
      <c r="B1168" s="14">
        <f>_xlfn.XLOOKUP(Table1[[#This Row], [TEAM]],Sheet1!$A$12:$A$17,Sheet1!$F$12:$F$17)</f>
        <v>3</v>
      </c>
      <c r="C1168" s="14">
        <f>_xlfn.XLOOKUP(Table1[[#This Row], [TEAM]],Sheet1!$A$12:$A$17,Sheet1!$G$12:$G$17)</f>
        <v>6238750</v>
      </c>
      <c r="D1168" t="s">
        <v>27</v>
      </c>
      <c r="E1168" s="4">
        <f>_xlfn.XLOOKUP(Table1[[#This Row], [ROOM]],Sheet1!$A$47:$A$66,Sheet1!$B$47:$B$66)</f>
        <v>146</v>
      </c>
      <c r="F1168" t="s">
        <v>58</v>
      </c>
      <c r="G116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68" s="13" t="s">
        <v>59</v>
      </c>
      <c r="I1168" s="4">
        <f>_xlfn.XLOOKUP(Table1[[#This Row], [WEAPON]],Sheet1!$A$27:$A$29,Sheet1!$B$27:$B$29)*Table1[[#This Row], [NUM OF MEM]]*(1+_xlfn.XLOOKUP(Table1[[#This Row], [WEAPON]],Sheet1!$A$27:$A$29,Sheet1!$C$27:$C$29))</f>
        <v>136500</v>
      </c>
      <c r="J1168" t="s">
        <v>60</v>
      </c>
      <c r="K1168" s="9">
        <f>Table1[[#This Row], [NUM OF MEM]]*Table1[[#This Row], [TOTAL TIME TAKEN]]*_xlfn.XLOOKUP(Table1[[#This Row], [EXIT]],Sheet1!$A$70:$A$71,Sheet1!$B$70:$B$71)*(1+_xlfn.XLOOKUP(Table1[[#This Row], [EXIT]],Sheet1!$A$70:$A$71,Sheet1!$C$70:$C$71))</f>
        <v>1531280.8374999992</v>
      </c>
      <c r="L1168" s="13" t="s">
        <v>65</v>
      </c>
      <c r="M1168" s="4">
        <f>IF(Table1[[#This Row], [EQUIPMENT]]="YES",Sheet1!$C$44*(1+Sheet1!$D$44),0)</f>
        <v>307500</v>
      </c>
      <c r="N1168" s="4">
        <f>_xlfn.XLOOKUP(Table1[[#This Row], [ROOM]],Sheet1!$A$47:$A$66,Sheet1!$F$47:$F$66)</f>
        <v>17750000</v>
      </c>
      <c r="O1168" s="9">
        <f>_xlfn.XLOOKUP(_xlfn.CONCAT(Table1[[#This Row], [TEAM]],Table1[[#This Row], [ROOM]]),'ROOM TIME'!$H$2:$H$121,'ROOM TIME'!$J$2:$J$121)</f>
        <v>35.559444444444431</v>
      </c>
      <c r="P1168" s="9">
        <f>(INDEX(Sheet1!$X$48:$Z$67,MATCH(Table1[[#This Row], [ROOM]],Sheet1!$P$48:$P$67,0),MATCH(Table1[[#This Row], [WEAPON]],Sheet1!$X$47:$Z$47,0)))/Table1[[#This Row], [NUM OF MEM]]</f>
        <v>4.2166666666666659</v>
      </c>
      <c r="Q1168" s="9">
        <f>Table1[[#This Row], [ROOM TIME]]+Table1[[#This Row], [GUARD TIME]]</f>
        <v>39.776111111111099</v>
      </c>
      <c r="R1168" s="4">
        <f>Sheet1!$K$3*_xlfn.XLOOKUP(Table1[[#This Row], [DISGUISE]],Sheet1!$A$21:$A$23,Sheet1!$D$21:$D$23)</f>
        <v>69</v>
      </c>
      <c r="S1168" s="9">
        <f>Table1[[#This Row], [TOTAL TIME]]-Table1[[#This Row], [TOTAL TIME TAKEN]]</f>
        <v>29.223888888888901</v>
      </c>
      <c r="T1168" t="str">
        <f>IF(Table1[[#This Row], [TIME DIFFERENCE]]&gt;=0,"PASS","FAIL")</f>
        <v>PASS</v>
      </c>
      <c r="U1168" s="9">
        <f>Table1[[#This Row], [TRC]]+Table1[[#This Row], [DRC]]+Table1[[#This Row], [WRC]]+Table1[[#This Row], [ERC]]+Table1[[#This Row], [EQRC]]</f>
        <v>8252430.8374999994</v>
      </c>
      <c r="V1168" s="9">
        <f>Table1[[#This Row], [TOTAL COST]]+_xlfn.XLOOKUP(Table1[[#This Row], [TEAM]],Sheet1!$A$12:$A$17,Sheet1!$I$12:$I$17)</f>
        <v>8564368.3374999985</v>
      </c>
      <c r="W1168" s="9">
        <f>Table1[[#This Row], [LOOT]]-Table1[[#This Row], [TOTAL COST]]</f>
        <v>9497569.1625000015</v>
      </c>
      <c r="X1168" s="9">
        <f>IF(Table1[[#This Row], [PASS/FAIL]]="FAIL",0,Table1[[#This Row], [PROFIT]])</f>
        <v>9497569.1625000015</v>
      </c>
    </row>
    <row r="1169" spans="1:24" ht="19.5" customHeight="1" x14ac:dyDescent="0.45">
      <c r="A1169" t="s">
        <v>13</v>
      </c>
      <c r="B1169" s="14">
        <f>_xlfn.XLOOKUP(Table1[[#This Row], [TEAM]],Sheet1!$A$12:$A$17,Sheet1!$F$12:$F$17)</f>
        <v>3</v>
      </c>
      <c r="C1169" s="14">
        <f>_xlfn.XLOOKUP(Table1[[#This Row], [TEAM]],Sheet1!$A$12:$A$17,Sheet1!$G$12:$G$17)</f>
        <v>5930000</v>
      </c>
      <c r="D1169" t="s">
        <v>17</v>
      </c>
      <c r="E1169" s="4">
        <f>_xlfn.XLOOKUP(Table1[[#This Row], [ROOM]],Sheet1!$A$47:$A$66,Sheet1!$B$47:$B$66)</f>
        <v>125</v>
      </c>
      <c r="F1169" t="s">
        <v>62</v>
      </c>
      <c r="G116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69" s="13" t="s">
        <v>59</v>
      </c>
      <c r="I1169" s="4">
        <f>_xlfn.XLOOKUP(Table1[[#This Row], [WEAPON]],Sheet1!$A$27:$A$29,Sheet1!$B$27:$B$29)*Table1[[#This Row], [NUM OF MEM]]*(1+_xlfn.XLOOKUP(Table1[[#This Row], [WEAPON]],Sheet1!$A$27:$A$29,Sheet1!$C$27:$C$29))</f>
        <v>136500</v>
      </c>
      <c r="J1169" t="s">
        <v>60</v>
      </c>
      <c r="K1169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1770906.3875</v>
      </c>
      <c r="L1169" s="13" t="s">
        <v>61</v>
      </c>
      <c r="M1169" s="4">
        <f>IF(Table1[[#This Row], [EQUIPMENT]]="YES",Sheet1!$C$44*(1+Sheet1!$D$44),0)</f>
        <v>0</v>
      </c>
      <c r="N1169" s="4">
        <f>_xlfn.XLOOKUP(Table1[[#This Row], [ROOM]],Sheet1!$A$47:$A$66,Sheet1!$F$47:$F$66)</f>
        <v>17350000</v>
      </c>
      <c r="O1169" s="9">
        <f>_xlfn.XLOOKUP(_xlfn.CONCAT(Table1[[#This Row], [TEAM]],Table1[[#This Row], [ROOM]]),'ROOM TIME'!$H$2:$H$121,'ROOM TIME'!$J$2:$J$121)</f>
        <v>42.167222222222215</v>
      </c>
      <c r="P1169" s="9">
        <f>(INDEX(Sheet1!$X$48:$Z$67,MATCH(Table1[[#This Row], [ROOM]],Sheet1!$P$48:$P$67,0),MATCH(Table1[[#This Row], [WEAPON]],Sheet1!$X$47:$Z$47,0)))/Table1[[#This Row], [NUM OF MEM]]</f>
        <v>3.8333333333333335</v>
      </c>
      <c r="Q1169" s="9">
        <f>Table1[[#This Row], [ROOM TIME]]+Table1[[#This Row], [GUARD TIME]]</f>
        <v>46.00055555555555</v>
      </c>
      <c r="R1169" s="4">
        <f>Sheet1!$K$3*_xlfn.XLOOKUP(Table1[[#This Row], [DISGUISE]],Sheet1!$A$21:$A$23,Sheet1!$D$21:$D$23)</f>
        <v>66</v>
      </c>
      <c r="S1169" s="9">
        <f>Table1[[#This Row], [TOTAL TIME]]-Table1[[#This Row], [TOTAL TIME TAKEN]]</f>
        <v>19.99944444444445</v>
      </c>
      <c r="T1169" t="str">
        <f>IF(Table1[[#This Row], [TIME DIFFERENCE]]&gt;=0,"PASS","FAIL")</f>
        <v>PASS</v>
      </c>
      <c r="U1169" s="9">
        <f>Table1[[#This Row], [TRC]]+Table1[[#This Row], [DRC]]+Table1[[#This Row], [WRC]]+Table1[[#This Row], [ERC]]+Table1[[#This Row], [EQRC]]</f>
        <v>7853006.3875000002</v>
      </c>
      <c r="V1169" s="9">
        <f>Table1[[#This Row], [TOTAL COST]]+_xlfn.XLOOKUP(Table1[[#This Row], [TEAM]],Sheet1!$A$12:$A$17,Sheet1!$I$12:$I$17)</f>
        <v>8149506.3875000002</v>
      </c>
      <c r="W1169" s="9">
        <f>Table1[[#This Row], [LOOT]]-Table1[[#This Row], [TOTAL COST]]</f>
        <v>9496993.6125000007</v>
      </c>
      <c r="X1169" s="9">
        <f>IF(Table1[[#This Row], [PASS/FAIL]]="FAIL",0,Table1[[#This Row], [PROFIT]])</f>
        <v>9496993.6125000007</v>
      </c>
    </row>
    <row r="1170" spans="1:24" ht="19.5" customHeight="1" x14ac:dyDescent="0.45">
      <c r="A1170" t="s">
        <v>9</v>
      </c>
      <c r="B1170" s="14">
        <f>_xlfn.XLOOKUP(Table1[[#This Row], [TEAM]],Sheet1!$A$12:$A$17,Sheet1!$F$12:$F$17)</f>
        <v>3</v>
      </c>
      <c r="C1170" s="14">
        <f>_xlfn.XLOOKUP(Table1[[#This Row], [TEAM]],Sheet1!$A$12:$A$17,Sheet1!$G$12:$G$17)</f>
        <v>6238750</v>
      </c>
      <c r="D1170" t="s">
        <v>27</v>
      </c>
      <c r="E1170" s="4">
        <f>_xlfn.XLOOKUP(Table1[[#This Row], [ROOM]],Sheet1!$A$47:$A$66,Sheet1!$B$47:$B$66)</f>
        <v>146</v>
      </c>
      <c r="F1170" t="s">
        <v>58</v>
      </c>
      <c r="G1170" s="4">
        <f>_xlfn.XLOOKUP(Table1[[#This Row], [DISGUISE]],Sheet1!$A$21:$A$23,Sheet1!$B$21:$B$23)*Table1[[#This Row], [NUM OF MEM]]*(1+_xlfn.XLOOKUP(Table1[[#This Row], [DISGUISE]],Sheet1!$A$21:$A$23,Sheet1!$C$21:$C$23))</f>
        <v>38400</v>
      </c>
      <c r="H1170" s="13" t="s">
        <v>66</v>
      </c>
      <c r="I1170" s="4">
        <f>_xlfn.XLOOKUP(Table1[[#This Row], [WEAPON]],Sheet1!$A$27:$A$29,Sheet1!$B$27:$B$29)*Table1[[#This Row], [NUM OF MEM]]*(1+_xlfn.XLOOKUP(Table1[[#This Row], [WEAPON]],Sheet1!$A$27:$A$29,Sheet1!$C$27:$C$29))</f>
        <v>108000</v>
      </c>
      <c r="J1170" t="s">
        <v>64</v>
      </c>
      <c r="K1170" s="9">
        <f>Table1[[#This Row], [NUM OF MEM]]*Table1[[#This Row], [TOTAL TIME TAKEN]]*_xlfn.XLOOKUP(Table1[[#This Row], [EXIT]],Sheet1!$A$70:$A$71,Sheet1!$B$70:$B$71)*(1+_xlfn.XLOOKUP(Table1[[#This Row], [EXIT]],Sheet1!$A$70:$A$71,Sheet1!$C$70:$C$71))</f>
        <v>1560751.1999999995</v>
      </c>
      <c r="L1170" s="13" t="s">
        <v>65</v>
      </c>
      <c r="M1170" s="4">
        <f>IF(Table1[[#This Row], [EQUIPMENT]]="YES",Sheet1!$C$44*(1+Sheet1!$D$44),0)</f>
        <v>307500</v>
      </c>
      <c r="N1170" s="4">
        <f>_xlfn.XLOOKUP(Table1[[#This Row], [ROOM]],Sheet1!$A$47:$A$66,Sheet1!$F$47:$F$66)</f>
        <v>17750000</v>
      </c>
      <c r="O1170" s="9">
        <f>_xlfn.XLOOKUP(_xlfn.CONCAT(Table1[[#This Row], [TEAM]],Table1[[#This Row], [ROOM]]),'ROOM TIME'!$H$2:$H$121,'ROOM TIME'!$J$2:$J$121)</f>
        <v>35.559444444444431</v>
      </c>
      <c r="P1170" s="9">
        <f>(INDEX(Sheet1!$X$48:$Z$67,MATCH(Table1[[#This Row], [ROOM]],Sheet1!$P$48:$P$67,0),MATCH(Table1[[#This Row], [WEAPON]],Sheet1!$X$47:$Z$47,0)))/Table1[[#This Row], [NUM OF MEM]]</f>
        <v>4.583333333333333</v>
      </c>
      <c r="Q1170" s="9">
        <f>Table1[[#This Row], [ROOM TIME]]+Table1[[#This Row], [GUARD TIME]]</f>
        <v>40.142777777777766</v>
      </c>
      <c r="R1170" s="4">
        <f>Sheet1!$K$3*_xlfn.XLOOKUP(Table1[[#This Row], [DISGUISE]],Sheet1!$A$21:$A$23,Sheet1!$D$21:$D$23)</f>
        <v>69</v>
      </c>
      <c r="S1170" s="9">
        <f>Table1[[#This Row], [TOTAL TIME]]-Table1[[#This Row], [TOTAL TIME TAKEN]]</f>
        <v>28.857222222222234</v>
      </c>
      <c r="T1170" t="str">
        <f>IF(Table1[[#This Row], [TIME DIFFERENCE]]&gt;=0,"PASS","FAIL")</f>
        <v>PASS</v>
      </c>
      <c r="U1170" s="9">
        <f>Table1[[#This Row], [TRC]]+Table1[[#This Row], [DRC]]+Table1[[#This Row], [WRC]]+Table1[[#This Row], [ERC]]+Table1[[#This Row], [EQRC]]</f>
        <v>8253401.1999999993</v>
      </c>
      <c r="V1170" s="9">
        <f>Table1[[#This Row], [TOTAL COST]]+_xlfn.XLOOKUP(Table1[[#This Row], [TEAM]],Sheet1!$A$12:$A$17,Sheet1!$I$12:$I$17)</f>
        <v>8565338.6999999993</v>
      </c>
      <c r="W1170" s="9">
        <f>Table1[[#This Row], [LOOT]]-Table1[[#This Row], [TOTAL COST]]</f>
        <v>9496598.8000000007</v>
      </c>
      <c r="X1170" s="9">
        <f>IF(Table1[[#This Row], [PASS/FAIL]]="FAIL",0,Table1[[#This Row], [PROFIT]])</f>
        <v>9496598.8000000007</v>
      </c>
    </row>
    <row r="1171" spans="1:24" ht="19.5" customHeight="1" x14ac:dyDescent="0.45">
      <c r="A1171" t="s">
        <v>9</v>
      </c>
      <c r="B1171" s="14">
        <f>_xlfn.XLOOKUP(Table1[[#This Row], [TEAM]],Sheet1!$A$12:$A$17,Sheet1!$F$12:$F$17)</f>
        <v>3</v>
      </c>
      <c r="C1171" s="14">
        <f>_xlfn.XLOOKUP(Table1[[#This Row], [TEAM]],Sheet1!$A$12:$A$17,Sheet1!$G$12:$G$17)</f>
        <v>6238750</v>
      </c>
      <c r="D1171" t="s">
        <v>34</v>
      </c>
      <c r="E1171" s="4">
        <f>_xlfn.XLOOKUP(Table1[[#This Row], [ROOM]],Sheet1!$A$47:$A$66,Sheet1!$B$47:$B$66)</f>
        <v>456</v>
      </c>
      <c r="F1171" t="s">
        <v>62</v>
      </c>
      <c r="G1171" s="4">
        <f>_xlfn.XLOOKUP(Table1[[#This Row], [DISGUISE]],Sheet1!$A$21:$A$23,Sheet1!$B$21:$B$23)*Table1[[#This Row], [NUM OF MEM]]*(1+_xlfn.XLOOKUP(Table1[[#This Row], [DISGUISE]],Sheet1!$A$21:$A$23,Sheet1!$C$21:$C$23))</f>
        <v>15600</v>
      </c>
      <c r="H1171" s="13" t="s">
        <v>66</v>
      </c>
      <c r="I1171" s="4">
        <f>_xlfn.XLOOKUP(Table1[[#This Row], [WEAPON]],Sheet1!$A$27:$A$29,Sheet1!$B$27:$B$29)*Table1[[#This Row], [NUM OF MEM]]*(1+_xlfn.XLOOKUP(Table1[[#This Row], [WEAPON]],Sheet1!$A$27:$A$29,Sheet1!$C$27:$C$29))</f>
        <v>108000</v>
      </c>
      <c r="J1171" t="s">
        <v>60</v>
      </c>
      <c r="K1171" s="9">
        <f>Table1[[#This Row], [NUM OF MEM]]*Table1[[#This Row], [TOTAL TIME TAKEN]]*_xlfn.XLOOKUP(Table1[[#This Row], [EXIT]],Sheet1!$A$70:$A$71,Sheet1!$B$70:$B$71)*(1+_xlfn.XLOOKUP(Table1[[#This Row], [EXIT]],Sheet1!$A$70:$A$71,Sheet1!$C$70:$C$71))</f>
        <v>1534168.1499999997</v>
      </c>
      <c r="L1171" s="13" t="s">
        <v>65</v>
      </c>
      <c r="M1171" s="4">
        <f>IF(Table1[[#This Row], [EQUIPMENT]]="YES",Sheet1!$C$44*(1+Sheet1!$D$44),0)</f>
        <v>307500</v>
      </c>
      <c r="N1171" s="4">
        <f>_xlfn.XLOOKUP(Table1[[#This Row], [ROOM]],Sheet1!$A$47:$A$66,Sheet1!$F$47:$F$66)</f>
        <v>17700000</v>
      </c>
      <c r="O1171" s="9">
        <f>_xlfn.XLOOKUP(_xlfn.CONCAT(Table1[[#This Row], [TEAM]],Table1[[#This Row], [ROOM]]),'ROOM TIME'!$H$2:$H$121,'ROOM TIME'!$J$2:$J$121)</f>
        <v>35.267777777777766</v>
      </c>
      <c r="P1171" s="9">
        <f>(INDEX(Sheet1!$X$48:$Z$67,MATCH(Table1[[#This Row], [ROOM]],Sheet1!$P$48:$P$67,0),MATCH(Table1[[#This Row], [WEAPON]],Sheet1!$X$47:$Z$47,0)))/Table1[[#This Row], [NUM OF MEM]]</f>
        <v>4.583333333333333</v>
      </c>
      <c r="Q1171" s="9">
        <f>Table1[[#This Row], [ROOM TIME]]+Table1[[#This Row], [GUARD TIME]]</f>
        <v>39.851111111111102</v>
      </c>
      <c r="R1171" s="4">
        <f>Sheet1!$K$3*_xlfn.XLOOKUP(Table1[[#This Row], [DISGUISE]],Sheet1!$A$21:$A$23,Sheet1!$D$21:$D$23)</f>
        <v>66</v>
      </c>
      <c r="S1171" s="9">
        <f>Table1[[#This Row], [TOTAL TIME]]-Table1[[#This Row], [TOTAL TIME TAKEN]]</f>
        <v>26.148888888888898</v>
      </c>
      <c r="T1171" t="str">
        <f>IF(Table1[[#This Row], [TIME DIFFERENCE]]&gt;=0,"PASS","FAIL")</f>
        <v>PASS</v>
      </c>
      <c r="U1171" s="9">
        <f>Table1[[#This Row], [TRC]]+Table1[[#This Row], [DRC]]+Table1[[#This Row], [WRC]]+Table1[[#This Row], [ERC]]+Table1[[#This Row], [EQRC]]</f>
        <v>8204018.1499999994</v>
      </c>
      <c r="V1171" s="9">
        <f>Table1[[#This Row], [TOTAL COST]]+_xlfn.XLOOKUP(Table1[[#This Row], [TEAM]],Sheet1!$A$12:$A$17,Sheet1!$I$12:$I$17)</f>
        <v>8515955.6499999985</v>
      </c>
      <c r="W1171" s="9">
        <f>Table1[[#This Row], [LOOT]]-Table1[[#This Row], [TOTAL COST]]</f>
        <v>9495981.8500000015</v>
      </c>
      <c r="X1171" s="9">
        <f>IF(Table1[[#This Row], [PASS/FAIL]]="FAIL",0,Table1[[#This Row], [PROFIT]])</f>
        <v>9495981.8500000015</v>
      </c>
    </row>
    <row r="1172" spans="1:24" ht="19.5" customHeight="1" x14ac:dyDescent="0.45">
      <c r="A1172" t="s">
        <v>13</v>
      </c>
      <c r="B1172" s="14">
        <f>_xlfn.XLOOKUP(Table1[[#This Row], [TEAM]],Sheet1!$A$12:$A$17,Sheet1!$F$12:$F$17)</f>
        <v>3</v>
      </c>
      <c r="C1172" s="14">
        <f>_xlfn.XLOOKUP(Table1[[#This Row], [TEAM]],Sheet1!$A$12:$A$17,Sheet1!$G$12:$G$17)</f>
        <v>5930000</v>
      </c>
      <c r="D1172" t="s">
        <v>23</v>
      </c>
      <c r="E1172" s="4">
        <f>_xlfn.XLOOKUP(Table1[[#This Row], [ROOM]],Sheet1!$A$47:$A$66,Sheet1!$B$47:$B$66)</f>
        <v>245</v>
      </c>
      <c r="F1172" t="s">
        <v>58</v>
      </c>
      <c r="G1172" s="4">
        <f>_xlfn.XLOOKUP(Table1[[#This Row], [DISGUISE]],Sheet1!$A$21:$A$23,Sheet1!$B$21:$B$23)*Table1[[#This Row], [NUM OF MEM]]*(1+_xlfn.XLOOKUP(Table1[[#This Row], [DISGUISE]],Sheet1!$A$21:$A$23,Sheet1!$C$21:$C$23))</f>
        <v>38400</v>
      </c>
      <c r="H1172" s="13" t="s">
        <v>59</v>
      </c>
      <c r="I1172" s="4">
        <f>_xlfn.XLOOKUP(Table1[[#This Row], [WEAPON]],Sheet1!$A$27:$A$29,Sheet1!$B$27:$B$29)*Table1[[#This Row], [NUM OF MEM]]*(1+_xlfn.XLOOKUP(Table1[[#This Row], [WEAPON]],Sheet1!$A$27:$A$29,Sheet1!$C$27:$C$29))</f>
        <v>136500</v>
      </c>
      <c r="J1172" t="s">
        <v>64</v>
      </c>
      <c r="K1172" s="9">
        <f>Table1[[#This Row], [NUM OF MEM]]*Table1[[#This Row], [TOTAL TIME TAKEN]]*_xlfn.XLOOKUP(Table1[[#This Row], [EXIT]],Sheet1!$A$70:$A$71,Sheet1!$B$70:$B$71)*(1+_xlfn.XLOOKUP(Table1[[#This Row], [EXIT]],Sheet1!$A$70:$A$71,Sheet1!$C$70:$C$71))</f>
        <v>1799949.5999999999</v>
      </c>
      <c r="L1172" s="13" t="s">
        <v>61</v>
      </c>
      <c r="M1172" s="4">
        <f>IF(Table1[[#This Row], [EQUIPMENT]]="YES",Sheet1!$C$44*(1+Sheet1!$D$44),0)</f>
        <v>0</v>
      </c>
      <c r="N1172" s="4">
        <f>_xlfn.XLOOKUP(Table1[[#This Row], [ROOM]],Sheet1!$A$47:$A$66,Sheet1!$F$47:$F$66)</f>
        <v>17400000</v>
      </c>
      <c r="O1172" s="9">
        <f>_xlfn.XLOOKUP(_xlfn.CONCAT(Table1[[#This Row], [TEAM]],Table1[[#This Row], [ROOM]]),'ROOM TIME'!$H$2:$H$121,'ROOM TIME'!$J$2:$J$121)</f>
        <v>42.078333333333326</v>
      </c>
      <c r="P1172" s="9">
        <f>(INDEX(Sheet1!$X$48:$Z$67,MATCH(Table1[[#This Row], [ROOM]],Sheet1!$P$48:$P$67,0),MATCH(Table1[[#This Row], [WEAPON]],Sheet1!$X$47:$Z$47,0)))/Table1[[#This Row], [NUM OF MEM]]</f>
        <v>4.2166666666666659</v>
      </c>
      <c r="Q1172" s="9">
        <f>Table1[[#This Row], [ROOM TIME]]+Table1[[#This Row], [GUARD TIME]]</f>
        <v>46.294999999999995</v>
      </c>
      <c r="R1172" s="4">
        <f>Sheet1!$K$3*_xlfn.XLOOKUP(Table1[[#This Row], [DISGUISE]],Sheet1!$A$21:$A$23,Sheet1!$D$21:$D$23)</f>
        <v>69</v>
      </c>
      <c r="S1172" s="9">
        <f>Table1[[#This Row], [TOTAL TIME]]-Table1[[#This Row], [TOTAL TIME TAKEN]]</f>
        <v>22.705000000000005</v>
      </c>
      <c r="T1172" t="str">
        <f>IF(Table1[[#This Row], [TIME DIFFERENCE]]&gt;=0,"PASS","FAIL")</f>
        <v>PASS</v>
      </c>
      <c r="U1172" s="9">
        <f>Table1[[#This Row], [TRC]]+Table1[[#This Row], [DRC]]+Table1[[#This Row], [WRC]]+Table1[[#This Row], [ERC]]+Table1[[#This Row], [EQRC]]</f>
        <v>7904849.5999999996</v>
      </c>
      <c r="V1172" s="9">
        <f>Table1[[#This Row], [TOTAL COST]]+_xlfn.XLOOKUP(Table1[[#This Row], [TEAM]],Sheet1!$A$12:$A$17,Sheet1!$I$12:$I$17)</f>
        <v>8201349.5999999996</v>
      </c>
      <c r="W1172" s="9">
        <f>Table1[[#This Row], [LOOT]]-Table1[[#This Row], [TOTAL COST]]</f>
        <v>9495150.4000000004</v>
      </c>
      <c r="X1172" s="9">
        <f>IF(Table1[[#This Row], [PASS/FAIL]]="FAIL",0,Table1[[#This Row], [PROFIT]])</f>
        <v>9495150.4000000004</v>
      </c>
    </row>
    <row r="1173" spans="1:24" ht="19.5" customHeight="1" x14ac:dyDescent="0.45">
      <c r="A1173" t="s">
        <v>13</v>
      </c>
      <c r="B1173" s="14">
        <f>_xlfn.XLOOKUP(Table1[[#This Row], [TEAM]],Sheet1!$A$12:$A$17,Sheet1!$F$12:$F$17)</f>
        <v>3</v>
      </c>
      <c r="C1173" s="14">
        <f>_xlfn.XLOOKUP(Table1[[#This Row], [TEAM]],Sheet1!$A$12:$A$17,Sheet1!$G$12:$G$17)</f>
        <v>5930000</v>
      </c>
      <c r="D1173" t="s">
        <v>17</v>
      </c>
      <c r="E1173" s="4">
        <f>_xlfn.XLOOKUP(Table1[[#This Row], [ROOM]],Sheet1!$A$47:$A$66,Sheet1!$B$47:$B$66)</f>
        <v>125</v>
      </c>
      <c r="F1173" t="s">
        <v>62</v>
      </c>
      <c r="G117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73" s="13" t="s">
        <v>66</v>
      </c>
      <c r="I1173" s="4">
        <f>_xlfn.XLOOKUP(Table1[[#This Row], [WEAPON]],Sheet1!$A$27:$A$29,Sheet1!$B$27:$B$29)*Table1[[#This Row], [NUM OF MEM]]*(1+_xlfn.XLOOKUP(Table1[[#This Row], [WEAPON]],Sheet1!$A$27:$A$29,Sheet1!$C$27:$C$29))</f>
        <v>108000</v>
      </c>
      <c r="J1173" t="s">
        <v>64</v>
      </c>
      <c r="K1173" s="9">
        <f>Table1[[#This Row], [NUM OF MEM]]*Table1[[#This Row], [TOTAL TIME TAKEN]]*_xlfn.XLOOKUP(Table1[[#This Row], [EXIT]],Sheet1!$A$70:$A$71,Sheet1!$B$70:$B$71)*(1+_xlfn.XLOOKUP(Table1[[#This Row], [EXIT]],Sheet1!$A$70:$A$71,Sheet1!$C$70:$C$71))</f>
        <v>1801461.5999999996</v>
      </c>
      <c r="L1173" s="13" t="s">
        <v>61</v>
      </c>
      <c r="M1173" s="4">
        <f>IF(Table1[[#This Row], [EQUIPMENT]]="YES",Sheet1!$C$44*(1+Sheet1!$D$44),0)</f>
        <v>0</v>
      </c>
      <c r="N1173" s="4">
        <f>_xlfn.XLOOKUP(Table1[[#This Row], [ROOM]],Sheet1!$A$47:$A$66,Sheet1!$F$47:$F$66)</f>
        <v>17350000</v>
      </c>
      <c r="O1173" s="9">
        <f>_xlfn.XLOOKUP(_xlfn.CONCAT(Table1[[#This Row], [TEAM]],Table1[[#This Row], [ROOM]]),'ROOM TIME'!$H$2:$H$121,'ROOM TIME'!$J$2:$J$121)</f>
        <v>42.167222222222215</v>
      </c>
      <c r="P1173" s="9">
        <f>(INDEX(Sheet1!$X$48:$Z$67,MATCH(Table1[[#This Row], [ROOM]],Sheet1!$P$48:$P$67,0),MATCH(Table1[[#This Row], [WEAPON]],Sheet1!$X$47:$Z$47,0)))/Table1[[#This Row], [NUM OF MEM]]</f>
        <v>4.166666666666667</v>
      </c>
      <c r="Q1173" s="9">
        <f>Table1[[#This Row], [ROOM TIME]]+Table1[[#This Row], [GUARD TIME]]</f>
        <v>46.333888888888879</v>
      </c>
      <c r="R1173" s="4">
        <f>Sheet1!$K$3*_xlfn.XLOOKUP(Table1[[#This Row], [DISGUISE]],Sheet1!$A$21:$A$23,Sheet1!$D$21:$D$23)</f>
        <v>66</v>
      </c>
      <c r="S1173" s="9">
        <f>Table1[[#This Row], [TOTAL TIME]]-Table1[[#This Row], [TOTAL TIME TAKEN]]</f>
        <v>19.666111111111121</v>
      </c>
      <c r="T1173" t="str">
        <f>IF(Table1[[#This Row], [TIME DIFFERENCE]]&gt;=0,"PASS","FAIL")</f>
        <v>PASS</v>
      </c>
      <c r="U1173" s="9">
        <f>Table1[[#This Row], [TRC]]+Table1[[#This Row], [DRC]]+Table1[[#This Row], [WRC]]+Table1[[#This Row], [ERC]]+Table1[[#This Row], [EQRC]]</f>
        <v>7855061.5999999996</v>
      </c>
      <c r="V1173" s="9">
        <f>Table1[[#This Row], [TOTAL COST]]+_xlfn.XLOOKUP(Table1[[#This Row], [TEAM]],Sheet1!$A$12:$A$17,Sheet1!$I$12:$I$17)</f>
        <v>8151561.5999999996</v>
      </c>
      <c r="W1173" s="9">
        <f>Table1[[#This Row], [LOOT]]-Table1[[#This Row], [TOTAL COST]]</f>
        <v>9494938.4000000004</v>
      </c>
      <c r="X1173" s="9">
        <f>IF(Table1[[#This Row], [PASS/FAIL]]="FAIL",0,Table1[[#This Row], [PROFIT]])</f>
        <v>9494938.4000000004</v>
      </c>
    </row>
    <row r="1174" spans="1:24" ht="19.5" customHeight="1" x14ac:dyDescent="0.45">
      <c r="A1174" t="s">
        <v>13</v>
      </c>
      <c r="B1174" s="14">
        <f>_xlfn.XLOOKUP(Table1[[#This Row], [TEAM]],Sheet1!$A$12:$A$17,Sheet1!$F$12:$F$17)</f>
        <v>3</v>
      </c>
      <c r="C1174" s="14">
        <f>_xlfn.XLOOKUP(Table1[[#This Row], [TEAM]],Sheet1!$A$12:$A$17,Sheet1!$G$12:$G$17)</f>
        <v>5930000</v>
      </c>
      <c r="D1174" t="s">
        <v>25</v>
      </c>
      <c r="E1174" s="4">
        <f>_xlfn.XLOOKUP(Table1[[#This Row], [ROOM]],Sheet1!$A$47:$A$66,Sheet1!$B$47:$B$66)</f>
        <v>126</v>
      </c>
      <c r="F1174" t="s">
        <v>62</v>
      </c>
      <c r="G1174" s="4">
        <f>_xlfn.XLOOKUP(Table1[[#This Row], [DISGUISE]],Sheet1!$A$21:$A$23,Sheet1!$B$21:$B$23)*Table1[[#This Row], [NUM OF MEM]]*(1+_xlfn.XLOOKUP(Table1[[#This Row], [DISGUISE]],Sheet1!$A$21:$A$23,Sheet1!$C$21:$C$23))</f>
        <v>15600</v>
      </c>
      <c r="H1174" s="13" t="s">
        <v>63</v>
      </c>
      <c r="I1174" s="4">
        <f>_xlfn.XLOOKUP(Table1[[#This Row], [WEAPON]],Sheet1!$A$27:$A$29,Sheet1!$B$27:$B$29)*Table1[[#This Row], [NUM OF MEM]]*(1+_xlfn.XLOOKUP(Table1[[#This Row], [WEAPON]],Sheet1!$A$27:$A$29,Sheet1!$C$27:$C$29))</f>
        <v>69000</v>
      </c>
      <c r="J1174" t="s">
        <v>64</v>
      </c>
      <c r="K1174" s="9">
        <f>Table1[[#This Row], [NUM OF MEM]]*Table1[[#This Row], [TOTAL TIME TAKEN]]*_xlfn.XLOOKUP(Table1[[#This Row], [EXIT]],Sheet1!$A$70:$A$71,Sheet1!$B$70:$B$71)*(1+_xlfn.XLOOKUP(Table1[[#This Row], [EXIT]],Sheet1!$A$70:$A$71,Sheet1!$C$70:$C$71))</f>
        <v>1733680.7999999996</v>
      </c>
      <c r="L1174" s="13" t="s">
        <v>65</v>
      </c>
      <c r="M1174" s="4">
        <f>IF(Table1[[#This Row], [EQUIPMENT]]="YES",Sheet1!$C$44*(1+Sheet1!$D$44),0)</f>
        <v>307500</v>
      </c>
      <c r="N1174" s="4">
        <f>_xlfn.XLOOKUP(Table1[[#This Row], [ROOM]],Sheet1!$A$47:$A$66,Sheet1!$F$47:$F$66)</f>
        <v>17550000</v>
      </c>
      <c r="O1174" s="9">
        <f>_xlfn.XLOOKUP(_xlfn.CONCAT(Table1[[#This Row], [TEAM]],Table1[[#This Row], [ROOM]]),'ROOM TIME'!$H$2:$H$121,'ROOM TIME'!$J$2:$J$121)</f>
        <v>39.640555555555544</v>
      </c>
      <c r="P1174" s="9">
        <f>(INDEX(Sheet1!$X$48:$Z$67,MATCH(Table1[[#This Row], [ROOM]],Sheet1!$P$48:$P$67,0),MATCH(Table1[[#This Row], [WEAPON]],Sheet1!$X$47:$Z$47,0)))/Table1[[#This Row], [NUM OF MEM]]</f>
        <v>4.95</v>
      </c>
      <c r="Q1174" s="9">
        <f>Table1[[#This Row], [ROOM TIME]]+Table1[[#This Row], [GUARD TIME]]</f>
        <v>44.590555555555547</v>
      </c>
      <c r="R1174" s="4">
        <f>Sheet1!$K$3*_xlfn.XLOOKUP(Table1[[#This Row], [DISGUISE]],Sheet1!$A$21:$A$23,Sheet1!$D$21:$D$23)</f>
        <v>66</v>
      </c>
      <c r="S1174" s="9">
        <f>Table1[[#This Row], [TOTAL TIME]]-Table1[[#This Row], [TOTAL TIME TAKEN]]</f>
        <v>21.409444444444453</v>
      </c>
      <c r="T1174" t="str">
        <f>IF(Table1[[#This Row], [TIME DIFFERENCE]]&gt;=0,"PASS","FAIL")</f>
        <v>PASS</v>
      </c>
      <c r="U1174" s="9">
        <f>Table1[[#This Row], [TRC]]+Table1[[#This Row], [DRC]]+Table1[[#This Row], [WRC]]+Table1[[#This Row], [ERC]]+Table1[[#This Row], [EQRC]]</f>
        <v>8055780.7999999998</v>
      </c>
      <c r="V1174" s="9">
        <f>Table1[[#This Row], [TOTAL COST]]+_xlfn.XLOOKUP(Table1[[#This Row], [TEAM]],Sheet1!$A$12:$A$17,Sheet1!$I$12:$I$17)</f>
        <v>8352280.7999999998</v>
      </c>
      <c r="W1174" s="9">
        <f>Table1[[#This Row], [LOOT]]-Table1[[#This Row], [TOTAL COST]]</f>
        <v>9494219.1999999993</v>
      </c>
      <c r="X1174" s="9">
        <f>IF(Table1[[#This Row], [PASS/FAIL]]="FAIL",0,Table1[[#This Row], [PROFIT]])</f>
        <v>9494219.1999999993</v>
      </c>
    </row>
    <row r="1175" spans="1:24" ht="19.5" customHeight="1" x14ac:dyDescent="0.45">
      <c r="A1175" t="s">
        <v>16</v>
      </c>
      <c r="B1175" s="14">
        <f>_xlfn.XLOOKUP(Table1[[#This Row], [TEAM]],Sheet1!$A$12:$A$17,Sheet1!$F$12:$F$17)</f>
        <v>2</v>
      </c>
      <c r="C1175" s="14">
        <f>_xlfn.XLOOKUP(Table1[[#This Row], [TEAM]],Sheet1!$A$12:$A$17,Sheet1!$G$12:$G$17)</f>
        <v>6082800</v>
      </c>
      <c r="D1175" t="s">
        <v>11</v>
      </c>
      <c r="E1175" s="4">
        <f>_xlfn.XLOOKUP(Table1[[#This Row], [ROOM]],Sheet1!$A$47:$A$66,Sheet1!$B$47:$B$66)</f>
        <v>124</v>
      </c>
      <c r="F1175" t="s">
        <v>58</v>
      </c>
      <c r="G1175" s="4">
        <f>_xlfn.XLOOKUP(Table1[[#This Row], [DISGUISE]],Sheet1!$A$21:$A$23,Sheet1!$B$21:$B$23)*Table1[[#This Row], [NUM OF MEM]]*(1+_xlfn.XLOOKUP(Table1[[#This Row], [DISGUISE]],Sheet1!$A$21:$A$23,Sheet1!$C$21:$C$23))</f>
        <v>25600</v>
      </c>
      <c r="H1175" s="13" t="s">
        <v>66</v>
      </c>
      <c r="I1175" s="4">
        <f>_xlfn.XLOOKUP(Table1[[#This Row], [WEAPON]],Sheet1!$A$27:$A$29,Sheet1!$B$27:$B$29)*Table1[[#This Row], [NUM OF MEM]]*(1+_xlfn.XLOOKUP(Table1[[#This Row], [WEAPON]],Sheet1!$A$27:$A$29,Sheet1!$C$27:$C$29))</f>
        <v>72000</v>
      </c>
      <c r="J1175" t="s">
        <v>64</v>
      </c>
      <c r="K1175" s="9">
        <f>Table1[[#This Row], [NUM OF MEM]]*Table1[[#This Row], [TOTAL TIME TAKEN]]*_xlfn.XLOOKUP(Table1[[#This Row], [EXIT]],Sheet1!$A$70:$A$71,Sheet1!$B$70:$B$71)*(1+_xlfn.XLOOKUP(Table1[[#This Row], [EXIT]],Sheet1!$A$70:$A$71,Sheet1!$C$70:$C$71))</f>
        <v>1775422.7999999996</v>
      </c>
      <c r="L1175" s="13" t="s">
        <v>61</v>
      </c>
      <c r="M1175" s="4">
        <f>IF(Table1[[#This Row], [EQUIPMENT]]="YES",Sheet1!$C$44*(1+Sheet1!$D$44),0)</f>
        <v>0</v>
      </c>
      <c r="N1175" s="4">
        <f>_xlfn.XLOOKUP(Table1[[#This Row], [ROOM]],Sheet1!$A$47:$A$66,Sheet1!$F$47:$F$66)</f>
        <v>17450000</v>
      </c>
      <c r="O1175" s="9">
        <f>_xlfn.XLOOKUP(_xlfn.CONCAT(Table1[[#This Row], [TEAM]],Table1[[#This Row], [ROOM]]),'ROOM TIME'!$H$2:$H$121,'ROOM TIME'!$J$2:$J$121)</f>
        <v>61.621249999999989</v>
      </c>
      <c r="P1175" s="9">
        <f>(INDEX(Sheet1!$X$48:$Z$67,MATCH(Table1[[#This Row], [ROOM]],Sheet1!$P$48:$P$67,0),MATCH(Table1[[#This Row], [WEAPON]],Sheet1!$X$47:$Z$47,0)))/Table1[[#This Row], [NUM OF MEM]]</f>
        <v>6.875</v>
      </c>
      <c r="Q1175" s="9">
        <f>Table1[[#This Row], [ROOM TIME]]+Table1[[#This Row], [GUARD TIME]]</f>
        <v>68.496249999999989</v>
      </c>
      <c r="R1175" s="4">
        <f>Sheet1!$K$3*_xlfn.XLOOKUP(Table1[[#This Row], [DISGUISE]],Sheet1!$A$21:$A$23,Sheet1!$D$21:$D$23)</f>
        <v>69</v>
      </c>
      <c r="S1175" s="9">
        <f>Table1[[#This Row], [TOTAL TIME]]-Table1[[#This Row], [TOTAL TIME TAKEN]]</f>
        <v>0.5037500000000108</v>
      </c>
      <c r="T1175" t="str">
        <f>IF(Table1[[#This Row], [TIME DIFFERENCE]]&gt;=0,"PASS","FAIL")</f>
        <v>PASS</v>
      </c>
      <c r="U1175" s="9">
        <f>Table1[[#This Row], [TRC]]+Table1[[#This Row], [DRC]]+Table1[[#This Row], [WRC]]+Table1[[#This Row], [ERC]]+Table1[[#This Row], [EQRC]]</f>
        <v>7955822.7999999998</v>
      </c>
      <c r="V1175" s="9">
        <f>Table1[[#This Row], [TOTAL COST]]+_xlfn.XLOOKUP(Table1[[#This Row], [TEAM]],Sheet1!$A$12:$A$17,Sheet1!$I$12:$I$17)</f>
        <v>8259962.7999999998</v>
      </c>
      <c r="W1175" s="9">
        <f>Table1[[#This Row], [LOOT]]-Table1[[#This Row], [TOTAL COST]]</f>
        <v>9494177.1999999993</v>
      </c>
      <c r="X1175" s="9">
        <f>IF(Table1[[#This Row], [PASS/FAIL]]="FAIL",0,Table1[[#This Row], [PROFIT]])</f>
        <v>9494177.1999999993</v>
      </c>
    </row>
    <row r="1176" spans="1:24" ht="19.5" customHeight="1" x14ac:dyDescent="0.45">
      <c r="A1176" t="s">
        <v>14</v>
      </c>
      <c r="B1176" s="14">
        <f>_xlfn.XLOOKUP(Table1[[#This Row], [TEAM]],Sheet1!$A$12:$A$17,Sheet1!$F$12:$F$17)</f>
        <v>2</v>
      </c>
      <c r="C1176" s="14">
        <f>_xlfn.XLOOKUP(Table1[[#This Row], [TEAM]],Sheet1!$A$12:$A$17,Sheet1!$G$12:$G$17)</f>
        <v>5949600</v>
      </c>
      <c r="D1176" t="s">
        <v>20</v>
      </c>
      <c r="E1176" s="4">
        <f>_xlfn.XLOOKUP(Table1[[#This Row], [ROOM]],Sheet1!$A$47:$A$66,Sheet1!$B$47:$B$66)</f>
        <v>145</v>
      </c>
      <c r="F1176" t="s">
        <v>58</v>
      </c>
      <c r="G1176" s="4">
        <f>_xlfn.XLOOKUP(Table1[[#This Row], [DISGUISE]],Sheet1!$A$21:$A$23,Sheet1!$B$21:$B$23)*Table1[[#This Row], [NUM OF MEM]]*(1+_xlfn.XLOOKUP(Table1[[#This Row], [DISGUISE]],Sheet1!$A$21:$A$23,Sheet1!$C$21:$C$23))</f>
        <v>25600</v>
      </c>
      <c r="H1176" s="13" t="s">
        <v>63</v>
      </c>
      <c r="I1176" s="4">
        <f>_xlfn.XLOOKUP(Table1[[#This Row], [WEAPON]],Sheet1!$A$27:$A$29,Sheet1!$B$27:$B$29)*Table1[[#This Row], [NUM OF MEM]]*(1+_xlfn.XLOOKUP(Table1[[#This Row], [WEAPON]],Sheet1!$A$27:$A$29,Sheet1!$C$27:$C$29))</f>
        <v>46000</v>
      </c>
      <c r="J1176" t="s">
        <v>64</v>
      </c>
      <c r="K1176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1727308.7999999996</v>
      </c>
      <c r="L1176" s="13" t="s">
        <v>65</v>
      </c>
      <c r="M1176" s="4">
        <f>IF(Table1[[#This Row], [EQUIPMENT]]="YES",Sheet1!$C$44*(1+Sheet1!$D$44),0)</f>
        <v>307500</v>
      </c>
      <c r="N1176" s="4">
        <f>_xlfn.XLOOKUP(Table1[[#This Row], [ROOM]],Sheet1!$A$47:$A$66,Sheet1!$F$47:$F$66)</f>
        <v>17550000</v>
      </c>
      <c r="O1176" s="9">
        <f>_xlfn.XLOOKUP(_xlfn.CONCAT(Table1[[#This Row], [TEAM]],Table1[[#This Row], [ROOM]]),'ROOM TIME'!$H$2:$H$121,'ROOM TIME'!$J$2:$J$121)</f>
        <v>59.889999999999986</v>
      </c>
      <c r="P1176" s="9">
        <f>(INDEX(Sheet1!$X$48:$Z$67,MATCH(Table1[[#This Row], [ROOM]],Sheet1!$P$48:$P$67,0),MATCH(Table1[[#This Row], [WEAPON]],Sheet1!$X$47:$Z$47,0)))/Table1[[#This Row], [NUM OF MEM]]</f>
        <v>6.75</v>
      </c>
      <c r="Q1176" s="9">
        <f>Table1[[#This Row], [ROOM TIME]]+Table1[[#This Row], [GUARD TIME]]</f>
        <v>66.639999999999986</v>
      </c>
      <c r="R1176" s="4">
        <f>Sheet1!$K$3*_xlfn.XLOOKUP(Table1[[#This Row], [DISGUISE]],Sheet1!$A$21:$A$23,Sheet1!$D$21:$D$23)</f>
        <v>69</v>
      </c>
      <c r="S1176" s="9">
        <f>Table1[[#This Row], [TOTAL TIME]]-Table1[[#This Row], [TOTAL TIME TAKEN]]</f>
        <v>2.3600000000000136</v>
      </c>
      <c r="T1176" t="str">
        <f>IF(Table1[[#This Row], [TIME DIFFERENCE]]&gt;=0,"PASS","FAIL")</f>
        <v>PASS</v>
      </c>
      <c r="U1176" s="9">
        <f>Table1[[#This Row], [TRC]]+Table1[[#This Row], [DRC]]+Table1[[#This Row], [WRC]]+Table1[[#This Row], [ERC]]+Table1[[#This Row], [EQRC]]</f>
        <v>8056008.7999999998</v>
      </c>
      <c r="V1176" s="9">
        <f>Table1[[#This Row], [TOTAL COST]]+_xlfn.XLOOKUP(Table1[[#This Row], [TEAM]],Sheet1!$A$12:$A$17,Sheet1!$I$12:$I$17)</f>
        <v>8353488.7999999998</v>
      </c>
      <c r="W1176" s="9">
        <f>Table1[[#This Row], [LOOT]]-Table1[[#This Row], [TOTAL COST]]</f>
        <v>9493991.1999999993</v>
      </c>
      <c r="X1176" s="9">
        <f>IF(Table1[[#This Row], [PASS/FAIL]]="FAIL",0,Table1[[#This Row], [PROFIT]])</f>
        <v>9493991.1999999993</v>
      </c>
    </row>
    <row r="1177" spans="1:24" ht="19.5" customHeight="1" x14ac:dyDescent="0.45">
      <c r="A1177" t="s">
        <v>12</v>
      </c>
      <c r="B1177" s="14">
        <f>_xlfn.XLOOKUP(Table1[[#This Row], [TEAM]],Sheet1!$A$12:$A$17,Sheet1!$F$12:$F$17)</f>
        <v>3</v>
      </c>
      <c r="C1177" s="14">
        <f>_xlfn.XLOOKUP(Table1[[#This Row], [TEAM]],Sheet1!$A$12:$A$17,Sheet1!$G$12:$G$17)</f>
        <v>5988750</v>
      </c>
      <c r="D1177" t="s">
        <v>17</v>
      </c>
      <c r="E1177" s="4">
        <f>_xlfn.XLOOKUP(Table1[[#This Row], [ROOM]],Sheet1!$A$47:$A$66,Sheet1!$B$47:$B$66)</f>
        <v>125</v>
      </c>
      <c r="F1177" t="s">
        <v>58</v>
      </c>
      <c r="G1177" s="4">
        <f>_xlfn.XLOOKUP(Table1[[#This Row], [DISGUISE]],Sheet1!$A$21:$A$23,Sheet1!$B$21:$B$23)*Table1[[#This Row], [NUM OF MEM]]*(1+_xlfn.XLOOKUP(Table1[[#This Row], [DISGUISE]],Sheet1!$A$21:$A$23,Sheet1!$C$21:$C$23))</f>
        <v>38400</v>
      </c>
      <c r="H1177" s="13" t="s">
        <v>59</v>
      </c>
      <c r="I1177" s="4">
        <f>_xlfn.XLOOKUP(Table1[[#This Row], [WEAPON]],Sheet1!$A$27:$A$29,Sheet1!$B$27:$B$29)*Table1[[#This Row], [NUM OF MEM]]*(1+_xlfn.XLOOKUP(Table1[[#This Row], [WEAPON]],Sheet1!$A$27:$A$29,Sheet1!$C$27:$C$29))</f>
        <v>136500</v>
      </c>
      <c r="J1177" t="s">
        <v>60</v>
      </c>
      <c r="K1177" s="9">
        <f>Table1[[#This Row], [NUM OF MEM]]*Table1[[#This Row], [TOTAL TIME TAKEN]]*_xlfn.XLOOKUP(Table1[[#This Row], [EXIT]],Sheet1!$A$70:$A$71,Sheet1!$B$70:$B$71)*(1+_xlfn.XLOOKUP(Table1[[#This Row], [EXIT]],Sheet1!$A$70:$A$71,Sheet1!$C$70:$C$71))</f>
        <v>1692563.9749999992</v>
      </c>
      <c r="L1177" s="13" t="s">
        <v>61</v>
      </c>
      <c r="M1177" s="4">
        <f>IF(Table1[[#This Row], [EQUIPMENT]]="YES",Sheet1!$C$44*(1+Sheet1!$D$44),0)</f>
        <v>0</v>
      </c>
      <c r="N1177" s="4">
        <f>_xlfn.XLOOKUP(Table1[[#This Row], [ROOM]],Sheet1!$A$47:$A$66,Sheet1!$F$47:$F$66)</f>
        <v>17350000</v>
      </c>
      <c r="O1177" s="9">
        <f>_xlfn.XLOOKUP(_xlfn.CONCAT(Table1[[#This Row], [TEAM]],Table1[[#This Row], [ROOM]]),'ROOM TIME'!$H$2:$H$121,'ROOM TIME'!$J$2:$J$121)</f>
        <v>40.132222222222204</v>
      </c>
      <c r="P1177" s="9">
        <f>(INDEX(Sheet1!$X$48:$Z$67,MATCH(Table1[[#This Row], [ROOM]],Sheet1!$P$48:$P$67,0),MATCH(Table1[[#This Row], [WEAPON]],Sheet1!$X$47:$Z$47,0)))/Table1[[#This Row], [NUM OF MEM]]</f>
        <v>3.8333333333333335</v>
      </c>
      <c r="Q1177" s="9">
        <f>Table1[[#This Row], [ROOM TIME]]+Table1[[#This Row], [GUARD TIME]]</f>
        <v>43.96555555555554</v>
      </c>
      <c r="R1177" s="4">
        <f>Sheet1!$K$3*_xlfn.XLOOKUP(Table1[[#This Row], [DISGUISE]],Sheet1!$A$21:$A$23,Sheet1!$D$21:$D$23)</f>
        <v>69</v>
      </c>
      <c r="S1177" s="9">
        <f>Table1[[#This Row], [TOTAL TIME]]-Table1[[#This Row], [TOTAL TIME TAKEN]]</f>
        <v>25.03444444444446</v>
      </c>
      <c r="T1177" t="str">
        <f>IF(Table1[[#This Row], [TIME DIFFERENCE]]&gt;=0,"PASS","FAIL")</f>
        <v>PASS</v>
      </c>
      <c r="U1177" s="9">
        <f>Table1[[#This Row], [TRC]]+Table1[[#This Row], [DRC]]+Table1[[#This Row], [WRC]]+Table1[[#This Row], [ERC]]+Table1[[#This Row], [EQRC]]</f>
        <v>7856213.9749999996</v>
      </c>
      <c r="V1177" s="9">
        <f>Table1[[#This Row], [TOTAL COST]]+_xlfn.XLOOKUP(Table1[[#This Row], [TEAM]],Sheet1!$A$12:$A$17,Sheet1!$I$12:$I$17)</f>
        <v>8155651.4749999996</v>
      </c>
      <c r="W1177" s="9">
        <f>Table1[[#This Row], [LOOT]]-Table1[[#This Row], [TOTAL COST]]</f>
        <v>9493786.0250000004</v>
      </c>
      <c r="X1177" s="9">
        <f>IF(Table1[[#This Row], [PASS/FAIL]]="FAIL",0,Table1[[#This Row], [PROFIT]])</f>
        <v>9493786.0250000004</v>
      </c>
    </row>
    <row r="1178" spans="1:24" ht="19.5" customHeight="1" x14ac:dyDescent="0.45">
      <c r="A1178" t="s">
        <v>13</v>
      </c>
      <c r="B1178" s="14">
        <f>_xlfn.XLOOKUP(Table1[[#This Row], [TEAM]],Sheet1!$A$12:$A$17,Sheet1!$F$12:$F$17)</f>
        <v>3</v>
      </c>
      <c r="C1178" s="14">
        <f>_xlfn.XLOOKUP(Table1[[#This Row], [TEAM]],Sheet1!$A$12:$A$17,Sheet1!$G$12:$G$17)</f>
        <v>5930000</v>
      </c>
      <c r="D1178" t="s">
        <v>30</v>
      </c>
      <c r="E1178" s="4">
        <f>_xlfn.XLOOKUP(Table1[[#This Row], [ROOM]],Sheet1!$A$47:$A$66,Sheet1!$B$47:$B$66)</f>
        <v>246</v>
      </c>
      <c r="F1178" t="s">
        <v>62</v>
      </c>
      <c r="G1178" s="4">
        <f>_xlfn.XLOOKUP(Table1[[#This Row], [DISGUISE]],Sheet1!$A$21:$A$23,Sheet1!$B$21:$B$23)*Table1[[#This Row], [NUM OF MEM]]*(1+_xlfn.XLOOKUP(Table1[[#This Row], [DISGUISE]],Sheet1!$A$21:$A$23,Sheet1!$C$21:$C$23))</f>
        <v>15600</v>
      </c>
      <c r="H1178" s="13" t="s">
        <v>59</v>
      </c>
      <c r="I1178" s="4">
        <f>_xlfn.XLOOKUP(Table1[[#This Row], [WEAPON]],Sheet1!$A$27:$A$29,Sheet1!$B$27:$B$29)*Table1[[#This Row], [NUM OF MEM]]*(1+_xlfn.XLOOKUP(Table1[[#This Row], [WEAPON]],Sheet1!$A$27:$A$29,Sheet1!$C$27:$C$29))</f>
        <v>136500</v>
      </c>
      <c r="J1178" t="s">
        <v>64</v>
      </c>
      <c r="K1178" s="9">
        <f>Table1[[#This Row], [NUM OF MEM]]*Table1[[#This Row], [TOTAL TIME TAKEN]]*_xlfn.XLOOKUP(Table1[[#This Row], [EXIT]],Sheet1!$A$70:$A$71,Sheet1!$B$70:$B$71)*(1+_xlfn.XLOOKUP(Table1[[#This Row], [EXIT]],Sheet1!$A$70:$A$71,Sheet1!$C$70:$C$71))</f>
        <v>1716616.7999999996</v>
      </c>
      <c r="L1178" s="13" t="s">
        <v>65</v>
      </c>
      <c r="M1178" s="4">
        <f>IF(Table1[[#This Row], [EQUIPMENT]]="YES",Sheet1!$C$44*(1+Sheet1!$D$44),0)</f>
        <v>307500</v>
      </c>
      <c r="N1178" s="4">
        <f>_xlfn.XLOOKUP(Table1[[#This Row], [ROOM]],Sheet1!$A$47:$A$66,Sheet1!$F$47:$F$66)</f>
        <v>17600000</v>
      </c>
      <c r="O1178" s="9">
        <f>_xlfn.XLOOKUP(_xlfn.CONCAT(Table1[[#This Row], [TEAM]],Table1[[#This Row], [ROOM]]),'ROOM TIME'!$H$2:$H$121,'ROOM TIME'!$J$2:$J$121)</f>
        <v>39.551666666666655</v>
      </c>
      <c r="P1178" s="9">
        <f>(INDEX(Sheet1!$X$48:$Z$67,MATCH(Table1[[#This Row], [ROOM]],Sheet1!$P$48:$P$67,0),MATCH(Table1[[#This Row], [WEAPON]],Sheet1!$X$47:$Z$47,0)))/Table1[[#This Row], [NUM OF MEM]]</f>
        <v>4.5999999999999996</v>
      </c>
      <c r="Q1178" s="9">
        <f>Table1[[#This Row], [ROOM TIME]]+Table1[[#This Row], [GUARD TIME]]</f>
        <v>44.151666666666657</v>
      </c>
      <c r="R1178" s="4">
        <f>Sheet1!$K$3*_xlfn.XLOOKUP(Table1[[#This Row], [DISGUISE]],Sheet1!$A$21:$A$23,Sheet1!$D$21:$D$23)</f>
        <v>66</v>
      </c>
      <c r="S1178" s="9">
        <f>Table1[[#This Row], [TOTAL TIME]]-Table1[[#This Row], [TOTAL TIME TAKEN]]</f>
        <v>21.848333333333343</v>
      </c>
      <c r="T1178" t="str">
        <f>IF(Table1[[#This Row], [TIME DIFFERENCE]]&gt;=0,"PASS","FAIL")</f>
        <v>PASS</v>
      </c>
      <c r="U1178" s="9">
        <f>Table1[[#This Row], [TRC]]+Table1[[#This Row], [DRC]]+Table1[[#This Row], [WRC]]+Table1[[#This Row], [ERC]]+Table1[[#This Row], [EQRC]]</f>
        <v>8106216.7999999998</v>
      </c>
      <c r="V1178" s="9">
        <f>Table1[[#This Row], [TOTAL COST]]+_xlfn.XLOOKUP(Table1[[#This Row], [TEAM]],Sheet1!$A$12:$A$17,Sheet1!$I$12:$I$17)</f>
        <v>8402716.8000000007</v>
      </c>
      <c r="W1178" s="9">
        <f>Table1[[#This Row], [LOOT]]-Table1[[#This Row], [TOTAL COST]]</f>
        <v>9493783.1999999993</v>
      </c>
      <c r="X1178" s="9">
        <f>IF(Table1[[#This Row], [PASS/FAIL]]="FAIL",0,Table1[[#This Row], [PROFIT]])</f>
        <v>9493783.1999999993</v>
      </c>
    </row>
    <row r="1179" spans="1:24" ht="19.5" customHeight="1" x14ac:dyDescent="0.45">
      <c r="A1179" t="s">
        <v>9</v>
      </c>
      <c r="B1179" s="14">
        <f>_xlfn.XLOOKUP(Table1[[#This Row], [TEAM]],Sheet1!$A$12:$A$17,Sheet1!$F$12:$F$17)</f>
        <v>3</v>
      </c>
      <c r="C1179" s="14">
        <f>_xlfn.XLOOKUP(Table1[[#This Row], [TEAM]],Sheet1!$A$12:$A$17,Sheet1!$G$12:$G$17)</f>
        <v>6238750</v>
      </c>
      <c r="D1179" t="s">
        <v>21</v>
      </c>
      <c r="E1179" s="4">
        <f>_xlfn.XLOOKUP(Table1[[#This Row], [ROOM]],Sheet1!$A$47:$A$66,Sheet1!$B$47:$B$66)</f>
        <v>234</v>
      </c>
      <c r="F1179" t="s">
        <v>62</v>
      </c>
      <c r="G117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79" s="13" t="s">
        <v>66</v>
      </c>
      <c r="I1179" s="4">
        <f>_xlfn.XLOOKUP(Table1[[#This Row], [WEAPON]],Sheet1!$A$27:$A$29,Sheet1!$B$27:$B$29)*Table1[[#This Row], [NUM OF MEM]]*(1+_xlfn.XLOOKUP(Table1[[#This Row], [WEAPON]],Sheet1!$A$27:$A$29,Sheet1!$C$27:$C$29))</f>
        <v>108000</v>
      </c>
      <c r="J1179" t="s">
        <v>60</v>
      </c>
      <c r="K1179" s="9">
        <f>Table1[[#This Row], [NUM OF MEM]]*Table1[[#This Row], [TOTAL TIME TAKEN]]*_xlfn.XLOOKUP(Table1[[#This Row], [EXIT]],Sheet1!$A$70:$A$71,Sheet1!$B$70:$B$71)*(1+_xlfn.XLOOKUP(Table1[[#This Row], [EXIT]],Sheet1!$A$70:$A$71,Sheet1!$C$70:$C$71))</f>
        <v>1736836.0999999996</v>
      </c>
      <c r="L1179" s="13" t="s">
        <v>65</v>
      </c>
      <c r="M1179" s="4">
        <f>IF(Table1[[#This Row], [EQUIPMENT]]="YES",Sheet1!$C$44*(1+Sheet1!$D$44),0)</f>
        <v>307500</v>
      </c>
      <c r="N1179" s="4">
        <f>_xlfn.XLOOKUP(Table1[[#This Row], [ROOM]],Sheet1!$A$47:$A$66,Sheet1!$F$47:$F$66)</f>
        <v>17900000</v>
      </c>
      <c r="O1179" s="9">
        <f>_xlfn.XLOOKUP(_xlfn.CONCAT(Table1[[#This Row], [TEAM]],Table1[[#This Row], [ROOM]]),'ROOM TIME'!$H$2:$H$121,'ROOM TIME'!$J$2:$J$121)</f>
        <v>39.698888888888881</v>
      </c>
      <c r="P1179" s="9">
        <f>(INDEX(Sheet1!$X$48:$Z$67,MATCH(Table1[[#This Row], [ROOM]],Sheet1!$P$48:$P$67,0),MATCH(Table1[[#This Row], [WEAPON]],Sheet1!$X$47:$Z$47,0)))/Table1[[#This Row], [NUM OF MEM]]</f>
        <v>5.416666666666667</v>
      </c>
      <c r="Q1179" s="9">
        <f>Table1[[#This Row], [ROOM TIME]]+Table1[[#This Row], [GUARD TIME]]</f>
        <v>45.115555555555545</v>
      </c>
      <c r="R1179" s="4">
        <f>Sheet1!$K$3*_xlfn.XLOOKUP(Table1[[#This Row], [DISGUISE]],Sheet1!$A$21:$A$23,Sheet1!$D$21:$D$23)</f>
        <v>66</v>
      </c>
      <c r="S1179" s="9">
        <f>Table1[[#This Row], [TOTAL TIME]]-Table1[[#This Row], [TOTAL TIME TAKEN]]</f>
        <v>20.884444444444455</v>
      </c>
      <c r="T1179" t="str">
        <f>IF(Table1[[#This Row], [TIME DIFFERENCE]]&gt;=0,"PASS","FAIL")</f>
        <v>PASS</v>
      </c>
      <c r="U1179" s="9">
        <f>Table1[[#This Row], [TRC]]+Table1[[#This Row], [DRC]]+Table1[[#This Row], [WRC]]+Table1[[#This Row], [ERC]]+Table1[[#This Row], [EQRC]]</f>
        <v>8406686.0999999996</v>
      </c>
      <c r="V1179" s="9">
        <f>Table1[[#This Row], [TOTAL COST]]+_xlfn.XLOOKUP(Table1[[#This Row], [TEAM]],Sheet1!$A$12:$A$17,Sheet1!$I$12:$I$17)</f>
        <v>8718623.5999999996</v>
      </c>
      <c r="W1179" s="9">
        <f>Table1[[#This Row], [LOOT]]-Table1[[#This Row], [TOTAL COST]]</f>
        <v>9493313.9000000004</v>
      </c>
      <c r="X1179" s="9">
        <f>IF(Table1[[#This Row], [PASS/FAIL]]="FAIL",0,Table1[[#This Row], [PROFIT]])</f>
        <v>9493313.9000000004</v>
      </c>
    </row>
    <row r="1180" spans="1:24" ht="19.5" customHeight="1" x14ac:dyDescent="0.45">
      <c r="A1180" t="s">
        <v>9</v>
      </c>
      <c r="B1180" s="14">
        <f>_xlfn.XLOOKUP(Table1[[#This Row], [TEAM]],Sheet1!$A$12:$A$17,Sheet1!$F$12:$F$17)</f>
        <v>3</v>
      </c>
      <c r="C1180" s="14">
        <f>_xlfn.XLOOKUP(Table1[[#This Row], [TEAM]],Sheet1!$A$12:$A$17,Sheet1!$G$12:$G$17)</f>
        <v>6238750</v>
      </c>
      <c r="D1180" t="s">
        <v>21</v>
      </c>
      <c r="E1180" s="4">
        <f>_xlfn.XLOOKUP(Table1[[#This Row], [ROOM]],Sheet1!$A$47:$A$66,Sheet1!$B$47:$B$66)</f>
        <v>234</v>
      </c>
      <c r="F1180" t="s">
        <v>58</v>
      </c>
      <c r="G1180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0" s="13" t="s">
        <v>63</v>
      </c>
      <c r="I1180" s="4">
        <f>_xlfn.XLOOKUP(Table1[[#This Row], [WEAPON]],Sheet1!$A$27:$A$29,Sheet1!$B$27:$B$29)*Table1[[#This Row], [NUM OF MEM]]*(1+_xlfn.XLOOKUP(Table1[[#This Row], [WEAPON]],Sheet1!$A$27:$A$29,Sheet1!$C$27:$C$29))</f>
        <v>69000</v>
      </c>
      <c r="J1180" t="s">
        <v>60</v>
      </c>
      <c r="K1180" s="9">
        <f>Table1[[#This Row], [NUM OF MEM]]*Table1[[#This Row], [TOTAL TIME TAKEN]]*_xlfn.XLOOKUP(Table1[[#This Row], [EXIT]],Sheet1!$A$70:$A$71,Sheet1!$B$70:$B$71)*(1+_xlfn.XLOOKUP(Table1[[#This Row], [EXIT]],Sheet1!$A$70:$A$71,Sheet1!$C$70:$C$71))</f>
        <v>1753518.3499999996</v>
      </c>
      <c r="L1180" s="13" t="s">
        <v>65</v>
      </c>
      <c r="M1180" s="4">
        <f>IF(Table1[[#This Row], [EQUIPMENT]]="YES",Sheet1!$C$44*(1+Sheet1!$D$44),0)</f>
        <v>307500</v>
      </c>
      <c r="N1180" s="4">
        <f>_xlfn.XLOOKUP(Table1[[#This Row], [ROOM]],Sheet1!$A$47:$A$66,Sheet1!$F$47:$F$66)</f>
        <v>17900000</v>
      </c>
      <c r="O1180" s="9">
        <f>_xlfn.XLOOKUP(_xlfn.CONCAT(Table1[[#This Row], [TEAM]],Table1[[#This Row], [ROOM]]),'ROOM TIME'!$H$2:$H$121,'ROOM TIME'!$J$2:$J$121)</f>
        <v>39.698888888888881</v>
      </c>
      <c r="P1180" s="9">
        <f>(INDEX(Sheet1!$X$48:$Z$67,MATCH(Table1[[#This Row], [ROOM]],Sheet1!$P$48:$P$67,0),MATCH(Table1[[#This Row], [WEAPON]],Sheet1!$X$47:$Z$47,0)))/Table1[[#This Row], [NUM OF MEM]]</f>
        <v>5.8500000000000005</v>
      </c>
      <c r="Q1180" s="9">
        <f>Table1[[#This Row], [ROOM TIME]]+Table1[[#This Row], [GUARD TIME]]</f>
        <v>45.548888888888882</v>
      </c>
      <c r="R1180" s="4">
        <f>Sheet1!$K$3*_xlfn.XLOOKUP(Table1[[#This Row], [DISGUISE]],Sheet1!$A$21:$A$23,Sheet1!$D$21:$D$23)</f>
        <v>69</v>
      </c>
      <c r="S1180" s="9">
        <f>Table1[[#This Row], [TOTAL TIME]]-Table1[[#This Row], [TOTAL TIME TAKEN]]</f>
        <v>23.451111111111118</v>
      </c>
      <c r="T1180" t="str">
        <f>IF(Table1[[#This Row], [TIME DIFFERENCE]]&gt;=0,"PASS","FAIL")</f>
        <v>PASS</v>
      </c>
      <c r="U1180" s="9">
        <f>Table1[[#This Row], [TRC]]+Table1[[#This Row], [DRC]]+Table1[[#This Row], [WRC]]+Table1[[#This Row], [ERC]]+Table1[[#This Row], [EQRC]]</f>
        <v>8407168.3499999996</v>
      </c>
      <c r="V1180" s="9">
        <f>Table1[[#This Row], [TOTAL COST]]+_xlfn.XLOOKUP(Table1[[#This Row], [TEAM]],Sheet1!$A$12:$A$17,Sheet1!$I$12:$I$17)</f>
        <v>8719105.8499999996</v>
      </c>
      <c r="W1180" s="9">
        <f>Table1[[#This Row], [LOOT]]-Table1[[#This Row], [TOTAL COST]]</f>
        <v>9492831.6500000004</v>
      </c>
      <c r="X1180" s="9">
        <f>IF(Table1[[#This Row], [PASS/FAIL]]="FAIL",0,Table1[[#This Row], [PROFIT]])</f>
        <v>9492831.6500000004</v>
      </c>
    </row>
    <row r="1181" spans="1:24" ht="19.5" customHeight="1" x14ac:dyDescent="0.45">
      <c r="A1181" t="s">
        <v>12</v>
      </c>
      <c r="B1181" s="14">
        <f>_xlfn.XLOOKUP(Table1[[#This Row], [TEAM]],Sheet1!$A$12:$A$17,Sheet1!$F$12:$F$17)</f>
        <v>3</v>
      </c>
      <c r="C1181" s="14">
        <f>_xlfn.XLOOKUP(Table1[[#This Row], [TEAM]],Sheet1!$A$12:$A$17,Sheet1!$G$12:$G$17)</f>
        <v>5988750</v>
      </c>
      <c r="D1181" t="s">
        <v>17</v>
      </c>
      <c r="E1181" s="4">
        <f>_xlfn.XLOOKUP(Table1[[#This Row], [ROOM]],Sheet1!$A$47:$A$66,Sheet1!$B$47:$B$66)</f>
        <v>125</v>
      </c>
      <c r="F1181" t="s">
        <v>58</v>
      </c>
      <c r="G1181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1" s="13" t="s">
        <v>66</v>
      </c>
      <c r="I1181" s="4">
        <f>_xlfn.XLOOKUP(Table1[[#This Row], [WEAPON]],Sheet1!$A$27:$A$29,Sheet1!$B$27:$B$29)*Table1[[#This Row], [NUM OF MEM]]*(1+_xlfn.XLOOKUP(Table1[[#This Row], [WEAPON]],Sheet1!$A$27:$A$29,Sheet1!$C$27:$C$29))</f>
        <v>108000</v>
      </c>
      <c r="J1181" t="s">
        <v>64</v>
      </c>
      <c r="K1181" s="9">
        <f>Table1[[#This Row], [NUM OF MEM]]*Table1[[#This Row], [TOTAL TIME TAKEN]]*_xlfn.XLOOKUP(Table1[[#This Row], [EXIT]],Sheet1!$A$70:$A$71,Sheet1!$B$70:$B$71)*(1+_xlfn.XLOOKUP(Table1[[#This Row], [EXIT]],Sheet1!$A$70:$A$71,Sheet1!$C$70:$C$71))</f>
        <v>1722340.7999999989</v>
      </c>
      <c r="L1181" s="13" t="s">
        <v>61</v>
      </c>
      <c r="M1181" s="4">
        <f>IF(Table1[[#This Row], [EQUIPMENT]]="YES",Sheet1!$C$44*(1+Sheet1!$D$44),0)</f>
        <v>0</v>
      </c>
      <c r="N1181" s="4">
        <f>_xlfn.XLOOKUP(Table1[[#This Row], [ROOM]],Sheet1!$A$47:$A$66,Sheet1!$F$47:$F$66)</f>
        <v>17350000</v>
      </c>
      <c r="O1181" s="9">
        <f>_xlfn.XLOOKUP(_xlfn.CONCAT(Table1[[#This Row], [TEAM]],Table1[[#This Row], [ROOM]]),'ROOM TIME'!$H$2:$H$121,'ROOM TIME'!$J$2:$J$121)</f>
        <v>40.132222222222204</v>
      </c>
      <c r="P1181" s="9">
        <f>(INDEX(Sheet1!$X$48:$Z$67,MATCH(Table1[[#This Row], [ROOM]],Sheet1!$P$48:$P$67,0),MATCH(Table1[[#This Row], [WEAPON]],Sheet1!$X$47:$Z$47,0)))/Table1[[#This Row], [NUM OF MEM]]</f>
        <v>4.166666666666667</v>
      </c>
      <c r="Q1181" s="9">
        <f>Table1[[#This Row], [ROOM TIME]]+Table1[[#This Row], [GUARD TIME]]</f>
        <v>44.298888888888868</v>
      </c>
      <c r="R1181" s="4">
        <f>Sheet1!$K$3*_xlfn.XLOOKUP(Table1[[#This Row], [DISGUISE]],Sheet1!$A$21:$A$23,Sheet1!$D$21:$D$23)</f>
        <v>69</v>
      </c>
      <c r="S1181" s="9">
        <f>Table1[[#This Row], [TOTAL TIME]]-Table1[[#This Row], [TOTAL TIME TAKEN]]</f>
        <v>24.701111111111132</v>
      </c>
      <c r="T1181" t="str">
        <f>IF(Table1[[#This Row], [TIME DIFFERENCE]]&gt;=0,"PASS","FAIL")</f>
        <v>PASS</v>
      </c>
      <c r="U1181" s="9">
        <f>Table1[[#This Row], [TRC]]+Table1[[#This Row], [DRC]]+Table1[[#This Row], [WRC]]+Table1[[#This Row], [ERC]]+Table1[[#This Row], [EQRC]]</f>
        <v>7857490.7999999989</v>
      </c>
      <c r="V1181" s="9">
        <f>Table1[[#This Row], [TOTAL COST]]+_xlfn.XLOOKUP(Table1[[#This Row], [TEAM]],Sheet1!$A$12:$A$17,Sheet1!$I$12:$I$17)</f>
        <v>8156928.2999999989</v>
      </c>
      <c r="W1181" s="9">
        <f>Table1[[#This Row], [LOOT]]-Table1[[#This Row], [TOTAL COST]]</f>
        <v>9492509.2000000011</v>
      </c>
      <c r="X1181" s="9">
        <f>IF(Table1[[#This Row], [PASS/FAIL]]="FAIL",0,Table1[[#This Row], [PROFIT]])</f>
        <v>9492509.2000000011</v>
      </c>
    </row>
    <row r="1182" spans="1:24" ht="19.5" customHeight="1" x14ac:dyDescent="0.45">
      <c r="A1182" t="s">
        <v>12</v>
      </c>
      <c r="B1182" s="14">
        <f>_xlfn.XLOOKUP(Table1[[#This Row], [TEAM]],Sheet1!$A$12:$A$17,Sheet1!$F$12:$F$17)</f>
        <v>3</v>
      </c>
      <c r="C1182" s="14">
        <f>_xlfn.XLOOKUP(Table1[[#This Row], [TEAM]],Sheet1!$A$12:$A$17,Sheet1!$G$12:$G$17)</f>
        <v>5988750</v>
      </c>
      <c r="D1182" t="s">
        <v>31</v>
      </c>
      <c r="E1182" s="4">
        <f>_xlfn.XLOOKUP(Table1[[#This Row], [ROOM]],Sheet1!$A$47:$A$66,Sheet1!$B$47:$B$66)</f>
        <v>256</v>
      </c>
      <c r="F1182" t="s">
        <v>62</v>
      </c>
      <c r="G1182" s="4">
        <f>_xlfn.XLOOKUP(Table1[[#This Row], [DISGUISE]],Sheet1!$A$21:$A$23,Sheet1!$B$21:$B$23)*Table1[[#This Row], [NUM OF MEM]]*(1+_xlfn.XLOOKUP(Table1[[#This Row], [DISGUISE]],Sheet1!$A$21:$A$23,Sheet1!$C$21:$C$23))</f>
        <v>15600</v>
      </c>
      <c r="H1182" s="13" t="s">
        <v>63</v>
      </c>
      <c r="I1182" s="4">
        <f>_xlfn.XLOOKUP(Table1[[#This Row], [WEAPON]],Sheet1!$A$27:$A$29,Sheet1!$B$27:$B$29)*Table1[[#This Row], [NUM OF MEM]]*(1+_xlfn.XLOOKUP(Table1[[#This Row], [WEAPON]],Sheet1!$A$27:$A$29,Sheet1!$C$27:$C$29))</f>
        <v>69000</v>
      </c>
      <c r="J1182" t="s">
        <v>60</v>
      </c>
      <c r="K1182" s="9">
        <f>Table1[[#This Row], [NUM OF MEM]]*Table1[[#This Row], [TOTAL TIME TAKEN]]*_xlfn.XLOOKUP(Table1[[#This Row], [EXIT]],Sheet1!$A$70:$A$71,Sheet1!$B$70:$B$71)*(1+_xlfn.XLOOKUP(Table1[[#This Row], [EXIT]],Sheet1!$A$70:$A$71,Sheet1!$C$70:$C$71))</f>
        <v>1627032.6749999996</v>
      </c>
      <c r="L1182" s="13" t="s">
        <v>65</v>
      </c>
      <c r="M1182" s="4">
        <f>IF(Table1[[#This Row], [EQUIPMENT]]="YES",Sheet1!$C$44*(1+Sheet1!$D$44),0)</f>
        <v>307500</v>
      </c>
      <c r="N1182" s="4">
        <f>_xlfn.XLOOKUP(Table1[[#This Row], [ROOM]],Sheet1!$A$47:$A$66,Sheet1!$F$47:$F$66)</f>
        <v>17500000</v>
      </c>
      <c r="O1182" s="9">
        <f>_xlfn.XLOOKUP(_xlfn.CONCAT(Table1[[#This Row], [TEAM]],Table1[[#This Row], [ROOM]]),'ROOM TIME'!$H$2:$H$121,'ROOM TIME'!$J$2:$J$121)</f>
        <v>37.313333333333318</v>
      </c>
      <c r="P1182" s="9">
        <f>(INDEX(Sheet1!$X$48:$Z$67,MATCH(Table1[[#This Row], [ROOM]],Sheet1!$P$48:$P$67,0),MATCH(Table1[[#This Row], [WEAPON]],Sheet1!$X$47:$Z$47,0)))/Table1[[#This Row], [NUM OF MEM]]</f>
        <v>4.95</v>
      </c>
      <c r="Q1182" s="9">
        <f>Table1[[#This Row], [ROOM TIME]]+Table1[[#This Row], [GUARD TIME]]</f>
        <v>42.263333333333321</v>
      </c>
      <c r="R1182" s="4">
        <f>Sheet1!$K$3*_xlfn.XLOOKUP(Table1[[#This Row], [DISGUISE]],Sheet1!$A$21:$A$23,Sheet1!$D$21:$D$23)</f>
        <v>66</v>
      </c>
      <c r="S1182" s="9">
        <f>Table1[[#This Row], [TOTAL TIME]]-Table1[[#This Row], [TOTAL TIME TAKEN]]</f>
        <v>23.736666666666679</v>
      </c>
      <c r="T1182" t="str">
        <f>IF(Table1[[#This Row], [TIME DIFFERENCE]]&gt;=0,"PASS","FAIL")</f>
        <v>PASS</v>
      </c>
      <c r="U1182" s="9">
        <f>Table1[[#This Row], [TRC]]+Table1[[#This Row], [DRC]]+Table1[[#This Row], [WRC]]+Table1[[#This Row], [ERC]]+Table1[[#This Row], [EQRC]]</f>
        <v>8007882.6749999998</v>
      </c>
      <c r="V1182" s="9">
        <f>Table1[[#This Row], [TOTAL COST]]+_xlfn.XLOOKUP(Table1[[#This Row], [TEAM]],Sheet1!$A$12:$A$17,Sheet1!$I$12:$I$17)</f>
        <v>8307320.1749999998</v>
      </c>
      <c r="W1182" s="9">
        <f>Table1[[#This Row], [LOOT]]-Table1[[#This Row], [TOTAL COST]]</f>
        <v>9492117.3249999993</v>
      </c>
      <c r="X1182" s="9">
        <f>IF(Table1[[#This Row], [PASS/FAIL]]="FAIL",0,Table1[[#This Row], [PROFIT]])</f>
        <v>9492117.3249999993</v>
      </c>
    </row>
    <row r="1183" spans="1:24" ht="19.5" customHeight="1" x14ac:dyDescent="0.45">
      <c r="A1183" t="s">
        <v>14</v>
      </c>
      <c r="B1183" s="14">
        <f>_xlfn.XLOOKUP(Table1[[#This Row], [TEAM]],Sheet1!$A$12:$A$17,Sheet1!$F$12:$F$17)</f>
        <v>2</v>
      </c>
      <c r="C1183" s="14">
        <f>_xlfn.XLOOKUP(Table1[[#This Row], [TEAM]],Sheet1!$A$12:$A$17,Sheet1!$G$12:$G$17)</f>
        <v>5949600</v>
      </c>
      <c r="D1183" t="s">
        <v>20</v>
      </c>
      <c r="E1183" s="4">
        <f>_xlfn.XLOOKUP(Table1[[#This Row], [ROOM]],Sheet1!$A$47:$A$66,Sheet1!$B$47:$B$66)</f>
        <v>145</v>
      </c>
      <c r="F1183" t="s">
        <v>58</v>
      </c>
      <c r="G1183" s="4">
        <f>_xlfn.XLOOKUP(Table1[[#This Row], [DISGUISE]],Sheet1!$A$21:$A$23,Sheet1!$B$21:$B$23)*Table1[[#This Row], [NUM OF MEM]]*(1+_xlfn.XLOOKUP(Table1[[#This Row], [DISGUISE]],Sheet1!$A$21:$A$23,Sheet1!$C$21:$C$23))</f>
        <v>25600</v>
      </c>
      <c r="H1183" s="13" t="s">
        <v>59</v>
      </c>
      <c r="I1183" s="4">
        <f>_xlfn.XLOOKUP(Table1[[#This Row], [WEAPON]],Sheet1!$A$27:$A$29,Sheet1!$B$27:$B$29)*Table1[[#This Row], [NUM OF MEM]]*(1+_xlfn.XLOOKUP(Table1[[#This Row], [WEAPON]],Sheet1!$A$27:$A$29,Sheet1!$C$27:$C$29))</f>
        <v>91000</v>
      </c>
      <c r="J1183" t="s">
        <v>60</v>
      </c>
      <c r="K1183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1183" s="13" t="s">
        <v>65</v>
      </c>
      <c r="M1183" s="4">
        <f>IF(Table1[[#This Row], [EQUIPMENT]]="YES",Sheet1!$C$44*(1+Sheet1!$D$44),0)</f>
        <v>307500</v>
      </c>
      <c r="N1183" s="4">
        <f>_xlfn.XLOOKUP(Table1[[#This Row], [ROOM]],Sheet1!$A$47:$A$66,Sheet1!$F$47:$F$66)</f>
        <v>17550000</v>
      </c>
      <c r="O1183" s="9">
        <f>_xlfn.XLOOKUP(_xlfn.CONCAT(Table1[[#This Row], [TEAM]],Table1[[#This Row], [ROOM]]),'ROOM TIME'!$H$2:$H$121,'ROOM TIME'!$J$2:$J$121)</f>
        <v>59.889999999999986</v>
      </c>
      <c r="P1183" s="9">
        <f>(INDEX(Sheet1!$X$48:$Z$67,MATCH(Table1[[#This Row], [ROOM]],Sheet1!$P$48:$P$67,0),MATCH(Table1[[#This Row], [WEAPON]],Sheet1!$X$47:$Z$47,0)))/Table1[[#This Row], [NUM OF MEM]]</f>
        <v>5.75</v>
      </c>
      <c r="Q1183" s="9">
        <f>Table1[[#This Row], [ROOM TIME]]+Table1[[#This Row], [GUARD TIME]]</f>
        <v>65.639999999999986</v>
      </c>
      <c r="R1183" s="4">
        <f>Sheet1!$K$3*_xlfn.XLOOKUP(Table1[[#This Row], [DISGUISE]],Sheet1!$A$21:$A$23,Sheet1!$D$21:$D$23)</f>
        <v>69</v>
      </c>
      <c r="S1183" s="9">
        <f>Table1[[#This Row], [TOTAL TIME]]-Table1[[#This Row], [TOTAL TIME TAKEN]]</f>
        <v>3.3600000000000136</v>
      </c>
      <c r="T1183" t="str">
        <f>IF(Table1[[#This Row], [TIME DIFFERENCE]]&gt;=0,"PASS","FAIL")</f>
        <v>PASS</v>
      </c>
      <c r="U1183" s="9">
        <f>Table1[[#This Row], [TRC]]+Table1[[#This Row], [DRC]]+Table1[[#This Row], [WRC]]+Table1[[#This Row], [ERC]]+Table1[[#This Row], [EQRC]]</f>
        <v>8058350.5999999996</v>
      </c>
      <c r="V1183" s="9">
        <f>Table1[[#This Row], [TOTAL COST]]+_xlfn.XLOOKUP(Table1[[#This Row], [TEAM]],Sheet1!$A$12:$A$17,Sheet1!$I$12:$I$17)</f>
        <v>8355830.5999999996</v>
      </c>
      <c r="W1183" s="9">
        <f>Table1[[#This Row], [LOOT]]-Table1[[#This Row], [TOTAL COST]]</f>
        <v>9491649.4000000004</v>
      </c>
      <c r="X1183" s="9">
        <f>IF(Table1[[#This Row], [PASS/FAIL]]="FAIL",0,Table1[[#This Row], [PROFIT]])</f>
        <v>9491649.4000000004</v>
      </c>
    </row>
    <row r="1184" spans="1:24" ht="19.5" customHeight="1" x14ac:dyDescent="0.45">
      <c r="A1184" t="s">
        <v>9</v>
      </c>
      <c r="B1184" s="14">
        <f>_xlfn.XLOOKUP(Table1[[#This Row], [TEAM]],Sheet1!$A$12:$A$17,Sheet1!$F$12:$F$17)</f>
        <v>3</v>
      </c>
      <c r="C1184" s="14">
        <f>_xlfn.XLOOKUP(Table1[[#This Row], [TEAM]],Sheet1!$A$12:$A$17,Sheet1!$G$12:$G$17)</f>
        <v>6238750</v>
      </c>
      <c r="D1184" t="s">
        <v>28</v>
      </c>
      <c r="E1184" s="4">
        <f>_xlfn.XLOOKUP(Table1[[#This Row], [ROOM]],Sheet1!$A$47:$A$66,Sheet1!$B$47:$B$66)</f>
        <v>156</v>
      </c>
      <c r="F1184" t="s">
        <v>62</v>
      </c>
      <c r="G1184" s="4">
        <f>_xlfn.XLOOKUP(Table1[[#This Row], [DISGUISE]],Sheet1!$A$21:$A$23,Sheet1!$B$21:$B$23)*Table1[[#This Row], [NUM OF MEM]]*(1+_xlfn.XLOOKUP(Table1[[#This Row], [DISGUISE]],Sheet1!$A$21:$A$23,Sheet1!$C$21:$C$23))</f>
        <v>15600</v>
      </c>
      <c r="H1184" s="13" t="s">
        <v>63</v>
      </c>
      <c r="I1184" s="4">
        <f>_xlfn.XLOOKUP(Table1[[#This Row], [WEAPON]],Sheet1!$A$27:$A$29,Sheet1!$B$27:$B$29)*Table1[[#This Row], [NUM OF MEM]]*(1+_xlfn.XLOOKUP(Table1[[#This Row], [WEAPON]],Sheet1!$A$27:$A$29,Sheet1!$C$27:$C$29))</f>
        <v>69000</v>
      </c>
      <c r="J1184" t="s">
        <v>60</v>
      </c>
      <c r="K1184" s="9">
        <f>Table1[[#This Row], [NUM OF MEM]]*Table1[[#This Row], [TOTAL TIME TAKEN]]*_xlfn.XLOOKUP(Table1[[#This Row], [EXIT]],Sheet1!$A$70:$A$71,Sheet1!$B$70:$B$71)*(1+_xlfn.XLOOKUP(Table1[[#This Row], [EXIT]],Sheet1!$A$70:$A$71,Sheet1!$C$70:$C$71))</f>
        <v>1528543.2374999996</v>
      </c>
      <c r="L1184" s="13" t="s">
        <v>65</v>
      </c>
      <c r="M1184" s="4">
        <f>IF(Table1[[#This Row], [EQUIPMENT]]="YES",Sheet1!$C$44*(1+Sheet1!$D$44),0)</f>
        <v>307500</v>
      </c>
      <c r="N1184" s="4">
        <f>_xlfn.XLOOKUP(Table1[[#This Row], [ROOM]],Sheet1!$A$47:$A$66,Sheet1!$F$47:$F$66)</f>
        <v>17650000</v>
      </c>
      <c r="O1184" s="9">
        <f>_xlfn.XLOOKUP(_xlfn.CONCAT(Table1[[#This Row], [TEAM]],Table1[[#This Row], [ROOM]]),'ROOM TIME'!$H$2:$H$121,'ROOM TIME'!$J$2:$J$121)</f>
        <v>35.204999999999991</v>
      </c>
      <c r="P1184" s="9">
        <f>(INDEX(Sheet1!$X$48:$Z$67,MATCH(Table1[[#This Row], [ROOM]],Sheet1!$P$48:$P$67,0),MATCH(Table1[[#This Row], [WEAPON]],Sheet1!$X$47:$Z$47,0)))/Table1[[#This Row], [NUM OF MEM]]</f>
        <v>4.5</v>
      </c>
      <c r="Q1184" s="9">
        <f>Table1[[#This Row], [ROOM TIME]]+Table1[[#This Row], [GUARD TIME]]</f>
        <v>39.704999999999991</v>
      </c>
      <c r="R1184" s="4">
        <f>Sheet1!$K$3*_xlfn.XLOOKUP(Table1[[#This Row], [DISGUISE]],Sheet1!$A$21:$A$23,Sheet1!$D$21:$D$23)</f>
        <v>66</v>
      </c>
      <c r="S1184" s="9">
        <f>Table1[[#This Row], [TOTAL TIME]]-Table1[[#This Row], [TOTAL TIME TAKEN]]</f>
        <v>26.295000000000009</v>
      </c>
      <c r="T1184" t="str">
        <f>IF(Table1[[#This Row], [TIME DIFFERENCE]]&gt;=0,"PASS","FAIL")</f>
        <v>PASS</v>
      </c>
      <c r="U1184" s="9">
        <f>Table1[[#This Row], [TRC]]+Table1[[#This Row], [DRC]]+Table1[[#This Row], [WRC]]+Table1[[#This Row], [ERC]]+Table1[[#This Row], [EQRC]]</f>
        <v>8159393.2374999998</v>
      </c>
      <c r="V1184" s="9">
        <f>Table1[[#This Row], [TOTAL COST]]+_xlfn.XLOOKUP(Table1[[#This Row], [TEAM]],Sheet1!$A$12:$A$17,Sheet1!$I$12:$I$17)</f>
        <v>8471330.7375000007</v>
      </c>
      <c r="W1184" s="9">
        <f>Table1[[#This Row], [LOOT]]-Table1[[#This Row], [TOTAL COST]]</f>
        <v>9490606.7624999993</v>
      </c>
      <c r="X1184" s="9">
        <f>IF(Table1[[#This Row], [PASS/FAIL]]="FAIL",0,Table1[[#This Row], [PROFIT]])</f>
        <v>9490606.7624999993</v>
      </c>
    </row>
    <row r="1185" spans="1:24" ht="19.5" customHeight="1" x14ac:dyDescent="0.45">
      <c r="A1185" t="s">
        <v>14</v>
      </c>
      <c r="B1185" s="14">
        <f>_xlfn.XLOOKUP(Table1[[#This Row], [TEAM]],Sheet1!$A$12:$A$17,Sheet1!$F$12:$F$17)</f>
        <v>2</v>
      </c>
      <c r="C1185" s="14">
        <f>_xlfn.XLOOKUP(Table1[[#This Row], [TEAM]],Sheet1!$A$12:$A$17,Sheet1!$G$12:$G$17)</f>
        <v>5949600</v>
      </c>
      <c r="D1185" t="s">
        <v>20</v>
      </c>
      <c r="E1185" s="4">
        <f>_xlfn.XLOOKUP(Table1[[#This Row], [ROOM]],Sheet1!$A$47:$A$66,Sheet1!$B$47:$B$66)</f>
        <v>145</v>
      </c>
      <c r="F1185" t="s">
        <v>62</v>
      </c>
      <c r="G1185" s="4">
        <f>_xlfn.XLOOKUP(Table1[[#This Row], [DISGUISE]],Sheet1!$A$21:$A$23,Sheet1!$B$21:$B$23)*Table1[[#This Row], [NUM OF MEM]]*(1+_xlfn.XLOOKUP(Table1[[#This Row], [DISGUISE]],Sheet1!$A$21:$A$23,Sheet1!$C$21:$C$23))</f>
        <v>10400</v>
      </c>
      <c r="H1185" s="13" t="s">
        <v>59</v>
      </c>
      <c r="I1185" s="4">
        <f>_xlfn.XLOOKUP(Table1[[#This Row], [WEAPON]],Sheet1!$A$27:$A$29,Sheet1!$B$27:$B$29)*Table1[[#This Row], [NUM OF MEM]]*(1+_xlfn.XLOOKUP(Table1[[#This Row], [WEAPON]],Sheet1!$A$27:$A$29,Sheet1!$C$27:$C$29))</f>
        <v>91000</v>
      </c>
      <c r="J1185" t="s">
        <v>64</v>
      </c>
      <c r="K1185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1185" s="13" t="s">
        <v>65</v>
      </c>
      <c r="M1185" s="4">
        <f>IF(Table1[[#This Row], [EQUIPMENT]]="YES",Sheet1!$C$44*(1+Sheet1!$D$44),0)</f>
        <v>307500</v>
      </c>
      <c r="N1185" s="4">
        <f>_xlfn.XLOOKUP(Table1[[#This Row], [ROOM]],Sheet1!$A$47:$A$66,Sheet1!$F$47:$F$66)</f>
        <v>17550000</v>
      </c>
      <c r="O1185" s="9">
        <f>_xlfn.XLOOKUP(_xlfn.CONCAT(Table1[[#This Row], [TEAM]],Table1[[#This Row], [ROOM]]),'ROOM TIME'!$H$2:$H$121,'ROOM TIME'!$J$2:$J$121)</f>
        <v>59.889999999999986</v>
      </c>
      <c r="P1185" s="9">
        <f>(INDEX(Sheet1!$X$48:$Z$67,MATCH(Table1[[#This Row], [ROOM]],Sheet1!$P$48:$P$67,0),MATCH(Table1[[#This Row], [WEAPON]],Sheet1!$X$47:$Z$47,0)))/Table1[[#This Row], [NUM OF MEM]]</f>
        <v>5.75</v>
      </c>
      <c r="Q1185" s="9">
        <f>Table1[[#This Row], [ROOM TIME]]+Table1[[#This Row], [GUARD TIME]]</f>
        <v>65.639999999999986</v>
      </c>
      <c r="R1185" s="4">
        <f>Sheet1!$K$3*_xlfn.XLOOKUP(Table1[[#This Row], [DISGUISE]],Sheet1!$A$21:$A$23,Sheet1!$D$21:$D$23)</f>
        <v>66</v>
      </c>
      <c r="S1185" s="9">
        <f>Table1[[#This Row], [TOTAL TIME]]-Table1[[#This Row], [TOTAL TIME TAKEN]]</f>
        <v>0.36000000000001364</v>
      </c>
      <c r="T1185" t="str">
        <f>IF(Table1[[#This Row], [TIME DIFFERENCE]]&gt;=0,"PASS","FAIL")</f>
        <v>PASS</v>
      </c>
      <c r="U1185" s="9">
        <f>Table1[[#This Row], [TRC]]+Table1[[#This Row], [DRC]]+Table1[[#This Row], [WRC]]+Table1[[#This Row], [ERC]]+Table1[[#This Row], [EQRC]]</f>
        <v>8059888.7999999998</v>
      </c>
      <c r="V1185" s="9">
        <f>Table1[[#This Row], [TOTAL COST]]+_xlfn.XLOOKUP(Table1[[#This Row], [TEAM]],Sheet1!$A$12:$A$17,Sheet1!$I$12:$I$17)</f>
        <v>8357368.7999999998</v>
      </c>
      <c r="W1185" s="9">
        <f>Table1[[#This Row], [LOOT]]-Table1[[#This Row], [TOTAL COST]]</f>
        <v>9490111.1999999993</v>
      </c>
      <c r="X1185" s="9">
        <f>IF(Table1[[#This Row], [PASS/FAIL]]="FAIL",0,Table1[[#This Row], [PROFIT]])</f>
        <v>9490111.1999999993</v>
      </c>
    </row>
    <row r="1186" spans="1:24" ht="19.5" customHeight="1" x14ac:dyDescent="0.45">
      <c r="A1186" t="s">
        <v>13</v>
      </c>
      <c r="B1186" s="14">
        <f>_xlfn.XLOOKUP(Table1[[#This Row], [TEAM]],Sheet1!$A$12:$A$17,Sheet1!$F$12:$F$17)</f>
        <v>3</v>
      </c>
      <c r="C1186" s="14">
        <f>_xlfn.XLOOKUP(Table1[[#This Row], [TEAM]],Sheet1!$A$12:$A$17,Sheet1!$G$12:$G$17)</f>
        <v>5930000</v>
      </c>
      <c r="D1186" t="s">
        <v>17</v>
      </c>
      <c r="E1186" s="4">
        <f>_xlfn.XLOOKUP(Table1[[#This Row], [ROOM]],Sheet1!$A$47:$A$66,Sheet1!$B$47:$B$66)</f>
        <v>125</v>
      </c>
      <c r="F1186" t="s">
        <v>58</v>
      </c>
      <c r="G118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6" s="13" t="s">
        <v>66</v>
      </c>
      <c r="I1186" s="4">
        <f>_xlfn.XLOOKUP(Table1[[#This Row], [WEAPON]],Sheet1!$A$27:$A$29,Sheet1!$B$27:$B$29)*Table1[[#This Row], [NUM OF MEM]]*(1+_xlfn.XLOOKUP(Table1[[#This Row], [WEAPON]],Sheet1!$A$27:$A$29,Sheet1!$C$27:$C$29))</f>
        <v>108000</v>
      </c>
      <c r="J1186" t="s">
        <v>60</v>
      </c>
      <c r="K1186" s="9">
        <f>Table1[[#This Row], [NUM OF MEM]]*Table1[[#This Row], [TOTAL TIME TAKEN]]*_xlfn.XLOOKUP(Table1[[#This Row], [EXIT]],Sheet1!$A$70:$A$71,Sheet1!$B$70:$B$71)*(1+_xlfn.XLOOKUP(Table1[[#This Row], [EXIT]],Sheet1!$A$70:$A$71,Sheet1!$C$70:$C$71))</f>
        <v>1783738.8874999997</v>
      </c>
      <c r="L1186" s="13" t="s">
        <v>61</v>
      </c>
      <c r="M1186" s="4">
        <f>IF(Table1[[#This Row], [EQUIPMENT]]="YES",Sheet1!$C$44*(1+Sheet1!$D$44),0)</f>
        <v>0</v>
      </c>
      <c r="N1186" s="4">
        <f>_xlfn.XLOOKUP(Table1[[#This Row], [ROOM]],Sheet1!$A$47:$A$66,Sheet1!$F$47:$F$66)</f>
        <v>17350000</v>
      </c>
      <c r="O1186" s="9">
        <f>_xlfn.XLOOKUP(_xlfn.CONCAT(Table1[[#This Row], [TEAM]],Table1[[#This Row], [ROOM]]),'ROOM TIME'!$H$2:$H$121,'ROOM TIME'!$J$2:$J$121)</f>
        <v>42.167222222222215</v>
      </c>
      <c r="P1186" s="9">
        <f>(INDEX(Sheet1!$X$48:$Z$67,MATCH(Table1[[#This Row], [ROOM]],Sheet1!$P$48:$P$67,0),MATCH(Table1[[#This Row], [WEAPON]],Sheet1!$X$47:$Z$47,0)))/Table1[[#This Row], [NUM OF MEM]]</f>
        <v>4.166666666666667</v>
      </c>
      <c r="Q1186" s="9">
        <f>Table1[[#This Row], [ROOM TIME]]+Table1[[#This Row], [GUARD TIME]]</f>
        <v>46.333888888888879</v>
      </c>
      <c r="R1186" s="4">
        <f>Sheet1!$K$3*_xlfn.XLOOKUP(Table1[[#This Row], [DISGUISE]],Sheet1!$A$21:$A$23,Sheet1!$D$21:$D$23)</f>
        <v>69</v>
      </c>
      <c r="S1186" s="9">
        <f>Table1[[#This Row], [TOTAL TIME]]-Table1[[#This Row], [TOTAL TIME TAKEN]]</f>
        <v>22.666111111111121</v>
      </c>
      <c r="T1186" t="str">
        <f>IF(Table1[[#This Row], [TIME DIFFERENCE]]&gt;=0,"PASS","FAIL")</f>
        <v>PASS</v>
      </c>
      <c r="U1186" s="9">
        <f>Table1[[#This Row], [TRC]]+Table1[[#This Row], [DRC]]+Table1[[#This Row], [WRC]]+Table1[[#This Row], [ERC]]+Table1[[#This Row], [EQRC]]</f>
        <v>7860138.8874999993</v>
      </c>
      <c r="V1186" s="9">
        <f>Table1[[#This Row], [TOTAL COST]]+_xlfn.XLOOKUP(Table1[[#This Row], [TEAM]],Sheet1!$A$12:$A$17,Sheet1!$I$12:$I$17)</f>
        <v>8156638.8874999993</v>
      </c>
      <c r="W1186" s="9">
        <f>Table1[[#This Row], [LOOT]]-Table1[[#This Row], [TOTAL COST]]</f>
        <v>9489861.1125000007</v>
      </c>
      <c r="X1186" s="9">
        <f>IF(Table1[[#This Row], [PASS/FAIL]]="FAIL",0,Table1[[#This Row], [PROFIT]])</f>
        <v>9489861.1125000007</v>
      </c>
    </row>
    <row r="1187" spans="1:24" ht="19.5" customHeight="1" x14ac:dyDescent="0.45">
      <c r="A1187" t="s">
        <v>16</v>
      </c>
      <c r="B1187" s="14">
        <f>_xlfn.XLOOKUP(Table1[[#This Row], [TEAM]],Sheet1!$A$12:$A$17,Sheet1!$F$12:$F$17)</f>
        <v>2</v>
      </c>
      <c r="C1187" s="14">
        <f>_xlfn.XLOOKUP(Table1[[#This Row], [TEAM]],Sheet1!$A$12:$A$17,Sheet1!$G$12:$G$17)</f>
        <v>6082800</v>
      </c>
      <c r="D1187" t="s">
        <v>11</v>
      </c>
      <c r="E1187" s="4">
        <f>_xlfn.XLOOKUP(Table1[[#This Row], [ROOM]],Sheet1!$A$47:$A$66,Sheet1!$B$47:$B$66)</f>
        <v>124</v>
      </c>
      <c r="F1187" t="s">
        <v>58</v>
      </c>
      <c r="G1187" s="4">
        <f>_xlfn.XLOOKUP(Table1[[#This Row], [DISGUISE]],Sheet1!$A$21:$A$23,Sheet1!$B$21:$B$23)*Table1[[#This Row], [NUM OF MEM]]*(1+_xlfn.XLOOKUP(Table1[[#This Row], [DISGUISE]],Sheet1!$A$21:$A$23,Sheet1!$C$21:$C$23))</f>
        <v>25600</v>
      </c>
      <c r="H1187" s="13" t="s">
        <v>59</v>
      </c>
      <c r="I1187" s="4">
        <f>_xlfn.XLOOKUP(Table1[[#This Row], [WEAPON]],Sheet1!$A$27:$A$29,Sheet1!$B$27:$B$29)*Table1[[#This Row], [NUM OF MEM]]*(1+_xlfn.XLOOKUP(Table1[[#This Row], [WEAPON]],Sheet1!$A$27:$A$29,Sheet1!$C$27:$C$29))</f>
        <v>91000</v>
      </c>
      <c r="J1187" t="s">
        <v>64</v>
      </c>
      <c r="K1187" s="9">
        <f>Table1[[#This Row], [NUM OF MEM]]*Table1[[#This Row], [TOTAL TIME TAKEN]]*_xlfn.XLOOKUP(Table1[[#This Row], [EXIT]],Sheet1!$A$70:$A$71,Sheet1!$B$70:$B$71)*(1+_xlfn.XLOOKUP(Table1[[#This Row], [EXIT]],Sheet1!$A$70:$A$71,Sheet1!$C$70:$C$71))</f>
        <v>1761166.7999999996</v>
      </c>
      <c r="L1187" s="13" t="s">
        <v>61</v>
      </c>
      <c r="M1187" s="4">
        <f>IF(Table1[[#This Row], [EQUIPMENT]]="YES",Sheet1!$C$44*(1+Sheet1!$D$44),0)</f>
        <v>0</v>
      </c>
      <c r="N1187" s="4">
        <f>_xlfn.XLOOKUP(Table1[[#This Row], [ROOM]],Sheet1!$A$47:$A$66,Sheet1!$F$47:$F$66)</f>
        <v>17450000</v>
      </c>
      <c r="O1187" s="9">
        <f>_xlfn.XLOOKUP(_xlfn.CONCAT(Table1[[#This Row], [TEAM]],Table1[[#This Row], [ROOM]]),'ROOM TIME'!$H$2:$H$121,'ROOM TIME'!$J$2:$J$121)</f>
        <v>61.621249999999989</v>
      </c>
      <c r="P1187" s="9">
        <f>(INDEX(Sheet1!$X$48:$Z$67,MATCH(Table1[[#This Row], [ROOM]],Sheet1!$P$48:$P$67,0),MATCH(Table1[[#This Row], [WEAPON]],Sheet1!$X$47:$Z$47,0)))/Table1[[#This Row], [NUM OF MEM]]</f>
        <v>6.3249999999999993</v>
      </c>
      <c r="Q1187" s="9">
        <f>Table1[[#This Row], [ROOM TIME]]+Table1[[#This Row], [GUARD TIME]]</f>
        <v>67.946249999999992</v>
      </c>
      <c r="R1187" s="4">
        <f>Sheet1!$K$3*_xlfn.XLOOKUP(Table1[[#This Row], [DISGUISE]],Sheet1!$A$21:$A$23,Sheet1!$D$21:$D$23)</f>
        <v>69</v>
      </c>
      <c r="S1187" s="9">
        <f>Table1[[#This Row], [TOTAL TIME]]-Table1[[#This Row], [TOTAL TIME TAKEN]]</f>
        <v>1.053750000000008</v>
      </c>
      <c r="T1187" t="str">
        <f>IF(Table1[[#This Row], [TIME DIFFERENCE]]&gt;=0,"PASS","FAIL")</f>
        <v>PASS</v>
      </c>
      <c r="U1187" s="9">
        <f>Table1[[#This Row], [TRC]]+Table1[[#This Row], [DRC]]+Table1[[#This Row], [WRC]]+Table1[[#This Row], [ERC]]+Table1[[#This Row], [EQRC]]</f>
        <v>7960566.7999999998</v>
      </c>
      <c r="V1187" s="9">
        <f>Table1[[#This Row], [TOTAL COST]]+_xlfn.XLOOKUP(Table1[[#This Row], [TEAM]],Sheet1!$A$12:$A$17,Sheet1!$I$12:$I$17)</f>
        <v>8264706.7999999998</v>
      </c>
      <c r="W1187" s="9">
        <f>Table1[[#This Row], [LOOT]]-Table1[[#This Row], [TOTAL COST]]</f>
        <v>9489433.1999999993</v>
      </c>
      <c r="X1187" s="9">
        <f>IF(Table1[[#This Row], [PASS/FAIL]]="FAIL",0,Table1[[#This Row], [PROFIT]])</f>
        <v>9489433.1999999993</v>
      </c>
    </row>
    <row r="1188" spans="1:24" ht="19.5" customHeight="1" x14ac:dyDescent="0.45">
      <c r="A1188" t="s">
        <v>12</v>
      </c>
      <c r="B1188" s="14">
        <f>_xlfn.XLOOKUP(Table1[[#This Row], [TEAM]],Sheet1!$A$12:$A$17,Sheet1!$F$12:$F$17)</f>
        <v>3</v>
      </c>
      <c r="C1188" s="14">
        <f>_xlfn.XLOOKUP(Table1[[#This Row], [TEAM]],Sheet1!$A$12:$A$17,Sheet1!$G$12:$G$17)</f>
        <v>5988750</v>
      </c>
      <c r="D1188" t="s">
        <v>30</v>
      </c>
      <c r="E1188" s="4">
        <f>_xlfn.XLOOKUP(Table1[[#This Row], [ROOM]],Sheet1!$A$47:$A$66,Sheet1!$B$47:$B$66)</f>
        <v>246</v>
      </c>
      <c r="F1188" t="s">
        <v>58</v>
      </c>
      <c r="G118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8" s="13" t="s">
        <v>59</v>
      </c>
      <c r="I1188" s="4">
        <f>_xlfn.XLOOKUP(Table1[[#This Row], [WEAPON]],Sheet1!$A$27:$A$29,Sheet1!$B$27:$B$29)*Table1[[#This Row], [NUM OF MEM]]*(1+_xlfn.XLOOKUP(Table1[[#This Row], [WEAPON]],Sheet1!$A$27:$A$29,Sheet1!$C$27:$C$29))</f>
        <v>136500</v>
      </c>
      <c r="J1188" t="s">
        <v>64</v>
      </c>
      <c r="K1188" s="9">
        <f>Table1[[#This Row], [NUM OF MEM]]*Table1[[#This Row], [TOTAL TIME TAKEN]]*_xlfn.XLOOKUP(Table1[[#This Row], [EXIT]],Sheet1!$A$70:$A$71,Sheet1!$B$70:$B$71)*(1+_xlfn.XLOOKUP(Table1[[#This Row], [EXIT]],Sheet1!$A$70:$A$71,Sheet1!$C$70:$C$71))</f>
        <v>1640044.7999999993</v>
      </c>
      <c r="L1188" s="13" t="s">
        <v>65</v>
      </c>
      <c r="M1188" s="4">
        <f>IF(Table1[[#This Row], [EQUIPMENT]]="YES",Sheet1!$C$44*(1+Sheet1!$D$44),0)</f>
        <v>307500</v>
      </c>
      <c r="N1188" s="4">
        <f>_xlfn.XLOOKUP(Table1[[#This Row], [ROOM]],Sheet1!$A$47:$A$66,Sheet1!$F$47:$F$66)</f>
        <v>17600000</v>
      </c>
      <c r="O1188" s="9">
        <f>_xlfn.XLOOKUP(_xlfn.CONCAT(Table1[[#This Row], [TEAM]],Table1[[#This Row], [ROOM]]),'ROOM TIME'!$H$2:$H$121,'ROOM TIME'!$J$2:$J$121)</f>
        <v>37.582222222222207</v>
      </c>
      <c r="P1188" s="9">
        <f>(INDEX(Sheet1!$X$48:$Z$67,MATCH(Table1[[#This Row], [ROOM]],Sheet1!$P$48:$P$67,0),MATCH(Table1[[#This Row], [WEAPON]],Sheet1!$X$47:$Z$47,0)))/Table1[[#This Row], [NUM OF MEM]]</f>
        <v>4.5999999999999996</v>
      </c>
      <c r="Q1188" s="9">
        <f>Table1[[#This Row], [ROOM TIME]]+Table1[[#This Row], [GUARD TIME]]</f>
        <v>42.182222222222208</v>
      </c>
      <c r="R1188" s="4">
        <f>Sheet1!$K$3*_xlfn.XLOOKUP(Table1[[#This Row], [DISGUISE]],Sheet1!$A$21:$A$23,Sheet1!$D$21:$D$23)</f>
        <v>69</v>
      </c>
      <c r="S1188" s="9">
        <f>Table1[[#This Row], [TOTAL TIME]]-Table1[[#This Row], [TOTAL TIME TAKEN]]</f>
        <v>26.817777777777792</v>
      </c>
      <c r="T1188" t="str">
        <f>IF(Table1[[#This Row], [TIME DIFFERENCE]]&gt;=0,"PASS","FAIL")</f>
        <v>PASS</v>
      </c>
      <c r="U1188" s="9">
        <f>Table1[[#This Row], [TRC]]+Table1[[#This Row], [DRC]]+Table1[[#This Row], [WRC]]+Table1[[#This Row], [ERC]]+Table1[[#This Row], [EQRC]]</f>
        <v>8111194.7999999989</v>
      </c>
      <c r="V1188" s="9">
        <f>Table1[[#This Row], [TOTAL COST]]+_xlfn.XLOOKUP(Table1[[#This Row], [TEAM]],Sheet1!$A$12:$A$17,Sheet1!$I$12:$I$17)</f>
        <v>8410632.2999999989</v>
      </c>
      <c r="W1188" s="9">
        <f>Table1[[#This Row], [LOOT]]-Table1[[#This Row], [TOTAL COST]]</f>
        <v>9488805.2000000011</v>
      </c>
      <c r="X1188" s="9">
        <f>IF(Table1[[#This Row], [PASS/FAIL]]="FAIL",0,Table1[[#This Row], [PROFIT]])</f>
        <v>9488805.2000000011</v>
      </c>
    </row>
    <row r="1189" spans="1:24" ht="19.5" customHeight="1" x14ac:dyDescent="0.45">
      <c r="A1189" t="s">
        <v>13</v>
      </c>
      <c r="B1189" s="14">
        <f>_xlfn.XLOOKUP(Table1[[#This Row], [TEAM]],Sheet1!$A$12:$A$17,Sheet1!$F$12:$F$17)</f>
        <v>3</v>
      </c>
      <c r="C1189" s="14">
        <f>_xlfn.XLOOKUP(Table1[[#This Row], [TEAM]],Sheet1!$A$12:$A$17,Sheet1!$G$12:$G$17)</f>
        <v>5930000</v>
      </c>
      <c r="D1189" t="s">
        <v>25</v>
      </c>
      <c r="E1189" s="4">
        <f>_xlfn.XLOOKUP(Table1[[#This Row], [ROOM]],Sheet1!$A$47:$A$66,Sheet1!$B$47:$B$66)</f>
        <v>126</v>
      </c>
      <c r="F1189" t="s">
        <v>58</v>
      </c>
      <c r="G1189" s="4">
        <f>_xlfn.XLOOKUP(Table1[[#This Row], [DISGUISE]],Sheet1!$A$21:$A$23,Sheet1!$B$21:$B$23)*Table1[[#This Row], [NUM OF MEM]]*(1+_xlfn.XLOOKUP(Table1[[#This Row], [DISGUISE]],Sheet1!$A$21:$A$23,Sheet1!$C$21:$C$23))</f>
        <v>38400</v>
      </c>
      <c r="H1189" s="13" t="s">
        <v>63</v>
      </c>
      <c r="I1189" s="4">
        <f>_xlfn.XLOOKUP(Table1[[#This Row], [WEAPON]],Sheet1!$A$27:$A$29,Sheet1!$B$27:$B$29)*Table1[[#This Row], [NUM OF MEM]]*(1+_xlfn.XLOOKUP(Table1[[#This Row], [WEAPON]],Sheet1!$A$27:$A$29,Sheet1!$C$27:$C$29))</f>
        <v>69000</v>
      </c>
      <c r="J1189" t="s">
        <v>60</v>
      </c>
      <c r="K1189" s="9">
        <f>Table1[[#This Row], [NUM OF MEM]]*Table1[[#This Row], [TOTAL TIME TAKEN]]*_xlfn.XLOOKUP(Table1[[#This Row], [EXIT]],Sheet1!$A$70:$A$71,Sheet1!$B$70:$B$71)*(1+_xlfn.XLOOKUP(Table1[[#This Row], [EXIT]],Sheet1!$A$70:$A$71,Sheet1!$C$70:$C$71))</f>
        <v>1716624.9124999996</v>
      </c>
      <c r="L1189" s="13" t="s">
        <v>65</v>
      </c>
      <c r="M1189" s="4">
        <f>IF(Table1[[#This Row], [EQUIPMENT]]="YES",Sheet1!$C$44*(1+Sheet1!$D$44),0)</f>
        <v>307500</v>
      </c>
      <c r="N1189" s="4">
        <f>_xlfn.XLOOKUP(Table1[[#This Row], [ROOM]],Sheet1!$A$47:$A$66,Sheet1!$F$47:$F$66)</f>
        <v>17550000</v>
      </c>
      <c r="O1189" s="9">
        <f>_xlfn.XLOOKUP(_xlfn.CONCAT(Table1[[#This Row], [TEAM]],Table1[[#This Row], [ROOM]]),'ROOM TIME'!$H$2:$H$121,'ROOM TIME'!$J$2:$J$121)</f>
        <v>39.640555555555544</v>
      </c>
      <c r="P1189" s="9">
        <f>(INDEX(Sheet1!$X$48:$Z$67,MATCH(Table1[[#This Row], [ROOM]],Sheet1!$P$48:$P$67,0),MATCH(Table1[[#This Row], [WEAPON]],Sheet1!$X$47:$Z$47,0)))/Table1[[#This Row], [NUM OF MEM]]</f>
        <v>4.95</v>
      </c>
      <c r="Q1189" s="9">
        <f>Table1[[#This Row], [ROOM TIME]]+Table1[[#This Row], [GUARD TIME]]</f>
        <v>44.590555555555547</v>
      </c>
      <c r="R1189" s="4">
        <f>Sheet1!$K$3*_xlfn.XLOOKUP(Table1[[#This Row], [DISGUISE]],Sheet1!$A$21:$A$23,Sheet1!$D$21:$D$23)</f>
        <v>69</v>
      </c>
      <c r="S1189" s="9">
        <f>Table1[[#This Row], [TOTAL TIME]]-Table1[[#This Row], [TOTAL TIME TAKEN]]</f>
        <v>24.409444444444453</v>
      </c>
      <c r="T1189" t="str">
        <f>IF(Table1[[#This Row], [TIME DIFFERENCE]]&gt;=0,"PASS","FAIL")</f>
        <v>PASS</v>
      </c>
      <c r="U1189" s="9">
        <f>Table1[[#This Row], [TRC]]+Table1[[#This Row], [DRC]]+Table1[[#This Row], [WRC]]+Table1[[#This Row], [ERC]]+Table1[[#This Row], [EQRC]]</f>
        <v>8061524.9124999996</v>
      </c>
      <c r="V1189" s="9">
        <f>Table1[[#This Row], [TOTAL COST]]+_xlfn.XLOOKUP(Table1[[#This Row], [TEAM]],Sheet1!$A$12:$A$17,Sheet1!$I$12:$I$17)</f>
        <v>8358024.9124999996</v>
      </c>
      <c r="W1189" s="9">
        <f>Table1[[#This Row], [LOOT]]-Table1[[#This Row], [TOTAL COST]]</f>
        <v>9488475.0875000004</v>
      </c>
      <c r="X1189" s="9">
        <f>IF(Table1[[#This Row], [PASS/FAIL]]="FAIL",0,Table1[[#This Row], [PROFIT]])</f>
        <v>9488475.0875000004</v>
      </c>
    </row>
    <row r="1190" spans="1:24" ht="19.5" customHeight="1" x14ac:dyDescent="0.45">
      <c r="A1190" t="s">
        <v>16</v>
      </c>
      <c r="B1190" s="14">
        <f>_xlfn.XLOOKUP(Table1[[#This Row], [TEAM]],Sheet1!$A$12:$A$17,Sheet1!$F$12:$F$17)</f>
        <v>2</v>
      </c>
      <c r="C1190" s="14">
        <f>_xlfn.XLOOKUP(Table1[[#This Row], [TEAM]],Sheet1!$A$12:$A$17,Sheet1!$G$12:$G$17)</f>
        <v>6082800</v>
      </c>
      <c r="D1190" t="s">
        <v>23</v>
      </c>
      <c r="E1190" s="4">
        <f>_xlfn.XLOOKUP(Table1[[#This Row], [ROOM]],Sheet1!$A$47:$A$66,Sheet1!$B$47:$B$66)</f>
        <v>245</v>
      </c>
      <c r="F1190" t="s">
        <v>58</v>
      </c>
      <c r="G1190" s="4">
        <f>_xlfn.XLOOKUP(Table1[[#This Row], [DISGUISE]],Sheet1!$A$21:$A$23,Sheet1!$B$21:$B$23)*Table1[[#This Row], [NUM OF MEM]]*(1+_xlfn.XLOOKUP(Table1[[#This Row], [DISGUISE]],Sheet1!$A$21:$A$23,Sheet1!$C$21:$C$23))</f>
        <v>25600</v>
      </c>
      <c r="H1190" s="13" t="s">
        <v>63</v>
      </c>
      <c r="I1190" s="4">
        <f>_xlfn.XLOOKUP(Table1[[#This Row], [WEAPON]],Sheet1!$A$27:$A$29,Sheet1!$B$27:$B$29)*Table1[[#This Row], [NUM OF MEM]]*(1+_xlfn.XLOOKUP(Table1[[#This Row], [WEAPON]],Sheet1!$A$27:$A$29,Sheet1!$C$27:$C$29))</f>
        <v>46000</v>
      </c>
      <c r="J1190" t="s">
        <v>60</v>
      </c>
      <c r="K1190" s="9">
        <f>Table1[[#This Row], [NUM OF MEM]]*Table1[[#This Row], [TOTAL TIME TAKEN]]*_xlfn.XLOOKUP(Table1[[#This Row], [EXIT]],Sheet1!$A$70:$A$71,Sheet1!$B$70:$B$71)*(1+_xlfn.XLOOKUP(Table1[[#This Row], [EXIT]],Sheet1!$A$70:$A$71,Sheet1!$C$70:$C$71))</f>
        <v>1757667.5249999997</v>
      </c>
      <c r="L1190" s="13" t="s">
        <v>61</v>
      </c>
      <c r="M1190" s="4">
        <f>IF(Table1[[#This Row], [EQUIPMENT]]="YES",Sheet1!$C$44*(1+Sheet1!$D$44),0)</f>
        <v>0</v>
      </c>
      <c r="N1190" s="4">
        <f>_xlfn.XLOOKUP(Table1[[#This Row], [ROOM]],Sheet1!$A$47:$A$66,Sheet1!$F$47:$F$66)</f>
        <v>17400000</v>
      </c>
      <c r="O1190" s="9">
        <f>_xlfn.XLOOKUP(_xlfn.CONCAT(Table1[[#This Row], [TEAM]],Table1[[#This Row], [ROOM]]),'ROOM TIME'!$H$2:$H$121,'ROOM TIME'!$J$2:$J$121)</f>
        <v>61.059999999999988</v>
      </c>
      <c r="P1190" s="9">
        <f>(INDEX(Sheet1!$X$48:$Z$67,MATCH(Table1[[#This Row], [ROOM]],Sheet1!$P$48:$P$67,0),MATCH(Table1[[#This Row], [WEAPON]],Sheet1!$X$47:$Z$47,0)))/Table1[[#This Row], [NUM OF MEM]]</f>
        <v>7.4250000000000007</v>
      </c>
      <c r="Q1190" s="9">
        <f>Table1[[#This Row], [ROOM TIME]]+Table1[[#This Row], [GUARD TIME]]</f>
        <v>68.484999999999985</v>
      </c>
      <c r="R1190" s="4">
        <f>Sheet1!$K$3*_xlfn.XLOOKUP(Table1[[#This Row], [DISGUISE]],Sheet1!$A$21:$A$23,Sheet1!$D$21:$D$23)</f>
        <v>69</v>
      </c>
      <c r="S1190" s="9">
        <f>Table1[[#This Row], [TOTAL TIME]]-Table1[[#This Row], [TOTAL TIME TAKEN]]</f>
        <v>0.51500000000001478</v>
      </c>
      <c r="T1190" t="str">
        <f>IF(Table1[[#This Row], [TIME DIFFERENCE]]&gt;=0,"PASS","FAIL")</f>
        <v>PASS</v>
      </c>
      <c r="U1190" s="9">
        <f>Table1[[#This Row], [TRC]]+Table1[[#This Row], [DRC]]+Table1[[#This Row], [WRC]]+Table1[[#This Row], [ERC]]+Table1[[#This Row], [EQRC]]</f>
        <v>7912067.5249999994</v>
      </c>
      <c r="V1190" s="9">
        <f>Table1[[#This Row], [TOTAL COST]]+_xlfn.XLOOKUP(Table1[[#This Row], [TEAM]],Sheet1!$A$12:$A$17,Sheet1!$I$12:$I$17)</f>
        <v>8216207.5249999994</v>
      </c>
      <c r="W1190" s="9">
        <f>Table1[[#This Row], [LOOT]]-Table1[[#This Row], [TOTAL COST]]</f>
        <v>9487932.4750000015</v>
      </c>
      <c r="X1190" s="9">
        <f>IF(Table1[[#This Row], [PASS/FAIL]]="FAIL",0,Table1[[#This Row], [PROFIT]])</f>
        <v>9487932.4750000015</v>
      </c>
    </row>
    <row r="1191" spans="1:24" ht="19.5" customHeight="1" x14ac:dyDescent="0.45">
      <c r="A1191" t="s">
        <v>13</v>
      </c>
      <c r="B1191" s="14">
        <f>_xlfn.XLOOKUP(Table1[[#This Row], [TEAM]],Sheet1!$A$12:$A$17,Sheet1!$F$12:$F$17)</f>
        <v>3</v>
      </c>
      <c r="C1191" s="14">
        <f>_xlfn.XLOOKUP(Table1[[#This Row], [TEAM]],Sheet1!$A$12:$A$17,Sheet1!$G$12:$G$17)</f>
        <v>5930000</v>
      </c>
      <c r="D1191" t="s">
        <v>30</v>
      </c>
      <c r="E1191" s="4">
        <f>_xlfn.XLOOKUP(Table1[[#This Row], [ROOM]],Sheet1!$A$47:$A$66,Sheet1!$B$47:$B$66)</f>
        <v>246</v>
      </c>
      <c r="F1191" t="s">
        <v>58</v>
      </c>
      <c r="G1191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1" s="13" t="s">
        <v>59</v>
      </c>
      <c r="I1191" s="4">
        <f>_xlfn.XLOOKUP(Table1[[#This Row], [WEAPON]],Sheet1!$A$27:$A$29,Sheet1!$B$27:$B$29)*Table1[[#This Row], [NUM OF MEM]]*(1+_xlfn.XLOOKUP(Table1[[#This Row], [WEAPON]],Sheet1!$A$27:$A$29,Sheet1!$C$27:$C$29))</f>
        <v>136500</v>
      </c>
      <c r="J1191" t="s">
        <v>60</v>
      </c>
      <c r="K1191" s="9">
        <f>Table1[[#This Row], [NUM OF MEM]]*Table1[[#This Row], [TOTAL TIME TAKEN]]*_xlfn.XLOOKUP(Table1[[#This Row], [EXIT]],Sheet1!$A$70:$A$71,Sheet1!$B$70:$B$71)*(1+_xlfn.XLOOKUP(Table1[[#This Row], [EXIT]],Sheet1!$A$70:$A$71,Sheet1!$C$70:$C$71))</f>
        <v>1699728.7874999996</v>
      </c>
      <c r="L1191" s="13" t="s">
        <v>65</v>
      </c>
      <c r="M1191" s="4">
        <f>IF(Table1[[#This Row], [EQUIPMENT]]="YES",Sheet1!$C$44*(1+Sheet1!$D$44),0)</f>
        <v>307500</v>
      </c>
      <c r="N1191" s="4">
        <f>_xlfn.XLOOKUP(Table1[[#This Row], [ROOM]],Sheet1!$A$47:$A$66,Sheet1!$F$47:$F$66)</f>
        <v>17600000</v>
      </c>
      <c r="O1191" s="9">
        <f>_xlfn.XLOOKUP(_xlfn.CONCAT(Table1[[#This Row], [TEAM]],Table1[[#This Row], [ROOM]]),'ROOM TIME'!$H$2:$H$121,'ROOM TIME'!$J$2:$J$121)</f>
        <v>39.551666666666655</v>
      </c>
      <c r="P1191" s="9">
        <f>(INDEX(Sheet1!$X$48:$Z$67,MATCH(Table1[[#This Row], [ROOM]],Sheet1!$P$48:$P$67,0),MATCH(Table1[[#This Row], [WEAPON]],Sheet1!$X$47:$Z$47,0)))/Table1[[#This Row], [NUM OF MEM]]</f>
        <v>4.5999999999999996</v>
      </c>
      <c r="Q1191" s="9">
        <f>Table1[[#This Row], [ROOM TIME]]+Table1[[#This Row], [GUARD TIME]]</f>
        <v>44.151666666666657</v>
      </c>
      <c r="R1191" s="4">
        <f>Sheet1!$K$3*_xlfn.XLOOKUP(Table1[[#This Row], [DISGUISE]],Sheet1!$A$21:$A$23,Sheet1!$D$21:$D$23)</f>
        <v>69</v>
      </c>
      <c r="S1191" s="9">
        <f>Table1[[#This Row], [TOTAL TIME]]-Table1[[#This Row], [TOTAL TIME TAKEN]]</f>
        <v>24.848333333333343</v>
      </c>
      <c r="T1191" t="str">
        <f>IF(Table1[[#This Row], [TIME DIFFERENCE]]&gt;=0,"PASS","FAIL")</f>
        <v>PASS</v>
      </c>
      <c r="U1191" s="9">
        <f>Table1[[#This Row], [TRC]]+Table1[[#This Row], [DRC]]+Table1[[#This Row], [WRC]]+Table1[[#This Row], [ERC]]+Table1[[#This Row], [EQRC]]</f>
        <v>8112128.7874999996</v>
      </c>
      <c r="V1191" s="9">
        <f>Table1[[#This Row], [TOTAL COST]]+_xlfn.XLOOKUP(Table1[[#This Row], [TEAM]],Sheet1!$A$12:$A$17,Sheet1!$I$12:$I$17)</f>
        <v>8408628.7874999996</v>
      </c>
      <c r="W1191" s="9">
        <f>Table1[[#This Row], [LOOT]]-Table1[[#This Row], [TOTAL COST]]</f>
        <v>9487871.2125000004</v>
      </c>
      <c r="X1191" s="9">
        <f>IF(Table1[[#This Row], [PASS/FAIL]]="FAIL",0,Table1[[#This Row], [PROFIT]])</f>
        <v>9487871.2125000004</v>
      </c>
    </row>
    <row r="1192" spans="1:24" ht="19.5" customHeight="1" x14ac:dyDescent="0.45">
      <c r="A1192" t="s">
        <v>13</v>
      </c>
      <c r="B1192" s="14">
        <f>_xlfn.XLOOKUP(Table1[[#This Row], [TEAM]],Sheet1!$A$12:$A$17,Sheet1!$F$12:$F$17)</f>
        <v>3</v>
      </c>
      <c r="C1192" s="14">
        <f>_xlfn.XLOOKUP(Table1[[#This Row], [TEAM]],Sheet1!$A$12:$A$17,Sheet1!$G$12:$G$17)</f>
        <v>5930000</v>
      </c>
      <c r="D1192" t="s">
        <v>25</v>
      </c>
      <c r="E1192" s="4">
        <f>_xlfn.XLOOKUP(Table1[[#This Row], [ROOM]],Sheet1!$A$47:$A$66,Sheet1!$B$47:$B$66)</f>
        <v>126</v>
      </c>
      <c r="F1192" t="s">
        <v>62</v>
      </c>
      <c r="G1192" s="4">
        <f>_xlfn.XLOOKUP(Table1[[#This Row], [DISGUISE]],Sheet1!$A$21:$A$23,Sheet1!$B$21:$B$23)*Table1[[#This Row], [NUM OF MEM]]*(1+_xlfn.XLOOKUP(Table1[[#This Row], [DISGUISE]],Sheet1!$A$21:$A$23,Sheet1!$C$21:$C$23))</f>
        <v>15600</v>
      </c>
      <c r="H1192" s="13" t="s">
        <v>66</v>
      </c>
      <c r="I1192" s="4">
        <f>_xlfn.XLOOKUP(Table1[[#This Row], [WEAPON]],Sheet1!$A$27:$A$29,Sheet1!$B$27:$B$29)*Table1[[#This Row], [NUM OF MEM]]*(1+_xlfn.XLOOKUP(Table1[[#This Row], [WEAPON]],Sheet1!$A$27:$A$29,Sheet1!$C$27:$C$29))</f>
        <v>108000</v>
      </c>
      <c r="J1192" t="s">
        <v>60</v>
      </c>
      <c r="K1192" s="9">
        <f>Table1[[#This Row], [NUM OF MEM]]*Table1[[#This Row], [TOTAL TIME TAKEN]]*_xlfn.XLOOKUP(Table1[[#This Row], [EXIT]],Sheet1!$A$70:$A$71,Sheet1!$B$70:$B$71)*(1+_xlfn.XLOOKUP(Table1[[#This Row], [EXIT]],Sheet1!$A$70:$A$71,Sheet1!$C$70:$C$71))</f>
        <v>1702509.1624999992</v>
      </c>
      <c r="L1192" s="13" t="s">
        <v>65</v>
      </c>
      <c r="M1192" s="4">
        <f>IF(Table1[[#This Row], [EQUIPMENT]]="YES",Sheet1!$C$44*(1+Sheet1!$D$44),0)</f>
        <v>307500</v>
      </c>
      <c r="N1192" s="4">
        <f>_xlfn.XLOOKUP(Table1[[#This Row], [ROOM]],Sheet1!$A$47:$A$66,Sheet1!$F$47:$F$66)</f>
        <v>17550000</v>
      </c>
      <c r="O1192" s="9">
        <f>_xlfn.XLOOKUP(_xlfn.CONCAT(Table1[[#This Row], [TEAM]],Table1[[#This Row], [ROOM]]),'ROOM TIME'!$H$2:$H$121,'ROOM TIME'!$J$2:$J$121)</f>
        <v>39.640555555555544</v>
      </c>
      <c r="P1192" s="9">
        <f>(INDEX(Sheet1!$X$48:$Z$67,MATCH(Table1[[#This Row], [ROOM]],Sheet1!$P$48:$P$67,0),MATCH(Table1[[#This Row], [WEAPON]],Sheet1!$X$47:$Z$47,0)))/Table1[[#This Row], [NUM OF MEM]]</f>
        <v>4.583333333333333</v>
      </c>
      <c r="Q1192" s="9">
        <f>Table1[[#This Row], [ROOM TIME]]+Table1[[#This Row], [GUARD TIME]]</f>
        <v>44.223888888888879</v>
      </c>
      <c r="R1192" s="4">
        <f>Sheet1!$K$3*_xlfn.XLOOKUP(Table1[[#This Row], [DISGUISE]],Sheet1!$A$21:$A$23,Sheet1!$D$21:$D$23)</f>
        <v>66</v>
      </c>
      <c r="S1192" s="9">
        <f>Table1[[#This Row], [TOTAL TIME]]-Table1[[#This Row], [TOTAL TIME TAKEN]]</f>
        <v>21.776111111111121</v>
      </c>
      <c r="T1192" t="str">
        <f>IF(Table1[[#This Row], [TIME DIFFERENCE]]&gt;=0,"PASS","FAIL")</f>
        <v>PASS</v>
      </c>
      <c r="U1192" s="9">
        <f>Table1[[#This Row], [TRC]]+Table1[[#This Row], [DRC]]+Table1[[#This Row], [WRC]]+Table1[[#This Row], [ERC]]+Table1[[#This Row], [EQRC]]</f>
        <v>8063609.1624999996</v>
      </c>
      <c r="V1192" s="9">
        <f>Table1[[#This Row], [TOTAL COST]]+_xlfn.XLOOKUP(Table1[[#This Row], [TEAM]],Sheet1!$A$12:$A$17,Sheet1!$I$12:$I$17)</f>
        <v>8360109.1624999996</v>
      </c>
      <c r="W1192" s="9">
        <f>Table1[[#This Row], [LOOT]]-Table1[[#This Row], [TOTAL COST]]</f>
        <v>9486390.8375000004</v>
      </c>
      <c r="X1192" s="9">
        <f>IF(Table1[[#This Row], [PASS/FAIL]]="FAIL",0,Table1[[#This Row], [PROFIT]])</f>
        <v>9486390.8375000004</v>
      </c>
    </row>
    <row r="1193" spans="1:24" ht="19.5" customHeight="1" x14ac:dyDescent="0.45">
      <c r="A1193" t="s">
        <v>9</v>
      </c>
      <c r="B1193" s="14">
        <f>_xlfn.XLOOKUP(Table1[[#This Row], [TEAM]],Sheet1!$A$12:$A$17,Sheet1!$F$12:$F$17)</f>
        <v>3</v>
      </c>
      <c r="C1193" s="14">
        <f>_xlfn.XLOOKUP(Table1[[#This Row], [TEAM]],Sheet1!$A$12:$A$17,Sheet1!$G$12:$G$17)</f>
        <v>6238750</v>
      </c>
      <c r="D1193" t="s">
        <v>10</v>
      </c>
      <c r="E1193" s="4">
        <f>_xlfn.XLOOKUP(Table1[[#This Row], [ROOM]],Sheet1!$A$47:$A$66,Sheet1!$B$47:$B$66)</f>
        <v>123</v>
      </c>
      <c r="F1193" t="s">
        <v>62</v>
      </c>
      <c r="G1193" s="4">
        <f>_xlfn.XLOOKUP(Table1[[#This Row], [DISGUISE]],Sheet1!$A$21:$A$23,Sheet1!$B$21:$B$23)*Table1[[#This Row], [NUM OF MEM]]*(1+_xlfn.XLOOKUP(Table1[[#This Row], [DISGUISE]],Sheet1!$A$21:$A$23,Sheet1!$C$21:$C$23))</f>
        <v>15600</v>
      </c>
      <c r="H1193" s="13" t="s">
        <v>63</v>
      </c>
      <c r="I1193" s="4">
        <f>_xlfn.XLOOKUP(Table1[[#This Row], [WEAPON]],Sheet1!$A$27:$A$29,Sheet1!$B$27:$B$29)*Table1[[#This Row], [NUM OF MEM]]*(1+_xlfn.XLOOKUP(Table1[[#This Row], [WEAPON]],Sheet1!$A$27:$A$29,Sheet1!$C$27:$C$29))</f>
        <v>69000</v>
      </c>
      <c r="J1193" t="s">
        <v>60</v>
      </c>
      <c r="K1193" s="9">
        <f>Table1[[#This Row], [NUM OF MEM]]*Table1[[#This Row], [TOTAL TIME TAKEN]]*_xlfn.XLOOKUP(Table1[[#This Row], [EXIT]],Sheet1!$A$70:$A$71,Sheet1!$B$70:$B$71)*(1+_xlfn.XLOOKUP(Table1[[#This Row], [EXIT]],Sheet1!$A$70:$A$71,Sheet1!$C$70:$C$71))</f>
        <v>1733777.6874999993</v>
      </c>
      <c r="L1193" s="13" t="s">
        <v>65</v>
      </c>
      <c r="M1193" s="4">
        <f>IF(Table1[[#This Row], [EQUIPMENT]]="YES",Sheet1!$C$44*(1+Sheet1!$D$44),0)</f>
        <v>307500</v>
      </c>
      <c r="N1193" s="4">
        <f>_xlfn.XLOOKUP(Table1[[#This Row], [ROOM]],Sheet1!$A$47:$A$66,Sheet1!$F$47:$F$66)</f>
        <v>17850000</v>
      </c>
      <c r="O1193" s="9">
        <f>_xlfn.XLOOKUP(_xlfn.CONCAT(Table1[[#This Row], [TEAM]],Table1[[#This Row], [ROOM]]),'ROOM TIME'!$H$2:$H$121,'ROOM TIME'!$J$2:$J$121)</f>
        <v>39.636111111111099</v>
      </c>
      <c r="P1193" s="9">
        <f>(INDEX(Sheet1!$X$48:$Z$67,MATCH(Table1[[#This Row], [ROOM]],Sheet1!$P$48:$P$67,0),MATCH(Table1[[#This Row], [WEAPON]],Sheet1!$X$47:$Z$47,0)))/Table1[[#This Row], [NUM OF MEM]]</f>
        <v>5.4000000000000012</v>
      </c>
      <c r="Q1193" s="9">
        <f>Table1[[#This Row], [ROOM TIME]]+Table1[[#This Row], [GUARD TIME]]</f>
        <v>45.036111111111097</v>
      </c>
      <c r="R1193" s="4">
        <f>Sheet1!$K$3*_xlfn.XLOOKUP(Table1[[#This Row], [DISGUISE]],Sheet1!$A$21:$A$23,Sheet1!$D$21:$D$23)</f>
        <v>66</v>
      </c>
      <c r="S1193" s="9">
        <f>Table1[[#This Row], [TOTAL TIME]]-Table1[[#This Row], [TOTAL TIME TAKEN]]</f>
        <v>20.963888888888903</v>
      </c>
      <c r="T1193" t="str">
        <f>IF(Table1[[#This Row], [TIME DIFFERENCE]]&gt;=0,"PASS","FAIL")</f>
        <v>PASS</v>
      </c>
      <c r="U1193" s="9">
        <f>Table1[[#This Row], [TRC]]+Table1[[#This Row], [DRC]]+Table1[[#This Row], [WRC]]+Table1[[#This Row], [ERC]]+Table1[[#This Row], [EQRC]]</f>
        <v>8364627.6874999991</v>
      </c>
      <c r="V1193" s="9">
        <f>Table1[[#This Row], [TOTAL COST]]+_xlfn.XLOOKUP(Table1[[#This Row], [TEAM]],Sheet1!$A$12:$A$17,Sheet1!$I$12:$I$17)</f>
        <v>8676565.1875</v>
      </c>
      <c r="W1193" s="9">
        <f>Table1[[#This Row], [LOOT]]-Table1[[#This Row], [TOTAL COST]]</f>
        <v>9485372.3125</v>
      </c>
      <c r="X1193" s="9">
        <f>IF(Table1[[#This Row], [PASS/FAIL]]="FAIL",0,Table1[[#This Row], [PROFIT]])</f>
        <v>9485372.3125</v>
      </c>
    </row>
    <row r="1194" spans="1:24" ht="19.5" customHeight="1" x14ac:dyDescent="0.45">
      <c r="A1194" t="s">
        <v>12</v>
      </c>
      <c r="B1194" s="14">
        <f>_xlfn.XLOOKUP(Table1[[#This Row], [TEAM]],Sheet1!$A$12:$A$17,Sheet1!$F$12:$F$17)</f>
        <v>3</v>
      </c>
      <c r="C1194" s="14">
        <f>_xlfn.XLOOKUP(Table1[[#This Row], [TEAM]],Sheet1!$A$12:$A$17,Sheet1!$G$12:$G$17)</f>
        <v>5988750</v>
      </c>
      <c r="D1194" t="s">
        <v>25</v>
      </c>
      <c r="E1194" s="4">
        <f>_xlfn.XLOOKUP(Table1[[#This Row], [ROOM]],Sheet1!$A$47:$A$66,Sheet1!$B$47:$B$66)</f>
        <v>126</v>
      </c>
      <c r="F1194" t="s">
        <v>58</v>
      </c>
      <c r="G1194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4" s="13" t="s">
        <v>63</v>
      </c>
      <c r="I1194" s="4">
        <f>_xlfn.XLOOKUP(Table1[[#This Row], [WEAPON]],Sheet1!$A$27:$A$29,Sheet1!$B$27:$B$29)*Table1[[#This Row], [NUM OF MEM]]*(1+_xlfn.XLOOKUP(Table1[[#This Row], [WEAPON]],Sheet1!$A$27:$A$29,Sheet1!$C$27:$C$29))</f>
        <v>69000</v>
      </c>
      <c r="J1194" t="s">
        <v>64</v>
      </c>
      <c r="K1194" s="9">
        <f>Table1[[#This Row], [NUM OF MEM]]*Table1[[#This Row], [TOTAL TIME TAKEN]]*_xlfn.XLOOKUP(Table1[[#This Row], [EXIT]],Sheet1!$A$70:$A$71,Sheet1!$B$70:$B$71)*(1+_xlfn.XLOOKUP(Table1[[#This Row], [EXIT]],Sheet1!$A$70:$A$71,Sheet1!$C$70:$C$71))</f>
        <v>1662163.199999999</v>
      </c>
      <c r="L1194" s="13" t="s">
        <v>65</v>
      </c>
      <c r="M1194" s="4">
        <f>IF(Table1[[#This Row], [EQUIPMENT]]="YES",Sheet1!$C$44*(1+Sheet1!$D$44),0)</f>
        <v>307500</v>
      </c>
      <c r="N1194" s="4">
        <f>_xlfn.XLOOKUP(Table1[[#This Row], [ROOM]],Sheet1!$A$47:$A$66,Sheet1!$F$47:$F$66)</f>
        <v>17550000</v>
      </c>
      <c r="O1194" s="9">
        <f>_xlfn.XLOOKUP(_xlfn.CONCAT(Table1[[#This Row], [TEAM]],Table1[[#This Row], [ROOM]]),'ROOM TIME'!$H$2:$H$121,'ROOM TIME'!$J$2:$J$121)</f>
        <v>37.801111111111091</v>
      </c>
      <c r="P1194" s="9">
        <f>(INDEX(Sheet1!$X$48:$Z$67,MATCH(Table1[[#This Row], [ROOM]],Sheet1!$P$48:$P$67,0),MATCH(Table1[[#This Row], [WEAPON]],Sheet1!$X$47:$Z$47,0)))/Table1[[#This Row], [NUM OF MEM]]</f>
        <v>4.95</v>
      </c>
      <c r="Q1194" s="9">
        <f>Table1[[#This Row], [ROOM TIME]]+Table1[[#This Row], [GUARD TIME]]</f>
        <v>42.751111111111094</v>
      </c>
      <c r="R1194" s="4">
        <f>Sheet1!$K$3*_xlfn.XLOOKUP(Table1[[#This Row], [DISGUISE]],Sheet1!$A$21:$A$23,Sheet1!$D$21:$D$23)</f>
        <v>69</v>
      </c>
      <c r="S1194" s="9">
        <f>Table1[[#This Row], [TOTAL TIME]]-Table1[[#This Row], [TOTAL TIME TAKEN]]</f>
        <v>26.248888888888906</v>
      </c>
      <c r="T1194" t="str">
        <f>IF(Table1[[#This Row], [TIME DIFFERENCE]]&gt;=0,"PASS","FAIL")</f>
        <v>PASS</v>
      </c>
      <c r="U1194" s="9">
        <f>Table1[[#This Row], [TRC]]+Table1[[#This Row], [DRC]]+Table1[[#This Row], [WRC]]+Table1[[#This Row], [ERC]]+Table1[[#This Row], [EQRC]]</f>
        <v>8065813.1999999993</v>
      </c>
      <c r="V1194" s="9">
        <f>Table1[[#This Row], [TOTAL COST]]+_xlfn.XLOOKUP(Table1[[#This Row], [TEAM]],Sheet1!$A$12:$A$17,Sheet1!$I$12:$I$17)</f>
        <v>8365250.6999999993</v>
      </c>
      <c r="W1194" s="9">
        <f>Table1[[#This Row], [LOOT]]-Table1[[#This Row], [TOTAL COST]]</f>
        <v>9484186.8000000007</v>
      </c>
      <c r="X1194" s="9">
        <f>IF(Table1[[#This Row], [PASS/FAIL]]="FAIL",0,Table1[[#This Row], [PROFIT]])</f>
        <v>9484186.8000000007</v>
      </c>
    </row>
    <row r="1195" spans="1:24" ht="19.5" customHeight="1" x14ac:dyDescent="0.45">
      <c r="A1195" t="s">
        <v>12</v>
      </c>
      <c r="B1195" s="14">
        <f>_xlfn.XLOOKUP(Table1[[#This Row], [TEAM]],Sheet1!$A$12:$A$17,Sheet1!$F$12:$F$17)</f>
        <v>3</v>
      </c>
      <c r="C1195" s="14">
        <f>_xlfn.XLOOKUP(Table1[[#This Row], [TEAM]],Sheet1!$A$12:$A$17,Sheet1!$G$12:$G$17)</f>
        <v>5988750</v>
      </c>
      <c r="D1195" t="s">
        <v>25</v>
      </c>
      <c r="E1195" s="4">
        <f>_xlfn.XLOOKUP(Table1[[#This Row], [ROOM]],Sheet1!$A$47:$A$66,Sheet1!$B$47:$B$66)</f>
        <v>126</v>
      </c>
      <c r="F1195" t="s">
        <v>62</v>
      </c>
      <c r="G1195" s="4">
        <f>_xlfn.XLOOKUP(Table1[[#This Row], [DISGUISE]],Sheet1!$A$21:$A$23,Sheet1!$B$21:$B$23)*Table1[[#This Row], [NUM OF MEM]]*(1+_xlfn.XLOOKUP(Table1[[#This Row], [DISGUISE]],Sheet1!$A$21:$A$23,Sheet1!$C$21:$C$23))</f>
        <v>15600</v>
      </c>
      <c r="H1195" s="13" t="s">
        <v>59</v>
      </c>
      <c r="I1195" s="4">
        <f>_xlfn.XLOOKUP(Table1[[#This Row], [WEAPON]],Sheet1!$A$27:$A$29,Sheet1!$B$27:$B$29)*Table1[[#This Row], [NUM OF MEM]]*(1+_xlfn.XLOOKUP(Table1[[#This Row], [WEAPON]],Sheet1!$A$27:$A$29,Sheet1!$C$27:$C$29))</f>
        <v>136500</v>
      </c>
      <c r="J1195" t="s">
        <v>60</v>
      </c>
      <c r="K1195" s="9">
        <f>Table1[[#This Row], [NUM OF MEM]]*Table1[[#This Row], [TOTAL TIME TAKEN]]*_xlfn.XLOOKUP(Table1[[#This Row], [EXIT]],Sheet1!$A$70:$A$71,Sheet1!$B$70:$B$71)*(1+_xlfn.XLOOKUP(Table1[[#This Row], [EXIT]],Sheet1!$A$70:$A$71,Sheet1!$C$70:$C$71))</f>
        <v>1617579.3999999992</v>
      </c>
      <c r="L1195" s="13" t="s">
        <v>65</v>
      </c>
      <c r="M1195" s="4">
        <f>IF(Table1[[#This Row], [EQUIPMENT]]="YES",Sheet1!$C$44*(1+Sheet1!$D$44),0)</f>
        <v>307500</v>
      </c>
      <c r="N1195" s="4">
        <f>_xlfn.XLOOKUP(Table1[[#This Row], [ROOM]],Sheet1!$A$47:$A$66,Sheet1!$F$47:$F$66)</f>
        <v>17550000</v>
      </c>
      <c r="O1195" s="9">
        <f>_xlfn.XLOOKUP(_xlfn.CONCAT(Table1[[#This Row], [TEAM]],Table1[[#This Row], [ROOM]]),'ROOM TIME'!$H$2:$H$121,'ROOM TIME'!$J$2:$J$121)</f>
        <v>37.801111111111091</v>
      </c>
      <c r="P1195" s="9">
        <f>(INDEX(Sheet1!$X$48:$Z$67,MATCH(Table1[[#This Row], [ROOM]],Sheet1!$P$48:$P$67,0),MATCH(Table1[[#This Row], [WEAPON]],Sheet1!$X$47:$Z$47,0)))/Table1[[#This Row], [NUM OF MEM]]</f>
        <v>4.2166666666666659</v>
      </c>
      <c r="Q1195" s="9">
        <f>Table1[[#This Row], [ROOM TIME]]+Table1[[#This Row], [GUARD TIME]]</f>
        <v>42.017777777777759</v>
      </c>
      <c r="R1195" s="4">
        <f>Sheet1!$K$3*_xlfn.XLOOKUP(Table1[[#This Row], [DISGUISE]],Sheet1!$A$21:$A$23,Sheet1!$D$21:$D$23)</f>
        <v>66</v>
      </c>
      <c r="S1195" s="9">
        <f>Table1[[#This Row], [TOTAL TIME]]-Table1[[#This Row], [TOTAL TIME TAKEN]]</f>
        <v>23.982222222222241</v>
      </c>
      <c r="T1195" t="str">
        <f>IF(Table1[[#This Row], [TIME DIFFERENCE]]&gt;=0,"PASS","FAIL")</f>
        <v>PASS</v>
      </c>
      <c r="U1195" s="9">
        <f>Table1[[#This Row], [TRC]]+Table1[[#This Row], [DRC]]+Table1[[#This Row], [WRC]]+Table1[[#This Row], [ERC]]+Table1[[#This Row], [EQRC]]</f>
        <v>8065929.3999999994</v>
      </c>
      <c r="V1195" s="9">
        <f>Table1[[#This Row], [TOTAL COST]]+_xlfn.XLOOKUP(Table1[[#This Row], [TEAM]],Sheet1!$A$12:$A$17,Sheet1!$I$12:$I$17)</f>
        <v>8365366.8999999994</v>
      </c>
      <c r="W1195" s="9">
        <f>Table1[[#This Row], [LOOT]]-Table1[[#This Row], [TOTAL COST]]</f>
        <v>9484070.6000000015</v>
      </c>
      <c r="X1195" s="9">
        <f>IF(Table1[[#This Row], [PASS/FAIL]]="FAIL",0,Table1[[#This Row], [PROFIT]])</f>
        <v>9484070.6000000015</v>
      </c>
    </row>
    <row r="1196" spans="1:24" ht="19.5" customHeight="1" x14ac:dyDescent="0.45">
      <c r="A1196" t="s">
        <v>13</v>
      </c>
      <c r="B1196" s="14">
        <f>_xlfn.XLOOKUP(Table1[[#This Row], [TEAM]],Sheet1!$A$12:$A$17,Sheet1!$F$12:$F$17)</f>
        <v>3</v>
      </c>
      <c r="C1196" s="14">
        <f>_xlfn.XLOOKUP(Table1[[#This Row], [TEAM]],Sheet1!$A$12:$A$17,Sheet1!$G$12:$G$17)</f>
        <v>5930000</v>
      </c>
      <c r="D1196" t="s">
        <v>30</v>
      </c>
      <c r="E1196" s="4">
        <f>_xlfn.XLOOKUP(Table1[[#This Row], [ROOM]],Sheet1!$A$47:$A$66,Sheet1!$B$47:$B$66)</f>
        <v>246</v>
      </c>
      <c r="F1196" t="s">
        <v>58</v>
      </c>
      <c r="G1196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6" s="13" t="s">
        <v>66</v>
      </c>
      <c r="I1196" s="4">
        <f>_xlfn.XLOOKUP(Table1[[#This Row], [WEAPON]],Sheet1!$A$27:$A$29,Sheet1!$B$27:$B$29)*Table1[[#This Row], [NUM OF MEM]]*(1+_xlfn.XLOOKUP(Table1[[#This Row], [WEAPON]],Sheet1!$A$27:$A$29,Sheet1!$C$27:$C$29))</f>
        <v>108000</v>
      </c>
      <c r="J1196" t="s">
        <v>64</v>
      </c>
      <c r="K1196" s="9">
        <f>Table1[[#This Row], [NUM OF MEM]]*Table1[[#This Row], [TOTAL TIME TAKEN]]*_xlfn.XLOOKUP(Table1[[#This Row], [EXIT]],Sheet1!$A$70:$A$71,Sheet1!$B$70:$B$71)*(1+_xlfn.XLOOKUP(Table1[[#This Row], [EXIT]],Sheet1!$A$70:$A$71,Sheet1!$C$70:$C$71))</f>
        <v>1732168.7999999996</v>
      </c>
      <c r="L1196" s="13" t="s">
        <v>65</v>
      </c>
      <c r="M1196" s="4">
        <f>IF(Table1[[#This Row], [EQUIPMENT]]="YES",Sheet1!$C$44*(1+Sheet1!$D$44),0)</f>
        <v>307500</v>
      </c>
      <c r="N1196" s="4">
        <f>_xlfn.XLOOKUP(Table1[[#This Row], [ROOM]],Sheet1!$A$47:$A$66,Sheet1!$F$47:$F$66)</f>
        <v>17600000</v>
      </c>
      <c r="O1196" s="9">
        <f>_xlfn.XLOOKUP(_xlfn.CONCAT(Table1[[#This Row], [TEAM]],Table1[[#This Row], [ROOM]]),'ROOM TIME'!$H$2:$H$121,'ROOM TIME'!$J$2:$J$121)</f>
        <v>39.551666666666655</v>
      </c>
      <c r="P1196" s="4">
        <f>(INDEX(Sheet1!$X$48:$Z$67,MATCH(Table1[[#This Row], [ROOM]],Sheet1!$P$48:$P$67,0),MATCH(Table1[[#This Row], [WEAPON]],Sheet1!$X$47:$Z$47,0)))/Table1[[#This Row], [NUM OF MEM]]</f>
        <v>5</v>
      </c>
      <c r="Q1196" s="9">
        <f>Table1[[#This Row], [ROOM TIME]]+Table1[[#This Row], [GUARD TIME]]</f>
        <v>44.551666666666655</v>
      </c>
      <c r="R1196" s="4">
        <f>Sheet1!$K$3*_xlfn.XLOOKUP(Table1[[#This Row], [DISGUISE]],Sheet1!$A$21:$A$23,Sheet1!$D$21:$D$23)</f>
        <v>69</v>
      </c>
      <c r="S1196" s="9">
        <f>Table1[[#This Row], [TOTAL TIME]]-Table1[[#This Row], [TOTAL TIME TAKEN]]</f>
        <v>24.448333333333345</v>
      </c>
      <c r="T1196" t="str">
        <f>IF(Table1[[#This Row], [TIME DIFFERENCE]]&gt;=0,"PASS","FAIL")</f>
        <v>PASS</v>
      </c>
      <c r="U1196" s="9">
        <f>Table1[[#This Row], [TRC]]+Table1[[#This Row], [DRC]]+Table1[[#This Row], [WRC]]+Table1[[#This Row], [ERC]]+Table1[[#This Row], [EQRC]]</f>
        <v>8116068.7999999998</v>
      </c>
      <c r="V1196" s="9">
        <f>Table1[[#This Row], [TOTAL COST]]+_xlfn.XLOOKUP(Table1[[#This Row], [TEAM]],Sheet1!$A$12:$A$17,Sheet1!$I$12:$I$17)</f>
        <v>8412568.8000000007</v>
      </c>
      <c r="W1196" s="9">
        <f>Table1[[#This Row], [LOOT]]-Table1[[#This Row], [TOTAL COST]]</f>
        <v>9483931.1999999993</v>
      </c>
      <c r="X1196" s="9">
        <f>IF(Table1[[#This Row], [PASS/FAIL]]="FAIL",0,Table1[[#This Row], [PROFIT]])</f>
        <v>9483931.1999999993</v>
      </c>
    </row>
    <row r="1197" spans="1:24" ht="19.5" customHeight="1" x14ac:dyDescent="0.45">
      <c r="A1197" t="s">
        <v>9</v>
      </c>
      <c r="B1197" s="14">
        <f>_xlfn.XLOOKUP(Table1[[#This Row], [TEAM]],Sheet1!$A$12:$A$17,Sheet1!$F$12:$F$17)</f>
        <v>3</v>
      </c>
      <c r="C1197" s="14">
        <f>_xlfn.XLOOKUP(Table1[[#This Row], [TEAM]],Sheet1!$A$12:$A$17,Sheet1!$G$12:$G$17)</f>
        <v>6238750</v>
      </c>
      <c r="D1197" t="s">
        <v>34</v>
      </c>
      <c r="E1197" s="4">
        <f>_xlfn.XLOOKUP(Table1[[#This Row], [ROOM]],Sheet1!$A$47:$A$66,Sheet1!$B$47:$B$66)</f>
        <v>456</v>
      </c>
      <c r="F1197" t="s">
        <v>58</v>
      </c>
      <c r="G1197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7" s="13" t="s">
        <v>63</v>
      </c>
      <c r="I1197" s="4">
        <f>_xlfn.XLOOKUP(Table1[[#This Row], [WEAPON]],Sheet1!$A$27:$A$29,Sheet1!$B$27:$B$29)*Table1[[#This Row], [NUM OF MEM]]*(1+_xlfn.XLOOKUP(Table1[[#This Row], [WEAPON]],Sheet1!$A$27:$A$29,Sheet1!$C$27:$C$29))</f>
        <v>69000</v>
      </c>
      <c r="J1197" t="s">
        <v>64</v>
      </c>
      <c r="K1197" s="9">
        <f>Table1[[#This Row], [NUM OF MEM]]*Table1[[#This Row], [TOTAL TIME TAKEN]]*_xlfn.XLOOKUP(Table1[[#This Row], [EXIT]],Sheet1!$A$70:$A$71,Sheet1!$B$70:$B$71)*(1+_xlfn.XLOOKUP(Table1[[#This Row], [EXIT]],Sheet1!$A$70:$A$71,Sheet1!$C$70:$C$71))</f>
        <v>1563667.1999999997</v>
      </c>
      <c r="L1197" s="13" t="s">
        <v>65</v>
      </c>
      <c r="M1197" s="4">
        <f>IF(Table1[[#This Row], [EQUIPMENT]]="YES",Sheet1!$C$44*(1+Sheet1!$D$44),0)</f>
        <v>307500</v>
      </c>
      <c r="N1197" s="4">
        <f>_xlfn.XLOOKUP(Table1[[#This Row], [ROOM]],Sheet1!$A$47:$A$66,Sheet1!$F$47:$F$66)</f>
        <v>17700000</v>
      </c>
      <c r="O1197" s="9">
        <f>_xlfn.XLOOKUP(_xlfn.CONCAT(Table1[[#This Row], [TEAM]],Table1[[#This Row], [ROOM]]),'ROOM TIME'!$H$2:$H$121,'ROOM TIME'!$J$2:$J$121)</f>
        <v>35.267777777777766</v>
      </c>
      <c r="P1197" s="9">
        <f>(INDEX(Sheet1!$X$48:$Z$67,MATCH(Table1[[#This Row], [ROOM]],Sheet1!$P$48:$P$67,0),MATCH(Table1[[#This Row], [WEAPON]],Sheet1!$X$47:$Z$47,0)))/Table1[[#This Row], [NUM OF MEM]]</f>
        <v>4.95</v>
      </c>
      <c r="Q1197" s="9">
        <f>Table1[[#This Row], [ROOM TIME]]+Table1[[#This Row], [GUARD TIME]]</f>
        <v>40.217777777777769</v>
      </c>
      <c r="R1197" s="4">
        <f>Sheet1!$K$3*_xlfn.XLOOKUP(Table1[[#This Row], [DISGUISE]],Sheet1!$A$21:$A$23,Sheet1!$D$21:$D$23)</f>
        <v>69</v>
      </c>
      <c r="S1197" s="9">
        <f>Table1[[#This Row], [TOTAL TIME]]-Table1[[#This Row], [TOTAL TIME TAKEN]]</f>
        <v>28.782222222222231</v>
      </c>
      <c r="T1197" t="str">
        <f>IF(Table1[[#This Row], [TIME DIFFERENCE]]&gt;=0,"PASS","FAIL")</f>
        <v>PASS</v>
      </c>
      <c r="U1197" s="9">
        <f>Table1[[#This Row], [TRC]]+Table1[[#This Row], [DRC]]+Table1[[#This Row], [WRC]]+Table1[[#This Row], [ERC]]+Table1[[#This Row], [EQRC]]</f>
        <v>8217317.1999999993</v>
      </c>
      <c r="V1197" s="9">
        <f>Table1[[#This Row], [TOTAL COST]]+_xlfn.XLOOKUP(Table1[[#This Row], [TEAM]],Sheet1!$A$12:$A$17,Sheet1!$I$12:$I$17)</f>
        <v>8529254.6999999993</v>
      </c>
      <c r="W1197" s="9">
        <f>Table1[[#This Row], [LOOT]]-Table1[[#This Row], [TOTAL COST]]</f>
        <v>9482682.8000000007</v>
      </c>
      <c r="X1197" s="9">
        <f>IF(Table1[[#This Row], [PASS/FAIL]]="FAIL",0,Table1[[#This Row], [PROFIT]])</f>
        <v>9482682.8000000007</v>
      </c>
    </row>
    <row r="1198" spans="1:24" ht="19.5" customHeight="1" x14ac:dyDescent="0.45">
      <c r="A1198" t="s">
        <v>9</v>
      </c>
      <c r="B1198" s="14">
        <f>_xlfn.XLOOKUP(Table1[[#This Row], [TEAM]],Sheet1!$A$12:$A$17,Sheet1!$F$12:$F$17)</f>
        <v>3</v>
      </c>
      <c r="C1198" s="14">
        <f>_xlfn.XLOOKUP(Table1[[#This Row], [TEAM]],Sheet1!$A$12:$A$17,Sheet1!$G$12:$G$17)</f>
        <v>6238750</v>
      </c>
      <c r="D1198" t="s">
        <v>27</v>
      </c>
      <c r="E1198" s="4">
        <f>_xlfn.XLOOKUP(Table1[[#This Row], [ROOM]],Sheet1!$A$47:$A$66,Sheet1!$B$47:$B$66)</f>
        <v>146</v>
      </c>
      <c r="F1198" t="s">
        <v>58</v>
      </c>
      <c r="G1198" s="4">
        <f>_xlfn.XLOOKUP(Table1[[#This Row], [DISGUISE]],Sheet1!$A$21:$A$23,Sheet1!$B$21:$B$23)*Table1[[#This Row], [NUM OF MEM]]*(1+_xlfn.XLOOKUP(Table1[[#This Row], [DISGUISE]],Sheet1!$A$21:$A$23,Sheet1!$C$21:$C$23))</f>
        <v>38400</v>
      </c>
      <c r="H1198" s="13" t="s">
        <v>59</v>
      </c>
      <c r="I1198" s="4">
        <f>_xlfn.XLOOKUP(Table1[[#This Row], [WEAPON]],Sheet1!$A$27:$A$29,Sheet1!$B$27:$B$29)*Table1[[#This Row], [NUM OF MEM]]*(1+_xlfn.XLOOKUP(Table1[[#This Row], [WEAPON]],Sheet1!$A$27:$A$29,Sheet1!$C$27:$C$29))</f>
        <v>136500</v>
      </c>
      <c r="J1198" t="s">
        <v>64</v>
      </c>
      <c r="K1198" s="9">
        <f>Table1[[#This Row], [NUM OF MEM]]*Table1[[#This Row], [TOTAL TIME TAKEN]]*_xlfn.XLOOKUP(Table1[[#This Row], [EXIT]],Sheet1!$A$70:$A$71,Sheet1!$B$70:$B$71)*(1+_xlfn.XLOOKUP(Table1[[#This Row], [EXIT]],Sheet1!$A$70:$A$71,Sheet1!$C$70:$C$71))</f>
        <v>1546495.1999999995</v>
      </c>
      <c r="L1198" s="13" t="s">
        <v>65</v>
      </c>
      <c r="M1198" s="4">
        <f>IF(Table1[[#This Row], [EQUIPMENT]]="YES",Sheet1!$C$44*(1+Sheet1!$D$44),0)</f>
        <v>307500</v>
      </c>
      <c r="N1198" s="4">
        <f>_xlfn.XLOOKUP(Table1[[#This Row], [ROOM]],Sheet1!$A$47:$A$66,Sheet1!$F$47:$F$66)</f>
        <v>17750000</v>
      </c>
      <c r="O1198" s="9">
        <f>_xlfn.XLOOKUP(_xlfn.CONCAT(Table1[[#This Row], [TEAM]],Table1[[#This Row], [ROOM]]),'ROOM TIME'!$H$2:$H$121,'ROOM TIME'!$J$2:$J$121)</f>
        <v>35.559444444444431</v>
      </c>
      <c r="P1198" s="9">
        <f>(INDEX(Sheet1!$X$48:$Z$67,MATCH(Table1[[#This Row], [ROOM]],Sheet1!$P$48:$P$67,0),MATCH(Table1[[#This Row], [WEAPON]],Sheet1!$X$47:$Z$47,0)))/Table1[[#This Row], [NUM OF MEM]]</f>
        <v>4.2166666666666659</v>
      </c>
      <c r="Q1198" s="9">
        <f>Table1[[#This Row], [ROOM TIME]]+Table1[[#This Row], [GUARD TIME]]</f>
        <v>39.776111111111099</v>
      </c>
      <c r="R1198" s="4">
        <f>Sheet1!$K$3*_xlfn.XLOOKUP(Table1[[#This Row], [DISGUISE]],Sheet1!$A$21:$A$23,Sheet1!$D$21:$D$23)</f>
        <v>69</v>
      </c>
      <c r="S1198" s="9">
        <f>Table1[[#This Row], [TOTAL TIME]]-Table1[[#This Row], [TOTAL TIME TAKEN]]</f>
        <v>29.223888888888901</v>
      </c>
      <c r="T1198" t="str">
        <f>IF(Table1[[#This Row], [TIME DIFFERENCE]]&gt;=0,"PASS","FAIL")</f>
        <v>PASS</v>
      </c>
      <c r="U1198" s="9">
        <f>Table1[[#This Row], [TRC]]+Table1[[#This Row], [DRC]]+Table1[[#This Row], [WRC]]+Table1[[#This Row], [ERC]]+Table1[[#This Row], [EQRC]]</f>
        <v>8267645.1999999993</v>
      </c>
      <c r="V1198" s="9">
        <f>Table1[[#This Row], [TOTAL COST]]+_xlfn.XLOOKUP(Table1[[#This Row], [TEAM]],Sheet1!$A$12:$A$17,Sheet1!$I$12:$I$17)</f>
        <v>8579582.6999999993</v>
      </c>
      <c r="W1198" s="9">
        <f>Table1[[#This Row], [LOOT]]-Table1[[#This Row], [TOTAL COST]]</f>
        <v>9482354.8000000007</v>
      </c>
      <c r="X1198" s="9">
        <f>IF(Table1[[#This Row], [PASS/FAIL]]="FAIL",0,Table1[[#This Row], [PROFIT]])</f>
        <v>9482354.8000000007</v>
      </c>
    </row>
    <row r="1199" spans="1:24" ht="19.5" customHeight="1" x14ac:dyDescent="0.45">
      <c r="A1199" t="s">
        <v>12</v>
      </c>
      <c r="B1199" s="14">
        <f>_xlfn.XLOOKUP(Table1[[#This Row], [TEAM]],Sheet1!$A$12:$A$17,Sheet1!$F$12:$F$17)</f>
        <v>3</v>
      </c>
      <c r="C1199" s="14">
        <f>_xlfn.XLOOKUP(Table1[[#This Row], [TEAM]],Sheet1!$A$12:$A$17,Sheet1!$G$12:$G$17)</f>
        <v>5988750</v>
      </c>
      <c r="D1199" t="s">
        <v>25</v>
      </c>
      <c r="E1199" s="4">
        <f>_xlfn.XLOOKUP(Table1[[#This Row], [ROOM]],Sheet1!$A$47:$A$66,Sheet1!$B$47:$B$66)</f>
        <v>126</v>
      </c>
      <c r="F1199" t="s">
        <v>62</v>
      </c>
      <c r="G1199" s="4">
        <f>_xlfn.XLOOKUP(Table1[[#This Row], [DISGUISE]],Sheet1!$A$21:$A$23,Sheet1!$B$21:$B$23)*Table1[[#This Row], [NUM OF MEM]]*(1+_xlfn.XLOOKUP(Table1[[#This Row], [DISGUISE]],Sheet1!$A$21:$A$23,Sheet1!$C$21:$C$23))</f>
        <v>15600</v>
      </c>
      <c r="H1199" s="13" t="s">
        <v>66</v>
      </c>
      <c r="I1199" s="4">
        <f>_xlfn.XLOOKUP(Table1[[#This Row], [WEAPON]],Sheet1!$A$27:$A$29,Sheet1!$B$27:$B$29)*Table1[[#This Row], [NUM OF MEM]]*(1+_xlfn.XLOOKUP(Table1[[#This Row], [WEAPON]],Sheet1!$A$27:$A$29,Sheet1!$C$27:$C$29))</f>
        <v>108000</v>
      </c>
      <c r="J1199" t="s">
        <v>64</v>
      </c>
      <c r="K1199" s="9">
        <f>Table1[[#This Row], [NUM OF MEM]]*Table1[[#This Row], [TOTAL TIME TAKEN]]*_xlfn.XLOOKUP(Table1[[#This Row], [EXIT]],Sheet1!$A$70:$A$71,Sheet1!$B$70:$B$71)*(1+_xlfn.XLOOKUP(Table1[[#This Row], [EXIT]],Sheet1!$A$70:$A$71,Sheet1!$C$70:$C$71))</f>
        <v>1647907.199999999</v>
      </c>
      <c r="L1199" s="13" t="s">
        <v>65</v>
      </c>
      <c r="M1199" s="4">
        <f>IF(Table1[[#This Row], [EQUIPMENT]]="YES",Sheet1!$C$44*(1+Sheet1!$D$44),0)</f>
        <v>307500</v>
      </c>
      <c r="N1199" s="4">
        <f>_xlfn.XLOOKUP(Table1[[#This Row], [ROOM]],Sheet1!$A$47:$A$66,Sheet1!$F$47:$F$66)</f>
        <v>17550000</v>
      </c>
      <c r="O1199" s="9">
        <f>_xlfn.XLOOKUP(_xlfn.CONCAT(Table1[[#This Row], [TEAM]],Table1[[#This Row], [ROOM]]),'ROOM TIME'!$H$2:$H$121,'ROOM TIME'!$J$2:$J$121)</f>
        <v>37.801111111111091</v>
      </c>
      <c r="P1199" s="9">
        <f>(INDEX(Sheet1!$X$48:$Z$67,MATCH(Table1[[#This Row], [ROOM]],Sheet1!$P$48:$P$67,0),MATCH(Table1[[#This Row], [WEAPON]],Sheet1!$X$47:$Z$47,0)))/Table1[[#This Row], [NUM OF MEM]]</f>
        <v>4.583333333333333</v>
      </c>
      <c r="Q1199" s="9">
        <f>Table1[[#This Row], [ROOM TIME]]+Table1[[#This Row], [GUARD TIME]]</f>
        <v>42.384444444444426</v>
      </c>
      <c r="R1199" s="4">
        <f>Sheet1!$K$3*_xlfn.XLOOKUP(Table1[[#This Row], [DISGUISE]],Sheet1!$A$21:$A$23,Sheet1!$D$21:$D$23)</f>
        <v>66</v>
      </c>
      <c r="S1199" s="9">
        <f>Table1[[#This Row], [TOTAL TIME]]-Table1[[#This Row], [TOTAL TIME TAKEN]]</f>
        <v>23.615555555555574</v>
      </c>
      <c r="T1199" t="str">
        <f>IF(Table1[[#This Row], [TIME DIFFERENCE]]&gt;=0,"PASS","FAIL")</f>
        <v>PASS</v>
      </c>
      <c r="U1199" s="9">
        <f>Table1[[#This Row], [TRC]]+Table1[[#This Row], [DRC]]+Table1[[#This Row], [WRC]]+Table1[[#This Row], [ERC]]+Table1[[#This Row], [EQRC]]</f>
        <v>8067757.1999999993</v>
      </c>
      <c r="V1199" s="9">
        <f>Table1[[#This Row], [TOTAL COST]]+_xlfn.XLOOKUP(Table1[[#This Row], [TEAM]],Sheet1!$A$12:$A$17,Sheet1!$I$12:$I$17)</f>
        <v>8367194.6999999993</v>
      </c>
      <c r="W1199" s="9">
        <f>Table1[[#This Row], [LOOT]]-Table1[[#This Row], [TOTAL COST]]</f>
        <v>9482242.8000000007</v>
      </c>
      <c r="X1199" s="9">
        <f>IF(Table1[[#This Row], [PASS/FAIL]]="FAIL",0,Table1[[#This Row], [PROFIT]])</f>
        <v>9482242.8000000007</v>
      </c>
    </row>
    <row r="1200" spans="1:24" ht="19.5" customHeight="1" x14ac:dyDescent="0.45">
      <c r="A1200" t="s">
        <v>9</v>
      </c>
      <c r="B1200" s="14">
        <f>_xlfn.XLOOKUP(Table1[[#This Row], [TEAM]],Sheet1!$A$12:$A$17,Sheet1!$F$12:$F$17)</f>
        <v>3</v>
      </c>
      <c r="C1200" s="14">
        <f>_xlfn.XLOOKUP(Table1[[#This Row], [TEAM]],Sheet1!$A$12:$A$17,Sheet1!$G$12:$G$17)</f>
        <v>6238750</v>
      </c>
      <c r="D1200" t="s">
        <v>34</v>
      </c>
      <c r="E1200" s="4">
        <f>_xlfn.XLOOKUP(Table1[[#This Row], [ROOM]],Sheet1!$A$47:$A$66,Sheet1!$B$47:$B$66)</f>
        <v>456</v>
      </c>
      <c r="F1200" t="s">
        <v>62</v>
      </c>
      <c r="G1200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0" s="13" t="s">
        <v>59</v>
      </c>
      <c r="I1200" s="4">
        <f>_xlfn.XLOOKUP(Table1[[#This Row], [WEAPON]],Sheet1!$A$27:$A$29,Sheet1!$B$27:$B$29)*Table1[[#This Row], [NUM OF MEM]]*(1+_xlfn.XLOOKUP(Table1[[#This Row], [WEAPON]],Sheet1!$A$27:$A$29,Sheet1!$C$27:$C$29))</f>
        <v>136500</v>
      </c>
      <c r="J1200" t="s">
        <v>60</v>
      </c>
      <c r="K1200" s="9">
        <f>Table1[[#This Row], [NUM OF MEM]]*Table1[[#This Row], [TOTAL TIME TAKEN]]*_xlfn.XLOOKUP(Table1[[#This Row], [EXIT]],Sheet1!$A$70:$A$71,Sheet1!$B$70:$B$71)*(1+_xlfn.XLOOKUP(Table1[[#This Row], [EXIT]],Sheet1!$A$70:$A$71,Sheet1!$C$70:$C$71))</f>
        <v>1520052.3999999997</v>
      </c>
      <c r="L1200" s="13" t="s">
        <v>65</v>
      </c>
      <c r="M1200" s="4">
        <f>IF(Table1[[#This Row], [EQUIPMENT]]="YES",Sheet1!$C$44*(1+Sheet1!$D$44),0)</f>
        <v>307500</v>
      </c>
      <c r="N1200" s="4">
        <f>_xlfn.XLOOKUP(Table1[[#This Row], [ROOM]],Sheet1!$A$47:$A$66,Sheet1!$F$47:$F$66)</f>
        <v>17700000</v>
      </c>
      <c r="O1200" s="9">
        <f>_xlfn.XLOOKUP(_xlfn.CONCAT(Table1[[#This Row], [TEAM]],Table1[[#This Row], [ROOM]]),'ROOM TIME'!$H$2:$H$121,'ROOM TIME'!$J$2:$J$121)</f>
        <v>35.267777777777766</v>
      </c>
      <c r="P1200" s="9">
        <f>(INDEX(Sheet1!$X$48:$Z$67,MATCH(Table1[[#This Row], [ROOM]],Sheet1!$P$48:$P$67,0),MATCH(Table1[[#This Row], [WEAPON]],Sheet1!$X$47:$Z$47,0)))/Table1[[#This Row], [NUM OF MEM]]</f>
        <v>4.2166666666666659</v>
      </c>
      <c r="Q1200" s="9">
        <f>Table1[[#This Row], [ROOM TIME]]+Table1[[#This Row], [GUARD TIME]]</f>
        <v>39.484444444444435</v>
      </c>
      <c r="R1200" s="4">
        <f>Sheet1!$K$3*_xlfn.XLOOKUP(Table1[[#This Row], [DISGUISE]],Sheet1!$A$21:$A$23,Sheet1!$D$21:$D$23)</f>
        <v>66</v>
      </c>
      <c r="S1200" s="9">
        <f>Table1[[#This Row], [TOTAL TIME]]-Table1[[#This Row], [TOTAL TIME TAKEN]]</f>
        <v>26.515555555555565</v>
      </c>
      <c r="T1200" t="str">
        <f>IF(Table1[[#This Row], [TIME DIFFERENCE]]&gt;=0,"PASS","FAIL")</f>
        <v>PASS</v>
      </c>
      <c r="U1200" s="9">
        <f>Table1[[#This Row], [TRC]]+Table1[[#This Row], [DRC]]+Table1[[#This Row], [WRC]]+Table1[[#This Row], [ERC]]+Table1[[#This Row], [EQRC]]</f>
        <v>8218402.3999999994</v>
      </c>
      <c r="V1200" s="9">
        <f>Table1[[#This Row], [TOTAL COST]]+_xlfn.XLOOKUP(Table1[[#This Row], [TEAM]],Sheet1!$A$12:$A$17,Sheet1!$I$12:$I$17)</f>
        <v>8530339.8999999985</v>
      </c>
      <c r="W1200" s="9">
        <f>Table1[[#This Row], [LOOT]]-Table1[[#This Row], [TOTAL COST]]</f>
        <v>9481597.6000000015</v>
      </c>
      <c r="X1200" s="9">
        <f>IF(Table1[[#This Row], [PASS/FAIL]]="FAIL",0,Table1[[#This Row], [PROFIT]])</f>
        <v>9481597.6000000015</v>
      </c>
    </row>
    <row r="1201" spans="1:24" ht="19.5" customHeight="1" x14ac:dyDescent="0.45">
      <c r="A1201" t="s">
        <v>9</v>
      </c>
      <c r="B1201" s="14">
        <f>_xlfn.XLOOKUP(Table1[[#This Row], [TEAM]],Sheet1!$A$12:$A$17,Sheet1!$F$12:$F$17)</f>
        <v>3</v>
      </c>
      <c r="C1201" s="14">
        <f>_xlfn.XLOOKUP(Table1[[#This Row], [TEAM]],Sheet1!$A$12:$A$17,Sheet1!$G$12:$G$17)</f>
        <v>6238750</v>
      </c>
      <c r="D1201" t="s">
        <v>21</v>
      </c>
      <c r="E1201" s="4">
        <f>_xlfn.XLOOKUP(Table1[[#This Row], [ROOM]],Sheet1!$A$47:$A$66,Sheet1!$B$47:$B$66)</f>
        <v>234</v>
      </c>
      <c r="F1201" t="s">
        <v>62</v>
      </c>
      <c r="G120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1" s="13" t="s">
        <v>59</v>
      </c>
      <c r="I1201" s="4">
        <f>_xlfn.XLOOKUP(Table1[[#This Row], [WEAPON]],Sheet1!$A$27:$A$29,Sheet1!$B$27:$B$29)*Table1[[#This Row], [NUM OF MEM]]*(1+_xlfn.XLOOKUP(Table1[[#This Row], [WEAPON]],Sheet1!$A$27:$A$29,Sheet1!$C$27:$C$29))</f>
        <v>136500</v>
      </c>
      <c r="J1201" t="s">
        <v>60</v>
      </c>
      <c r="K1201" s="9">
        <f>Table1[[#This Row], [NUM OF MEM]]*Table1[[#This Row], [TOTAL TIME TAKEN]]*_xlfn.XLOOKUP(Table1[[#This Row], [EXIT]],Sheet1!$A$70:$A$71,Sheet1!$B$70:$B$71)*(1+_xlfn.XLOOKUP(Table1[[#This Row], [EXIT]],Sheet1!$A$70:$A$71,Sheet1!$C$70:$C$71))</f>
        <v>1720153.8499999996</v>
      </c>
      <c r="L1201" s="13" t="s">
        <v>65</v>
      </c>
      <c r="M1201" s="4">
        <f>IF(Table1[[#This Row], [EQUIPMENT]]="YES",Sheet1!$C$44*(1+Sheet1!$D$44),0)</f>
        <v>307500</v>
      </c>
      <c r="N1201" s="4">
        <f>_xlfn.XLOOKUP(Table1[[#This Row], [ROOM]],Sheet1!$A$47:$A$66,Sheet1!$F$47:$F$66)</f>
        <v>17900000</v>
      </c>
      <c r="O1201" s="9">
        <f>_xlfn.XLOOKUP(_xlfn.CONCAT(Table1[[#This Row], [TEAM]],Table1[[#This Row], [ROOM]]),'ROOM TIME'!$H$2:$H$121,'ROOM TIME'!$J$2:$J$121)</f>
        <v>39.698888888888881</v>
      </c>
      <c r="P1201" s="9">
        <f>(INDEX(Sheet1!$X$48:$Z$67,MATCH(Table1[[#This Row], [ROOM]],Sheet1!$P$48:$P$67,0),MATCH(Table1[[#This Row], [WEAPON]],Sheet1!$X$47:$Z$47,0)))/Table1[[#This Row], [NUM OF MEM]]</f>
        <v>4.9833333333333334</v>
      </c>
      <c r="Q1201" s="9">
        <f>Table1[[#This Row], [ROOM TIME]]+Table1[[#This Row], [GUARD TIME]]</f>
        <v>44.682222222222215</v>
      </c>
      <c r="R1201" s="4">
        <f>Sheet1!$K$3*_xlfn.XLOOKUP(Table1[[#This Row], [DISGUISE]],Sheet1!$A$21:$A$23,Sheet1!$D$21:$D$23)</f>
        <v>66</v>
      </c>
      <c r="S1201" s="9">
        <f>Table1[[#This Row], [TOTAL TIME]]-Table1[[#This Row], [TOTAL TIME TAKEN]]</f>
        <v>21.317777777777785</v>
      </c>
      <c r="T1201" t="str">
        <f>IF(Table1[[#This Row], [TIME DIFFERENCE]]&gt;=0,"PASS","FAIL")</f>
        <v>PASS</v>
      </c>
      <c r="U1201" s="9">
        <f>Table1[[#This Row], [TRC]]+Table1[[#This Row], [DRC]]+Table1[[#This Row], [WRC]]+Table1[[#This Row], [ERC]]+Table1[[#This Row], [EQRC]]</f>
        <v>8418503.8499999996</v>
      </c>
      <c r="V1201" s="9">
        <f>Table1[[#This Row], [TOTAL COST]]+_xlfn.XLOOKUP(Table1[[#This Row], [TEAM]],Sheet1!$A$12:$A$17,Sheet1!$I$12:$I$17)</f>
        <v>8730441.3499999996</v>
      </c>
      <c r="W1201" s="9">
        <f>Table1[[#This Row], [LOOT]]-Table1[[#This Row], [TOTAL COST]]</f>
        <v>9481496.1500000004</v>
      </c>
      <c r="X1201" s="9">
        <f>IF(Table1[[#This Row], [PASS/FAIL]]="FAIL",0,Table1[[#This Row], [PROFIT]])</f>
        <v>9481496.1500000004</v>
      </c>
    </row>
    <row r="1202" spans="1:24" ht="19.5" customHeight="1" x14ac:dyDescent="0.45">
      <c r="A1202" t="s">
        <v>14</v>
      </c>
      <c r="B1202" s="14">
        <f>_xlfn.XLOOKUP(Table1[[#This Row], [TEAM]],Sheet1!$A$12:$A$17,Sheet1!$F$12:$F$17)</f>
        <v>2</v>
      </c>
      <c r="C1202" s="14">
        <f>_xlfn.XLOOKUP(Table1[[#This Row], [TEAM]],Sheet1!$A$12:$A$17,Sheet1!$G$12:$G$17)</f>
        <v>5949600</v>
      </c>
      <c r="D1202" t="s">
        <v>20</v>
      </c>
      <c r="E1202" s="4">
        <f>_xlfn.XLOOKUP(Table1[[#This Row], [ROOM]],Sheet1!$A$47:$A$66,Sheet1!$B$47:$B$66)</f>
        <v>145</v>
      </c>
      <c r="F1202" t="s">
        <v>58</v>
      </c>
      <c r="G1202" s="4">
        <f>_xlfn.XLOOKUP(Table1[[#This Row], [DISGUISE]],Sheet1!$A$21:$A$23,Sheet1!$B$21:$B$23)*Table1[[#This Row], [NUM OF MEM]]*(1+_xlfn.XLOOKUP(Table1[[#This Row], [DISGUISE]],Sheet1!$A$21:$A$23,Sheet1!$C$21:$C$23))</f>
        <v>25600</v>
      </c>
      <c r="H1202" s="13" t="s">
        <v>66</v>
      </c>
      <c r="I1202" s="4">
        <f>_xlfn.XLOOKUP(Table1[[#This Row], [WEAPON]],Sheet1!$A$27:$A$29,Sheet1!$B$27:$B$29)*Table1[[#This Row], [NUM OF MEM]]*(1+_xlfn.XLOOKUP(Table1[[#This Row], [WEAPON]],Sheet1!$A$27:$A$29,Sheet1!$C$27:$C$29))</f>
        <v>72000</v>
      </c>
      <c r="J1202" t="s">
        <v>64</v>
      </c>
      <c r="K1202" s="9">
        <f>Table1[[#This Row], [NUM OF MEM]]*Table1[[#This Row], [TOTAL TIME TAKEN]]*_xlfn.XLOOKUP(Table1[[#This Row], [EXIT]],Sheet1!$A$70:$A$71,Sheet1!$B$70:$B$71)*(1+_xlfn.XLOOKUP(Table1[[#This Row], [EXIT]],Sheet1!$A$70:$A$71,Sheet1!$C$70:$C$71))</f>
        <v>1714348.7999999996</v>
      </c>
      <c r="L1202" s="13" t="s">
        <v>65</v>
      </c>
      <c r="M1202" s="4">
        <f>IF(Table1[[#This Row], [EQUIPMENT]]="YES",Sheet1!$C$44*(1+Sheet1!$D$44),0)</f>
        <v>307500</v>
      </c>
      <c r="N1202" s="4">
        <f>_xlfn.XLOOKUP(Table1[[#This Row], [ROOM]],Sheet1!$A$47:$A$66,Sheet1!$F$47:$F$66)</f>
        <v>17550000</v>
      </c>
      <c r="O1202" s="9">
        <f>_xlfn.XLOOKUP(_xlfn.CONCAT(Table1[[#This Row], [TEAM]],Table1[[#This Row], [ROOM]]),'ROOM TIME'!$H$2:$H$121,'ROOM TIME'!$J$2:$J$121)</f>
        <v>59.889999999999986</v>
      </c>
      <c r="P1202" s="9">
        <f>(INDEX(Sheet1!$X$48:$Z$67,MATCH(Table1[[#This Row], [ROOM]],Sheet1!$P$48:$P$67,0),MATCH(Table1[[#This Row], [WEAPON]],Sheet1!$X$47:$Z$47,0)))/Table1[[#This Row], [NUM OF MEM]]</f>
        <v>6.25</v>
      </c>
      <c r="Q1202" s="9">
        <f>Table1[[#This Row], [ROOM TIME]]+Table1[[#This Row], [GUARD TIME]]</f>
        <v>66.139999999999986</v>
      </c>
      <c r="R1202" s="4">
        <f>Sheet1!$K$3*_xlfn.XLOOKUP(Table1[[#This Row], [DISGUISE]],Sheet1!$A$21:$A$23,Sheet1!$D$21:$D$23)</f>
        <v>69</v>
      </c>
      <c r="S1202" s="9">
        <f>Table1[[#This Row], [TOTAL TIME]]-Table1[[#This Row], [TOTAL TIME TAKEN]]</f>
        <v>2.8600000000000136</v>
      </c>
      <c r="T1202" t="str">
        <f>IF(Table1[[#This Row], [TIME DIFFERENCE]]&gt;=0,"PASS","FAIL")</f>
        <v>PASS</v>
      </c>
      <c r="U1202" s="9">
        <f>Table1[[#This Row], [TRC]]+Table1[[#This Row], [DRC]]+Table1[[#This Row], [WRC]]+Table1[[#This Row], [ERC]]+Table1[[#This Row], [EQRC]]</f>
        <v>8069048.7999999998</v>
      </c>
      <c r="V1202" s="9">
        <f>Table1[[#This Row], [TOTAL COST]]+_xlfn.XLOOKUP(Table1[[#This Row], [TEAM]],Sheet1!$A$12:$A$17,Sheet1!$I$12:$I$17)</f>
        <v>8366528.7999999998</v>
      </c>
      <c r="W1202" s="9">
        <f>Table1[[#This Row], [LOOT]]-Table1[[#This Row], [TOTAL COST]]</f>
        <v>9480951.1999999993</v>
      </c>
      <c r="X1202" s="9">
        <f>IF(Table1[[#This Row], [PASS/FAIL]]="FAIL",0,Table1[[#This Row], [PROFIT]])</f>
        <v>9480951.1999999993</v>
      </c>
    </row>
    <row r="1203" spans="1:24" ht="19.5" customHeight="1" x14ac:dyDescent="0.45">
      <c r="A1203" t="s">
        <v>9</v>
      </c>
      <c r="B1203" s="14">
        <f>_xlfn.XLOOKUP(Table1[[#This Row], [TEAM]],Sheet1!$A$12:$A$17,Sheet1!$F$12:$F$17)</f>
        <v>3</v>
      </c>
      <c r="C1203" s="14">
        <f>_xlfn.XLOOKUP(Table1[[#This Row], [TEAM]],Sheet1!$A$12:$A$17,Sheet1!$G$12:$G$17)</f>
        <v>6238750</v>
      </c>
      <c r="D1203" t="s">
        <v>34</v>
      </c>
      <c r="E1203" s="4">
        <f>_xlfn.XLOOKUP(Table1[[#This Row], [ROOM]],Sheet1!$A$47:$A$66,Sheet1!$B$47:$B$66)</f>
        <v>456</v>
      </c>
      <c r="F1203" t="s">
        <v>62</v>
      </c>
      <c r="G12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3" s="13" t="s">
        <v>66</v>
      </c>
      <c r="I1203" s="4">
        <f>_xlfn.XLOOKUP(Table1[[#This Row], [WEAPON]],Sheet1!$A$27:$A$29,Sheet1!$B$27:$B$29)*Table1[[#This Row], [NUM OF MEM]]*(1+_xlfn.XLOOKUP(Table1[[#This Row], [WEAPON]],Sheet1!$A$27:$A$29,Sheet1!$C$27:$C$29))</f>
        <v>108000</v>
      </c>
      <c r="J1203" t="s">
        <v>64</v>
      </c>
      <c r="K1203" s="9">
        <f>Table1[[#This Row], [NUM OF MEM]]*Table1[[#This Row], [TOTAL TIME TAKEN]]*_xlfn.XLOOKUP(Table1[[#This Row], [EXIT]],Sheet1!$A$70:$A$71,Sheet1!$B$70:$B$71)*(1+_xlfn.XLOOKUP(Table1[[#This Row], [EXIT]],Sheet1!$A$70:$A$71,Sheet1!$C$70:$C$71))</f>
        <v>1549411.1999999997</v>
      </c>
      <c r="L1203" s="13" t="s">
        <v>65</v>
      </c>
      <c r="M1203" s="4">
        <f>IF(Table1[[#This Row], [EQUIPMENT]]="YES",Sheet1!$C$44*(1+Sheet1!$D$44),0)</f>
        <v>307500</v>
      </c>
      <c r="N1203" s="4">
        <f>_xlfn.XLOOKUP(Table1[[#This Row], [ROOM]],Sheet1!$A$47:$A$66,Sheet1!$F$47:$F$66)</f>
        <v>17700000</v>
      </c>
      <c r="O1203" s="9">
        <f>_xlfn.XLOOKUP(_xlfn.CONCAT(Table1[[#This Row], [TEAM]],Table1[[#This Row], [ROOM]]),'ROOM TIME'!$H$2:$H$121,'ROOM TIME'!$J$2:$J$121)</f>
        <v>35.267777777777766</v>
      </c>
      <c r="P1203" s="9">
        <f>(INDEX(Sheet1!$X$48:$Z$67,MATCH(Table1[[#This Row], [ROOM]],Sheet1!$P$48:$P$67,0),MATCH(Table1[[#This Row], [WEAPON]],Sheet1!$X$47:$Z$47,0)))/Table1[[#This Row], [NUM OF MEM]]</f>
        <v>4.583333333333333</v>
      </c>
      <c r="Q1203" s="9">
        <f>Table1[[#This Row], [ROOM TIME]]+Table1[[#This Row], [GUARD TIME]]</f>
        <v>39.851111111111102</v>
      </c>
      <c r="R1203" s="4">
        <f>Sheet1!$K$3*_xlfn.XLOOKUP(Table1[[#This Row], [DISGUISE]],Sheet1!$A$21:$A$23,Sheet1!$D$21:$D$23)</f>
        <v>66</v>
      </c>
      <c r="S1203" s="9">
        <f>Table1[[#This Row], [TOTAL TIME]]-Table1[[#This Row], [TOTAL TIME TAKEN]]</f>
        <v>26.148888888888898</v>
      </c>
      <c r="T1203" t="str">
        <f>IF(Table1[[#This Row], [TIME DIFFERENCE]]&gt;=0,"PASS","FAIL")</f>
        <v>PASS</v>
      </c>
      <c r="U1203" s="9">
        <f>Table1[[#This Row], [TRC]]+Table1[[#This Row], [DRC]]+Table1[[#This Row], [WRC]]+Table1[[#This Row], [ERC]]+Table1[[#This Row], [EQRC]]</f>
        <v>8219261.1999999993</v>
      </c>
      <c r="V1203" s="9">
        <f>Table1[[#This Row], [TOTAL COST]]+_xlfn.XLOOKUP(Table1[[#This Row], [TEAM]],Sheet1!$A$12:$A$17,Sheet1!$I$12:$I$17)</f>
        <v>8531198.6999999993</v>
      </c>
      <c r="W1203" s="9">
        <f>Table1[[#This Row], [LOOT]]-Table1[[#This Row], [TOTAL COST]]</f>
        <v>9480738.8000000007</v>
      </c>
      <c r="X1203" s="9">
        <f>IF(Table1[[#This Row], [PASS/FAIL]]="FAIL",0,Table1[[#This Row], [PROFIT]])</f>
        <v>9480738.8000000007</v>
      </c>
    </row>
    <row r="1204" spans="1:24" ht="19.5" customHeight="1" x14ac:dyDescent="0.45">
      <c r="A1204" t="s">
        <v>13</v>
      </c>
      <c r="B1204" s="14">
        <f>_xlfn.XLOOKUP(Table1[[#This Row], [TEAM]],Sheet1!$A$12:$A$17,Sheet1!$F$12:$F$17)</f>
        <v>3</v>
      </c>
      <c r="C1204" s="14">
        <f>_xlfn.XLOOKUP(Table1[[#This Row], [TEAM]],Sheet1!$A$12:$A$17,Sheet1!$G$12:$G$17)</f>
        <v>5930000</v>
      </c>
      <c r="D1204" t="s">
        <v>17</v>
      </c>
      <c r="E1204" s="4">
        <f>_xlfn.XLOOKUP(Table1[[#This Row], [ROOM]],Sheet1!$A$47:$A$66,Sheet1!$B$47:$B$66)</f>
        <v>125</v>
      </c>
      <c r="F1204" t="s">
        <v>62</v>
      </c>
      <c r="G120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4" s="13" t="s">
        <v>59</v>
      </c>
      <c r="I1204" s="4">
        <f>_xlfn.XLOOKUP(Table1[[#This Row], [WEAPON]],Sheet1!$A$27:$A$29,Sheet1!$B$27:$B$29)*Table1[[#This Row], [NUM OF MEM]]*(1+_xlfn.XLOOKUP(Table1[[#This Row], [WEAPON]],Sheet1!$A$27:$A$29,Sheet1!$C$27:$C$29))</f>
        <v>136500</v>
      </c>
      <c r="J1204" t="s">
        <v>64</v>
      </c>
      <c r="K1204" s="9">
        <f>Table1[[#This Row], [NUM OF MEM]]*Table1[[#This Row], [TOTAL TIME TAKEN]]*_xlfn.XLOOKUP(Table1[[#This Row], [EXIT]],Sheet1!$A$70:$A$71,Sheet1!$B$70:$B$71)*(1+_xlfn.XLOOKUP(Table1[[#This Row], [EXIT]],Sheet1!$A$70:$A$71,Sheet1!$C$70:$C$71))</f>
        <v>1788501.5999999999</v>
      </c>
      <c r="L1204" s="13" t="s">
        <v>61</v>
      </c>
      <c r="M1204" s="4">
        <f>IF(Table1[[#This Row], [EQUIPMENT]]="YES",Sheet1!$C$44*(1+Sheet1!$D$44),0)</f>
        <v>0</v>
      </c>
      <c r="N1204" s="4">
        <f>_xlfn.XLOOKUP(Table1[[#This Row], [ROOM]],Sheet1!$A$47:$A$66,Sheet1!$F$47:$F$66)</f>
        <v>17350000</v>
      </c>
      <c r="O1204" s="9">
        <f>_xlfn.XLOOKUP(_xlfn.CONCAT(Table1[[#This Row], [TEAM]],Table1[[#This Row], [ROOM]]),'ROOM TIME'!$H$2:$H$121,'ROOM TIME'!$J$2:$J$121)</f>
        <v>42.167222222222215</v>
      </c>
      <c r="P1204" s="9">
        <f>(INDEX(Sheet1!$X$48:$Z$67,MATCH(Table1[[#This Row], [ROOM]],Sheet1!$P$48:$P$67,0),MATCH(Table1[[#This Row], [WEAPON]],Sheet1!$X$47:$Z$47,0)))/Table1[[#This Row], [NUM OF MEM]]</f>
        <v>3.8333333333333335</v>
      </c>
      <c r="Q1204" s="9">
        <f>Table1[[#This Row], [ROOM TIME]]+Table1[[#This Row], [GUARD TIME]]</f>
        <v>46.00055555555555</v>
      </c>
      <c r="R1204" s="4">
        <f>Sheet1!$K$3*_xlfn.XLOOKUP(Table1[[#This Row], [DISGUISE]],Sheet1!$A$21:$A$23,Sheet1!$D$21:$D$23)</f>
        <v>66</v>
      </c>
      <c r="S1204" s="9">
        <f>Table1[[#This Row], [TOTAL TIME]]-Table1[[#This Row], [TOTAL TIME TAKEN]]</f>
        <v>19.99944444444445</v>
      </c>
      <c r="T1204" t="str">
        <f>IF(Table1[[#This Row], [TIME DIFFERENCE]]&gt;=0,"PASS","FAIL")</f>
        <v>PASS</v>
      </c>
      <c r="U1204" s="9">
        <f>Table1[[#This Row], [TRC]]+Table1[[#This Row], [DRC]]+Table1[[#This Row], [WRC]]+Table1[[#This Row], [ERC]]+Table1[[#This Row], [EQRC]]</f>
        <v>7870601.5999999996</v>
      </c>
      <c r="V1204" s="9">
        <f>Table1[[#This Row], [TOTAL COST]]+_xlfn.XLOOKUP(Table1[[#This Row], [TEAM]],Sheet1!$A$12:$A$17,Sheet1!$I$12:$I$17)</f>
        <v>8167101.5999999996</v>
      </c>
      <c r="W1204" s="9">
        <f>Table1[[#This Row], [LOOT]]-Table1[[#This Row], [TOTAL COST]]</f>
        <v>9479398.4000000004</v>
      </c>
      <c r="X1204" s="9">
        <f>IF(Table1[[#This Row], [PASS/FAIL]]="FAIL",0,Table1[[#This Row], [PROFIT]])</f>
        <v>9479398.4000000004</v>
      </c>
    </row>
    <row r="1205" spans="1:24" ht="19.5" customHeight="1" x14ac:dyDescent="0.45">
      <c r="A1205" t="s">
        <v>13</v>
      </c>
      <c r="B1205" s="14">
        <f>_xlfn.XLOOKUP(Table1[[#This Row], [TEAM]],Sheet1!$A$12:$A$17,Sheet1!$F$12:$F$17)</f>
        <v>3</v>
      </c>
      <c r="C1205" s="14">
        <f>_xlfn.XLOOKUP(Table1[[#This Row], [TEAM]],Sheet1!$A$12:$A$17,Sheet1!$G$12:$G$17)</f>
        <v>5930000</v>
      </c>
      <c r="D1205" t="s">
        <v>31</v>
      </c>
      <c r="E1205" s="4">
        <f>_xlfn.XLOOKUP(Table1[[#This Row], [ROOM]],Sheet1!$A$47:$A$66,Sheet1!$B$47:$B$66)</f>
        <v>256</v>
      </c>
      <c r="F1205" t="s">
        <v>62</v>
      </c>
      <c r="G1205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5" s="13" t="s">
        <v>63</v>
      </c>
      <c r="I1205" s="4">
        <f>_xlfn.XLOOKUP(Table1[[#This Row], [WEAPON]],Sheet1!$A$27:$A$29,Sheet1!$B$27:$B$29)*Table1[[#This Row], [NUM OF MEM]]*(1+_xlfn.XLOOKUP(Table1[[#This Row], [WEAPON]],Sheet1!$A$27:$A$29,Sheet1!$C$27:$C$29))</f>
        <v>69000</v>
      </c>
      <c r="J1205" t="s">
        <v>60</v>
      </c>
      <c r="K1205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1699579.0749999997</v>
      </c>
      <c r="L1205" s="13" t="s">
        <v>65</v>
      </c>
      <c r="M1205" s="4">
        <f>IF(Table1[[#This Row], [EQUIPMENT]]="YES",Sheet1!$C$44*(1+Sheet1!$D$44),0)</f>
        <v>307500</v>
      </c>
      <c r="N1205" s="4">
        <f>_xlfn.XLOOKUP(Table1[[#This Row], [ROOM]],Sheet1!$A$47:$A$66,Sheet1!$F$47:$F$66)</f>
        <v>17500000</v>
      </c>
      <c r="O1205" s="9">
        <f>_xlfn.XLOOKUP(_xlfn.CONCAT(Table1[[#This Row], [TEAM]],Table1[[#This Row], [ROOM]]),'ROOM TIME'!$H$2:$H$121,'ROOM TIME'!$J$2:$J$121)</f>
        <v>39.197777777777766</v>
      </c>
      <c r="P1205" s="9">
        <f>(INDEX(Sheet1!$X$48:$Z$67,MATCH(Table1[[#This Row], [ROOM]],Sheet1!$P$48:$P$67,0),MATCH(Table1[[#This Row], [WEAPON]],Sheet1!$X$47:$Z$47,0)))/Table1[[#This Row], [NUM OF MEM]]</f>
        <v>4.95</v>
      </c>
      <c r="Q1205" s="9">
        <f>Table1[[#This Row], [ROOM TIME]]+Table1[[#This Row], [GUARD TIME]]</f>
        <v>44.147777777777769</v>
      </c>
      <c r="R1205" s="4">
        <f>Sheet1!$K$3*_xlfn.XLOOKUP(Table1[[#This Row], [DISGUISE]],Sheet1!$A$21:$A$23,Sheet1!$D$21:$D$23)</f>
        <v>66</v>
      </c>
      <c r="S1205" s="9">
        <f>Table1[[#This Row], [TOTAL TIME]]-Table1[[#This Row], [TOTAL TIME TAKEN]]</f>
        <v>21.852222222222231</v>
      </c>
      <c r="T1205" t="str">
        <f>IF(Table1[[#This Row], [TIME DIFFERENCE]]&gt;=0,"PASS","FAIL")</f>
        <v>PASS</v>
      </c>
      <c r="U1205" s="9">
        <f>Table1[[#This Row], [TRC]]+Table1[[#This Row], [DRC]]+Table1[[#This Row], [WRC]]+Table1[[#This Row], [ERC]]+Table1[[#This Row], [EQRC]]</f>
        <v>8021679.0749999993</v>
      </c>
      <c r="V1205" s="9">
        <f>Table1[[#This Row], [TOTAL COST]]+_xlfn.XLOOKUP(Table1[[#This Row], [TEAM]],Sheet1!$A$12:$A$17,Sheet1!$I$12:$I$17)</f>
        <v>8318179.0749999993</v>
      </c>
      <c r="W1205" s="9">
        <f>Table1[[#This Row], [LOOT]]-Table1[[#This Row], [TOTAL COST]]</f>
        <v>9478320.9250000007</v>
      </c>
      <c r="X1205" s="9">
        <f>IF(Table1[[#This Row], [PASS/FAIL]]="FAIL",0,Table1[[#This Row], [PROFIT]])</f>
        <v>9478320.9250000007</v>
      </c>
    </row>
    <row r="1206" spans="1:24" ht="19.5" customHeight="1" x14ac:dyDescent="0.45">
      <c r="A1206" t="s">
        <v>12</v>
      </c>
      <c r="B1206" s="14">
        <f>_xlfn.XLOOKUP(Table1[[#This Row], [TEAM]],Sheet1!$A$12:$A$17,Sheet1!$F$12:$F$17)</f>
        <v>3</v>
      </c>
      <c r="C1206" s="14">
        <f>_xlfn.XLOOKUP(Table1[[#This Row], [TEAM]],Sheet1!$A$12:$A$17,Sheet1!$G$12:$G$17)</f>
        <v>5988750</v>
      </c>
      <c r="D1206" t="s">
        <v>17</v>
      </c>
      <c r="E1206" s="4">
        <f>_xlfn.XLOOKUP(Table1[[#This Row], [ROOM]],Sheet1!$A$47:$A$66,Sheet1!$B$47:$B$66)</f>
        <v>125</v>
      </c>
      <c r="F1206" t="s">
        <v>58</v>
      </c>
      <c r="G1206" s="4">
        <f>_xlfn.XLOOKUP(Table1[[#This Row], [DISGUISE]],Sheet1!$A$21:$A$23,Sheet1!$B$21:$B$23)*Table1[[#This Row], [NUM OF MEM]]*(1+_xlfn.XLOOKUP(Table1[[#This Row], [DISGUISE]],Sheet1!$A$21:$A$23,Sheet1!$C$21:$C$23))</f>
        <v>38400</v>
      </c>
      <c r="H1206" s="13" t="s">
        <v>59</v>
      </c>
      <c r="I1206" s="4">
        <f>_xlfn.XLOOKUP(Table1[[#This Row], [WEAPON]],Sheet1!$A$27:$A$29,Sheet1!$B$27:$B$29)*Table1[[#This Row], [NUM OF MEM]]*(1+_xlfn.XLOOKUP(Table1[[#This Row], [WEAPON]],Sheet1!$A$27:$A$29,Sheet1!$C$27:$C$29))</f>
        <v>136500</v>
      </c>
      <c r="J1206" t="s">
        <v>64</v>
      </c>
      <c r="K1206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1709380.7999999993</v>
      </c>
      <c r="L1206" s="13" t="s">
        <v>61</v>
      </c>
      <c r="M1206" s="4">
        <f>IF(Table1[[#This Row], [EQUIPMENT]]="YES",Sheet1!$C$44*(1+Sheet1!$D$44),0)</f>
        <v>0</v>
      </c>
      <c r="N1206" s="4">
        <f>_xlfn.XLOOKUP(Table1[[#This Row], [ROOM]],Sheet1!$A$47:$A$66,Sheet1!$F$47:$F$66)</f>
        <v>17350000</v>
      </c>
      <c r="O1206" s="9">
        <f>_xlfn.XLOOKUP(_xlfn.CONCAT(Table1[[#This Row], [TEAM]],Table1[[#This Row], [ROOM]]),'ROOM TIME'!$H$2:$H$121,'ROOM TIME'!$J$2:$J$121)</f>
        <v>40.132222222222204</v>
      </c>
      <c r="P1206" s="9">
        <f>(INDEX(Sheet1!$X$48:$Z$67,MATCH(Table1[[#This Row], [ROOM]],Sheet1!$P$48:$P$67,0),MATCH(Table1[[#This Row], [WEAPON]],Sheet1!$X$47:$Z$47,0)))/Table1[[#This Row], [NUM OF MEM]]</f>
        <v>3.8333333333333335</v>
      </c>
      <c r="Q1206" s="9">
        <f>Table1[[#This Row], [ROOM TIME]]+Table1[[#This Row], [GUARD TIME]]</f>
        <v>43.96555555555554</v>
      </c>
      <c r="R1206" s="4">
        <f>Sheet1!$K$3*_xlfn.XLOOKUP(Table1[[#This Row], [DISGUISE]],Sheet1!$A$21:$A$23,Sheet1!$D$21:$D$23)</f>
        <v>69</v>
      </c>
      <c r="S1206" s="9">
        <f>Table1[[#This Row], [TOTAL TIME]]-Table1[[#This Row], [TOTAL TIME TAKEN]]</f>
        <v>25.03444444444446</v>
      </c>
      <c r="T1206" t="str">
        <f>IF(Table1[[#This Row], [TIME DIFFERENCE]]&gt;=0,"PASS","FAIL")</f>
        <v>PASS</v>
      </c>
      <c r="U1206" s="9">
        <f>Table1[[#This Row], [TRC]]+Table1[[#This Row], [DRC]]+Table1[[#This Row], [WRC]]+Table1[[#This Row], [ERC]]+Table1[[#This Row], [EQRC]]</f>
        <v>7873030.7999999989</v>
      </c>
      <c r="V1206" s="9">
        <f>Table1[[#This Row], [TOTAL COST]]+_xlfn.XLOOKUP(Table1[[#This Row], [TEAM]],Sheet1!$A$12:$A$17,Sheet1!$I$12:$I$17)</f>
        <v>8172468.2999999989</v>
      </c>
      <c r="W1206" s="9">
        <f>Table1[[#This Row], [LOOT]]-Table1[[#This Row], [TOTAL COST]]</f>
        <v>9476969.2000000011</v>
      </c>
      <c r="X1206" s="9">
        <f>IF(Table1[[#This Row], [PASS/FAIL]]="FAIL",0,Table1[[#This Row], [PROFIT]])</f>
        <v>9476969.2000000011</v>
      </c>
    </row>
    <row r="1207" spans="1:24" ht="19.5" customHeight="1" x14ac:dyDescent="0.45">
      <c r="A1207" t="s">
        <v>9</v>
      </c>
      <c r="B1207" s="14">
        <f>_xlfn.XLOOKUP(Table1[[#This Row], [TEAM]],Sheet1!$A$12:$A$17,Sheet1!$F$12:$F$17)</f>
        <v>3</v>
      </c>
      <c r="C1207" s="14">
        <f>_xlfn.XLOOKUP(Table1[[#This Row], [TEAM]],Sheet1!$A$12:$A$17,Sheet1!$G$12:$G$17)</f>
        <v>6238750</v>
      </c>
      <c r="D1207" t="s">
        <v>21</v>
      </c>
      <c r="E1207" s="4">
        <f>_xlfn.XLOOKUP(Table1[[#This Row], [ROOM]],Sheet1!$A$47:$A$66,Sheet1!$B$47:$B$66)</f>
        <v>234</v>
      </c>
      <c r="F1207" t="s">
        <v>62</v>
      </c>
      <c r="G1207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7" s="13" t="s">
        <v>66</v>
      </c>
      <c r="I1207" s="4">
        <f>_xlfn.XLOOKUP(Table1[[#This Row], [WEAPON]],Sheet1!$A$27:$A$29,Sheet1!$B$27:$B$29)*Table1[[#This Row], [NUM OF MEM]]*(1+_xlfn.XLOOKUP(Table1[[#This Row], [WEAPON]],Sheet1!$A$27:$A$29,Sheet1!$C$27:$C$29))</f>
        <v>108000</v>
      </c>
      <c r="J1207" t="s">
        <v>64</v>
      </c>
      <c r="K1207" s="9">
        <f>Table1[[#This Row], [NUM OF MEM]]*Table1[[#This Row], [TOTAL TIME TAKEN]]*_xlfn.XLOOKUP(Table1[[#This Row], [EXIT]],Sheet1!$A$70:$A$71,Sheet1!$B$70:$B$71)*(1+_xlfn.XLOOKUP(Table1[[#This Row], [EXIT]],Sheet1!$A$70:$A$71,Sheet1!$C$70:$C$71))</f>
        <v>1754092.7999999996</v>
      </c>
      <c r="L1207" s="13" t="s">
        <v>65</v>
      </c>
      <c r="M1207" s="4">
        <f>IF(Table1[[#This Row], [EQUIPMENT]]="YES",Sheet1!$C$44*(1+Sheet1!$D$44),0)</f>
        <v>307500</v>
      </c>
      <c r="N1207" s="4">
        <f>_xlfn.XLOOKUP(Table1[[#This Row], [ROOM]],Sheet1!$A$47:$A$66,Sheet1!$F$47:$F$66)</f>
        <v>17900000</v>
      </c>
      <c r="O1207" s="9">
        <f>_xlfn.XLOOKUP(_xlfn.CONCAT(Table1[[#This Row], [TEAM]],Table1[[#This Row], [ROOM]]),'ROOM TIME'!$H$2:$H$121,'ROOM TIME'!$J$2:$J$121)</f>
        <v>39.698888888888881</v>
      </c>
      <c r="P1207" s="9">
        <f>(INDEX(Sheet1!$X$48:$Z$67,MATCH(Table1[[#This Row], [ROOM]],Sheet1!$P$48:$P$67,0),MATCH(Table1[[#This Row], [WEAPON]],Sheet1!$X$47:$Z$47,0)))/Table1[[#This Row], [NUM OF MEM]]</f>
        <v>5.416666666666667</v>
      </c>
      <c r="Q1207" s="9">
        <f>Table1[[#This Row], [ROOM TIME]]+Table1[[#This Row], [GUARD TIME]]</f>
        <v>45.115555555555545</v>
      </c>
      <c r="R1207" s="4">
        <f>Sheet1!$K$3*_xlfn.XLOOKUP(Table1[[#This Row], [DISGUISE]],Sheet1!$A$21:$A$23,Sheet1!$D$21:$D$23)</f>
        <v>66</v>
      </c>
      <c r="S1207" s="9">
        <f>Table1[[#This Row], [TOTAL TIME]]-Table1[[#This Row], [TOTAL TIME TAKEN]]</f>
        <v>20.884444444444455</v>
      </c>
      <c r="T1207" t="str">
        <f>IF(Table1[[#This Row], [TIME DIFFERENCE]]&gt;=0,"PASS","FAIL")</f>
        <v>PASS</v>
      </c>
      <c r="U1207" s="9">
        <f>Table1[[#This Row], [TRC]]+Table1[[#This Row], [DRC]]+Table1[[#This Row], [WRC]]+Table1[[#This Row], [ERC]]+Table1[[#This Row], [EQRC]]</f>
        <v>8423942.8000000007</v>
      </c>
      <c r="V1207" s="9">
        <f>Table1[[#This Row], [TOTAL COST]]+_xlfn.XLOOKUP(Table1[[#This Row], [TEAM]],Sheet1!$A$12:$A$17,Sheet1!$I$12:$I$17)</f>
        <v>8735880.3000000007</v>
      </c>
      <c r="W1207" s="9">
        <f>Table1[[#This Row], [LOOT]]-Table1[[#This Row], [TOTAL COST]]</f>
        <v>9476057.1999999993</v>
      </c>
      <c r="X1207" s="9">
        <f>IF(Table1[[#This Row], [PASS/FAIL]]="FAIL",0,Table1[[#This Row], [PROFIT]])</f>
        <v>9476057.1999999993</v>
      </c>
    </row>
    <row r="1208" spans="1:24" ht="19.5" customHeight="1" x14ac:dyDescent="0.45">
      <c r="A1208" t="s">
        <v>16</v>
      </c>
      <c r="B1208" s="14">
        <f>_xlfn.XLOOKUP(Table1[[#This Row], [TEAM]],Sheet1!$A$12:$A$17,Sheet1!$F$12:$F$17)</f>
        <v>2</v>
      </c>
      <c r="C1208" s="14">
        <f>_xlfn.XLOOKUP(Table1[[#This Row], [TEAM]],Sheet1!$A$12:$A$17,Sheet1!$G$12:$G$17)</f>
        <v>6082800</v>
      </c>
      <c r="D1208" t="s">
        <v>23</v>
      </c>
      <c r="E1208" s="4">
        <f>_xlfn.XLOOKUP(Table1[[#This Row], [ROOM]],Sheet1!$A$47:$A$66,Sheet1!$B$47:$B$66)</f>
        <v>245</v>
      </c>
      <c r="F1208" t="s">
        <v>58</v>
      </c>
      <c r="G1208" s="4">
        <f>_xlfn.XLOOKUP(Table1[[#This Row], [DISGUISE]],Sheet1!$A$21:$A$23,Sheet1!$B$21:$B$23)*Table1[[#This Row], [NUM OF MEM]]*(1+_xlfn.XLOOKUP(Table1[[#This Row], [DISGUISE]],Sheet1!$A$21:$A$23,Sheet1!$C$21:$C$23))</f>
        <v>25600</v>
      </c>
      <c r="H1208" s="13" t="s">
        <v>66</v>
      </c>
      <c r="I1208" s="4">
        <f>_xlfn.XLOOKUP(Table1[[#This Row], [WEAPON]],Sheet1!$A$27:$A$29,Sheet1!$B$27:$B$29)*Table1[[#This Row], [NUM OF MEM]]*(1+_xlfn.XLOOKUP(Table1[[#This Row], [WEAPON]],Sheet1!$A$27:$A$29,Sheet1!$C$27:$C$29))</f>
        <v>72000</v>
      </c>
      <c r="J1208" t="s">
        <v>60</v>
      </c>
      <c r="K1208" s="9">
        <f>Table1[[#This Row], [NUM OF MEM]]*Table1[[#This Row], [TOTAL TIME TAKEN]]*_xlfn.XLOOKUP(Table1[[#This Row], [EXIT]],Sheet1!$A$70:$A$71,Sheet1!$B$70:$B$71)*(1+_xlfn.XLOOKUP(Table1[[#This Row], [EXIT]],Sheet1!$A$70:$A$71,Sheet1!$C$70:$C$71))</f>
        <v>1743551.7749999997</v>
      </c>
      <c r="L1208" s="13" t="s">
        <v>61</v>
      </c>
      <c r="M1208" s="4">
        <f>IF(Table1[[#This Row], [EQUIPMENT]]="YES",Sheet1!$C$44*(1+Sheet1!$D$44),0)</f>
        <v>0</v>
      </c>
      <c r="N1208" s="4">
        <f>_xlfn.XLOOKUP(Table1[[#This Row], [ROOM]],Sheet1!$A$47:$A$66,Sheet1!$F$47:$F$66)</f>
        <v>17400000</v>
      </c>
      <c r="O1208" s="9">
        <f>_xlfn.XLOOKUP(_xlfn.CONCAT(Table1[[#This Row], [TEAM]],Table1[[#This Row], [ROOM]]),'ROOM TIME'!$H$2:$H$121,'ROOM TIME'!$J$2:$J$121)</f>
        <v>61.059999999999988</v>
      </c>
      <c r="P1208" s="9">
        <f>(INDEX(Sheet1!$X$48:$Z$67,MATCH(Table1[[#This Row], [ROOM]],Sheet1!$P$48:$P$67,0),MATCH(Table1[[#This Row], [WEAPON]],Sheet1!$X$47:$Z$47,0)))/Table1[[#This Row], [NUM OF MEM]]</f>
        <v>6.875</v>
      </c>
      <c r="Q1208" s="9">
        <f>Table1[[#This Row], [ROOM TIME]]+Table1[[#This Row], [GUARD TIME]]</f>
        <v>67.934999999999988</v>
      </c>
      <c r="R1208" s="4">
        <f>Sheet1!$K$3*_xlfn.XLOOKUP(Table1[[#This Row], [DISGUISE]],Sheet1!$A$21:$A$23,Sheet1!$D$21:$D$23)</f>
        <v>69</v>
      </c>
      <c r="S1208" s="9">
        <f>Table1[[#This Row], [TOTAL TIME]]-Table1[[#This Row], [TOTAL TIME TAKEN]]</f>
        <v>1.0650000000000119</v>
      </c>
      <c r="T1208" t="str">
        <f>IF(Table1[[#This Row], [TIME DIFFERENCE]]&gt;=0,"PASS","FAIL")</f>
        <v>PASS</v>
      </c>
      <c r="U1208" s="9">
        <f>Table1[[#This Row], [TRC]]+Table1[[#This Row], [DRC]]+Table1[[#This Row], [WRC]]+Table1[[#This Row], [ERC]]+Table1[[#This Row], [EQRC]]</f>
        <v>7923951.7749999994</v>
      </c>
      <c r="V1208" s="9">
        <f>Table1[[#This Row], [TOTAL COST]]+_xlfn.XLOOKUP(Table1[[#This Row], [TEAM]],Sheet1!$A$12:$A$17,Sheet1!$I$12:$I$17)</f>
        <v>8228091.7749999994</v>
      </c>
      <c r="W1208" s="9">
        <f>Table1[[#This Row], [LOOT]]-Table1[[#This Row], [TOTAL COST]]</f>
        <v>9476048.2250000015</v>
      </c>
      <c r="X1208" s="9">
        <f>IF(Table1[[#This Row], [PASS/FAIL]]="FAIL",0,Table1[[#This Row], [PROFIT]])</f>
        <v>9476048.2250000015</v>
      </c>
    </row>
    <row r="1209" spans="1:24" ht="19.5" customHeight="1" x14ac:dyDescent="0.45">
      <c r="A1209" t="s">
        <v>12</v>
      </c>
      <c r="B1209" s="14">
        <f>_xlfn.XLOOKUP(Table1[[#This Row], [TEAM]],Sheet1!$A$12:$A$17,Sheet1!$F$12:$F$17)</f>
        <v>3</v>
      </c>
      <c r="C1209" s="14">
        <f>_xlfn.XLOOKUP(Table1[[#This Row], [TEAM]],Sheet1!$A$12:$A$17,Sheet1!$G$12:$G$17)</f>
        <v>5988750</v>
      </c>
      <c r="D1209" t="s">
        <v>31</v>
      </c>
      <c r="E1209" s="4">
        <f>_xlfn.XLOOKUP(Table1[[#This Row], [ROOM]],Sheet1!$A$47:$A$66,Sheet1!$B$47:$B$66)</f>
        <v>256</v>
      </c>
      <c r="F1209" t="s">
        <v>62</v>
      </c>
      <c r="G1209" s="4">
        <f>_xlfn.XLOOKUP(Table1[[#This Row], [DISGUISE]],Sheet1!$A$21:$A$23,Sheet1!$B$21:$B$23)*Table1[[#This Row], [NUM OF MEM]]*(1+_xlfn.XLOOKUP(Table1[[#This Row], [DISGUISE]],Sheet1!$A$21:$A$23,Sheet1!$C$21:$C$23))</f>
        <v>15600</v>
      </c>
      <c r="H1209" s="13" t="s">
        <v>63</v>
      </c>
      <c r="I1209" s="4">
        <f>_xlfn.XLOOKUP(Table1[[#This Row], [WEAPON]],Sheet1!$A$27:$A$29,Sheet1!$B$27:$B$29)*Table1[[#This Row], [NUM OF MEM]]*(1+_xlfn.XLOOKUP(Table1[[#This Row], [WEAPON]],Sheet1!$A$27:$A$29,Sheet1!$C$27:$C$29))</f>
        <v>69000</v>
      </c>
      <c r="J1209" t="s">
        <v>64</v>
      </c>
      <c r="K1209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1643198.3999999994</v>
      </c>
      <c r="L1209" s="13" t="s">
        <v>65</v>
      </c>
      <c r="M1209" s="4">
        <f>IF(Table1[[#This Row], [EQUIPMENT]]="YES",Sheet1!$C$44*(1+Sheet1!$D$44),0)</f>
        <v>307500</v>
      </c>
      <c r="N1209" s="4">
        <f>_xlfn.XLOOKUP(Table1[[#This Row], [ROOM]],Sheet1!$A$47:$A$66,Sheet1!$F$47:$F$66)</f>
        <v>17500000</v>
      </c>
      <c r="O1209" s="9">
        <f>_xlfn.XLOOKUP(_xlfn.CONCAT(Table1[[#This Row], [TEAM]],Table1[[#This Row], [ROOM]]),'ROOM TIME'!$H$2:$H$121,'ROOM TIME'!$J$2:$J$121)</f>
        <v>37.313333333333318</v>
      </c>
      <c r="P1209" s="9">
        <f>(INDEX(Sheet1!$X$48:$Z$67,MATCH(Table1[[#This Row], [ROOM]],Sheet1!$P$48:$P$67,0),MATCH(Table1[[#This Row], [WEAPON]],Sheet1!$X$47:$Z$47,0)))/Table1[[#This Row], [NUM OF MEM]]</f>
        <v>4.95</v>
      </c>
      <c r="Q1209" s="9">
        <f>Table1[[#This Row], [ROOM TIME]]+Table1[[#This Row], [GUARD TIME]]</f>
        <v>42.263333333333321</v>
      </c>
      <c r="R1209" s="4">
        <f>Sheet1!$K$3*_xlfn.XLOOKUP(Table1[[#This Row], [DISGUISE]],Sheet1!$A$21:$A$23,Sheet1!$D$21:$D$23)</f>
        <v>66</v>
      </c>
      <c r="S1209" s="9">
        <f>Table1[[#This Row], [TOTAL TIME]]-Table1[[#This Row], [TOTAL TIME TAKEN]]</f>
        <v>23.736666666666679</v>
      </c>
      <c r="T1209" t="str">
        <f>IF(Table1[[#This Row], [TIME DIFFERENCE]]&gt;=0,"PASS","FAIL")</f>
        <v>PASS</v>
      </c>
      <c r="U1209" s="9">
        <f>Table1[[#This Row], [TRC]]+Table1[[#This Row], [DRC]]+Table1[[#This Row], [WRC]]+Table1[[#This Row], [ERC]]+Table1[[#This Row], [EQRC]]</f>
        <v>8024048.3999999994</v>
      </c>
      <c r="V1209" s="9">
        <f>Table1[[#This Row], [TOTAL COST]]+_xlfn.XLOOKUP(Table1[[#This Row], [TEAM]],Sheet1!$A$12:$A$17,Sheet1!$I$12:$I$17)</f>
        <v>8323485.8999999994</v>
      </c>
      <c r="W1209" s="9">
        <f>Table1[[#This Row], [LOOT]]-Table1[[#This Row], [TOTAL COST]]</f>
        <v>9475951.6000000015</v>
      </c>
      <c r="X1209" s="9">
        <f>IF(Table1[[#This Row], [PASS/FAIL]]="FAIL",0,Table1[[#This Row], [PROFIT]])</f>
        <v>9475951.6000000015</v>
      </c>
    </row>
    <row r="1210" spans="1:24" ht="19.5" customHeight="1" x14ac:dyDescent="0.45">
      <c r="A1210" t="s">
        <v>12</v>
      </c>
      <c r="B1210" s="14">
        <f>_xlfn.XLOOKUP(Table1[[#This Row], [TEAM]],Sheet1!$A$12:$A$17,Sheet1!$F$12:$F$17)</f>
        <v>3</v>
      </c>
      <c r="C1210" s="14">
        <f>_xlfn.XLOOKUP(Table1[[#This Row], [TEAM]],Sheet1!$A$12:$A$17,Sheet1!$G$12:$G$17)</f>
        <v>5988750</v>
      </c>
      <c r="D1210" t="s">
        <v>25</v>
      </c>
      <c r="E1210" s="4">
        <f>_xlfn.XLOOKUP(Table1[[#This Row], [ROOM]],Sheet1!$A$47:$A$66,Sheet1!$B$47:$B$66)</f>
        <v>126</v>
      </c>
      <c r="F1210" t="s">
        <v>58</v>
      </c>
      <c r="G1210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0" s="13" t="s">
        <v>66</v>
      </c>
      <c r="I1210" s="4">
        <f>_xlfn.XLOOKUP(Table1[[#This Row], [WEAPON]],Sheet1!$A$27:$A$29,Sheet1!$B$27:$B$29)*Table1[[#This Row], [NUM OF MEM]]*(1+_xlfn.XLOOKUP(Table1[[#This Row], [WEAPON]],Sheet1!$A$27:$A$29,Sheet1!$C$27:$C$29))</f>
        <v>108000</v>
      </c>
      <c r="J1210" t="s">
        <v>60</v>
      </c>
      <c r="K1210" s="9">
        <f>Table1[[#This Row], [NUM OF MEM]]*Table1[[#This Row], [TOTAL TIME TAKEN]]*_xlfn.XLOOKUP(Table1[[#This Row], [EXIT]],Sheet1!$A$70:$A$71,Sheet1!$B$70:$B$71)*(1+_xlfn.XLOOKUP(Table1[[#This Row], [EXIT]],Sheet1!$A$70:$A$71,Sheet1!$C$70:$C$71))</f>
        <v>1631695.1499999992</v>
      </c>
      <c r="L1210" s="13" t="s">
        <v>65</v>
      </c>
      <c r="M1210" s="4">
        <f>IF(Table1[[#This Row], [EQUIPMENT]]="YES",Sheet1!$C$44*(1+Sheet1!$D$44),0)</f>
        <v>307500</v>
      </c>
      <c r="N1210" s="4">
        <f>_xlfn.XLOOKUP(Table1[[#This Row], [ROOM]],Sheet1!$A$47:$A$66,Sheet1!$F$47:$F$66)</f>
        <v>17550000</v>
      </c>
      <c r="O1210" s="9">
        <f>_xlfn.XLOOKUP(_xlfn.CONCAT(Table1[[#This Row], [TEAM]],Table1[[#This Row], [ROOM]]),'ROOM TIME'!$H$2:$H$121,'ROOM TIME'!$J$2:$J$121)</f>
        <v>37.801111111111091</v>
      </c>
      <c r="P1210" s="9">
        <f>(INDEX(Sheet1!$X$48:$Z$67,MATCH(Table1[[#This Row], [ROOM]],Sheet1!$P$48:$P$67,0),MATCH(Table1[[#This Row], [WEAPON]],Sheet1!$X$47:$Z$47,0)))/Table1[[#This Row], [NUM OF MEM]]</f>
        <v>4.583333333333333</v>
      </c>
      <c r="Q1210" s="9">
        <f>Table1[[#This Row], [ROOM TIME]]+Table1[[#This Row], [GUARD TIME]]</f>
        <v>42.384444444444426</v>
      </c>
      <c r="R1210" s="4">
        <f>Sheet1!$K$3*_xlfn.XLOOKUP(Table1[[#This Row], [DISGUISE]],Sheet1!$A$21:$A$23,Sheet1!$D$21:$D$23)</f>
        <v>69</v>
      </c>
      <c r="S1210" s="9">
        <f>Table1[[#This Row], [TOTAL TIME]]-Table1[[#This Row], [TOTAL TIME TAKEN]]</f>
        <v>26.615555555555574</v>
      </c>
      <c r="T1210" t="str">
        <f>IF(Table1[[#This Row], [TIME DIFFERENCE]]&gt;=0,"PASS","FAIL")</f>
        <v>PASS</v>
      </c>
      <c r="U1210" s="9">
        <f>Table1[[#This Row], [TRC]]+Table1[[#This Row], [DRC]]+Table1[[#This Row], [WRC]]+Table1[[#This Row], [ERC]]+Table1[[#This Row], [EQRC]]</f>
        <v>8074345.1499999994</v>
      </c>
      <c r="V1210" s="9">
        <f>Table1[[#This Row], [TOTAL COST]]+_xlfn.XLOOKUP(Table1[[#This Row], [TEAM]],Sheet1!$A$12:$A$17,Sheet1!$I$12:$I$17)</f>
        <v>8373782.6499999994</v>
      </c>
      <c r="W1210" s="9">
        <f>Table1[[#This Row], [LOOT]]-Table1[[#This Row], [TOTAL COST]]</f>
        <v>9475654.8500000015</v>
      </c>
      <c r="X1210" s="9">
        <f>IF(Table1[[#This Row], [PASS/FAIL]]="FAIL",0,Table1[[#This Row], [PROFIT]])</f>
        <v>9475654.8500000015</v>
      </c>
    </row>
    <row r="1211" spans="1:24" ht="19.5" customHeight="1" x14ac:dyDescent="0.45">
      <c r="A1211" t="s">
        <v>9</v>
      </c>
      <c r="B1211" s="14">
        <f>_xlfn.XLOOKUP(Table1[[#This Row], [TEAM]],Sheet1!$A$12:$A$17,Sheet1!$F$12:$F$17)</f>
        <v>3</v>
      </c>
      <c r="C1211" s="14">
        <f>_xlfn.XLOOKUP(Table1[[#This Row], [TEAM]],Sheet1!$A$12:$A$17,Sheet1!$G$12:$G$17)</f>
        <v>6238750</v>
      </c>
      <c r="D1211" t="s">
        <v>28</v>
      </c>
      <c r="E1211" s="4">
        <f>_xlfn.XLOOKUP(Table1[[#This Row], [ROOM]],Sheet1!$A$47:$A$66,Sheet1!$B$47:$B$66)</f>
        <v>156</v>
      </c>
      <c r="F1211" t="s">
        <v>62</v>
      </c>
      <c r="G121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11" s="13" t="s">
        <v>63</v>
      </c>
      <c r="I1211" s="4">
        <f>_xlfn.XLOOKUP(Table1[[#This Row], [WEAPON]],Sheet1!$A$27:$A$29,Sheet1!$B$27:$B$29)*Table1[[#This Row], [NUM OF MEM]]*(1+_xlfn.XLOOKUP(Table1[[#This Row], [WEAPON]],Sheet1!$A$27:$A$29,Sheet1!$C$27:$C$29))</f>
        <v>69000</v>
      </c>
      <c r="J1211" t="s">
        <v>64</v>
      </c>
      <c r="K1211" s="9">
        <f>Table1[[#This Row], [NUM OF MEM]]*Table1[[#This Row], [TOTAL TIME TAKEN]]*_xlfn.XLOOKUP(Table1[[#This Row], [EXIT]],Sheet1!$A$70:$A$71,Sheet1!$B$70:$B$71)*(1+_xlfn.XLOOKUP(Table1[[#This Row], [EXIT]],Sheet1!$A$70:$A$71,Sheet1!$C$70:$C$71))</f>
        <v>1543730.3999999997</v>
      </c>
      <c r="L1211" s="13" t="s">
        <v>65</v>
      </c>
      <c r="M1211" s="4">
        <f>IF(Table1[[#This Row], [EQUIPMENT]]="YES",Sheet1!$C$44*(1+Sheet1!$D$44),0)</f>
        <v>307500</v>
      </c>
      <c r="N1211" s="4">
        <f>_xlfn.XLOOKUP(Table1[[#This Row], [ROOM]],Sheet1!$A$47:$A$66,Sheet1!$F$47:$F$66)</f>
        <v>17650000</v>
      </c>
      <c r="O1211" s="9">
        <f>_xlfn.XLOOKUP(_xlfn.CONCAT(Table1[[#This Row], [TEAM]],Table1[[#This Row], [ROOM]]),'ROOM TIME'!$H$2:$H$121,'ROOM TIME'!$J$2:$J$121)</f>
        <v>35.204999999999991</v>
      </c>
      <c r="P1211" s="9">
        <f>(INDEX(Sheet1!$X$48:$Z$67,MATCH(Table1[[#This Row], [ROOM]],Sheet1!$P$48:$P$67,0),MATCH(Table1[[#This Row], [WEAPON]],Sheet1!$X$47:$Z$47,0)))/Table1[[#This Row], [NUM OF MEM]]</f>
        <v>4.5</v>
      </c>
      <c r="Q1211" s="9">
        <f>Table1[[#This Row], [ROOM TIME]]+Table1[[#This Row], [GUARD TIME]]</f>
        <v>39.704999999999991</v>
      </c>
      <c r="R1211" s="4">
        <f>Sheet1!$K$3*_xlfn.XLOOKUP(Table1[[#This Row], [DISGUISE]],Sheet1!$A$21:$A$23,Sheet1!$D$21:$D$23)</f>
        <v>66</v>
      </c>
      <c r="S1211" s="9">
        <f>Table1[[#This Row], [TOTAL TIME]]-Table1[[#This Row], [TOTAL TIME TAKEN]]</f>
        <v>26.295000000000009</v>
      </c>
      <c r="T1211" t="str">
        <f>IF(Table1[[#This Row], [TIME DIFFERENCE]]&gt;=0,"PASS","FAIL")</f>
        <v>PASS</v>
      </c>
      <c r="U1211" s="9">
        <f>Table1[[#This Row], [TRC]]+Table1[[#This Row], [DRC]]+Table1[[#This Row], [WRC]]+Table1[[#This Row], [ERC]]+Table1[[#This Row], [EQRC]]</f>
        <v>8174580.3999999994</v>
      </c>
      <c r="V1211" s="9">
        <f>Table1[[#This Row], [TOTAL COST]]+_xlfn.XLOOKUP(Table1[[#This Row], [TEAM]],Sheet1!$A$12:$A$17,Sheet1!$I$12:$I$17)</f>
        <v>8486517.8999999985</v>
      </c>
      <c r="W1211" s="9">
        <f>Table1[[#This Row], [LOOT]]-Table1[[#This Row], [TOTAL COST]]</f>
        <v>9475419.6000000015</v>
      </c>
      <c r="X1211" s="9">
        <f>IF(Table1[[#This Row], [PASS/FAIL]]="FAIL",0,Table1[[#This Row], [PROFIT]])</f>
        <v>9475419.6000000015</v>
      </c>
    </row>
    <row r="1212" spans="1:24" ht="19.5" customHeight="1" x14ac:dyDescent="0.45">
      <c r="A1212" t="s">
        <v>9</v>
      </c>
      <c r="B1212" s="14">
        <f>_xlfn.XLOOKUP(Table1[[#This Row], [TEAM]],Sheet1!$A$12:$A$17,Sheet1!$F$12:$F$17)</f>
        <v>3</v>
      </c>
      <c r="C1212" s="14">
        <f>_xlfn.XLOOKUP(Table1[[#This Row], [TEAM]],Sheet1!$A$12:$A$17,Sheet1!$G$12:$G$17)</f>
        <v>6238750</v>
      </c>
      <c r="D1212" t="s">
        <v>21</v>
      </c>
      <c r="E1212" s="4">
        <f>_xlfn.XLOOKUP(Table1[[#This Row], [ROOM]],Sheet1!$A$47:$A$66,Sheet1!$B$47:$B$66)</f>
        <v>234</v>
      </c>
      <c r="F1212" t="s">
        <v>58</v>
      </c>
      <c r="G1212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2" s="13" t="s">
        <v>63</v>
      </c>
      <c r="I1212" s="4">
        <f>_xlfn.XLOOKUP(Table1[[#This Row], [WEAPON]],Sheet1!$A$27:$A$29,Sheet1!$B$27:$B$29)*Table1[[#This Row], [NUM OF MEM]]*(1+_xlfn.XLOOKUP(Table1[[#This Row], [WEAPON]],Sheet1!$A$27:$A$29,Sheet1!$C$27:$C$29))</f>
        <v>69000</v>
      </c>
      <c r="J1212" t="s">
        <v>64</v>
      </c>
      <c r="K1212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1770940.7999999996</v>
      </c>
      <c r="L1212" s="13" t="s">
        <v>65</v>
      </c>
      <c r="M1212" s="4">
        <f>IF(Table1[[#This Row], [EQUIPMENT]]="YES",Sheet1!$C$44*(1+Sheet1!$D$44),0)</f>
        <v>307500</v>
      </c>
      <c r="N1212" s="4">
        <f>_xlfn.XLOOKUP(Table1[[#This Row], [ROOM]],Sheet1!$A$47:$A$66,Sheet1!$F$47:$F$66)</f>
        <v>17900000</v>
      </c>
      <c r="O1212" s="9">
        <f>_xlfn.XLOOKUP(_xlfn.CONCAT(Table1[[#This Row], [TEAM]],Table1[[#This Row], [ROOM]]),'ROOM TIME'!$H$2:$H$121,'ROOM TIME'!$J$2:$J$121)</f>
        <v>39.698888888888881</v>
      </c>
      <c r="P1212" s="9">
        <f>(INDEX(Sheet1!$X$48:$Z$67,MATCH(Table1[[#This Row], [ROOM]],Sheet1!$P$48:$P$67,0),MATCH(Table1[[#This Row], [WEAPON]],Sheet1!$X$47:$Z$47,0)))/Table1[[#This Row], [NUM OF MEM]]</f>
        <v>5.8500000000000005</v>
      </c>
      <c r="Q1212" s="9">
        <f>Table1[[#This Row], [ROOM TIME]]+Table1[[#This Row], [GUARD TIME]]</f>
        <v>45.548888888888882</v>
      </c>
      <c r="R1212" s="4">
        <f>Sheet1!$K$3*_xlfn.XLOOKUP(Table1[[#This Row], [DISGUISE]],Sheet1!$A$21:$A$23,Sheet1!$D$21:$D$23)</f>
        <v>69</v>
      </c>
      <c r="S1212" s="9">
        <f>Table1[[#This Row], [TOTAL TIME]]-Table1[[#This Row], [TOTAL TIME TAKEN]]</f>
        <v>23.451111111111118</v>
      </c>
      <c r="T1212" t="str">
        <f>IF(Table1[[#This Row], [TIME DIFFERENCE]]&gt;=0,"PASS","FAIL")</f>
        <v>PASS</v>
      </c>
      <c r="U1212" s="9">
        <f>Table1[[#This Row], [TRC]]+Table1[[#This Row], [DRC]]+Table1[[#This Row], [WRC]]+Table1[[#This Row], [ERC]]+Table1[[#This Row], [EQRC]]</f>
        <v>8424590.8000000007</v>
      </c>
      <c r="V1212" s="9">
        <f>Table1[[#This Row], [TOTAL COST]]+_xlfn.XLOOKUP(Table1[[#This Row], [TEAM]],Sheet1!$A$12:$A$17,Sheet1!$I$12:$I$17)</f>
        <v>8736528.3000000007</v>
      </c>
      <c r="W1212" s="9">
        <f>Table1[[#This Row], [LOOT]]-Table1[[#This Row], [TOTAL COST]]</f>
        <v>9475409.1999999993</v>
      </c>
      <c r="X1212" s="9">
        <f>IF(Table1[[#This Row], [PASS/FAIL]]="FAIL",0,Table1[[#This Row], [PROFIT]])</f>
        <v>9475409.1999999993</v>
      </c>
    </row>
    <row r="1213" spans="1:24" ht="19.5" customHeight="1" x14ac:dyDescent="0.45">
      <c r="A1213" t="s">
        <v>14</v>
      </c>
      <c r="B1213" s="14">
        <f>_xlfn.XLOOKUP(Table1[[#This Row], [TEAM]],Sheet1!$A$12:$A$17,Sheet1!$F$12:$F$17)</f>
        <v>2</v>
      </c>
      <c r="C1213" s="14">
        <f>_xlfn.XLOOKUP(Table1[[#This Row], [TEAM]],Sheet1!$A$12:$A$17,Sheet1!$G$12:$G$17)</f>
        <v>5949600</v>
      </c>
      <c r="D1213" t="s">
        <v>20</v>
      </c>
      <c r="E1213" s="4">
        <f>_xlfn.XLOOKUP(Table1[[#This Row], [ROOM]],Sheet1!$A$47:$A$66,Sheet1!$B$47:$B$66)</f>
        <v>145</v>
      </c>
      <c r="F1213" t="s">
        <v>58</v>
      </c>
      <c r="G1213" s="4">
        <f>_xlfn.XLOOKUP(Table1[[#This Row], [DISGUISE]],Sheet1!$A$21:$A$23,Sheet1!$B$21:$B$23)*Table1[[#This Row], [NUM OF MEM]]*(1+_xlfn.XLOOKUP(Table1[[#This Row], [DISGUISE]],Sheet1!$A$21:$A$23,Sheet1!$C$21:$C$23))</f>
        <v>25600</v>
      </c>
      <c r="H1213" s="13" t="s">
        <v>59</v>
      </c>
      <c r="I1213" s="4">
        <f>_xlfn.XLOOKUP(Table1[[#This Row], [WEAPON]],Sheet1!$A$27:$A$29,Sheet1!$B$27:$B$29)*Table1[[#This Row], [NUM OF MEM]]*(1+_xlfn.XLOOKUP(Table1[[#This Row], [WEAPON]],Sheet1!$A$27:$A$29,Sheet1!$C$27:$C$29))</f>
        <v>91000</v>
      </c>
      <c r="J1213" t="s">
        <v>64</v>
      </c>
      <c r="K1213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1213" s="13" t="s">
        <v>65</v>
      </c>
      <c r="M1213" s="4">
        <f>IF(Table1[[#This Row], [EQUIPMENT]]="YES",Sheet1!$C$44*(1+Sheet1!$D$44),0)</f>
        <v>307500</v>
      </c>
      <c r="N1213" s="4">
        <f>_xlfn.XLOOKUP(Table1[[#This Row], [ROOM]],Sheet1!$A$47:$A$66,Sheet1!$F$47:$F$66)</f>
        <v>17550000</v>
      </c>
      <c r="O1213" s="9">
        <f>_xlfn.XLOOKUP(_xlfn.CONCAT(Table1[[#This Row], [TEAM]],Table1[[#This Row], [ROOM]]),'ROOM TIME'!$H$2:$H$121,'ROOM TIME'!$J$2:$J$121)</f>
        <v>59.889999999999986</v>
      </c>
      <c r="P1213" s="9">
        <f>(INDEX(Sheet1!$X$48:$Z$67,MATCH(Table1[[#This Row], [ROOM]],Sheet1!$P$48:$P$67,0),MATCH(Table1[[#This Row], [WEAPON]],Sheet1!$X$47:$Z$47,0)))/Table1[[#This Row], [NUM OF MEM]]</f>
        <v>5.75</v>
      </c>
      <c r="Q1213" s="9">
        <f>Table1[[#This Row], [ROOM TIME]]+Table1[[#This Row], [GUARD TIME]]</f>
        <v>65.639999999999986</v>
      </c>
      <c r="R1213" s="4">
        <f>Sheet1!$K$3*_xlfn.XLOOKUP(Table1[[#This Row], [DISGUISE]],Sheet1!$A$21:$A$23,Sheet1!$D$21:$D$23)</f>
        <v>69</v>
      </c>
      <c r="S1213" s="9">
        <f>Table1[[#This Row], [TOTAL TIME]]-Table1[[#This Row], [TOTAL TIME TAKEN]]</f>
        <v>3.3600000000000136</v>
      </c>
      <c r="T1213" t="str">
        <f>IF(Table1[[#This Row], [TIME DIFFERENCE]]&gt;=0,"PASS","FAIL")</f>
        <v>PASS</v>
      </c>
      <c r="U1213" s="9">
        <f>Table1[[#This Row], [TRC]]+Table1[[#This Row], [DRC]]+Table1[[#This Row], [WRC]]+Table1[[#This Row], [ERC]]+Table1[[#This Row], [EQRC]]</f>
        <v>8075088.7999999998</v>
      </c>
      <c r="V1213" s="9">
        <f>Table1[[#This Row], [TOTAL COST]]+_xlfn.XLOOKUP(Table1[[#This Row], [TEAM]],Sheet1!$A$12:$A$17,Sheet1!$I$12:$I$17)</f>
        <v>8372568.7999999998</v>
      </c>
      <c r="W1213" s="9">
        <f>Table1[[#This Row], [LOOT]]-Table1[[#This Row], [TOTAL COST]]</f>
        <v>9474911.1999999993</v>
      </c>
      <c r="X1213" s="9">
        <f>IF(Table1[[#This Row], [PASS/FAIL]]="FAIL",0,Table1[[#This Row], [PROFIT]])</f>
        <v>9474911.1999999993</v>
      </c>
    </row>
    <row r="1214" spans="1:24" ht="19.5" customHeight="1" x14ac:dyDescent="0.45">
      <c r="A1214" t="s">
        <v>13</v>
      </c>
      <c r="B1214" s="14">
        <f>_xlfn.XLOOKUP(Table1[[#This Row], [TEAM]],Sheet1!$A$12:$A$17,Sheet1!$F$12:$F$17)</f>
        <v>3</v>
      </c>
      <c r="C1214" s="14">
        <f>_xlfn.XLOOKUP(Table1[[#This Row], [TEAM]],Sheet1!$A$12:$A$17,Sheet1!$G$12:$G$17)</f>
        <v>5930000</v>
      </c>
      <c r="D1214" t="s">
        <v>17</v>
      </c>
      <c r="E1214" s="4">
        <f>_xlfn.XLOOKUP(Table1[[#This Row], [ROOM]],Sheet1!$A$47:$A$66,Sheet1!$B$47:$B$66)</f>
        <v>125</v>
      </c>
      <c r="F1214" t="s">
        <v>58</v>
      </c>
      <c r="G1214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4" s="13" t="s">
        <v>59</v>
      </c>
      <c r="I1214" s="4">
        <f>_xlfn.XLOOKUP(Table1[[#This Row], [WEAPON]],Sheet1!$A$27:$A$29,Sheet1!$B$27:$B$29)*Table1[[#This Row], [NUM OF MEM]]*(1+_xlfn.XLOOKUP(Table1[[#This Row], [WEAPON]],Sheet1!$A$27:$A$29,Sheet1!$C$27:$C$29))</f>
        <v>136500</v>
      </c>
      <c r="J1214" t="s">
        <v>60</v>
      </c>
      <c r="K1214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1770906.3875</v>
      </c>
      <c r="L1214" s="13" t="s">
        <v>61</v>
      </c>
      <c r="M1214" s="4">
        <f>IF(Table1[[#This Row], [EQUIPMENT]]="YES",Sheet1!$C$44*(1+Sheet1!$D$44),0)</f>
        <v>0</v>
      </c>
      <c r="N1214" s="4">
        <f>_xlfn.XLOOKUP(Table1[[#This Row], [ROOM]],Sheet1!$A$47:$A$66,Sheet1!$F$47:$F$66)</f>
        <v>17350000</v>
      </c>
      <c r="O1214" s="9">
        <f>_xlfn.XLOOKUP(_xlfn.CONCAT(Table1[[#This Row], [TEAM]],Table1[[#This Row], [ROOM]]),'ROOM TIME'!$H$2:$H$121,'ROOM TIME'!$J$2:$J$121)</f>
        <v>42.167222222222215</v>
      </c>
      <c r="P1214" s="9">
        <f>(INDEX(Sheet1!$X$48:$Z$67,MATCH(Table1[[#This Row], [ROOM]],Sheet1!$P$48:$P$67,0),MATCH(Table1[[#This Row], [WEAPON]],Sheet1!$X$47:$Z$47,0)))/Table1[[#This Row], [NUM OF MEM]]</f>
        <v>3.8333333333333335</v>
      </c>
      <c r="Q1214" s="9">
        <f>Table1[[#This Row], [ROOM TIME]]+Table1[[#This Row], [GUARD TIME]]</f>
        <v>46.00055555555555</v>
      </c>
      <c r="R1214" s="4">
        <f>Sheet1!$K$3*_xlfn.XLOOKUP(Table1[[#This Row], [DISGUISE]],Sheet1!$A$21:$A$23,Sheet1!$D$21:$D$23)</f>
        <v>69</v>
      </c>
      <c r="S1214" s="9">
        <f>Table1[[#This Row], [TOTAL TIME]]-Table1[[#This Row], [TOTAL TIME TAKEN]]</f>
        <v>22.99944444444445</v>
      </c>
      <c r="T1214" t="str">
        <f>IF(Table1[[#This Row], [TIME DIFFERENCE]]&gt;=0,"PASS","FAIL")</f>
        <v>PASS</v>
      </c>
      <c r="U1214" s="9">
        <f>Table1[[#This Row], [TRC]]+Table1[[#This Row], [DRC]]+Table1[[#This Row], [WRC]]+Table1[[#This Row], [ERC]]+Table1[[#This Row], [EQRC]]</f>
        <v>7875806.3875000002</v>
      </c>
      <c r="V1214" s="9">
        <f>Table1[[#This Row], [TOTAL COST]]+_xlfn.XLOOKUP(Table1[[#This Row], [TEAM]],Sheet1!$A$12:$A$17,Sheet1!$I$12:$I$17)</f>
        <v>8172306.3875000002</v>
      </c>
      <c r="W1214" s="9">
        <f>Table1[[#This Row], [LOOT]]-Table1[[#This Row], [TOTAL COST]]</f>
        <v>9474193.6125000007</v>
      </c>
      <c r="X1214" s="9">
        <f>IF(Table1[[#This Row], [PASS/FAIL]]="FAIL",0,Table1[[#This Row], [PROFIT]])</f>
        <v>9474193.6125000007</v>
      </c>
    </row>
    <row r="1215" spans="1:24" ht="19.5" customHeight="1" x14ac:dyDescent="0.45">
      <c r="A1215" t="s">
        <v>9</v>
      </c>
      <c r="B1215" s="14">
        <f>_xlfn.XLOOKUP(Table1[[#This Row], [TEAM]],Sheet1!$A$12:$A$17,Sheet1!$F$12:$F$17)</f>
        <v>3</v>
      </c>
      <c r="C1215" s="14">
        <f>_xlfn.XLOOKUP(Table1[[#This Row], [TEAM]],Sheet1!$A$12:$A$17,Sheet1!$G$12:$G$17)</f>
        <v>6238750</v>
      </c>
      <c r="D1215" t="s">
        <v>34</v>
      </c>
      <c r="E1215" s="4">
        <f>_xlfn.XLOOKUP(Table1[[#This Row], [ROOM]],Sheet1!$A$47:$A$66,Sheet1!$B$47:$B$66)</f>
        <v>456</v>
      </c>
      <c r="F1215" t="s">
        <v>58</v>
      </c>
      <c r="G121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5" s="13" t="s">
        <v>66</v>
      </c>
      <c r="I1215" s="4">
        <f>_xlfn.XLOOKUP(Table1[[#This Row], [WEAPON]],Sheet1!$A$27:$A$29,Sheet1!$B$27:$B$29)*Table1[[#This Row], [NUM OF MEM]]*(1+_xlfn.XLOOKUP(Table1[[#This Row], [WEAPON]],Sheet1!$A$27:$A$29,Sheet1!$C$27:$C$29))</f>
        <v>108000</v>
      </c>
      <c r="J1215" t="s">
        <v>60</v>
      </c>
      <c r="K1215" s="9">
        <f>Table1[[#This Row], [NUM OF MEM]]*Table1[[#This Row], [TOTAL TIME TAKEN]]*_xlfn.XLOOKUP(Table1[[#This Row], [EXIT]],Sheet1!$A$70:$A$71,Sheet1!$B$70:$B$71)*(1+_xlfn.XLOOKUP(Table1[[#This Row], [EXIT]],Sheet1!$A$70:$A$71,Sheet1!$C$70:$C$71))</f>
        <v>1534168.1499999997</v>
      </c>
      <c r="L1215" s="13" t="s">
        <v>65</v>
      </c>
      <c r="M1215" s="4">
        <f>IF(Table1[[#This Row], [EQUIPMENT]]="YES",Sheet1!$C$44*(1+Sheet1!$D$44),0)</f>
        <v>307500</v>
      </c>
      <c r="N1215" s="4">
        <f>_xlfn.XLOOKUP(Table1[[#This Row], [ROOM]],Sheet1!$A$47:$A$66,Sheet1!$F$47:$F$66)</f>
        <v>17700000</v>
      </c>
      <c r="O1215" s="9">
        <f>_xlfn.XLOOKUP(_xlfn.CONCAT(Table1[[#This Row], [TEAM]],Table1[[#This Row], [ROOM]]),'ROOM TIME'!$H$2:$H$121,'ROOM TIME'!$J$2:$J$121)</f>
        <v>35.267777777777766</v>
      </c>
      <c r="P1215" s="9">
        <f>(INDEX(Sheet1!$X$48:$Z$67,MATCH(Table1[[#This Row], [ROOM]],Sheet1!$P$48:$P$67,0),MATCH(Table1[[#This Row], [WEAPON]],Sheet1!$X$47:$Z$47,0)))/Table1[[#This Row], [NUM OF MEM]]</f>
        <v>4.583333333333333</v>
      </c>
      <c r="Q1215" s="9">
        <f>Table1[[#This Row], [ROOM TIME]]+Table1[[#This Row], [GUARD TIME]]</f>
        <v>39.851111111111102</v>
      </c>
      <c r="R1215" s="4">
        <f>Sheet1!$K$3*_xlfn.XLOOKUP(Table1[[#This Row], [DISGUISE]],Sheet1!$A$21:$A$23,Sheet1!$D$21:$D$23)</f>
        <v>69</v>
      </c>
      <c r="S1215" s="9">
        <f>Table1[[#This Row], [TOTAL TIME]]-Table1[[#This Row], [TOTAL TIME TAKEN]]</f>
        <v>29.148888888888898</v>
      </c>
      <c r="T1215" t="str">
        <f>IF(Table1[[#This Row], [TIME DIFFERENCE]]&gt;=0,"PASS","FAIL")</f>
        <v>PASS</v>
      </c>
      <c r="U1215" s="9">
        <f>Table1[[#This Row], [TRC]]+Table1[[#This Row], [DRC]]+Table1[[#This Row], [WRC]]+Table1[[#This Row], [ERC]]+Table1[[#This Row], [EQRC]]</f>
        <v>8226818.1499999994</v>
      </c>
      <c r="V1215" s="9">
        <f>Table1[[#This Row], [TOTAL COST]]+_xlfn.XLOOKUP(Table1[[#This Row], [TEAM]],Sheet1!$A$12:$A$17,Sheet1!$I$12:$I$17)</f>
        <v>8538755.6499999985</v>
      </c>
      <c r="W1215" s="9">
        <f>Table1[[#This Row], [LOOT]]-Table1[[#This Row], [TOTAL COST]]</f>
        <v>9473181.8500000015</v>
      </c>
      <c r="X1215" s="9">
        <f>IF(Table1[[#This Row], [PASS/FAIL]]="FAIL",0,Table1[[#This Row], [PROFIT]])</f>
        <v>9473181.8500000015</v>
      </c>
    </row>
    <row r="1216" spans="1:24" ht="19.5" customHeight="1" x14ac:dyDescent="0.45">
      <c r="A1216" t="s">
        <v>13</v>
      </c>
      <c r="B1216" s="14">
        <f>_xlfn.XLOOKUP(Table1[[#This Row], [TEAM]],Sheet1!$A$12:$A$17,Sheet1!$F$12:$F$17)</f>
        <v>3</v>
      </c>
      <c r="C1216" s="14">
        <f>_xlfn.XLOOKUP(Table1[[#This Row], [TEAM]],Sheet1!$A$12:$A$17,Sheet1!$G$12:$G$17)</f>
        <v>5930000</v>
      </c>
      <c r="D1216" t="s">
        <v>17</v>
      </c>
      <c r="E1216" s="4">
        <f>_xlfn.XLOOKUP(Table1[[#This Row], [ROOM]],Sheet1!$A$47:$A$66,Sheet1!$B$47:$B$66)</f>
        <v>125</v>
      </c>
      <c r="F1216" t="s">
        <v>58</v>
      </c>
      <c r="G1216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6" s="13" t="s">
        <v>66</v>
      </c>
      <c r="I1216" s="4">
        <f>_xlfn.XLOOKUP(Table1[[#This Row], [WEAPON]],Sheet1!$A$27:$A$29,Sheet1!$B$27:$B$29)*Table1[[#This Row], [NUM OF MEM]]*(1+_xlfn.XLOOKUP(Table1[[#This Row], [WEAPON]],Sheet1!$A$27:$A$29,Sheet1!$C$27:$C$29))</f>
        <v>108000</v>
      </c>
      <c r="J1216" t="s">
        <v>64</v>
      </c>
      <c r="K1216" s="9">
        <f>Table1[[#This Row], [NUM OF MEM]]*Table1[[#This Row], [TOTAL TIME TAKEN]]*_xlfn.XLOOKUP(Table1[[#This Row], [EXIT]],Sheet1!$A$70:$A$71,Sheet1!$B$70:$B$71)*(1+_xlfn.XLOOKUP(Table1[[#This Row], [EXIT]],Sheet1!$A$70:$A$71,Sheet1!$C$70:$C$71))</f>
        <v>1801461.5999999996</v>
      </c>
      <c r="L1216" s="13" t="s">
        <v>61</v>
      </c>
      <c r="M1216" s="4">
        <f>IF(Table1[[#This Row], [EQUIPMENT]]="YES",Sheet1!$C$44*(1+Sheet1!$D$44),0)</f>
        <v>0</v>
      </c>
      <c r="N1216" s="4">
        <f>_xlfn.XLOOKUP(Table1[[#This Row], [ROOM]],Sheet1!$A$47:$A$66,Sheet1!$F$47:$F$66)</f>
        <v>17350000</v>
      </c>
      <c r="O1216" s="9">
        <f>_xlfn.XLOOKUP(_xlfn.CONCAT(Table1[[#This Row], [TEAM]],Table1[[#This Row], [ROOM]]),'ROOM TIME'!$H$2:$H$121,'ROOM TIME'!$J$2:$J$121)</f>
        <v>42.167222222222215</v>
      </c>
      <c r="P1216" s="9">
        <f>(INDEX(Sheet1!$X$48:$Z$67,MATCH(Table1[[#This Row], [ROOM]],Sheet1!$P$48:$P$67,0),MATCH(Table1[[#This Row], [WEAPON]],Sheet1!$X$47:$Z$47,0)))/Table1[[#This Row], [NUM OF MEM]]</f>
        <v>4.166666666666667</v>
      </c>
      <c r="Q1216" s="9">
        <f>Table1[[#This Row], [ROOM TIME]]+Table1[[#This Row], [GUARD TIME]]</f>
        <v>46.333888888888879</v>
      </c>
      <c r="R1216" s="4">
        <f>Sheet1!$K$3*_xlfn.XLOOKUP(Table1[[#This Row], [DISGUISE]],Sheet1!$A$21:$A$23,Sheet1!$D$21:$D$23)</f>
        <v>69</v>
      </c>
      <c r="S1216" s="9">
        <f>Table1[[#This Row], [TOTAL TIME]]-Table1[[#This Row], [TOTAL TIME TAKEN]]</f>
        <v>22.666111111111121</v>
      </c>
      <c r="T1216" t="str">
        <f>IF(Table1[[#This Row], [TIME DIFFERENCE]]&gt;=0,"PASS","FAIL")</f>
        <v>PASS</v>
      </c>
      <c r="U1216" s="9">
        <f>Table1[[#This Row], [TRC]]+Table1[[#This Row], [DRC]]+Table1[[#This Row], [WRC]]+Table1[[#This Row], [ERC]]+Table1[[#This Row], [EQRC]]</f>
        <v>7877861.5999999996</v>
      </c>
      <c r="V1216" s="9">
        <f>Table1[[#This Row], [TOTAL COST]]+_xlfn.XLOOKUP(Table1[[#This Row], [TEAM]],Sheet1!$A$12:$A$17,Sheet1!$I$12:$I$17)</f>
        <v>8174361.5999999996</v>
      </c>
      <c r="W1216" s="9">
        <f>Table1[[#This Row], [LOOT]]-Table1[[#This Row], [TOTAL COST]]</f>
        <v>9472138.4000000004</v>
      </c>
      <c r="X1216" s="9">
        <f>IF(Table1[[#This Row], [PASS/FAIL]]="FAIL",0,Table1[[#This Row], [PROFIT]])</f>
        <v>9472138.4000000004</v>
      </c>
    </row>
    <row r="1217" spans="1:24" ht="19.5" customHeight="1" x14ac:dyDescent="0.45">
      <c r="A1217" t="s">
        <v>12</v>
      </c>
      <c r="B1217" s="14">
        <f>_xlfn.XLOOKUP(Table1[[#This Row], [TEAM]],Sheet1!$A$12:$A$17,Sheet1!$F$12:$F$17)</f>
        <v>3</v>
      </c>
      <c r="C1217" s="14">
        <f>_xlfn.XLOOKUP(Table1[[#This Row], [TEAM]],Sheet1!$A$12:$A$17,Sheet1!$G$12:$G$17)</f>
        <v>5988750</v>
      </c>
      <c r="D1217" t="s">
        <v>20</v>
      </c>
      <c r="E1217" s="4">
        <f>_xlfn.XLOOKUP(Table1[[#This Row], [ROOM]],Sheet1!$A$47:$A$66,Sheet1!$B$47:$B$66)</f>
        <v>145</v>
      </c>
      <c r="F1217" t="s">
        <v>62</v>
      </c>
      <c r="G1217" s="4">
        <f>_xlfn.XLOOKUP(Table1[[#This Row], [DISGUISE]],Sheet1!$A$21:$A$23,Sheet1!$B$21:$B$23)*Table1[[#This Row], [NUM OF MEM]]*(1+_xlfn.XLOOKUP(Table1[[#This Row], [DISGUISE]],Sheet1!$A$21:$A$23,Sheet1!$C$21:$C$23))</f>
        <v>15600</v>
      </c>
      <c r="H1217" s="13" t="s">
        <v>63</v>
      </c>
      <c r="I1217" s="4">
        <f>_xlfn.XLOOKUP(Table1[[#This Row], [WEAPON]],Sheet1!$A$27:$A$29,Sheet1!$B$27:$B$29)*Table1[[#This Row], [NUM OF MEM]]*(1+_xlfn.XLOOKUP(Table1[[#This Row], [WEAPON]],Sheet1!$A$27:$A$29,Sheet1!$C$27:$C$29))</f>
        <v>69000</v>
      </c>
      <c r="J1217" t="s">
        <v>60</v>
      </c>
      <c r="K1217" s="9">
        <f>Table1[[#This Row], [NUM OF MEM]]*Table1[[#This Row], [TOTAL TIME TAKEN]]*_xlfn.XLOOKUP(Table1[[#This Row], [EXIT]],Sheet1!$A$70:$A$71,Sheet1!$B$70:$B$71)*(1+_xlfn.XLOOKUP(Table1[[#This Row], [EXIT]],Sheet1!$A$70:$A$71,Sheet1!$C$70:$C$71))</f>
        <v>1697098.1249999995</v>
      </c>
      <c r="L1217" s="13" t="s">
        <v>65</v>
      </c>
      <c r="M1217" s="4">
        <f>IF(Table1[[#This Row], [EQUIPMENT]]="YES",Sheet1!$C$44*(1+Sheet1!$D$44),0)</f>
        <v>307500</v>
      </c>
      <c r="N1217" s="4">
        <f>_xlfn.XLOOKUP(Table1[[#This Row], [ROOM]],Sheet1!$A$47:$A$66,Sheet1!$F$47:$F$66)</f>
        <v>17550000</v>
      </c>
      <c r="O1217" s="9">
        <f>_xlfn.XLOOKUP(_xlfn.CONCAT(Table1[[#This Row], [TEAM]],Table1[[#This Row], [ROOM]]),'ROOM TIME'!$H$2:$H$121,'ROOM TIME'!$J$2:$J$121)</f>
        <v>39.583333333333321</v>
      </c>
      <c r="P1217" s="9">
        <f>(INDEX(Sheet1!$X$48:$Z$67,MATCH(Table1[[#This Row], [ROOM]],Sheet1!$P$48:$P$67,0),MATCH(Table1[[#This Row], [WEAPON]],Sheet1!$X$47:$Z$47,0)))/Table1[[#This Row], [NUM OF MEM]]</f>
        <v>4.5</v>
      </c>
      <c r="Q1217" s="9">
        <f>Table1[[#This Row], [ROOM TIME]]+Table1[[#This Row], [GUARD TIME]]</f>
        <v>44.083333333333321</v>
      </c>
      <c r="R1217" s="4">
        <f>Sheet1!$K$3*_xlfn.XLOOKUP(Table1[[#This Row], [DISGUISE]],Sheet1!$A$21:$A$23,Sheet1!$D$21:$D$23)</f>
        <v>66</v>
      </c>
      <c r="S1217" s="9">
        <f>Table1[[#This Row], [TOTAL TIME]]-Table1[[#This Row], [TOTAL TIME TAKEN]]</f>
        <v>21.916666666666679</v>
      </c>
      <c r="T1217" t="str">
        <f>IF(Table1[[#This Row], [TIME DIFFERENCE]]&gt;=0,"PASS","FAIL")</f>
        <v>PASS</v>
      </c>
      <c r="U1217" s="9">
        <f>Table1[[#This Row], [TRC]]+Table1[[#This Row], [DRC]]+Table1[[#This Row], [WRC]]+Table1[[#This Row], [ERC]]+Table1[[#This Row], [EQRC]]</f>
        <v>8077948.125</v>
      </c>
      <c r="V1217" s="9">
        <f>Table1[[#This Row], [TOTAL COST]]+_xlfn.XLOOKUP(Table1[[#This Row], [TEAM]],Sheet1!$A$12:$A$17,Sheet1!$I$12:$I$17)</f>
        <v>8377385.625</v>
      </c>
      <c r="W1217" s="9">
        <f>Table1[[#This Row], [LOOT]]-Table1[[#This Row], [TOTAL COST]]</f>
        <v>9472051.875</v>
      </c>
      <c r="X1217" s="9">
        <f>IF(Table1[[#This Row], [PASS/FAIL]]="FAIL",0,Table1[[#This Row], [PROFIT]])</f>
        <v>9472051.875</v>
      </c>
    </row>
    <row r="1218" spans="1:24" ht="19.5" customHeight="1" x14ac:dyDescent="0.45">
      <c r="A1218" t="s">
        <v>13</v>
      </c>
      <c r="B1218" s="14">
        <f>_xlfn.XLOOKUP(Table1[[#This Row], [TEAM]],Sheet1!$A$12:$A$17,Sheet1!$F$12:$F$17)</f>
        <v>3</v>
      </c>
      <c r="C1218" s="14">
        <f>_xlfn.XLOOKUP(Table1[[#This Row], [TEAM]],Sheet1!$A$12:$A$17,Sheet1!$G$12:$G$17)</f>
        <v>5930000</v>
      </c>
      <c r="D1218" t="s">
        <v>25</v>
      </c>
      <c r="E1218" s="4">
        <f>_xlfn.XLOOKUP(Table1[[#This Row], [ROOM]],Sheet1!$A$47:$A$66,Sheet1!$B$47:$B$66)</f>
        <v>126</v>
      </c>
      <c r="F1218" t="s">
        <v>62</v>
      </c>
      <c r="G1218" s="4">
        <f>_xlfn.XLOOKUP(Table1[[#This Row], [DISGUISE]],Sheet1!$A$21:$A$23,Sheet1!$B$21:$B$23)*Table1[[#This Row], [NUM OF MEM]]*(1+_xlfn.XLOOKUP(Table1[[#This Row], [DISGUISE]],Sheet1!$A$21:$A$23,Sheet1!$C$21:$C$23))</f>
        <v>15600</v>
      </c>
      <c r="H1218" s="13" t="s">
        <v>59</v>
      </c>
      <c r="I1218" s="4">
        <f>_xlfn.XLOOKUP(Table1[[#This Row], [WEAPON]],Sheet1!$A$27:$A$29,Sheet1!$B$27:$B$29)*Table1[[#This Row], [NUM OF MEM]]*(1+_xlfn.XLOOKUP(Table1[[#This Row], [WEAPON]],Sheet1!$A$27:$A$29,Sheet1!$C$27:$C$29))</f>
        <v>136500</v>
      </c>
      <c r="J1218" t="s">
        <v>60</v>
      </c>
      <c r="K1218" s="9">
        <f>Table1[[#This Row], [NUM OF MEM]]*Table1[[#This Row], [TOTAL TIME TAKEN]]*_xlfn.XLOOKUP(Table1[[#This Row], [EXIT]],Sheet1!$A$70:$A$71,Sheet1!$B$70:$B$71)*(1+_xlfn.XLOOKUP(Table1[[#This Row], [EXIT]],Sheet1!$A$70:$A$71,Sheet1!$C$70:$C$71))</f>
        <v>1688393.4124999996</v>
      </c>
      <c r="L1218" s="13" t="s">
        <v>65</v>
      </c>
      <c r="M1218" s="4">
        <f>IF(Table1[[#This Row], [EQUIPMENT]]="YES",Sheet1!$C$44*(1+Sheet1!$D$44),0)</f>
        <v>307500</v>
      </c>
      <c r="N1218" s="4">
        <f>_xlfn.XLOOKUP(Table1[[#This Row], [ROOM]],Sheet1!$A$47:$A$66,Sheet1!$F$47:$F$66)</f>
        <v>17550000</v>
      </c>
      <c r="O1218" s="9">
        <f>_xlfn.XLOOKUP(_xlfn.CONCAT(Table1[[#This Row], [TEAM]],Table1[[#This Row], [ROOM]]),'ROOM TIME'!$H$2:$H$121,'ROOM TIME'!$J$2:$J$121)</f>
        <v>39.640555555555544</v>
      </c>
      <c r="P1218" s="9">
        <f>(INDEX(Sheet1!$X$48:$Z$67,MATCH(Table1[[#This Row], [ROOM]],Sheet1!$P$48:$P$67,0),MATCH(Table1[[#This Row], [WEAPON]],Sheet1!$X$47:$Z$47,0)))/Table1[[#This Row], [NUM OF MEM]]</f>
        <v>4.2166666666666659</v>
      </c>
      <c r="Q1218" s="9">
        <f>Table1[[#This Row], [ROOM TIME]]+Table1[[#This Row], [GUARD TIME]]</f>
        <v>43.857222222222212</v>
      </c>
      <c r="R1218" s="4">
        <f>Sheet1!$K$3*_xlfn.XLOOKUP(Table1[[#This Row], [DISGUISE]],Sheet1!$A$21:$A$23,Sheet1!$D$21:$D$23)</f>
        <v>66</v>
      </c>
      <c r="S1218" s="9">
        <f>Table1[[#This Row], [TOTAL TIME]]-Table1[[#This Row], [TOTAL TIME TAKEN]]</f>
        <v>22.142777777777788</v>
      </c>
      <c r="T1218" t="str">
        <f>IF(Table1[[#This Row], [TIME DIFFERENCE]]&gt;=0,"PASS","FAIL")</f>
        <v>PASS</v>
      </c>
      <c r="U1218" s="9">
        <f>Table1[[#This Row], [TRC]]+Table1[[#This Row], [DRC]]+Table1[[#This Row], [WRC]]+Table1[[#This Row], [ERC]]+Table1[[#This Row], [EQRC]]</f>
        <v>8077993.4124999996</v>
      </c>
      <c r="V1218" s="9">
        <f>Table1[[#This Row], [TOTAL COST]]+_xlfn.XLOOKUP(Table1[[#This Row], [TEAM]],Sheet1!$A$12:$A$17,Sheet1!$I$12:$I$17)</f>
        <v>8374493.4124999996</v>
      </c>
      <c r="W1218" s="9">
        <f>Table1[[#This Row], [LOOT]]-Table1[[#This Row], [TOTAL COST]]</f>
        <v>9472006.5875000004</v>
      </c>
      <c r="X1218" s="9">
        <f>IF(Table1[[#This Row], [PASS/FAIL]]="FAIL",0,Table1[[#This Row], [PROFIT]])</f>
        <v>9472006.5875000004</v>
      </c>
    </row>
    <row r="1219" spans="1:24" ht="19.5" customHeight="1" x14ac:dyDescent="0.45">
      <c r="A1219" t="s">
        <v>13</v>
      </c>
      <c r="B1219" s="14">
        <f>_xlfn.XLOOKUP(Table1[[#This Row], [TEAM]],Sheet1!$A$12:$A$17,Sheet1!$F$12:$F$17)</f>
        <v>3</v>
      </c>
      <c r="C1219" s="14">
        <f>_xlfn.XLOOKUP(Table1[[#This Row], [TEAM]],Sheet1!$A$12:$A$17,Sheet1!$G$12:$G$17)</f>
        <v>5930000</v>
      </c>
      <c r="D1219" t="s">
        <v>25</v>
      </c>
      <c r="E1219" s="4">
        <f>_xlfn.XLOOKUP(Table1[[#This Row], [ROOM]],Sheet1!$A$47:$A$66,Sheet1!$B$47:$B$66)</f>
        <v>126</v>
      </c>
      <c r="F1219" t="s">
        <v>58</v>
      </c>
      <c r="G1219" s="4">
        <f>_xlfn.XLOOKUP(Table1[[#This Row], [DISGUISE]],Sheet1!$A$21:$A$23,Sheet1!$B$21:$B$23)*Table1[[#This Row], [NUM OF MEM]]*(1+_xlfn.XLOOKUP(Table1[[#This Row], [DISGUISE]],Sheet1!$A$21:$A$23,Sheet1!$C$21:$C$23))</f>
        <v>38400</v>
      </c>
      <c r="H1219" s="13" t="s">
        <v>63</v>
      </c>
      <c r="I1219" s="4">
        <f>_xlfn.XLOOKUP(Table1[[#This Row], [WEAPON]],Sheet1!$A$27:$A$29,Sheet1!$B$27:$B$29)*Table1[[#This Row], [NUM OF MEM]]*(1+_xlfn.XLOOKUP(Table1[[#This Row], [WEAPON]],Sheet1!$A$27:$A$29,Sheet1!$C$27:$C$29))</f>
        <v>69000</v>
      </c>
      <c r="J1219" t="s">
        <v>64</v>
      </c>
      <c r="K1219" s="9">
        <f>Table1[[#This Row], [NUM OF MEM]]*Table1[[#This Row], [TOTAL TIME TAKEN]]*_xlfn.XLOOKUP(Table1[[#This Row], [EXIT]],Sheet1!$A$70:$A$71,Sheet1!$B$70:$B$71)*(1+_xlfn.XLOOKUP(Table1[[#This Row], [EXIT]],Sheet1!$A$70:$A$71,Sheet1!$C$70:$C$71))</f>
        <v>1733680.7999999996</v>
      </c>
      <c r="L1219" s="13" t="s">
        <v>65</v>
      </c>
      <c r="M1219" s="4">
        <f>IF(Table1[[#This Row], [EQUIPMENT]]="YES",Sheet1!$C$44*(1+Sheet1!$D$44),0)</f>
        <v>307500</v>
      </c>
      <c r="N1219" s="4">
        <f>_xlfn.XLOOKUP(Table1[[#This Row], [ROOM]],Sheet1!$A$47:$A$66,Sheet1!$F$47:$F$66)</f>
        <v>17550000</v>
      </c>
      <c r="O1219" s="9">
        <f>_xlfn.XLOOKUP(_xlfn.CONCAT(Table1[[#This Row], [TEAM]],Table1[[#This Row], [ROOM]]),'ROOM TIME'!$H$2:$H$121,'ROOM TIME'!$J$2:$J$121)</f>
        <v>39.640555555555544</v>
      </c>
      <c r="P1219" s="9">
        <f>(INDEX(Sheet1!$X$48:$Z$67,MATCH(Table1[[#This Row], [ROOM]],Sheet1!$P$48:$P$67,0),MATCH(Table1[[#This Row], [WEAPON]],Sheet1!$X$47:$Z$47,0)))/Table1[[#This Row], [NUM OF MEM]]</f>
        <v>4.95</v>
      </c>
      <c r="Q1219" s="9">
        <f>Table1[[#This Row], [ROOM TIME]]+Table1[[#This Row], [GUARD TIME]]</f>
        <v>44.590555555555547</v>
      </c>
      <c r="R1219" s="4">
        <f>Sheet1!$K$3*_xlfn.XLOOKUP(Table1[[#This Row], [DISGUISE]],Sheet1!$A$21:$A$23,Sheet1!$D$21:$D$23)</f>
        <v>69</v>
      </c>
      <c r="S1219" s="9">
        <f>Table1[[#This Row], [TOTAL TIME]]-Table1[[#This Row], [TOTAL TIME TAKEN]]</f>
        <v>24.409444444444453</v>
      </c>
      <c r="T1219" t="str">
        <f>IF(Table1[[#This Row], [TIME DIFFERENCE]]&gt;=0,"PASS","FAIL")</f>
        <v>PASS</v>
      </c>
      <c r="U1219" s="9">
        <f>Table1[[#This Row], [TRC]]+Table1[[#This Row], [DRC]]+Table1[[#This Row], [WRC]]+Table1[[#This Row], [ERC]]+Table1[[#This Row], [EQRC]]</f>
        <v>8078580.7999999998</v>
      </c>
      <c r="V1219" s="9">
        <f>Table1[[#This Row], [TOTAL COST]]+_xlfn.XLOOKUP(Table1[[#This Row], [TEAM]],Sheet1!$A$12:$A$17,Sheet1!$I$12:$I$17)</f>
        <v>8375080.7999999998</v>
      </c>
      <c r="W1219" s="9">
        <f>Table1[[#This Row], [LOOT]]-Table1[[#This Row], [TOTAL COST]]</f>
        <v>9471419.1999999993</v>
      </c>
      <c r="X1219" s="9">
        <f>IF(Table1[[#This Row], [PASS/FAIL]]="FAIL",0,Table1[[#This Row], [PROFIT]])</f>
        <v>9471419.1999999993</v>
      </c>
    </row>
    <row r="1220" spans="1:24" ht="19.5" customHeight="1" x14ac:dyDescent="0.45">
      <c r="A1220" t="s">
        <v>16</v>
      </c>
      <c r="B1220" s="14">
        <f>_xlfn.XLOOKUP(Table1[[#This Row], [TEAM]],Sheet1!$A$12:$A$17,Sheet1!$F$12:$F$17)</f>
        <v>2</v>
      </c>
      <c r="C1220" s="14">
        <f>_xlfn.XLOOKUP(Table1[[#This Row], [TEAM]],Sheet1!$A$12:$A$17,Sheet1!$G$12:$G$17)</f>
        <v>6082800</v>
      </c>
      <c r="D1220" t="s">
        <v>23</v>
      </c>
      <c r="E1220" s="4">
        <f>_xlfn.XLOOKUP(Table1[[#This Row], [ROOM]],Sheet1!$A$47:$A$66,Sheet1!$B$47:$B$66)</f>
        <v>245</v>
      </c>
      <c r="F1220" t="s">
        <v>58</v>
      </c>
      <c r="G1220" s="4">
        <f>_xlfn.XLOOKUP(Table1[[#This Row], [DISGUISE]],Sheet1!$A$21:$A$23,Sheet1!$B$21:$B$23)*Table1[[#This Row], [NUM OF MEM]]*(1+_xlfn.XLOOKUP(Table1[[#This Row], [DISGUISE]],Sheet1!$A$21:$A$23,Sheet1!$C$21:$C$23))</f>
        <v>25600</v>
      </c>
      <c r="H1220" s="13" t="s">
        <v>59</v>
      </c>
      <c r="I1220" s="4">
        <f>_xlfn.XLOOKUP(Table1[[#This Row], [WEAPON]],Sheet1!$A$27:$A$29,Sheet1!$B$27:$B$29)*Table1[[#This Row], [NUM OF MEM]]*(1+_xlfn.XLOOKUP(Table1[[#This Row], [WEAPON]],Sheet1!$A$27:$A$29,Sheet1!$C$27:$C$29))</f>
        <v>91000</v>
      </c>
      <c r="J1220" t="s">
        <v>60</v>
      </c>
      <c r="K1220" s="9">
        <f>Table1[[#This Row], [NUM OF MEM]]*Table1[[#This Row], [TOTAL TIME TAKEN]]*_xlfn.XLOOKUP(Table1[[#This Row], [EXIT]],Sheet1!$A$70:$A$71,Sheet1!$B$70:$B$71)*(1+_xlfn.XLOOKUP(Table1[[#This Row], [EXIT]],Sheet1!$A$70:$A$71,Sheet1!$C$70:$C$71))</f>
        <v>1729436.0249999997</v>
      </c>
      <c r="L1220" s="13" t="s">
        <v>61</v>
      </c>
      <c r="M1220" s="4">
        <f>IF(Table1[[#This Row], [EQUIPMENT]]="YES",Sheet1!$C$44*(1+Sheet1!$D$44),0)</f>
        <v>0</v>
      </c>
      <c r="N1220" s="4">
        <f>_xlfn.XLOOKUP(Table1[[#This Row], [ROOM]],Sheet1!$A$47:$A$66,Sheet1!$F$47:$F$66)</f>
        <v>17400000</v>
      </c>
      <c r="O1220" s="9">
        <f>_xlfn.XLOOKUP(_xlfn.CONCAT(Table1[[#This Row], [TEAM]],Table1[[#This Row], [ROOM]]),'ROOM TIME'!$H$2:$H$121,'ROOM TIME'!$J$2:$J$121)</f>
        <v>61.059999999999988</v>
      </c>
      <c r="P1220" s="9">
        <f>(INDEX(Sheet1!$X$48:$Z$67,MATCH(Table1[[#This Row], [ROOM]],Sheet1!$P$48:$P$67,0),MATCH(Table1[[#This Row], [WEAPON]],Sheet1!$X$47:$Z$47,0)))/Table1[[#This Row], [NUM OF MEM]]</f>
        <v>6.3249999999999993</v>
      </c>
      <c r="Q1220" s="9">
        <f>Table1[[#This Row], [ROOM TIME]]+Table1[[#This Row], [GUARD TIME]]</f>
        <v>67.384999999999991</v>
      </c>
      <c r="R1220" s="4">
        <f>Sheet1!$K$3*_xlfn.XLOOKUP(Table1[[#This Row], [DISGUISE]],Sheet1!$A$21:$A$23,Sheet1!$D$21:$D$23)</f>
        <v>69</v>
      </c>
      <c r="S1220" s="9">
        <f>Table1[[#This Row], [TOTAL TIME]]-Table1[[#This Row], [TOTAL TIME TAKEN]]</f>
        <v>1.6150000000000091</v>
      </c>
      <c r="T1220" t="str">
        <f>IF(Table1[[#This Row], [TIME DIFFERENCE]]&gt;=0,"PASS","FAIL")</f>
        <v>PASS</v>
      </c>
      <c r="U1220" s="9">
        <f>Table1[[#This Row], [TRC]]+Table1[[#This Row], [DRC]]+Table1[[#This Row], [WRC]]+Table1[[#This Row], [ERC]]+Table1[[#This Row], [EQRC]]</f>
        <v>7928836.0249999994</v>
      </c>
      <c r="V1220" s="9">
        <f>Table1[[#This Row], [TOTAL COST]]+_xlfn.XLOOKUP(Table1[[#This Row], [TEAM]],Sheet1!$A$12:$A$17,Sheet1!$I$12:$I$17)</f>
        <v>8232976.0249999994</v>
      </c>
      <c r="W1220" s="9">
        <f>Table1[[#This Row], [LOOT]]-Table1[[#This Row], [TOTAL COST]]</f>
        <v>9471163.9750000015</v>
      </c>
      <c r="X1220" s="9">
        <f>IF(Table1[[#This Row], [PASS/FAIL]]="FAIL",0,Table1[[#This Row], [PROFIT]])</f>
        <v>9471163.9750000015</v>
      </c>
    </row>
    <row r="1221" spans="1:24" ht="19.5" customHeight="1" x14ac:dyDescent="0.45">
      <c r="A1221" t="s">
        <v>13</v>
      </c>
      <c r="B1221" s="14">
        <f>_xlfn.XLOOKUP(Table1[[#This Row], [TEAM]],Sheet1!$A$12:$A$17,Sheet1!$F$12:$F$17)</f>
        <v>3</v>
      </c>
      <c r="C1221" s="14">
        <f>_xlfn.XLOOKUP(Table1[[#This Row], [TEAM]],Sheet1!$A$12:$A$17,Sheet1!$G$12:$G$17)</f>
        <v>5930000</v>
      </c>
      <c r="D1221" t="s">
        <v>30</v>
      </c>
      <c r="E1221" s="4">
        <f>_xlfn.XLOOKUP(Table1[[#This Row], [ROOM]],Sheet1!$A$47:$A$66,Sheet1!$B$47:$B$66)</f>
        <v>246</v>
      </c>
      <c r="F1221" t="s">
        <v>58</v>
      </c>
      <c r="G1221" s="4">
        <f>_xlfn.XLOOKUP(Table1[[#This Row], [DISGUISE]],Sheet1!$A$21:$A$23,Sheet1!$B$21:$B$23)*Table1[[#This Row], [NUM OF MEM]]*(1+_xlfn.XLOOKUP(Table1[[#This Row], [DISGUISE]],Sheet1!$A$21:$A$23,Sheet1!$C$21:$C$23))</f>
        <v>38400</v>
      </c>
      <c r="H1221" s="13" t="s">
        <v>59</v>
      </c>
      <c r="I1221" s="4">
        <f>_xlfn.XLOOKUP(Table1[[#This Row], [WEAPON]],Sheet1!$A$27:$A$29,Sheet1!$B$27:$B$29)*Table1[[#This Row], [NUM OF MEM]]*(1+_xlfn.XLOOKUP(Table1[[#This Row], [WEAPON]],Sheet1!$A$27:$A$29,Sheet1!$C$27:$C$29))</f>
        <v>136500</v>
      </c>
      <c r="J1221" t="s">
        <v>64</v>
      </c>
      <c r="K1221" s="9">
        <f>Table1[[#This Row], [NUM OF MEM]]*Table1[[#This Row], [TOTAL TIME TAKEN]]*_xlfn.XLOOKUP(Table1[[#This Row], [EXIT]],Sheet1!$A$70:$A$71,Sheet1!$B$70:$B$71)*(1+_xlfn.XLOOKUP(Table1[[#This Row], [EXIT]],Sheet1!$A$70:$A$71,Sheet1!$C$70:$C$71))</f>
        <v>1716616.7999999996</v>
      </c>
      <c r="L1221" s="13" t="s">
        <v>65</v>
      </c>
      <c r="M1221" s="4">
        <f>IF(Table1[[#This Row], [EQUIPMENT]]="YES",Sheet1!$C$44*(1+Sheet1!$D$44),0)</f>
        <v>307500</v>
      </c>
      <c r="N1221" s="4">
        <f>_xlfn.XLOOKUP(Table1[[#This Row], [ROOM]],Sheet1!$A$47:$A$66,Sheet1!$F$47:$F$66)</f>
        <v>17600000</v>
      </c>
      <c r="O1221" s="9">
        <f>_xlfn.XLOOKUP(_xlfn.CONCAT(Table1[[#This Row], [TEAM]],Table1[[#This Row], [ROOM]]),'ROOM TIME'!$H$2:$H$121,'ROOM TIME'!$J$2:$J$121)</f>
        <v>39.551666666666655</v>
      </c>
      <c r="P1221" s="9">
        <f>(INDEX(Sheet1!$X$48:$Z$67,MATCH(Table1[[#This Row], [ROOM]],Sheet1!$P$48:$P$67,0),MATCH(Table1[[#This Row], [WEAPON]],Sheet1!$X$47:$Z$47,0)))/Table1[[#This Row], [NUM OF MEM]]</f>
        <v>4.5999999999999996</v>
      </c>
      <c r="Q1221" s="9">
        <f>Table1[[#This Row], [ROOM TIME]]+Table1[[#This Row], [GUARD TIME]]</f>
        <v>44.151666666666657</v>
      </c>
      <c r="R1221" s="4">
        <f>Sheet1!$K$3*_xlfn.XLOOKUP(Table1[[#This Row], [DISGUISE]],Sheet1!$A$21:$A$23,Sheet1!$D$21:$D$23)</f>
        <v>69</v>
      </c>
      <c r="S1221" s="9">
        <f>Table1[[#This Row], [TOTAL TIME]]-Table1[[#This Row], [TOTAL TIME TAKEN]]</f>
        <v>24.848333333333343</v>
      </c>
      <c r="T1221" t="str">
        <f>IF(Table1[[#This Row], [TIME DIFFERENCE]]&gt;=0,"PASS","FAIL")</f>
        <v>PASS</v>
      </c>
      <c r="U1221" s="9">
        <f>Table1[[#This Row], [TRC]]+Table1[[#This Row], [DRC]]+Table1[[#This Row], [WRC]]+Table1[[#This Row], [ERC]]+Table1[[#This Row], [EQRC]]</f>
        <v>8129016.7999999998</v>
      </c>
      <c r="V1221" s="9">
        <f>Table1[[#This Row], [TOTAL COST]]+_xlfn.XLOOKUP(Table1[[#This Row], [TEAM]],Sheet1!$A$12:$A$17,Sheet1!$I$12:$I$17)</f>
        <v>8425516.8000000007</v>
      </c>
      <c r="W1221" s="9">
        <f>Table1[[#This Row], [LOOT]]-Table1[[#This Row], [TOTAL COST]]</f>
        <v>9470983.1999999993</v>
      </c>
      <c r="X1221" s="9">
        <f>IF(Table1[[#This Row], [PASS/FAIL]]="FAIL",0,Table1[[#This Row], [PROFIT]])</f>
        <v>9470983.1999999993</v>
      </c>
    </row>
    <row r="1222" spans="1:24" ht="19.5" customHeight="1" x14ac:dyDescent="0.45">
      <c r="A1222" t="s">
        <v>9</v>
      </c>
      <c r="B1222" s="14">
        <f>_xlfn.XLOOKUP(Table1[[#This Row], [TEAM]],Sheet1!$A$12:$A$17,Sheet1!$F$12:$F$17)</f>
        <v>3</v>
      </c>
      <c r="C1222" s="14">
        <f>_xlfn.XLOOKUP(Table1[[#This Row], [TEAM]],Sheet1!$A$12:$A$17,Sheet1!$G$12:$G$17)</f>
        <v>6238750</v>
      </c>
      <c r="D1222" t="s">
        <v>21</v>
      </c>
      <c r="E1222" s="4">
        <f>_xlfn.XLOOKUP(Table1[[#This Row], [ROOM]],Sheet1!$A$47:$A$66,Sheet1!$B$47:$B$66)</f>
        <v>234</v>
      </c>
      <c r="F1222" t="s">
        <v>58</v>
      </c>
      <c r="G1222" s="4">
        <f>_xlfn.XLOOKUP(Table1[[#This Row], [DISGUISE]],Sheet1!$A$21:$A$23,Sheet1!$B$21:$B$23)*Table1[[#This Row], [NUM OF MEM]]*(1+_xlfn.XLOOKUP(Table1[[#This Row], [DISGUISE]],Sheet1!$A$21:$A$23,Sheet1!$C$21:$C$23))</f>
        <v>38400</v>
      </c>
      <c r="H1222" s="13" t="s">
        <v>66</v>
      </c>
      <c r="I1222" s="4">
        <f>_xlfn.XLOOKUP(Table1[[#This Row], [WEAPON]],Sheet1!$A$27:$A$29,Sheet1!$B$27:$B$29)*Table1[[#This Row], [NUM OF MEM]]*(1+_xlfn.XLOOKUP(Table1[[#This Row], [WEAPON]],Sheet1!$A$27:$A$29,Sheet1!$C$27:$C$29))</f>
        <v>108000</v>
      </c>
      <c r="J1222" t="s">
        <v>60</v>
      </c>
      <c r="K1222" s="9">
        <f>Table1[[#This Row], [NUM OF MEM]]*Table1[[#This Row], [TOTAL TIME TAKEN]]*_xlfn.XLOOKUP(Table1[[#This Row], [EXIT]],Sheet1!$A$70:$A$71,Sheet1!$B$70:$B$71)*(1+_xlfn.XLOOKUP(Table1[[#This Row], [EXIT]],Sheet1!$A$70:$A$71,Sheet1!$C$70:$C$71))</f>
        <v>1736836.0999999996</v>
      </c>
      <c r="L1222" s="13" t="s">
        <v>65</v>
      </c>
      <c r="M1222" s="4">
        <f>IF(Table1[[#This Row], [EQUIPMENT]]="YES",Sheet1!$C$44*(1+Sheet1!$D$44),0)</f>
        <v>307500</v>
      </c>
      <c r="N1222" s="4">
        <f>_xlfn.XLOOKUP(Table1[[#This Row], [ROOM]],Sheet1!$A$47:$A$66,Sheet1!$F$47:$F$66)</f>
        <v>17900000</v>
      </c>
      <c r="O1222" s="9">
        <f>_xlfn.XLOOKUP(_xlfn.CONCAT(Table1[[#This Row], [TEAM]],Table1[[#This Row], [ROOM]]),'ROOM TIME'!$H$2:$H$121,'ROOM TIME'!$J$2:$J$121)</f>
        <v>39.698888888888881</v>
      </c>
      <c r="P1222" s="9">
        <f>(INDEX(Sheet1!$X$48:$Z$67,MATCH(Table1[[#This Row], [ROOM]],Sheet1!$P$48:$P$67,0),MATCH(Table1[[#This Row], [WEAPON]],Sheet1!$X$47:$Z$47,0)))/Table1[[#This Row], [NUM OF MEM]]</f>
        <v>5.416666666666667</v>
      </c>
      <c r="Q1222" s="9">
        <f>Table1[[#This Row], [ROOM TIME]]+Table1[[#This Row], [GUARD TIME]]</f>
        <v>45.115555555555545</v>
      </c>
      <c r="R1222" s="4">
        <f>Sheet1!$K$3*_xlfn.XLOOKUP(Table1[[#This Row], [DISGUISE]],Sheet1!$A$21:$A$23,Sheet1!$D$21:$D$23)</f>
        <v>69</v>
      </c>
      <c r="S1222" s="9">
        <f>Table1[[#This Row], [TOTAL TIME]]-Table1[[#This Row], [TOTAL TIME TAKEN]]</f>
        <v>23.884444444444455</v>
      </c>
      <c r="T1222" t="str">
        <f>IF(Table1[[#This Row], [TIME DIFFERENCE]]&gt;=0,"PASS","FAIL")</f>
        <v>PASS</v>
      </c>
      <c r="U1222" s="9">
        <f>Table1[[#This Row], [TRC]]+Table1[[#This Row], [DRC]]+Table1[[#This Row], [WRC]]+Table1[[#This Row], [ERC]]+Table1[[#This Row], [EQRC]]</f>
        <v>8429486.0999999996</v>
      </c>
      <c r="V1222" s="9">
        <f>Table1[[#This Row], [TOTAL COST]]+_xlfn.XLOOKUP(Table1[[#This Row], [TEAM]],Sheet1!$A$12:$A$17,Sheet1!$I$12:$I$17)</f>
        <v>8741423.5999999996</v>
      </c>
      <c r="W1222" s="9">
        <f>Table1[[#This Row], [LOOT]]-Table1[[#This Row], [TOTAL COST]]</f>
        <v>9470513.9000000004</v>
      </c>
      <c r="X1222" s="9">
        <f>IF(Table1[[#This Row], [PASS/FAIL]]="FAIL",0,Table1[[#This Row], [PROFIT]])</f>
        <v>9470513.9000000004</v>
      </c>
    </row>
    <row r="1223" spans="1:24" ht="19.5" customHeight="1" x14ac:dyDescent="0.45">
      <c r="A1223" t="s">
        <v>16</v>
      </c>
      <c r="B1223" s="14">
        <f>_xlfn.XLOOKUP(Table1[[#This Row], [TEAM]],Sheet1!$A$12:$A$17,Sheet1!$F$12:$F$17)</f>
        <v>2</v>
      </c>
      <c r="C1223" s="14">
        <f>_xlfn.XLOOKUP(Table1[[#This Row], [TEAM]],Sheet1!$A$12:$A$17,Sheet1!$G$12:$G$17)</f>
        <v>6082800</v>
      </c>
      <c r="D1223" t="s">
        <v>23</v>
      </c>
      <c r="E1223" s="4">
        <f>_xlfn.XLOOKUP(Table1[[#This Row], [ROOM]],Sheet1!$A$47:$A$66,Sheet1!$B$47:$B$66)</f>
        <v>245</v>
      </c>
      <c r="F1223" t="s">
        <v>58</v>
      </c>
      <c r="G1223" s="4">
        <f>_xlfn.XLOOKUP(Table1[[#This Row], [DISGUISE]],Sheet1!$A$21:$A$23,Sheet1!$B$21:$B$23)*Table1[[#This Row], [NUM OF MEM]]*(1+_xlfn.XLOOKUP(Table1[[#This Row], [DISGUISE]],Sheet1!$A$21:$A$23,Sheet1!$C$21:$C$23))</f>
        <v>25600</v>
      </c>
      <c r="H1223" s="13" t="s">
        <v>63</v>
      </c>
      <c r="I1223" s="4">
        <f>_xlfn.XLOOKUP(Table1[[#This Row], [WEAPON]],Sheet1!$A$27:$A$29,Sheet1!$B$27:$B$29)*Table1[[#This Row], [NUM OF MEM]]*(1+_xlfn.XLOOKUP(Table1[[#This Row], [WEAPON]],Sheet1!$A$27:$A$29,Sheet1!$C$27:$C$29))</f>
        <v>46000</v>
      </c>
      <c r="J1223" t="s">
        <v>64</v>
      </c>
      <c r="K1223" s="9">
        <f>Table1[[#This Row], [NUM OF MEM]]*Table1[[#This Row], [TOTAL TIME TAKEN]]*_xlfn.XLOOKUP(Table1[[#This Row], [EXIT]],Sheet1!$A$70:$A$71,Sheet1!$B$70:$B$71)*(1+_xlfn.XLOOKUP(Table1[[#This Row], [EXIT]],Sheet1!$A$70:$A$71,Sheet1!$C$70:$C$71))</f>
        <v>1775131.1999999997</v>
      </c>
      <c r="L1223" s="13" t="s">
        <v>61</v>
      </c>
      <c r="M1223" s="4">
        <f>IF(Table1[[#This Row], [EQUIPMENT]]="YES",Sheet1!$C$44*(1+Sheet1!$D$44),0)</f>
        <v>0</v>
      </c>
      <c r="N1223" s="4">
        <f>_xlfn.XLOOKUP(Table1[[#This Row], [ROOM]],Sheet1!$A$47:$A$66,Sheet1!$F$47:$F$66)</f>
        <v>17400000</v>
      </c>
      <c r="O1223" s="9">
        <f>_xlfn.XLOOKUP(_xlfn.CONCAT(Table1[[#This Row], [TEAM]],Table1[[#This Row], [ROOM]]),'ROOM TIME'!$H$2:$H$121,'ROOM TIME'!$J$2:$J$121)</f>
        <v>61.059999999999988</v>
      </c>
      <c r="P1223" s="9">
        <f>(INDEX(Sheet1!$X$48:$Z$67,MATCH(Table1[[#This Row], [ROOM]],Sheet1!$P$48:$P$67,0),MATCH(Table1[[#This Row], [WEAPON]],Sheet1!$X$47:$Z$47,0)))/Table1[[#This Row], [NUM OF MEM]]</f>
        <v>7.4250000000000007</v>
      </c>
      <c r="Q1223" s="9">
        <f>Table1[[#This Row], [ROOM TIME]]+Table1[[#This Row], [GUARD TIME]]</f>
        <v>68.484999999999985</v>
      </c>
      <c r="R1223" s="4">
        <f>Sheet1!$K$3*_xlfn.XLOOKUP(Table1[[#This Row], [DISGUISE]],Sheet1!$A$21:$A$23,Sheet1!$D$21:$D$23)</f>
        <v>69</v>
      </c>
      <c r="S1223" s="9">
        <f>Table1[[#This Row], [TOTAL TIME]]-Table1[[#This Row], [TOTAL TIME TAKEN]]</f>
        <v>0.51500000000001478</v>
      </c>
      <c r="T1223" t="str">
        <f>IF(Table1[[#This Row], [TIME DIFFERENCE]]&gt;=0,"PASS","FAIL")</f>
        <v>PASS</v>
      </c>
      <c r="U1223" s="9">
        <f>Table1[[#This Row], [TRC]]+Table1[[#This Row], [DRC]]+Table1[[#This Row], [WRC]]+Table1[[#This Row], [ERC]]+Table1[[#This Row], [EQRC]]</f>
        <v>7929531.1999999993</v>
      </c>
      <c r="V1223" s="9">
        <f>Table1[[#This Row], [TOTAL COST]]+_xlfn.XLOOKUP(Table1[[#This Row], [TEAM]],Sheet1!$A$12:$A$17,Sheet1!$I$12:$I$17)</f>
        <v>8233671.1999999993</v>
      </c>
      <c r="W1223" s="9">
        <f>Table1[[#This Row], [LOOT]]-Table1[[#This Row], [TOTAL COST]]</f>
        <v>9470468.8000000007</v>
      </c>
      <c r="X1223" s="9">
        <f>IF(Table1[[#This Row], [PASS/FAIL]]="FAIL",0,Table1[[#This Row], [PROFIT]])</f>
        <v>9470468.8000000007</v>
      </c>
    </row>
    <row r="1224" spans="1:24" ht="19.5" customHeight="1" x14ac:dyDescent="0.45">
      <c r="A1224" t="s">
        <v>13</v>
      </c>
      <c r="B1224" s="14">
        <f>_xlfn.XLOOKUP(Table1[[#This Row], [TEAM]],Sheet1!$A$12:$A$17,Sheet1!$F$12:$F$17)</f>
        <v>3</v>
      </c>
      <c r="C1224" s="14">
        <f>_xlfn.XLOOKUP(Table1[[#This Row], [TEAM]],Sheet1!$A$12:$A$17,Sheet1!$G$12:$G$17)</f>
        <v>5930000</v>
      </c>
      <c r="D1224" t="s">
        <v>25</v>
      </c>
      <c r="E1224" s="4">
        <f>_xlfn.XLOOKUP(Table1[[#This Row], [ROOM]],Sheet1!$A$47:$A$66,Sheet1!$B$47:$B$66)</f>
        <v>126</v>
      </c>
      <c r="F1224" t="s">
        <v>62</v>
      </c>
      <c r="G122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24" s="13" t="s">
        <v>66</v>
      </c>
      <c r="I1224" s="4">
        <f>_xlfn.XLOOKUP(Table1[[#This Row], [WEAPON]],Sheet1!$A$27:$A$29,Sheet1!$B$27:$B$29)*Table1[[#This Row], [NUM OF MEM]]*(1+_xlfn.XLOOKUP(Table1[[#This Row], [WEAPON]],Sheet1!$A$27:$A$29,Sheet1!$C$27:$C$29))</f>
        <v>108000</v>
      </c>
      <c r="J1224" t="s">
        <v>64</v>
      </c>
      <c r="K1224" s="9">
        <f>Table1[[#This Row], [NUM OF MEM]]*Table1[[#This Row], [TOTAL TIME TAKEN]]*_xlfn.XLOOKUP(Table1[[#This Row], [EXIT]],Sheet1!$A$70:$A$71,Sheet1!$B$70:$B$71)*(1+_xlfn.XLOOKUP(Table1[[#This Row], [EXIT]],Sheet1!$A$70:$A$71,Sheet1!$C$70:$C$71))</f>
        <v>1719424.7999999993</v>
      </c>
      <c r="L1224" s="13" t="s">
        <v>65</v>
      </c>
      <c r="M1224" s="4">
        <f>IF(Table1[[#This Row], [EQUIPMENT]]="YES",Sheet1!$C$44*(1+Sheet1!$D$44),0)</f>
        <v>307500</v>
      </c>
      <c r="N1224" s="4">
        <f>_xlfn.XLOOKUP(Table1[[#This Row], [ROOM]],Sheet1!$A$47:$A$66,Sheet1!$F$47:$F$66)</f>
        <v>17550000</v>
      </c>
      <c r="O1224" s="9">
        <f>_xlfn.XLOOKUP(_xlfn.CONCAT(Table1[[#This Row], [TEAM]],Table1[[#This Row], [ROOM]]),'ROOM TIME'!$H$2:$H$121,'ROOM TIME'!$J$2:$J$121)</f>
        <v>39.640555555555544</v>
      </c>
      <c r="P1224" s="9">
        <f>(INDEX(Sheet1!$X$48:$Z$67,MATCH(Table1[[#This Row], [ROOM]],Sheet1!$P$48:$P$67,0),MATCH(Table1[[#This Row], [WEAPON]],Sheet1!$X$47:$Z$47,0)))/Table1[[#This Row], [NUM OF MEM]]</f>
        <v>4.583333333333333</v>
      </c>
      <c r="Q1224" s="9">
        <f>Table1[[#This Row], [ROOM TIME]]+Table1[[#This Row], [GUARD TIME]]</f>
        <v>44.223888888888879</v>
      </c>
      <c r="R1224" s="4">
        <f>Sheet1!$K$3*_xlfn.XLOOKUP(Table1[[#This Row], [DISGUISE]],Sheet1!$A$21:$A$23,Sheet1!$D$21:$D$23)</f>
        <v>66</v>
      </c>
      <c r="S1224" s="9">
        <f>Table1[[#This Row], [TOTAL TIME]]-Table1[[#This Row], [TOTAL TIME TAKEN]]</f>
        <v>21.776111111111121</v>
      </c>
      <c r="T1224" t="str">
        <f>IF(Table1[[#This Row], [TIME DIFFERENCE]]&gt;=0,"PASS","FAIL")</f>
        <v>PASS</v>
      </c>
      <c r="U1224" s="9">
        <f>Table1[[#This Row], [TRC]]+Table1[[#This Row], [DRC]]+Table1[[#This Row], [WRC]]+Table1[[#This Row], [ERC]]+Table1[[#This Row], [EQRC]]</f>
        <v>8080524.7999999989</v>
      </c>
      <c r="V1224" s="9">
        <f>Table1[[#This Row], [TOTAL COST]]+_xlfn.XLOOKUP(Table1[[#This Row], [TEAM]],Sheet1!$A$12:$A$17,Sheet1!$I$12:$I$17)</f>
        <v>8377024.7999999989</v>
      </c>
      <c r="W1224" s="9">
        <f>Table1[[#This Row], [LOOT]]-Table1[[#This Row], [TOTAL COST]]</f>
        <v>9469475.2000000011</v>
      </c>
      <c r="X1224" s="9">
        <f>IF(Table1[[#This Row], [PASS/FAIL]]="FAIL",0,Table1[[#This Row], [PROFIT]])</f>
        <v>9469475.2000000011</v>
      </c>
    </row>
    <row r="1225" spans="1:24" ht="19.5" customHeight="1" x14ac:dyDescent="0.45">
      <c r="A1225" t="s">
        <v>12</v>
      </c>
      <c r="B1225" s="14">
        <f>_xlfn.XLOOKUP(Table1[[#This Row], [TEAM]],Sheet1!$A$12:$A$17,Sheet1!$F$12:$F$17)</f>
        <v>3</v>
      </c>
      <c r="C1225" s="14">
        <f>_xlfn.XLOOKUP(Table1[[#This Row], [TEAM]],Sheet1!$A$12:$A$17,Sheet1!$G$12:$G$17)</f>
        <v>5988750</v>
      </c>
      <c r="D1225" t="s">
        <v>31</v>
      </c>
      <c r="E1225" s="4">
        <f>_xlfn.XLOOKUP(Table1[[#This Row], [ROOM]],Sheet1!$A$47:$A$66,Sheet1!$B$47:$B$66)</f>
        <v>256</v>
      </c>
      <c r="F1225" t="s">
        <v>58</v>
      </c>
      <c r="G122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25" s="13" t="s">
        <v>63</v>
      </c>
      <c r="I1225" s="4">
        <f>_xlfn.XLOOKUP(Table1[[#This Row], [WEAPON]],Sheet1!$A$27:$A$29,Sheet1!$B$27:$B$29)*Table1[[#This Row], [NUM OF MEM]]*(1+_xlfn.XLOOKUP(Table1[[#This Row], [WEAPON]],Sheet1!$A$27:$A$29,Sheet1!$C$27:$C$29))</f>
        <v>69000</v>
      </c>
      <c r="J1225" t="s">
        <v>60</v>
      </c>
      <c r="K1225" s="9">
        <f>Table1[[#This Row], [NUM OF MEM]]*Table1[[#This Row], [TOTAL TIME TAKEN]]*_xlfn.XLOOKUP(Table1[[#This Row], [EXIT]],Sheet1!$A$70:$A$71,Sheet1!$B$70:$B$71)*(1+_xlfn.XLOOKUP(Table1[[#This Row], [EXIT]],Sheet1!$A$70:$A$71,Sheet1!$C$70:$C$71))</f>
        <v>1627032.6749999996</v>
      </c>
      <c r="L1225" s="13" t="s">
        <v>65</v>
      </c>
      <c r="M1225" s="4">
        <f>IF(Table1[[#This Row], [EQUIPMENT]]="YES",Sheet1!$C$44*(1+Sheet1!$D$44),0)</f>
        <v>307500</v>
      </c>
      <c r="N1225" s="4">
        <f>_xlfn.XLOOKUP(Table1[[#This Row], [ROOM]],Sheet1!$A$47:$A$66,Sheet1!$F$47:$F$66)</f>
        <v>17500000</v>
      </c>
      <c r="O1225" s="9">
        <f>_xlfn.XLOOKUP(_xlfn.CONCAT(Table1[[#This Row], [TEAM]],Table1[[#This Row], [ROOM]]),'ROOM TIME'!$H$2:$H$121,'ROOM TIME'!$J$2:$J$121)</f>
        <v>37.313333333333318</v>
      </c>
      <c r="P1225" s="9">
        <f>(INDEX(Sheet1!$X$48:$Z$67,MATCH(Table1[[#This Row], [ROOM]],Sheet1!$P$48:$P$67,0),MATCH(Table1[[#This Row], [WEAPON]],Sheet1!$X$47:$Z$47,0)))/Table1[[#This Row], [NUM OF MEM]]</f>
        <v>4.95</v>
      </c>
      <c r="Q1225" s="9">
        <f>Table1[[#This Row], [ROOM TIME]]+Table1[[#This Row], [GUARD TIME]]</f>
        <v>42.263333333333321</v>
      </c>
      <c r="R1225" s="4">
        <f>Sheet1!$K$3*_xlfn.XLOOKUP(Table1[[#This Row], [DISGUISE]],Sheet1!$A$21:$A$23,Sheet1!$D$21:$D$23)</f>
        <v>69</v>
      </c>
      <c r="S1225" s="9">
        <f>Table1[[#This Row], [TOTAL TIME]]-Table1[[#This Row], [TOTAL TIME TAKEN]]</f>
        <v>26.736666666666679</v>
      </c>
      <c r="T1225" t="str">
        <f>IF(Table1[[#This Row], [TIME DIFFERENCE]]&gt;=0,"PASS","FAIL")</f>
        <v>PASS</v>
      </c>
      <c r="U1225" s="9">
        <f>Table1[[#This Row], [TRC]]+Table1[[#This Row], [DRC]]+Table1[[#This Row], [WRC]]+Table1[[#This Row], [ERC]]+Table1[[#This Row], [EQRC]]</f>
        <v>8030682.6749999998</v>
      </c>
      <c r="V1225" s="9">
        <f>Table1[[#This Row], [TOTAL COST]]+_xlfn.XLOOKUP(Table1[[#This Row], [TEAM]],Sheet1!$A$12:$A$17,Sheet1!$I$12:$I$17)</f>
        <v>8330120.1749999998</v>
      </c>
      <c r="W1225" s="9">
        <f>Table1[[#This Row], [LOOT]]-Table1[[#This Row], [TOTAL COST]]</f>
        <v>9469317.3249999993</v>
      </c>
      <c r="X1225" s="9">
        <f>IF(Table1[[#This Row], [PASS/FAIL]]="FAIL",0,Table1[[#This Row], [PROFIT]])</f>
        <v>9469317.3249999993</v>
      </c>
    </row>
    <row r="1226" spans="1:24" ht="19.5" customHeight="1" x14ac:dyDescent="0.45">
      <c r="A1226" t="s">
        <v>16</v>
      </c>
      <c r="B1226" s="14">
        <f>_xlfn.XLOOKUP(Table1[[#This Row], [TEAM]],Sheet1!$A$12:$A$17,Sheet1!$F$12:$F$17)</f>
        <v>2</v>
      </c>
      <c r="C1226" s="14">
        <f>_xlfn.XLOOKUP(Table1[[#This Row], [TEAM]],Sheet1!$A$12:$A$17,Sheet1!$G$12:$G$17)</f>
        <v>6082800</v>
      </c>
      <c r="D1226" t="s">
        <v>30</v>
      </c>
      <c r="E1226" s="4">
        <f>_xlfn.XLOOKUP(Table1[[#This Row], [ROOM]],Sheet1!$A$47:$A$66,Sheet1!$B$47:$B$66)</f>
        <v>246</v>
      </c>
      <c r="F1226" t="s">
        <v>62</v>
      </c>
      <c r="G1226" s="4">
        <f>_xlfn.XLOOKUP(Table1[[#This Row], [DISGUISE]],Sheet1!$A$21:$A$23,Sheet1!$B$21:$B$23)*Table1[[#This Row], [NUM OF MEM]]*(1+_xlfn.XLOOKUP(Table1[[#This Row], [DISGUISE]],Sheet1!$A$21:$A$23,Sheet1!$C$21:$C$23))</f>
        <v>10400</v>
      </c>
      <c r="H1226" s="13" t="s">
        <v>63</v>
      </c>
      <c r="I1226" s="4">
        <f>_xlfn.XLOOKUP(Table1[[#This Row], [WEAPON]],Sheet1!$A$27:$A$29,Sheet1!$B$27:$B$29)*Table1[[#This Row], [NUM OF MEM]]*(1+_xlfn.XLOOKUP(Table1[[#This Row], [WEAPON]],Sheet1!$A$27:$A$29,Sheet1!$C$27:$C$29))</f>
        <v>46000</v>
      </c>
      <c r="J1226" t="s">
        <v>60</v>
      </c>
      <c r="K1226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1226" s="13" t="s">
        <v>65</v>
      </c>
      <c r="M1226" s="4">
        <f>IF(Table1[[#This Row], [EQUIPMENT]]="YES",Sheet1!$C$44*(1+Sheet1!$D$44),0)</f>
        <v>307500</v>
      </c>
      <c r="N1226" s="4">
        <f>_xlfn.XLOOKUP(Table1[[#This Row], [ROOM]],Sheet1!$A$47:$A$66,Sheet1!$F$47:$F$66)</f>
        <v>17600000</v>
      </c>
      <c r="O1226" s="9">
        <f>_xlfn.XLOOKUP(_xlfn.CONCAT(Table1[[#This Row], [TEAM]],Table1[[#This Row], [ROOM]]),'ROOM TIME'!$H$2:$H$121,'ROOM TIME'!$J$2:$J$121)</f>
        <v>57.539999999999985</v>
      </c>
      <c r="P1226" s="9">
        <f>(INDEX(Sheet1!$X$48:$Z$67,MATCH(Table1[[#This Row], [ROOM]],Sheet1!$P$48:$P$67,0),MATCH(Table1[[#This Row], [WEAPON]],Sheet1!$X$47:$Z$47,0)))/Table1[[#This Row], [NUM OF MEM]]</f>
        <v>8.1000000000000014</v>
      </c>
      <c r="Q1226" s="9">
        <f>Table1[[#This Row], [ROOM TIME]]+Table1[[#This Row], [GUARD TIME]]</f>
        <v>65.639999999999986</v>
      </c>
      <c r="R1226" s="4">
        <f>Sheet1!$K$3*_xlfn.XLOOKUP(Table1[[#This Row], [DISGUISE]],Sheet1!$A$21:$A$23,Sheet1!$D$21:$D$23)</f>
        <v>66</v>
      </c>
      <c r="S1226" s="9">
        <f>Table1[[#This Row], [TOTAL TIME]]-Table1[[#This Row], [TOTAL TIME TAKEN]]</f>
        <v>0.36000000000001364</v>
      </c>
      <c r="T1226" t="str">
        <f>IF(Table1[[#This Row], [TIME DIFFERENCE]]&gt;=0,"PASS","FAIL")</f>
        <v>PASS</v>
      </c>
      <c r="U1226" s="9">
        <f>Table1[[#This Row], [TRC]]+Table1[[#This Row], [DRC]]+Table1[[#This Row], [WRC]]+Table1[[#This Row], [ERC]]+Table1[[#This Row], [EQRC]]</f>
        <v>8131350.5999999996</v>
      </c>
      <c r="V1226" s="9">
        <f>Table1[[#This Row], [TOTAL COST]]+_xlfn.XLOOKUP(Table1[[#This Row], [TEAM]],Sheet1!$A$12:$A$17,Sheet1!$I$12:$I$17)</f>
        <v>8435490.5999999996</v>
      </c>
      <c r="W1226" s="9">
        <f>Table1[[#This Row], [LOOT]]-Table1[[#This Row], [TOTAL COST]]</f>
        <v>9468649.4000000004</v>
      </c>
      <c r="X1226" s="9">
        <f>IF(Table1[[#This Row], [PASS/FAIL]]="FAIL",0,Table1[[#This Row], [PROFIT]])</f>
        <v>9468649.4000000004</v>
      </c>
    </row>
    <row r="1227" spans="1:24" ht="19.5" customHeight="1" x14ac:dyDescent="0.45">
      <c r="A1227" t="s">
        <v>9</v>
      </c>
      <c r="B1227" s="14">
        <f>_xlfn.XLOOKUP(Table1[[#This Row], [TEAM]],Sheet1!$A$12:$A$17,Sheet1!$F$12:$F$17)</f>
        <v>3</v>
      </c>
      <c r="C1227" s="14">
        <f>_xlfn.XLOOKUP(Table1[[#This Row], [TEAM]],Sheet1!$A$12:$A$17,Sheet1!$G$12:$G$17)</f>
        <v>6238750</v>
      </c>
      <c r="D1227" t="s">
        <v>10</v>
      </c>
      <c r="E1227" s="4">
        <f>_xlfn.XLOOKUP(Table1[[#This Row], [ROOM]],Sheet1!$A$47:$A$66,Sheet1!$B$47:$B$66)</f>
        <v>123</v>
      </c>
      <c r="F1227" t="s">
        <v>62</v>
      </c>
      <c r="G1227" s="4">
        <f>_xlfn.XLOOKUP(Table1[[#This Row], [DISGUISE]],Sheet1!$A$21:$A$23,Sheet1!$B$21:$B$23)*Table1[[#This Row], [NUM OF MEM]]*(1+_xlfn.XLOOKUP(Table1[[#This Row], [DISGUISE]],Sheet1!$A$21:$A$23,Sheet1!$C$21:$C$23))</f>
        <v>15600</v>
      </c>
      <c r="H1227" s="13" t="s">
        <v>63</v>
      </c>
      <c r="I1227" s="4">
        <f>_xlfn.XLOOKUP(Table1[[#This Row], [WEAPON]],Sheet1!$A$27:$A$29,Sheet1!$B$27:$B$29)*Table1[[#This Row], [NUM OF MEM]]*(1+_xlfn.XLOOKUP(Table1[[#This Row], [WEAPON]],Sheet1!$A$27:$A$29,Sheet1!$C$27:$C$29))</f>
        <v>69000</v>
      </c>
      <c r="J1227" t="s">
        <v>64</v>
      </c>
      <c r="K1227" s="9">
        <f>Table1[[#This Row], [NUM OF MEM]]*Table1[[#This Row], [TOTAL TIME TAKEN]]*_xlfn.XLOOKUP(Table1[[#This Row], [EXIT]],Sheet1!$A$70:$A$71,Sheet1!$B$70:$B$71)*(1+_xlfn.XLOOKUP(Table1[[#This Row], [EXIT]],Sheet1!$A$70:$A$71,Sheet1!$C$70:$C$71))</f>
        <v>1751003.9999999993</v>
      </c>
      <c r="L1227" s="13" t="s">
        <v>65</v>
      </c>
      <c r="M1227" s="4">
        <f>IF(Table1[[#This Row], [EQUIPMENT]]="YES",Sheet1!$C$44*(1+Sheet1!$D$44),0)</f>
        <v>307500</v>
      </c>
      <c r="N1227" s="4">
        <f>_xlfn.XLOOKUP(Table1[[#This Row], [ROOM]],Sheet1!$A$47:$A$66,Sheet1!$F$47:$F$66)</f>
        <v>17850000</v>
      </c>
      <c r="O1227" s="9">
        <f>_xlfn.XLOOKUP(_xlfn.CONCAT(Table1[[#This Row], [TEAM]],Table1[[#This Row], [ROOM]]),'ROOM TIME'!$H$2:$H$121,'ROOM TIME'!$J$2:$J$121)</f>
        <v>39.636111111111099</v>
      </c>
      <c r="P1227" s="9">
        <f>(INDEX(Sheet1!$X$48:$Z$67,MATCH(Table1[[#This Row], [ROOM]],Sheet1!$P$48:$P$67,0),MATCH(Table1[[#This Row], [WEAPON]],Sheet1!$X$47:$Z$47,0)))/Table1[[#This Row], [NUM OF MEM]]</f>
        <v>5.4000000000000012</v>
      </c>
      <c r="Q1227" s="9">
        <f>Table1[[#This Row], [ROOM TIME]]+Table1[[#This Row], [GUARD TIME]]</f>
        <v>45.036111111111097</v>
      </c>
      <c r="R1227" s="4">
        <f>Sheet1!$K$3*_xlfn.XLOOKUP(Table1[[#This Row], [DISGUISE]],Sheet1!$A$21:$A$23,Sheet1!$D$21:$D$23)</f>
        <v>66</v>
      </c>
      <c r="S1227" s="9">
        <f>Table1[[#This Row], [TOTAL TIME]]-Table1[[#This Row], [TOTAL TIME TAKEN]]</f>
        <v>20.963888888888903</v>
      </c>
      <c r="T1227" t="str">
        <f>IF(Table1[[#This Row], [TIME DIFFERENCE]]&gt;=0,"PASS","FAIL")</f>
        <v>PASS</v>
      </c>
      <c r="U1227" s="9">
        <f>Table1[[#This Row], [TRC]]+Table1[[#This Row], [DRC]]+Table1[[#This Row], [WRC]]+Table1[[#This Row], [ERC]]+Table1[[#This Row], [EQRC]]</f>
        <v>8381853.9999999991</v>
      </c>
      <c r="V1227" s="9">
        <f>Table1[[#This Row], [TOTAL COST]]+_xlfn.XLOOKUP(Table1[[#This Row], [TEAM]],Sheet1!$A$12:$A$17,Sheet1!$I$12:$I$17)</f>
        <v>8693791.5</v>
      </c>
      <c r="W1227" s="4">
        <f>Table1[[#This Row], [LOOT]]-Table1[[#This Row], [TOTAL COST]]</f>
        <v>9468146</v>
      </c>
      <c r="X1227" s="4">
        <f>IF(Table1[[#This Row], [PASS/FAIL]]="FAIL",0,Table1[[#This Row], [PROFIT]])</f>
        <v>9468146</v>
      </c>
    </row>
    <row r="1228" spans="1:24" ht="19.5" customHeight="1" x14ac:dyDescent="0.45">
      <c r="A1228" t="s">
        <v>12</v>
      </c>
      <c r="B1228" s="14">
        <f>_xlfn.XLOOKUP(Table1[[#This Row], [TEAM]],Sheet1!$A$12:$A$17,Sheet1!$F$12:$F$17)</f>
        <v>3</v>
      </c>
      <c r="C1228" s="14">
        <f>_xlfn.XLOOKUP(Table1[[#This Row], [TEAM]],Sheet1!$A$12:$A$17,Sheet1!$G$12:$G$17)</f>
        <v>5988750</v>
      </c>
      <c r="D1228" t="s">
        <v>25</v>
      </c>
      <c r="E1228" s="4">
        <f>_xlfn.XLOOKUP(Table1[[#This Row], [ROOM]],Sheet1!$A$47:$A$66,Sheet1!$B$47:$B$66)</f>
        <v>126</v>
      </c>
      <c r="F1228" t="s">
        <v>62</v>
      </c>
      <c r="G1228" s="4">
        <f>_xlfn.XLOOKUP(Table1[[#This Row], [DISGUISE]],Sheet1!$A$21:$A$23,Sheet1!$B$21:$B$23)*Table1[[#This Row], [NUM OF MEM]]*(1+_xlfn.XLOOKUP(Table1[[#This Row], [DISGUISE]],Sheet1!$A$21:$A$23,Sheet1!$C$21:$C$23))</f>
        <v>15600</v>
      </c>
      <c r="H1228" s="13" t="s">
        <v>59</v>
      </c>
      <c r="I1228" s="4">
        <f>_xlfn.XLOOKUP(Table1[[#This Row], [WEAPON]],Sheet1!$A$27:$A$29,Sheet1!$B$27:$B$29)*Table1[[#This Row], [NUM OF MEM]]*(1+_xlfn.XLOOKUP(Table1[[#This Row], [WEAPON]],Sheet1!$A$27:$A$29,Sheet1!$C$27:$C$29))</f>
        <v>136500</v>
      </c>
      <c r="J1228" t="s">
        <v>64</v>
      </c>
      <c r="K1228" s="9">
        <f>Table1[[#This Row], [NUM OF MEM]]*Table1[[#This Row], [TOTAL TIME TAKEN]]*_xlfn.XLOOKUP(Table1[[#This Row], [EXIT]],Sheet1!$A$70:$A$71,Sheet1!$B$70:$B$71)*(1+_xlfn.XLOOKUP(Table1[[#This Row], [EXIT]],Sheet1!$A$70:$A$71,Sheet1!$C$70:$C$71))</f>
        <v>1633651.1999999995</v>
      </c>
      <c r="L1228" s="13" t="s">
        <v>65</v>
      </c>
      <c r="M1228" s="4">
        <f>IF(Table1[[#This Row], [EQUIPMENT]]="YES",Sheet1!$C$44*(1+Sheet1!$D$44),0)</f>
        <v>307500</v>
      </c>
      <c r="N1228" s="4">
        <f>_xlfn.XLOOKUP(Table1[[#This Row], [ROOM]],Sheet1!$A$47:$A$66,Sheet1!$F$47:$F$66)</f>
        <v>17550000</v>
      </c>
      <c r="O1228" s="9">
        <f>_xlfn.XLOOKUP(_xlfn.CONCAT(Table1[[#This Row], [TEAM]],Table1[[#This Row], [ROOM]]),'ROOM TIME'!$H$2:$H$121,'ROOM TIME'!$J$2:$J$121)</f>
        <v>37.801111111111091</v>
      </c>
      <c r="P1228" s="9">
        <f>(INDEX(Sheet1!$X$48:$Z$67,MATCH(Table1[[#This Row], [ROOM]],Sheet1!$P$48:$P$67,0),MATCH(Table1[[#This Row], [WEAPON]],Sheet1!$X$47:$Z$47,0)))/Table1[[#This Row], [NUM OF MEM]]</f>
        <v>4.2166666666666659</v>
      </c>
      <c r="Q1228" s="9">
        <f>Table1[[#This Row], [ROOM TIME]]+Table1[[#This Row], [GUARD TIME]]</f>
        <v>42.017777777777759</v>
      </c>
      <c r="R1228" s="4">
        <f>Sheet1!$K$3*_xlfn.XLOOKUP(Table1[[#This Row], [DISGUISE]],Sheet1!$A$21:$A$23,Sheet1!$D$21:$D$23)</f>
        <v>66</v>
      </c>
      <c r="S1228" s="9">
        <f>Table1[[#This Row], [TOTAL TIME]]-Table1[[#This Row], [TOTAL TIME TAKEN]]</f>
        <v>23.982222222222241</v>
      </c>
      <c r="T1228" t="str">
        <f>IF(Table1[[#This Row], [TIME DIFFERENCE]]&gt;=0,"PASS","FAIL")</f>
        <v>PASS</v>
      </c>
      <c r="U1228" s="9">
        <f>Table1[[#This Row], [TRC]]+Table1[[#This Row], [DRC]]+Table1[[#This Row], [WRC]]+Table1[[#This Row], [ERC]]+Table1[[#This Row], [EQRC]]</f>
        <v>8082001.1999999993</v>
      </c>
      <c r="V1228" s="9">
        <f>Table1[[#This Row], [TOTAL COST]]+_xlfn.XLOOKUP(Table1[[#This Row], [TEAM]],Sheet1!$A$12:$A$17,Sheet1!$I$12:$I$17)</f>
        <v>8381438.6999999993</v>
      </c>
      <c r="W1228" s="9">
        <f>Table1[[#This Row], [LOOT]]-Table1[[#This Row], [TOTAL COST]]</f>
        <v>9467998.8000000007</v>
      </c>
      <c r="X1228" s="9">
        <f>IF(Table1[[#This Row], [PASS/FAIL]]="FAIL",0,Table1[[#This Row], [PROFIT]])</f>
        <v>9467998.8000000007</v>
      </c>
    </row>
    <row r="1229" spans="1:24" ht="19.5" customHeight="1" x14ac:dyDescent="0.45">
      <c r="A1229" t="s">
        <v>9</v>
      </c>
      <c r="B1229" s="14">
        <f>_xlfn.XLOOKUP(Table1[[#This Row], [TEAM]],Sheet1!$A$12:$A$17,Sheet1!$F$12:$F$17)</f>
        <v>3</v>
      </c>
      <c r="C1229" s="14">
        <f>_xlfn.XLOOKUP(Table1[[#This Row], [TEAM]],Sheet1!$A$12:$A$17,Sheet1!$G$12:$G$17)</f>
        <v>6238750</v>
      </c>
      <c r="D1229" t="s">
        <v>28</v>
      </c>
      <c r="E1229" s="4">
        <f>_xlfn.XLOOKUP(Table1[[#This Row], [ROOM]],Sheet1!$A$47:$A$66,Sheet1!$B$47:$B$66)</f>
        <v>156</v>
      </c>
      <c r="F1229" t="s">
        <v>58</v>
      </c>
      <c r="G1229" s="4">
        <f>_xlfn.XLOOKUP(Table1[[#This Row], [DISGUISE]],Sheet1!$A$21:$A$23,Sheet1!$B$21:$B$23)*Table1[[#This Row], [NUM OF MEM]]*(1+_xlfn.XLOOKUP(Table1[[#This Row], [DISGUISE]],Sheet1!$A$21:$A$23,Sheet1!$C$21:$C$23))</f>
        <v>38400</v>
      </c>
      <c r="H1229" s="13" t="s">
        <v>63</v>
      </c>
      <c r="I1229" s="4">
        <f>_xlfn.XLOOKUP(Table1[[#This Row], [WEAPON]],Sheet1!$A$27:$A$29,Sheet1!$B$27:$B$29)*Table1[[#This Row], [NUM OF MEM]]*(1+_xlfn.XLOOKUP(Table1[[#This Row], [WEAPON]],Sheet1!$A$27:$A$29,Sheet1!$C$27:$C$29))</f>
        <v>69000</v>
      </c>
      <c r="J1229" t="s">
        <v>60</v>
      </c>
      <c r="K1229" s="9">
        <f>Table1[[#This Row], [NUM OF MEM]]*Table1[[#This Row], [TOTAL TIME TAKEN]]*_xlfn.XLOOKUP(Table1[[#This Row], [EXIT]],Sheet1!$A$70:$A$71,Sheet1!$B$70:$B$71)*(1+_xlfn.XLOOKUP(Table1[[#This Row], [EXIT]],Sheet1!$A$70:$A$71,Sheet1!$C$70:$C$71))</f>
        <v>1528543.2374999996</v>
      </c>
      <c r="L1229" s="13" t="s">
        <v>65</v>
      </c>
      <c r="M1229" s="4">
        <f>IF(Table1[[#This Row], [EQUIPMENT]]="YES",Sheet1!$C$44*(1+Sheet1!$D$44),0)</f>
        <v>307500</v>
      </c>
      <c r="N1229" s="4">
        <f>_xlfn.XLOOKUP(Table1[[#This Row], [ROOM]],Sheet1!$A$47:$A$66,Sheet1!$F$47:$F$66)</f>
        <v>17650000</v>
      </c>
      <c r="O1229" s="9">
        <f>_xlfn.XLOOKUP(_xlfn.CONCAT(Table1[[#This Row], [TEAM]],Table1[[#This Row], [ROOM]]),'ROOM TIME'!$H$2:$H$121,'ROOM TIME'!$J$2:$J$121)</f>
        <v>35.204999999999991</v>
      </c>
      <c r="P1229" s="9">
        <f>(INDEX(Sheet1!$X$48:$Z$67,MATCH(Table1[[#This Row], [ROOM]],Sheet1!$P$48:$P$67,0),MATCH(Table1[[#This Row], [WEAPON]],Sheet1!$X$47:$Z$47,0)))/Table1[[#This Row], [NUM OF MEM]]</f>
        <v>4.5</v>
      </c>
      <c r="Q1229" s="9">
        <f>Table1[[#This Row], [ROOM TIME]]+Table1[[#This Row], [GUARD TIME]]</f>
        <v>39.704999999999991</v>
      </c>
      <c r="R1229" s="4">
        <f>Sheet1!$K$3*_xlfn.XLOOKUP(Table1[[#This Row], [DISGUISE]],Sheet1!$A$21:$A$23,Sheet1!$D$21:$D$23)</f>
        <v>69</v>
      </c>
      <c r="S1229" s="9">
        <f>Table1[[#This Row], [TOTAL TIME]]-Table1[[#This Row], [TOTAL TIME TAKEN]]</f>
        <v>29.295000000000009</v>
      </c>
      <c r="T1229" t="str">
        <f>IF(Table1[[#This Row], [TIME DIFFERENCE]]&gt;=0,"PASS","FAIL")</f>
        <v>PASS</v>
      </c>
      <c r="U1229" s="9">
        <f>Table1[[#This Row], [TRC]]+Table1[[#This Row], [DRC]]+Table1[[#This Row], [WRC]]+Table1[[#This Row], [ERC]]+Table1[[#This Row], [EQRC]]</f>
        <v>8182193.2374999998</v>
      </c>
      <c r="V1229" s="9">
        <f>Table1[[#This Row], [TOTAL COST]]+_xlfn.XLOOKUP(Table1[[#This Row], [TEAM]],Sheet1!$A$12:$A$17,Sheet1!$I$12:$I$17)</f>
        <v>8494130.7375000007</v>
      </c>
      <c r="W1229" s="9">
        <f>Table1[[#This Row], [LOOT]]-Table1[[#This Row], [TOTAL COST]]</f>
        <v>9467806.7624999993</v>
      </c>
      <c r="X1229" s="9">
        <f>IF(Table1[[#This Row], [PASS/FAIL]]="FAIL",0,Table1[[#This Row], [PROFIT]])</f>
        <v>9467806.7624999993</v>
      </c>
    </row>
    <row r="1230" spans="1:24" ht="19.5" customHeight="1" x14ac:dyDescent="0.45">
      <c r="A1230" t="s">
        <v>12</v>
      </c>
      <c r="B1230" s="14">
        <f>_xlfn.XLOOKUP(Table1[[#This Row], [TEAM]],Sheet1!$A$12:$A$17,Sheet1!$F$12:$F$17)</f>
        <v>3</v>
      </c>
      <c r="C1230" s="14">
        <f>_xlfn.XLOOKUP(Table1[[#This Row], [TEAM]],Sheet1!$A$12:$A$17,Sheet1!$G$12:$G$17)</f>
        <v>5988750</v>
      </c>
      <c r="D1230" t="s">
        <v>31</v>
      </c>
      <c r="E1230" s="4">
        <f>_xlfn.XLOOKUP(Table1[[#This Row], [ROOM]],Sheet1!$A$47:$A$66,Sheet1!$B$47:$B$66)</f>
        <v>256</v>
      </c>
      <c r="F1230" t="s">
        <v>62</v>
      </c>
      <c r="G1230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0" s="13" t="s">
        <v>66</v>
      </c>
      <c r="I1230" s="4">
        <f>_xlfn.XLOOKUP(Table1[[#This Row], [WEAPON]],Sheet1!$A$27:$A$29,Sheet1!$B$27:$B$29)*Table1[[#This Row], [NUM OF MEM]]*(1+_xlfn.XLOOKUP(Table1[[#This Row], [WEAPON]],Sheet1!$A$27:$A$29,Sheet1!$C$27:$C$29))</f>
        <v>108000</v>
      </c>
      <c r="J1230" t="s">
        <v>60</v>
      </c>
      <c r="K1230" s="9">
        <f>Table1[[#This Row], [NUM OF MEM]]*Table1[[#This Row], [TOTAL TIME TAKEN]]*_xlfn.XLOOKUP(Table1[[#This Row], [EXIT]],Sheet1!$A$70:$A$71,Sheet1!$B$70:$B$71)*(1+_xlfn.XLOOKUP(Table1[[#This Row], [EXIT]],Sheet1!$A$70:$A$71,Sheet1!$C$70:$C$71))</f>
        <v>1612916.9249999996</v>
      </c>
      <c r="L1230" s="13" t="s">
        <v>65</v>
      </c>
      <c r="M1230" s="4">
        <f>IF(Table1[[#This Row], [EQUIPMENT]]="YES",Sheet1!$C$44*(1+Sheet1!$D$44),0)</f>
        <v>307500</v>
      </c>
      <c r="N1230" s="4">
        <f>_xlfn.XLOOKUP(Table1[[#This Row], [ROOM]],Sheet1!$A$47:$A$66,Sheet1!$F$47:$F$66)</f>
        <v>17500000</v>
      </c>
      <c r="O1230" s="9">
        <f>_xlfn.XLOOKUP(_xlfn.CONCAT(Table1[[#This Row], [TEAM]],Table1[[#This Row], [ROOM]]),'ROOM TIME'!$H$2:$H$121,'ROOM TIME'!$J$2:$J$121)</f>
        <v>37.313333333333318</v>
      </c>
      <c r="P1230" s="9">
        <f>(INDEX(Sheet1!$X$48:$Z$67,MATCH(Table1[[#This Row], [ROOM]],Sheet1!$P$48:$P$67,0),MATCH(Table1[[#This Row], [WEAPON]],Sheet1!$X$47:$Z$47,0)))/Table1[[#This Row], [NUM OF MEM]]</f>
        <v>4.583333333333333</v>
      </c>
      <c r="Q1230" s="9">
        <f>Table1[[#This Row], [ROOM TIME]]+Table1[[#This Row], [GUARD TIME]]</f>
        <v>41.896666666666654</v>
      </c>
      <c r="R1230" s="4">
        <f>Sheet1!$K$3*_xlfn.XLOOKUP(Table1[[#This Row], [DISGUISE]],Sheet1!$A$21:$A$23,Sheet1!$D$21:$D$23)</f>
        <v>66</v>
      </c>
      <c r="S1230" s="9">
        <f>Table1[[#This Row], [TOTAL TIME]]-Table1[[#This Row], [TOTAL TIME TAKEN]]</f>
        <v>24.103333333333346</v>
      </c>
      <c r="T1230" t="str">
        <f>IF(Table1[[#This Row], [TIME DIFFERENCE]]&gt;=0,"PASS","FAIL")</f>
        <v>PASS</v>
      </c>
      <c r="U1230" s="9">
        <f>Table1[[#This Row], [TRC]]+Table1[[#This Row], [DRC]]+Table1[[#This Row], [WRC]]+Table1[[#This Row], [ERC]]+Table1[[#This Row], [EQRC]]</f>
        <v>8032766.9249999998</v>
      </c>
      <c r="V1230" s="9">
        <f>Table1[[#This Row], [TOTAL COST]]+_xlfn.XLOOKUP(Table1[[#This Row], [TEAM]],Sheet1!$A$12:$A$17,Sheet1!$I$12:$I$17)</f>
        <v>8332204.4249999998</v>
      </c>
      <c r="W1230" s="9">
        <f>Table1[[#This Row], [LOOT]]-Table1[[#This Row], [TOTAL COST]]</f>
        <v>9467233.0749999993</v>
      </c>
      <c r="X1230" s="9">
        <f>IF(Table1[[#This Row], [PASS/FAIL]]="FAIL",0,Table1[[#This Row], [PROFIT]])</f>
        <v>9467233.0749999993</v>
      </c>
    </row>
    <row r="1231" spans="1:24" ht="19.5" customHeight="1" x14ac:dyDescent="0.45">
      <c r="A1231" t="s">
        <v>9</v>
      </c>
      <c r="B1231" s="14">
        <f>_xlfn.XLOOKUP(Table1[[#This Row], [TEAM]],Sheet1!$A$12:$A$17,Sheet1!$F$12:$F$17)</f>
        <v>3</v>
      </c>
      <c r="C1231" s="14">
        <f>_xlfn.XLOOKUP(Table1[[#This Row], [TEAM]],Sheet1!$A$12:$A$17,Sheet1!$G$12:$G$17)</f>
        <v>6238750</v>
      </c>
      <c r="D1231" t="s">
        <v>34</v>
      </c>
      <c r="E1231" s="4">
        <f>_xlfn.XLOOKUP(Table1[[#This Row], [ROOM]],Sheet1!$A$47:$A$66,Sheet1!$B$47:$B$66)</f>
        <v>456</v>
      </c>
      <c r="F1231" t="s">
        <v>62</v>
      </c>
      <c r="G123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1" s="13" t="s">
        <v>59</v>
      </c>
      <c r="I1231" s="4">
        <f>_xlfn.XLOOKUP(Table1[[#This Row], [WEAPON]],Sheet1!$A$27:$A$29,Sheet1!$B$27:$B$29)*Table1[[#This Row], [NUM OF MEM]]*(1+_xlfn.XLOOKUP(Table1[[#This Row], [WEAPON]],Sheet1!$A$27:$A$29,Sheet1!$C$27:$C$29))</f>
        <v>136500</v>
      </c>
      <c r="J1231" t="s">
        <v>64</v>
      </c>
      <c r="K1231" s="9">
        <f>Table1[[#This Row], [NUM OF MEM]]*Table1[[#This Row], [TOTAL TIME TAKEN]]*_xlfn.XLOOKUP(Table1[[#This Row], [EXIT]],Sheet1!$A$70:$A$71,Sheet1!$B$70:$B$71)*(1+_xlfn.XLOOKUP(Table1[[#This Row], [EXIT]],Sheet1!$A$70:$A$71,Sheet1!$C$70:$C$71))</f>
        <v>1535155.1999999997</v>
      </c>
      <c r="L1231" s="13" t="s">
        <v>65</v>
      </c>
      <c r="M1231" s="4">
        <f>IF(Table1[[#This Row], [EQUIPMENT]]="YES",Sheet1!$C$44*(1+Sheet1!$D$44),0)</f>
        <v>307500</v>
      </c>
      <c r="N1231" s="4">
        <f>_xlfn.XLOOKUP(Table1[[#This Row], [ROOM]],Sheet1!$A$47:$A$66,Sheet1!$F$47:$F$66)</f>
        <v>17700000</v>
      </c>
      <c r="O1231" s="9">
        <f>_xlfn.XLOOKUP(_xlfn.CONCAT(Table1[[#This Row], [TEAM]],Table1[[#This Row], [ROOM]]),'ROOM TIME'!$H$2:$H$121,'ROOM TIME'!$J$2:$J$121)</f>
        <v>35.267777777777766</v>
      </c>
      <c r="P1231" s="9">
        <f>(INDEX(Sheet1!$X$48:$Z$67,MATCH(Table1[[#This Row], [ROOM]],Sheet1!$P$48:$P$67,0),MATCH(Table1[[#This Row], [WEAPON]],Sheet1!$X$47:$Z$47,0)))/Table1[[#This Row], [NUM OF MEM]]</f>
        <v>4.2166666666666659</v>
      </c>
      <c r="Q1231" s="9">
        <f>Table1[[#This Row], [ROOM TIME]]+Table1[[#This Row], [GUARD TIME]]</f>
        <v>39.484444444444435</v>
      </c>
      <c r="R1231" s="4">
        <f>Sheet1!$K$3*_xlfn.XLOOKUP(Table1[[#This Row], [DISGUISE]],Sheet1!$A$21:$A$23,Sheet1!$D$21:$D$23)</f>
        <v>66</v>
      </c>
      <c r="S1231" s="9">
        <f>Table1[[#This Row], [TOTAL TIME]]-Table1[[#This Row], [TOTAL TIME TAKEN]]</f>
        <v>26.515555555555565</v>
      </c>
      <c r="T1231" t="str">
        <f>IF(Table1[[#This Row], [TIME DIFFERENCE]]&gt;=0,"PASS","FAIL")</f>
        <v>PASS</v>
      </c>
      <c r="U1231" s="9">
        <f>Table1[[#This Row], [TRC]]+Table1[[#This Row], [DRC]]+Table1[[#This Row], [WRC]]+Table1[[#This Row], [ERC]]+Table1[[#This Row], [EQRC]]</f>
        <v>8233505.1999999993</v>
      </c>
      <c r="V1231" s="9">
        <f>Table1[[#This Row], [TOTAL COST]]+_xlfn.XLOOKUP(Table1[[#This Row], [TEAM]],Sheet1!$A$12:$A$17,Sheet1!$I$12:$I$17)</f>
        <v>8545442.6999999993</v>
      </c>
      <c r="W1231" s="9">
        <f>Table1[[#This Row], [LOOT]]-Table1[[#This Row], [TOTAL COST]]</f>
        <v>9466494.8000000007</v>
      </c>
      <c r="X1231" s="9">
        <f>IF(Table1[[#This Row], [PASS/FAIL]]="FAIL",0,Table1[[#This Row], [PROFIT]])</f>
        <v>9466494.8000000007</v>
      </c>
    </row>
    <row r="1232" spans="1:24" ht="19.5" customHeight="1" x14ac:dyDescent="0.45">
      <c r="A1232" t="s">
        <v>9</v>
      </c>
      <c r="B1232" s="14">
        <f>_xlfn.XLOOKUP(Table1[[#This Row], [TEAM]],Sheet1!$A$12:$A$17,Sheet1!$F$12:$F$17)</f>
        <v>3</v>
      </c>
      <c r="C1232" s="14">
        <f>_xlfn.XLOOKUP(Table1[[#This Row], [TEAM]],Sheet1!$A$12:$A$17,Sheet1!$G$12:$G$17)</f>
        <v>6238750</v>
      </c>
      <c r="D1232" t="s">
        <v>28</v>
      </c>
      <c r="E1232" s="4">
        <f>_xlfn.XLOOKUP(Table1[[#This Row], [ROOM]],Sheet1!$A$47:$A$66,Sheet1!$B$47:$B$66)</f>
        <v>156</v>
      </c>
      <c r="F1232" t="s">
        <v>62</v>
      </c>
      <c r="G1232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2" s="13" t="s">
        <v>66</v>
      </c>
      <c r="I1232" s="4">
        <f>_xlfn.XLOOKUP(Table1[[#This Row], [WEAPON]],Sheet1!$A$27:$A$29,Sheet1!$B$27:$B$29)*Table1[[#This Row], [NUM OF MEM]]*(1+_xlfn.XLOOKUP(Table1[[#This Row], [WEAPON]],Sheet1!$A$27:$A$29,Sheet1!$C$27:$C$29))</f>
        <v>108000</v>
      </c>
      <c r="J1232" t="s">
        <v>60</v>
      </c>
      <c r="K1232" s="9">
        <f>Table1[[#This Row], [NUM OF MEM]]*Table1[[#This Row], [TOTAL TIME TAKEN]]*_xlfn.XLOOKUP(Table1[[#This Row], [EXIT]],Sheet1!$A$70:$A$71,Sheet1!$B$70:$B$71)*(1+_xlfn.XLOOKUP(Table1[[#This Row], [EXIT]],Sheet1!$A$70:$A$71,Sheet1!$C$70:$C$71))</f>
        <v>1515710.7374999993</v>
      </c>
      <c r="L1232" s="13" t="s">
        <v>65</v>
      </c>
      <c r="M1232" s="4">
        <f>IF(Table1[[#This Row], [EQUIPMENT]]="YES",Sheet1!$C$44*(1+Sheet1!$D$44),0)</f>
        <v>307500</v>
      </c>
      <c r="N1232" s="4">
        <f>_xlfn.XLOOKUP(Table1[[#This Row], [ROOM]],Sheet1!$A$47:$A$66,Sheet1!$F$47:$F$66)</f>
        <v>17650000</v>
      </c>
      <c r="O1232" s="9">
        <f>_xlfn.XLOOKUP(_xlfn.CONCAT(Table1[[#This Row], [TEAM]],Table1[[#This Row], [ROOM]]),'ROOM TIME'!$H$2:$H$121,'ROOM TIME'!$J$2:$J$121)</f>
        <v>35.204999999999991</v>
      </c>
      <c r="P1232" s="9">
        <f>(INDEX(Sheet1!$X$48:$Z$67,MATCH(Table1[[#This Row], [ROOM]],Sheet1!$P$48:$P$67,0),MATCH(Table1[[#This Row], [WEAPON]],Sheet1!$X$47:$Z$47,0)))/Table1[[#This Row], [NUM OF MEM]]</f>
        <v>4.166666666666667</v>
      </c>
      <c r="Q1232" s="9">
        <f>Table1[[#This Row], [ROOM TIME]]+Table1[[#This Row], [GUARD TIME]]</f>
        <v>39.371666666666655</v>
      </c>
      <c r="R1232" s="4">
        <f>Sheet1!$K$3*_xlfn.XLOOKUP(Table1[[#This Row], [DISGUISE]],Sheet1!$A$21:$A$23,Sheet1!$D$21:$D$23)</f>
        <v>66</v>
      </c>
      <c r="S1232" s="9">
        <f>Table1[[#This Row], [TOTAL TIME]]-Table1[[#This Row], [TOTAL TIME TAKEN]]</f>
        <v>26.628333333333345</v>
      </c>
      <c r="T1232" t="str">
        <f>IF(Table1[[#This Row], [TIME DIFFERENCE]]&gt;=0,"PASS","FAIL")</f>
        <v>PASS</v>
      </c>
      <c r="U1232" s="9">
        <f>Table1[[#This Row], [TRC]]+Table1[[#This Row], [DRC]]+Table1[[#This Row], [WRC]]+Table1[[#This Row], [ERC]]+Table1[[#This Row], [EQRC]]</f>
        <v>8185560.7374999989</v>
      </c>
      <c r="V1232" s="9">
        <f>Table1[[#This Row], [TOTAL COST]]+_xlfn.XLOOKUP(Table1[[#This Row], [TEAM]],Sheet1!$A$12:$A$17,Sheet1!$I$12:$I$17)</f>
        <v>8497498.2374999989</v>
      </c>
      <c r="W1232" s="9">
        <f>Table1[[#This Row], [LOOT]]-Table1[[#This Row], [TOTAL COST]]</f>
        <v>9464439.2625000011</v>
      </c>
      <c r="X1232" s="9">
        <f>IF(Table1[[#This Row], [PASS/FAIL]]="FAIL",0,Table1[[#This Row], [PROFIT]])</f>
        <v>9464439.2625000011</v>
      </c>
    </row>
    <row r="1233" spans="1:24" ht="19.5" customHeight="1" x14ac:dyDescent="0.45">
      <c r="A1233" t="s">
        <v>9</v>
      </c>
      <c r="B1233" s="14">
        <f>_xlfn.XLOOKUP(Table1[[#This Row], [TEAM]],Sheet1!$A$12:$A$17,Sheet1!$F$12:$F$17)</f>
        <v>3</v>
      </c>
      <c r="C1233" s="14">
        <f>_xlfn.XLOOKUP(Table1[[#This Row], [TEAM]],Sheet1!$A$12:$A$17,Sheet1!$G$12:$G$17)</f>
        <v>6238750</v>
      </c>
      <c r="D1233" t="s">
        <v>21</v>
      </c>
      <c r="E1233" s="4">
        <f>_xlfn.XLOOKUP(Table1[[#This Row], [ROOM]],Sheet1!$A$47:$A$66,Sheet1!$B$47:$B$66)</f>
        <v>234</v>
      </c>
      <c r="F1233" t="s">
        <v>62</v>
      </c>
      <c r="G1233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3" s="13" t="s">
        <v>59</v>
      </c>
      <c r="I1233" s="4">
        <f>_xlfn.XLOOKUP(Table1[[#This Row], [WEAPON]],Sheet1!$A$27:$A$29,Sheet1!$B$27:$B$29)*Table1[[#This Row], [NUM OF MEM]]*(1+_xlfn.XLOOKUP(Table1[[#This Row], [WEAPON]],Sheet1!$A$27:$A$29,Sheet1!$C$27:$C$29))</f>
        <v>136500</v>
      </c>
      <c r="J1233" t="s">
        <v>64</v>
      </c>
      <c r="K1233" s="9">
        <f>Table1[[#This Row], [NUM OF MEM]]*Table1[[#This Row], [TOTAL TIME TAKEN]]*_xlfn.XLOOKUP(Table1[[#This Row], [EXIT]],Sheet1!$A$70:$A$71,Sheet1!$B$70:$B$71)*(1+_xlfn.XLOOKUP(Table1[[#This Row], [EXIT]],Sheet1!$A$70:$A$71,Sheet1!$C$70:$C$71))</f>
        <v>1737244.7999999996</v>
      </c>
      <c r="L1233" s="13" t="s">
        <v>65</v>
      </c>
      <c r="M1233" s="4">
        <f>IF(Table1[[#This Row], [EQUIPMENT]]="YES",Sheet1!$C$44*(1+Sheet1!$D$44),0)</f>
        <v>307500</v>
      </c>
      <c r="N1233" s="4">
        <f>_xlfn.XLOOKUP(Table1[[#This Row], [ROOM]],Sheet1!$A$47:$A$66,Sheet1!$F$47:$F$66)</f>
        <v>17900000</v>
      </c>
      <c r="O1233" s="9">
        <f>_xlfn.XLOOKUP(_xlfn.CONCAT(Table1[[#This Row], [TEAM]],Table1[[#This Row], [ROOM]]),'ROOM TIME'!$H$2:$H$121,'ROOM TIME'!$J$2:$J$121)</f>
        <v>39.698888888888881</v>
      </c>
      <c r="P1233" s="9">
        <f>(INDEX(Sheet1!$X$48:$Z$67,MATCH(Table1[[#This Row], [ROOM]],Sheet1!$P$48:$P$67,0),MATCH(Table1[[#This Row], [WEAPON]],Sheet1!$X$47:$Z$47,0)))/Table1[[#This Row], [NUM OF MEM]]</f>
        <v>4.9833333333333334</v>
      </c>
      <c r="Q1233" s="9">
        <f>Table1[[#This Row], [ROOM TIME]]+Table1[[#This Row], [GUARD TIME]]</f>
        <v>44.682222222222215</v>
      </c>
      <c r="R1233" s="4">
        <f>Sheet1!$K$3*_xlfn.XLOOKUP(Table1[[#This Row], [DISGUISE]],Sheet1!$A$21:$A$23,Sheet1!$D$21:$D$23)</f>
        <v>66</v>
      </c>
      <c r="S1233" s="9">
        <f>Table1[[#This Row], [TOTAL TIME]]-Table1[[#This Row], [TOTAL TIME TAKEN]]</f>
        <v>21.317777777777785</v>
      </c>
      <c r="T1233" t="str">
        <f>IF(Table1[[#This Row], [TIME DIFFERENCE]]&gt;=0,"PASS","FAIL")</f>
        <v>PASS</v>
      </c>
      <c r="U1233" s="9">
        <f>Table1[[#This Row], [TRC]]+Table1[[#This Row], [DRC]]+Table1[[#This Row], [WRC]]+Table1[[#This Row], [ERC]]+Table1[[#This Row], [EQRC]]</f>
        <v>8435594.8000000007</v>
      </c>
      <c r="V1233" s="9">
        <f>Table1[[#This Row], [TOTAL COST]]+_xlfn.XLOOKUP(Table1[[#This Row], [TEAM]],Sheet1!$A$12:$A$17,Sheet1!$I$12:$I$17)</f>
        <v>8747532.3000000007</v>
      </c>
      <c r="W1233" s="9">
        <f>Table1[[#This Row], [LOOT]]-Table1[[#This Row], [TOTAL COST]]</f>
        <v>9464405.1999999993</v>
      </c>
      <c r="X1233" s="9">
        <f>IF(Table1[[#This Row], [PASS/FAIL]]="FAIL",0,Table1[[#This Row], [PROFIT]])</f>
        <v>9464405.1999999993</v>
      </c>
    </row>
    <row r="1234" spans="1:24" ht="19.5" customHeight="1" x14ac:dyDescent="0.45">
      <c r="A1234" t="s">
        <v>13</v>
      </c>
      <c r="B1234" s="14">
        <f>_xlfn.XLOOKUP(Table1[[#This Row], [TEAM]],Sheet1!$A$12:$A$17,Sheet1!$F$12:$F$17)</f>
        <v>3</v>
      </c>
      <c r="C1234" s="14">
        <f>_xlfn.XLOOKUP(Table1[[#This Row], [TEAM]],Sheet1!$A$12:$A$17,Sheet1!$G$12:$G$17)</f>
        <v>5930000</v>
      </c>
      <c r="D1234" t="s">
        <v>25</v>
      </c>
      <c r="E1234" s="4">
        <f>_xlfn.XLOOKUP(Table1[[#This Row], [ROOM]],Sheet1!$A$47:$A$66,Sheet1!$B$47:$B$66)</f>
        <v>126</v>
      </c>
      <c r="F1234" t="s">
        <v>58</v>
      </c>
      <c r="G1234" s="4">
        <f>_xlfn.XLOOKUP(Table1[[#This Row], [DISGUISE]],Sheet1!$A$21:$A$23,Sheet1!$B$21:$B$23)*Table1[[#This Row], [NUM OF MEM]]*(1+_xlfn.XLOOKUP(Table1[[#This Row], [DISGUISE]],Sheet1!$A$21:$A$23,Sheet1!$C$21:$C$23))</f>
        <v>38400</v>
      </c>
      <c r="H1234" s="13" t="s">
        <v>66</v>
      </c>
      <c r="I1234" s="4">
        <f>_xlfn.XLOOKUP(Table1[[#This Row], [WEAPON]],Sheet1!$A$27:$A$29,Sheet1!$B$27:$B$29)*Table1[[#This Row], [NUM OF MEM]]*(1+_xlfn.XLOOKUP(Table1[[#This Row], [WEAPON]],Sheet1!$A$27:$A$29,Sheet1!$C$27:$C$29))</f>
        <v>108000</v>
      </c>
      <c r="J1234" t="s">
        <v>60</v>
      </c>
      <c r="K1234" s="9">
        <f>Table1[[#This Row], [NUM OF MEM]]*Table1[[#This Row], [TOTAL TIME TAKEN]]*_xlfn.XLOOKUP(Table1[[#This Row], [EXIT]],Sheet1!$A$70:$A$71,Sheet1!$B$70:$B$71)*(1+_xlfn.XLOOKUP(Table1[[#This Row], [EXIT]],Sheet1!$A$70:$A$71,Sheet1!$C$70:$C$71))</f>
        <v>1702509.1624999992</v>
      </c>
      <c r="L1234" s="13" t="s">
        <v>65</v>
      </c>
      <c r="M1234" s="4">
        <f>IF(Table1[[#This Row], [EQUIPMENT]]="YES",Sheet1!$C$44*(1+Sheet1!$D$44),0)</f>
        <v>307500</v>
      </c>
      <c r="N1234" s="4">
        <f>_xlfn.XLOOKUP(Table1[[#This Row], [ROOM]],Sheet1!$A$47:$A$66,Sheet1!$F$47:$F$66)</f>
        <v>17550000</v>
      </c>
      <c r="O1234" s="9">
        <f>_xlfn.XLOOKUP(_xlfn.CONCAT(Table1[[#This Row], [TEAM]],Table1[[#This Row], [ROOM]]),'ROOM TIME'!$H$2:$H$121,'ROOM TIME'!$J$2:$J$121)</f>
        <v>39.640555555555544</v>
      </c>
      <c r="P1234" s="9">
        <f>(INDEX(Sheet1!$X$48:$Z$67,MATCH(Table1[[#This Row], [ROOM]],Sheet1!$P$48:$P$67,0),MATCH(Table1[[#This Row], [WEAPON]],Sheet1!$X$47:$Z$47,0)))/Table1[[#This Row], [NUM OF MEM]]</f>
        <v>4.583333333333333</v>
      </c>
      <c r="Q1234" s="9">
        <f>Table1[[#This Row], [ROOM TIME]]+Table1[[#This Row], [GUARD TIME]]</f>
        <v>44.223888888888879</v>
      </c>
      <c r="R1234" s="4">
        <f>Sheet1!$K$3*_xlfn.XLOOKUP(Table1[[#This Row], [DISGUISE]],Sheet1!$A$21:$A$23,Sheet1!$D$21:$D$23)</f>
        <v>69</v>
      </c>
      <c r="S1234" s="9">
        <f>Table1[[#This Row], [TOTAL TIME]]-Table1[[#This Row], [TOTAL TIME TAKEN]]</f>
        <v>24.776111111111121</v>
      </c>
      <c r="T1234" t="str">
        <f>IF(Table1[[#This Row], [TIME DIFFERENCE]]&gt;=0,"PASS","FAIL")</f>
        <v>PASS</v>
      </c>
      <c r="U1234" s="9">
        <f>Table1[[#This Row], [TRC]]+Table1[[#This Row], [DRC]]+Table1[[#This Row], [WRC]]+Table1[[#This Row], [ERC]]+Table1[[#This Row], [EQRC]]</f>
        <v>8086409.1624999996</v>
      </c>
      <c r="V1234" s="9">
        <f>Table1[[#This Row], [TOTAL COST]]+_xlfn.XLOOKUP(Table1[[#This Row], [TEAM]],Sheet1!$A$12:$A$17,Sheet1!$I$12:$I$17)</f>
        <v>8382909.1624999996</v>
      </c>
      <c r="W1234" s="9">
        <f>Table1[[#This Row], [LOOT]]-Table1[[#This Row], [TOTAL COST]]</f>
        <v>9463590.8375000004</v>
      </c>
      <c r="X1234" s="9">
        <f>IF(Table1[[#This Row], [PASS/FAIL]]="FAIL",0,Table1[[#This Row], [PROFIT]])</f>
        <v>9463590.8375000004</v>
      </c>
    </row>
    <row r="1235" spans="1:24" ht="19.5" customHeight="1" x14ac:dyDescent="0.45">
      <c r="A1235" t="s">
        <v>9</v>
      </c>
      <c r="B1235" s="14">
        <f>_xlfn.XLOOKUP(Table1[[#This Row], [TEAM]],Sheet1!$A$12:$A$17,Sheet1!$F$12:$F$17)</f>
        <v>3</v>
      </c>
      <c r="C1235" s="14">
        <f>_xlfn.XLOOKUP(Table1[[#This Row], [TEAM]],Sheet1!$A$12:$A$17,Sheet1!$G$12:$G$17)</f>
        <v>6238750</v>
      </c>
      <c r="D1235" t="s">
        <v>10</v>
      </c>
      <c r="E1235" s="4">
        <f>_xlfn.XLOOKUP(Table1[[#This Row], [ROOM]],Sheet1!$A$47:$A$66,Sheet1!$B$47:$B$66)</f>
        <v>123</v>
      </c>
      <c r="F1235" t="s">
        <v>58</v>
      </c>
      <c r="G123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35" s="13" t="s">
        <v>63</v>
      </c>
      <c r="I1235" s="4">
        <f>_xlfn.XLOOKUP(Table1[[#This Row], [WEAPON]],Sheet1!$A$27:$A$29,Sheet1!$B$27:$B$29)*Table1[[#This Row], [NUM OF MEM]]*(1+_xlfn.XLOOKUP(Table1[[#This Row], [WEAPON]],Sheet1!$A$27:$A$29,Sheet1!$C$27:$C$29))</f>
        <v>69000</v>
      </c>
      <c r="J1235" t="s">
        <v>60</v>
      </c>
      <c r="K1235" s="9">
        <f>Table1[[#This Row], [NUM OF MEM]]*Table1[[#This Row], [TOTAL TIME TAKEN]]*_xlfn.XLOOKUP(Table1[[#This Row], [EXIT]],Sheet1!$A$70:$A$71,Sheet1!$B$70:$B$71)*(1+_xlfn.XLOOKUP(Table1[[#This Row], [EXIT]],Sheet1!$A$70:$A$71,Sheet1!$C$70:$C$71))</f>
        <v>1733777.6874999993</v>
      </c>
      <c r="L1235" s="13" t="s">
        <v>65</v>
      </c>
      <c r="M1235" s="4">
        <f>IF(Table1[[#This Row], [EQUIPMENT]]="YES",Sheet1!$C$44*(1+Sheet1!$D$44),0)</f>
        <v>307500</v>
      </c>
      <c r="N1235" s="4">
        <f>_xlfn.XLOOKUP(Table1[[#This Row], [ROOM]],Sheet1!$A$47:$A$66,Sheet1!$F$47:$F$66)</f>
        <v>17850000</v>
      </c>
      <c r="O1235" s="9">
        <f>_xlfn.XLOOKUP(_xlfn.CONCAT(Table1[[#This Row], [TEAM]],Table1[[#This Row], [ROOM]]),'ROOM TIME'!$H$2:$H$121,'ROOM TIME'!$J$2:$J$121)</f>
        <v>39.636111111111099</v>
      </c>
      <c r="P1235" s="9">
        <f>(INDEX(Sheet1!$X$48:$Z$67,MATCH(Table1[[#This Row], [ROOM]],Sheet1!$P$48:$P$67,0),MATCH(Table1[[#This Row], [WEAPON]],Sheet1!$X$47:$Z$47,0)))/Table1[[#This Row], [NUM OF MEM]]</f>
        <v>5.4000000000000012</v>
      </c>
      <c r="Q1235" s="9">
        <f>Table1[[#This Row], [ROOM TIME]]+Table1[[#This Row], [GUARD TIME]]</f>
        <v>45.036111111111097</v>
      </c>
      <c r="R1235" s="4">
        <f>Sheet1!$K$3*_xlfn.XLOOKUP(Table1[[#This Row], [DISGUISE]],Sheet1!$A$21:$A$23,Sheet1!$D$21:$D$23)</f>
        <v>69</v>
      </c>
      <c r="S1235" s="9">
        <f>Table1[[#This Row], [TOTAL TIME]]-Table1[[#This Row], [TOTAL TIME TAKEN]]</f>
        <v>23.963888888888903</v>
      </c>
      <c r="T1235" t="str">
        <f>IF(Table1[[#This Row], [TIME DIFFERENCE]]&gt;=0,"PASS","FAIL")</f>
        <v>PASS</v>
      </c>
      <c r="U1235" s="9">
        <f>Table1[[#This Row], [TRC]]+Table1[[#This Row], [DRC]]+Table1[[#This Row], [WRC]]+Table1[[#This Row], [ERC]]+Table1[[#This Row], [EQRC]]</f>
        <v>8387427.6874999991</v>
      </c>
      <c r="V1235" s="9">
        <f>Table1[[#This Row], [TOTAL COST]]+_xlfn.XLOOKUP(Table1[[#This Row], [TEAM]],Sheet1!$A$12:$A$17,Sheet1!$I$12:$I$17)</f>
        <v>8699365.1875</v>
      </c>
      <c r="W1235" s="9">
        <f>Table1[[#This Row], [LOOT]]-Table1[[#This Row], [TOTAL COST]]</f>
        <v>9462572.3125</v>
      </c>
      <c r="X1235" s="9">
        <f>IF(Table1[[#This Row], [PASS/FAIL]]="FAIL",0,Table1[[#This Row], [PROFIT]])</f>
        <v>9462572.3125</v>
      </c>
    </row>
    <row r="1236" spans="1:24" ht="19.5" customHeight="1" x14ac:dyDescent="0.45">
      <c r="A1236" t="s">
        <v>9</v>
      </c>
      <c r="B1236" s="14">
        <f>_xlfn.XLOOKUP(Table1[[#This Row], [TEAM]],Sheet1!$A$12:$A$17,Sheet1!$F$12:$F$17)</f>
        <v>3</v>
      </c>
      <c r="C1236" s="14">
        <f>_xlfn.XLOOKUP(Table1[[#This Row], [TEAM]],Sheet1!$A$12:$A$17,Sheet1!$G$12:$G$17)</f>
        <v>6238750</v>
      </c>
      <c r="D1236" t="s">
        <v>10</v>
      </c>
      <c r="E1236" s="4">
        <f>_xlfn.XLOOKUP(Table1[[#This Row], [ROOM]],Sheet1!$A$47:$A$66,Sheet1!$B$47:$B$66)</f>
        <v>123</v>
      </c>
      <c r="F1236" t="s">
        <v>62</v>
      </c>
      <c r="G1236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6" s="13" t="s">
        <v>66</v>
      </c>
      <c r="I1236" s="4">
        <f>_xlfn.XLOOKUP(Table1[[#This Row], [WEAPON]],Sheet1!$A$27:$A$29,Sheet1!$B$27:$B$29)*Table1[[#This Row], [NUM OF MEM]]*(1+_xlfn.XLOOKUP(Table1[[#This Row], [WEAPON]],Sheet1!$A$27:$A$29,Sheet1!$C$27:$C$29))</f>
        <v>108000</v>
      </c>
      <c r="J1236" t="s">
        <v>60</v>
      </c>
      <c r="K1236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1718378.6874999995</v>
      </c>
      <c r="L1236" s="13" t="s">
        <v>65</v>
      </c>
      <c r="M1236" s="4">
        <f>IF(Table1[[#This Row], [EQUIPMENT]]="YES",Sheet1!$C$44*(1+Sheet1!$D$44),0)</f>
        <v>307500</v>
      </c>
      <c r="N1236" s="4">
        <f>_xlfn.XLOOKUP(Table1[[#This Row], [ROOM]],Sheet1!$A$47:$A$66,Sheet1!$F$47:$F$66)</f>
        <v>17850000</v>
      </c>
      <c r="O1236" s="9">
        <f>_xlfn.XLOOKUP(_xlfn.CONCAT(Table1[[#This Row], [TEAM]],Table1[[#This Row], [ROOM]]),'ROOM TIME'!$H$2:$H$121,'ROOM TIME'!$J$2:$J$121)</f>
        <v>39.636111111111099</v>
      </c>
      <c r="P1236" s="4">
        <f>(INDEX(Sheet1!$X$48:$Z$67,MATCH(Table1[[#This Row], [ROOM]],Sheet1!$P$48:$P$67,0),MATCH(Table1[[#This Row], [WEAPON]],Sheet1!$X$47:$Z$47,0)))/Table1[[#This Row], [NUM OF MEM]]</f>
        <v>5</v>
      </c>
      <c r="Q1236" s="9">
        <f>Table1[[#This Row], [ROOM TIME]]+Table1[[#This Row], [GUARD TIME]]</f>
        <v>44.636111111111099</v>
      </c>
      <c r="R1236" s="4">
        <f>Sheet1!$K$3*_xlfn.XLOOKUP(Table1[[#This Row], [DISGUISE]],Sheet1!$A$21:$A$23,Sheet1!$D$21:$D$23)</f>
        <v>66</v>
      </c>
      <c r="S1236" s="9">
        <f>Table1[[#This Row], [TOTAL TIME]]-Table1[[#This Row], [TOTAL TIME TAKEN]]</f>
        <v>21.363888888888901</v>
      </c>
      <c r="T1236" t="str">
        <f>IF(Table1[[#This Row], [TIME DIFFERENCE]]&gt;=0,"PASS","FAIL")</f>
        <v>PASS</v>
      </c>
      <c r="U1236" s="9">
        <f>Table1[[#This Row], [TRC]]+Table1[[#This Row], [DRC]]+Table1[[#This Row], [WRC]]+Table1[[#This Row], [ERC]]+Table1[[#This Row], [EQRC]]</f>
        <v>8388228.6875</v>
      </c>
      <c r="V1236" s="9">
        <f>Table1[[#This Row], [TOTAL COST]]+_xlfn.XLOOKUP(Table1[[#This Row], [TEAM]],Sheet1!$A$12:$A$17,Sheet1!$I$12:$I$17)</f>
        <v>8700166.1875</v>
      </c>
      <c r="W1236" s="9">
        <f>Table1[[#This Row], [LOOT]]-Table1[[#This Row], [TOTAL COST]]</f>
        <v>9461771.3125</v>
      </c>
      <c r="X1236" s="9">
        <f>IF(Table1[[#This Row], [PASS/FAIL]]="FAIL",0,Table1[[#This Row], [PROFIT]])</f>
        <v>9461771.3125</v>
      </c>
    </row>
    <row r="1237" spans="1:24" ht="19.5" customHeight="1" x14ac:dyDescent="0.45">
      <c r="A1237" t="s">
        <v>13</v>
      </c>
      <c r="B1237" s="14">
        <f>_xlfn.XLOOKUP(Table1[[#This Row], [TEAM]],Sheet1!$A$12:$A$17,Sheet1!$F$12:$F$17)</f>
        <v>3</v>
      </c>
      <c r="C1237" s="14">
        <f>_xlfn.XLOOKUP(Table1[[#This Row], [TEAM]],Sheet1!$A$12:$A$17,Sheet1!$G$12:$G$17)</f>
        <v>5930000</v>
      </c>
      <c r="D1237" t="s">
        <v>31</v>
      </c>
      <c r="E1237" s="4">
        <f>_xlfn.XLOOKUP(Table1[[#This Row], [ROOM]],Sheet1!$A$47:$A$66,Sheet1!$B$47:$B$66)</f>
        <v>256</v>
      </c>
      <c r="F1237" t="s">
        <v>62</v>
      </c>
      <c r="G1237" s="4">
        <f>_xlfn.XLOOKUP(Table1[[#This Row], [DISGUISE]],Sheet1!$A$21:$A$23,Sheet1!$B$21:$B$23)*Table1[[#This Row], [NUM OF MEM]]*(1+_xlfn.XLOOKUP(Table1[[#This Row], [DISGUISE]],Sheet1!$A$21:$A$23,Sheet1!$C$21:$C$23))</f>
        <v>15600</v>
      </c>
      <c r="H1237" s="13" t="s">
        <v>63</v>
      </c>
      <c r="I1237" s="4">
        <f>_xlfn.XLOOKUP(Table1[[#This Row], [WEAPON]],Sheet1!$A$27:$A$29,Sheet1!$B$27:$B$29)*Table1[[#This Row], [NUM OF MEM]]*(1+_xlfn.XLOOKUP(Table1[[#This Row], [WEAPON]],Sheet1!$A$27:$A$29,Sheet1!$C$27:$C$29))</f>
        <v>69000</v>
      </c>
      <c r="J1237" t="s">
        <v>64</v>
      </c>
      <c r="K1237" s="9">
        <f>Table1[[#This Row], [NUM OF MEM]]*Table1[[#This Row], [TOTAL TIME TAKEN]]*_xlfn.XLOOKUP(Table1[[#This Row], [EXIT]],Sheet1!$A$70:$A$71,Sheet1!$B$70:$B$71)*(1+_xlfn.XLOOKUP(Table1[[#This Row], [EXIT]],Sheet1!$A$70:$A$71,Sheet1!$C$70:$C$71))</f>
        <v>1716465.5999999994</v>
      </c>
      <c r="L1237" s="13" t="s">
        <v>65</v>
      </c>
      <c r="M1237" s="4">
        <f>IF(Table1[[#This Row], [EQUIPMENT]]="YES",Sheet1!$C$44*(1+Sheet1!$D$44),0)</f>
        <v>307500</v>
      </c>
      <c r="N1237" s="4">
        <f>_xlfn.XLOOKUP(Table1[[#This Row], [ROOM]],Sheet1!$A$47:$A$66,Sheet1!$F$47:$F$66)</f>
        <v>17500000</v>
      </c>
      <c r="O1237" s="9">
        <f>_xlfn.XLOOKUP(_xlfn.CONCAT(Table1[[#This Row], [TEAM]],Table1[[#This Row], [ROOM]]),'ROOM TIME'!$H$2:$H$121,'ROOM TIME'!$J$2:$J$121)</f>
        <v>39.197777777777766</v>
      </c>
      <c r="P1237" s="9">
        <f>(INDEX(Sheet1!$X$48:$Z$67,MATCH(Table1[[#This Row], [ROOM]],Sheet1!$P$48:$P$67,0),MATCH(Table1[[#This Row], [WEAPON]],Sheet1!$X$47:$Z$47,0)))/Table1[[#This Row], [NUM OF MEM]]</f>
        <v>4.95</v>
      </c>
      <c r="Q1237" s="9">
        <f>Table1[[#This Row], [ROOM TIME]]+Table1[[#This Row], [GUARD TIME]]</f>
        <v>44.147777777777769</v>
      </c>
      <c r="R1237" s="4">
        <f>Sheet1!$K$3*_xlfn.XLOOKUP(Table1[[#This Row], [DISGUISE]],Sheet1!$A$21:$A$23,Sheet1!$D$21:$D$23)</f>
        <v>66</v>
      </c>
      <c r="S1237" s="9">
        <f>Table1[[#This Row], [TOTAL TIME]]-Table1[[#This Row], [TOTAL TIME TAKEN]]</f>
        <v>21.852222222222231</v>
      </c>
      <c r="T1237" t="str">
        <f>IF(Table1[[#This Row], [TIME DIFFERENCE]]&gt;=0,"PASS","FAIL")</f>
        <v>PASS</v>
      </c>
      <c r="U1237" s="9">
        <f>Table1[[#This Row], [TRC]]+Table1[[#This Row], [DRC]]+Table1[[#This Row], [WRC]]+Table1[[#This Row], [ERC]]+Table1[[#This Row], [EQRC]]</f>
        <v>8038565.5999999996</v>
      </c>
      <c r="V1237" s="9">
        <f>Table1[[#This Row], [TOTAL COST]]+_xlfn.XLOOKUP(Table1[[#This Row], [TEAM]],Sheet1!$A$12:$A$17,Sheet1!$I$12:$I$17)</f>
        <v>8335065.5999999996</v>
      </c>
      <c r="W1237" s="9">
        <f>Table1[[#This Row], [LOOT]]-Table1[[#This Row], [TOTAL COST]]</f>
        <v>9461434.4000000004</v>
      </c>
      <c r="X1237" s="9">
        <f>IF(Table1[[#This Row], [PASS/FAIL]]="FAIL",0,Table1[[#This Row], [PROFIT]])</f>
        <v>9461434.4000000004</v>
      </c>
    </row>
    <row r="1238" spans="1:24" ht="19.5" customHeight="1" x14ac:dyDescent="0.45">
      <c r="A1238" t="s">
        <v>12</v>
      </c>
      <c r="B1238" s="14">
        <f>_xlfn.XLOOKUP(Table1[[#This Row], [TEAM]],Sheet1!$A$12:$A$17,Sheet1!$F$12:$F$17)</f>
        <v>3</v>
      </c>
      <c r="C1238" s="14">
        <f>_xlfn.XLOOKUP(Table1[[#This Row], [TEAM]],Sheet1!$A$12:$A$17,Sheet1!$G$12:$G$17)</f>
        <v>5988750</v>
      </c>
      <c r="D1238" t="s">
        <v>25</v>
      </c>
      <c r="E1238" s="4">
        <f>_xlfn.XLOOKUP(Table1[[#This Row], [ROOM]],Sheet1!$A$47:$A$66,Sheet1!$B$47:$B$66)</f>
        <v>126</v>
      </c>
      <c r="F1238" t="s">
        <v>58</v>
      </c>
      <c r="G1238" s="4">
        <f>_xlfn.XLOOKUP(Table1[[#This Row], [DISGUISE]],Sheet1!$A$21:$A$23,Sheet1!$B$21:$B$23)*Table1[[#This Row], [NUM OF MEM]]*(1+_xlfn.XLOOKUP(Table1[[#This Row], [DISGUISE]],Sheet1!$A$21:$A$23,Sheet1!$C$21:$C$23))</f>
        <v>38400</v>
      </c>
      <c r="H1238" s="13" t="s">
        <v>59</v>
      </c>
      <c r="I1238" s="4">
        <f>_xlfn.XLOOKUP(Table1[[#This Row], [WEAPON]],Sheet1!$A$27:$A$29,Sheet1!$B$27:$B$29)*Table1[[#This Row], [NUM OF MEM]]*(1+_xlfn.XLOOKUP(Table1[[#This Row], [WEAPON]],Sheet1!$A$27:$A$29,Sheet1!$C$27:$C$29))</f>
        <v>136500</v>
      </c>
      <c r="J1238" t="s">
        <v>60</v>
      </c>
      <c r="K1238" s="9">
        <f>Table1[[#This Row], [NUM OF MEM]]*Table1[[#This Row], [TOTAL TIME TAKEN]]*_xlfn.XLOOKUP(Table1[[#This Row], [EXIT]],Sheet1!$A$70:$A$71,Sheet1!$B$70:$B$71)*(1+_xlfn.XLOOKUP(Table1[[#This Row], [EXIT]],Sheet1!$A$70:$A$71,Sheet1!$C$70:$C$71))</f>
        <v>1617579.3999999992</v>
      </c>
      <c r="L1238" s="13" t="s">
        <v>65</v>
      </c>
      <c r="M1238" s="4">
        <f>IF(Table1[[#This Row], [EQUIPMENT]]="YES",Sheet1!$C$44*(1+Sheet1!$D$44),0)</f>
        <v>307500</v>
      </c>
      <c r="N1238" s="4">
        <f>_xlfn.XLOOKUP(Table1[[#This Row], [ROOM]],Sheet1!$A$47:$A$66,Sheet1!$F$47:$F$66)</f>
        <v>17550000</v>
      </c>
      <c r="O1238" s="9">
        <f>_xlfn.XLOOKUP(_xlfn.CONCAT(Table1[[#This Row], [TEAM]],Table1[[#This Row], [ROOM]]),'ROOM TIME'!$H$2:$H$121,'ROOM TIME'!$J$2:$J$121)</f>
        <v>37.801111111111091</v>
      </c>
      <c r="P1238" s="9">
        <f>(INDEX(Sheet1!$X$48:$Z$67,MATCH(Table1[[#This Row], [ROOM]],Sheet1!$P$48:$P$67,0),MATCH(Table1[[#This Row], [WEAPON]],Sheet1!$X$47:$Z$47,0)))/Table1[[#This Row], [NUM OF MEM]]</f>
        <v>4.2166666666666659</v>
      </c>
      <c r="Q1238" s="9">
        <f>Table1[[#This Row], [ROOM TIME]]+Table1[[#This Row], [GUARD TIME]]</f>
        <v>42.017777777777759</v>
      </c>
      <c r="R1238" s="4">
        <f>Sheet1!$K$3*_xlfn.XLOOKUP(Table1[[#This Row], [DISGUISE]],Sheet1!$A$21:$A$23,Sheet1!$D$21:$D$23)</f>
        <v>69</v>
      </c>
      <c r="S1238" s="9">
        <f>Table1[[#This Row], [TOTAL TIME]]-Table1[[#This Row], [TOTAL TIME TAKEN]]</f>
        <v>26.982222222222241</v>
      </c>
      <c r="T1238" t="str">
        <f>IF(Table1[[#This Row], [TIME DIFFERENCE]]&gt;=0,"PASS","FAIL")</f>
        <v>PASS</v>
      </c>
      <c r="U1238" s="9">
        <f>Table1[[#This Row], [TRC]]+Table1[[#This Row], [DRC]]+Table1[[#This Row], [WRC]]+Table1[[#This Row], [ERC]]+Table1[[#This Row], [EQRC]]</f>
        <v>8088729.3999999994</v>
      </c>
      <c r="V1238" s="9">
        <f>Table1[[#This Row], [TOTAL COST]]+_xlfn.XLOOKUP(Table1[[#This Row], [TEAM]],Sheet1!$A$12:$A$17,Sheet1!$I$12:$I$17)</f>
        <v>8388166.8999999994</v>
      </c>
      <c r="W1238" s="9">
        <f>Table1[[#This Row], [LOOT]]-Table1[[#This Row], [TOTAL COST]]</f>
        <v>9461270.6000000015</v>
      </c>
      <c r="X1238" s="9">
        <f>IF(Table1[[#This Row], [PASS/FAIL]]="FAIL",0,Table1[[#This Row], [PROFIT]])</f>
        <v>9461270.6000000015</v>
      </c>
    </row>
    <row r="1239" spans="1:24" ht="19.5" customHeight="1" x14ac:dyDescent="0.45">
      <c r="A1239" t="s">
        <v>16</v>
      </c>
      <c r="B1239" s="14">
        <f>_xlfn.XLOOKUP(Table1[[#This Row], [TEAM]],Sheet1!$A$12:$A$17,Sheet1!$F$12:$F$17)</f>
        <v>2</v>
      </c>
      <c r="C1239" s="14">
        <f>_xlfn.XLOOKUP(Table1[[#This Row], [TEAM]],Sheet1!$A$12:$A$17,Sheet1!$G$12:$G$17)</f>
        <v>6082800</v>
      </c>
      <c r="D1239" t="s">
        <v>17</v>
      </c>
      <c r="E1239" s="4">
        <f>_xlfn.XLOOKUP(Table1[[#This Row], [ROOM]],Sheet1!$A$47:$A$66,Sheet1!$B$47:$B$66)</f>
        <v>125</v>
      </c>
      <c r="F1239" t="s">
        <v>58</v>
      </c>
      <c r="G1239" s="4">
        <f>_xlfn.XLOOKUP(Table1[[#This Row], [DISGUISE]],Sheet1!$A$21:$A$23,Sheet1!$B$21:$B$23)*Table1[[#This Row], [NUM OF MEM]]*(1+_xlfn.XLOOKUP(Table1[[#This Row], [DISGUISE]],Sheet1!$A$21:$A$23,Sheet1!$C$21:$C$23))</f>
        <v>25600</v>
      </c>
      <c r="H1239" s="13" t="s">
        <v>63</v>
      </c>
      <c r="I1239" s="4">
        <f>_xlfn.XLOOKUP(Table1[[#This Row], [WEAPON]],Sheet1!$A$27:$A$29,Sheet1!$B$27:$B$29)*Table1[[#This Row], [NUM OF MEM]]*(1+_xlfn.XLOOKUP(Table1[[#This Row], [WEAPON]],Sheet1!$A$27:$A$29,Sheet1!$C$27:$C$29))</f>
        <v>46000</v>
      </c>
      <c r="J1239" t="s">
        <v>60</v>
      </c>
      <c r="K1239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1734729.4312499997</v>
      </c>
      <c r="L1239" s="13" t="s">
        <v>61</v>
      </c>
      <c r="M1239" s="4">
        <f>IF(Table1[[#This Row], [EQUIPMENT]]="YES",Sheet1!$C$44*(1+Sheet1!$D$44),0)</f>
        <v>0</v>
      </c>
      <c r="N1239" s="4">
        <f>_xlfn.XLOOKUP(Table1[[#This Row], [ROOM]],Sheet1!$A$47:$A$66,Sheet1!$F$47:$F$66)</f>
        <v>17350000</v>
      </c>
      <c r="O1239" s="9">
        <f>_xlfn.XLOOKUP(_xlfn.CONCAT(Table1[[#This Row], [TEAM]],Table1[[#This Row], [ROOM]]),'ROOM TIME'!$H$2:$H$121,'ROOM TIME'!$J$2:$J$121)</f>
        <v>60.841249999999988</v>
      </c>
      <c r="P1239" s="9">
        <f>(INDEX(Sheet1!$X$48:$Z$67,MATCH(Table1[[#This Row], [ROOM]],Sheet1!$P$48:$P$67,0),MATCH(Table1[[#This Row], [WEAPON]],Sheet1!$X$47:$Z$47,0)))/Table1[[#This Row], [NUM OF MEM]]</f>
        <v>6.75</v>
      </c>
      <c r="Q1239" s="9">
        <f>Table1[[#This Row], [ROOM TIME]]+Table1[[#This Row], [GUARD TIME]]</f>
        <v>67.591249999999988</v>
      </c>
      <c r="R1239" s="4">
        <f>Sheet1!$K$3*_xlfn.XLOOKUP(Table1[[#This Row], [DISGUISE]],Sheet1!$A$21:$A$23,Sheet1!$D$21:$D$23)</f>
        <v>69</v>
      </c>
      <c r="S1239" s="9">
        <f>Table1[[#This Row], [TOTAL TIME]]-Table1[[#This Row], [TOTAL TIME TAKEN]]</f>
        <v>1.4087500000000119</v>
      </c>
      <c r="T1239" t="str">
        <f>IF(Table1[[#This Row], [TIME DIFFERENCE]]&gt;=0,"PASS","FAIL")</f>
        <v>PASS</v>
      </c>
      <c r="U1239" s="9">
        <f>Table1[[#This Row], [TRC]]+Table1[[#This Row], [DRC]]+Table1[[#This Row], [WRC]]+Table1[[#This Row], [ERC]]+Table1[[#This Row], [EQRC]]</f>
        <v>7889129.4312499994</v>
      </c>
      <c r="V1239" s="9">
        <f>Table1[[#This Row], [TOTAL COST]]+_xlfn.XLOOKUP(Table1[[#This Row], [TEAM]],Sheet1!$A$12:$A$17,Sheet1!$I$12:$I$17)</f>
        <v>8193269.4312499994</v>
      </c>
      <c r="W1239" s="9">
        <f>Table1[[#This Row], [LOOT]]-Table1[[#This Row], [TOTAL COST]]</f>
        <v>9460870.5687500015</v>
      </c>
      <c r="X1239" s="9">
        <f>IF(Table1[[#This Row], [PASS/FAIL]]="FAIL",0,Table1[[#This Row], [PROFIT]])</f>
        <v>9460870.5687500015</v>
      </c>
    </row>
    <row r="1240" spans="1:24" ht="19.5" customHeight="1" x14ac:dyDescent="0.45">
      <c r="A1240" t="s">
        <v>12</v>
      </c>
      <c r="B1240" s="14">
        <f>_xlfn.XLOOKUP(Table1[[#This Row], [TEAM]],Sheet1!$A$12:$A$17,Sheet1!$F$12:$F$17)</f>
        <v>3</v>
      </c>
      <c r="C1240" s="14">
        <f>_xlfn.XLOOKUP(Table1[[#This Row], [TEAM]],Sheet1!$A$12:$A$17,Sheet1!$G$12:$G$17)</f>
        <v>5988750</v>
      </c>
      <c r="D1240" t="s">
        <v>25</v>
      </c>
      <c r="E1240" s="4">
        <f>_xlfn.XLOOKUP(Table1[[#This Row], [ROOM]],Sheet1!$A$47:$A$66,Sheet1!$B$47:$B$66)</f>
        <v>126</v>
      </c>
      <c r="F1240" t="s">
        <v>58</v>
      </c>
      <c r="G1240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0" s="13" t="s">
        <v>66</v>
      </c>
      <c r="I1240" s="4">
        <f>_xlfn.XLOOKUP(Table1[[#This Row], [WEAPON]],Sheet1!$A$27:$A$29,Sheet1!$B$27:$B$29)*Table1[[#This Row], [NUM OF MEM]]*(1+_xlfn.XLOOKUP(Table1[[#This Row], [WEAPON]],Sheet1!$A$27:$A$29,Sheet1!$C$27:$C$29))</f>
        <v>108000</v>
      </c>
      <c r="J1240" t="s">
        <v>64</v>
      </c>
      <c r="K1240" s="9">
        <f>Table1[[#This Row], [NUM OF MEM]]*Table1[[#This Row], [TOTAL TIME TAKEN]]*_xlfn.XLOOKUP(Table1[[#This Row], [EXIT]],Sheet1!$A$70:$A$71,Sheet1!$B$70:$B$71)*(1+_xlfn.XLOOKUP(Table1[[#This Row], [EXIT]],Sheet1!$A$70:$A$71,Sheet1!$C$70:$C$71))</f>
        <v>1647907.199999999</v>
      </c>
      <c r="L1240" s="13" t="s">
        <v>65</v>
      </c>
      <c r="M1240" s="4">
        <f>IF(Table1[[#This Row], [EQUIPMENT]]="YES",Sheet1!$C$44*(1+Sheet1!$D$44),0)</f>
        <v>307500</v>
      </c>
      <c r="N1240" s="4">
        <f>_xlfn.XLOOKUP(Table1[[#This Row], [ROOM]],Sheet1!$A$47:$A$66,Sheet1!$F$47:$F$66)</f>
        <v>17550000</v>
      </c>
      <c r="O1240" s="9">
        <f>_xlfn.XLOOKUP(_xlfn.CONCAT(Table1[[#This Row], [TEAM]],Table1[[#This Row], [ROOM]]),'ROOM TIME'!$H$2:$H$121,'ROOM TIME'!$J$2:$J$121)</f>
        <v>37.801111111111091</v>
      </c>
      <c r="P1240" s="9">
        <f>(INDEX(Sheet1!$X$48:$Z$67,MATCH(Table1[[#This Row], [ROOM]],Sheet1!$P$48:$P$67,0),MATCH(Table1[[#This Row], [WEAPON]],Sheet1!$X$47:$Z$47,0)))/Table1[[#This Row], [NUM OF MEM]]</f>
        <v>4.583333333333333</v>
      </c>
      <c r="Q1240" s="9">
        <f>Table1[[#This Row], [ROOM TIME]]+Table1[[#This Row], [GUARD TIME]]</f>
        <v>42.384444444444426</v>
      </c>
      <c r="R1240" s="4">
        <f>Sheet1!$K$3*_xlfn.XLOOKUP(Table1[[#This Row], [DISGUISE]],Sheet1!$A$21:$A$23,Sheet1!$D$21:$D$23)</f>
        <v>69</v>
      </c>
      <c r="S1240" s="9">
        <f>Table1[[#This Row], [TOTAL TIME]]-Table1[[#This Row], [TOTAL TIME TAKEN]]</f>
        <v>26.615555555555574</v>
      </c>
      <c r="T1240" t="str">
        <f>IF(Table1[[#This Row], [TIME DIFFERENCE]]&gt;=0,"PASS","FAIL")</f>
        <v>PASS</v>
      </c>
      <c r="U1240" s="9">
        <f>Table1[[#This Row], [TRC]]+Table1[[#This Row], [DRC]]+Table1[[#This Row], [WRC]]+Table1[[#This Row], [ERC]]+Table1[[#This Row], [EQRC]]</f>
        <v>8090557.1999999993</v>
      </c>
      <c r="V1240" s="9">
        <f>Table1[[#This Row], [TOTAL COST]]+_xlfn.XLOOKUP(Table1[[#This Row], [TEAM]],Sheet1!$A$12:$A$17,Sheet1!$I$12:$I$17)</f>
        <v>8389994.6999999993</v>
      </c>
      <c r="W1240" s="9">
        <f>Table1[[#This Row], [LOOT]]-Table1[[#This Row], [TOTAL COST]]</f>
        <v>9459442.8000000007</v>
      </c>
      <c r="X1240" s="9">
        <f>IF(Table1[[#This Row], [PASS/FAIL]]="FAIL",0,Table1[[#This Row], [PROFIT]])</f>
        <v>9459442.8000000007</v>
      </c>
    </row>
    <row r="1241" spans="1:24" ht="19.5" customHeight="1" x14ac:dyDescent="0.45">
      <c r="A1241" t="s">
        <v>9</v>
      </c>
      <c r="B1241" s="14">
        <f>_xlfn.XLOOKUP(Table1[[#This Row], [TEAM]],Sheet1!$A$12:$A$17,Sheet1!$F$12:$F$17)</f>
        <v>3</v>
      </c>
      <c r="C1241" s="14">
        <f>_xlfn.XLOOKUP(Table1[[#This Row], [TEAM]],Sheet1!$A$12:$A$17,Sheet1!$G$12:$G$17)</f>
        <v>6238750</v>
      </c>
      <c r="D1241" t="s">
        <v>34</v>
      </c>
      <c r="E1241" s="4">
        <f>_xlfn.XLOOKUP(Table1[[#This Row], [ROOM]],Sheet1!$A$47:$A$66,Sheet1!$B$47:$B$66)</f>
        <v>456</v>
      </c>
      <c r="F1241" t="s">
        <v>58</v>
      </c>
      <c r="G1241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1" s="13" t="s">
        <v>59</v>
      </c>
      <c r="I1241" s="4">
        <f>_xlfn.XLOOKUP(Table1[[#This Row], [WEAPON]],Sheet1!$A$27:$A$29,Sheet1!$B$27:$B$29)*Table1[[#This Row], [NUM OF MEM]]*(1+_xlfn.XLOOKUP(Table1[[#This Row], [WEAPON]],Sheet1!$A$27:$A$29,Sheet1!$C$27:$C$29))</f>
        <v>136500</v>
      </c>
      <c r="J1241" t="s">
        <v>60</v>
      </c>
      <c r="K1241" s="9">
        <f>Table1[[#This Row], [NUM OF MEM]]*Table1[[#This Row], [TOTAL TIME TAKEN]]*_xlfn.XLOOKUP(Table1[[#This Row], [EXIT]],Sheet1!$A$70:$A$71,Sheet1!$B$70:$B$71)*(1+_xlfn.XLOOKUP(Table1[[#This Row], [EXIT]],Sheet1!$A$70:$A$71,Sheet1!$C$70:$C$71))</f>
        <v>1520052.3999999997</v>
      </c>
      <c r="L1241" s="13" t="s">
        <v>65</v>
      </c>
      <c r="M1241" s="4">
        <f>IF(Table1[[#This Row], [EQUIPMENT]]="YES",Sheet1!$C$44*(1+Sheet1!$D$44),0)</f>
        <v>307500</v>
      </c>
      <c r="N1241" s="4">
        <f>_xlfn.XLOOKUP(Table1[[#This Row], [ROOM]],Sheet1!$A$47:$A$66,Sheet1!$F$47:$F$66)</f>
        <v>17700000</v>
      </c>
      <c r="O1241" s="9">
        <f>_xlfn.XLOOKUP(_xlfn.CONCAT(Table1[[#This Row], [TEAM]],Table1[[#This Row], [ROOM]]),'ROOM TIME'!$H$2:$H$121,'ROOM TIME'!$J$2:$J$121)</f>
        <v>35.267777777777766</v>
      </c>
      <c r="P1241" s="9">
        <f>(INDEX(Sheet1!$X$48:$Z$67,MATCH(Table1[[#This Row], [ROOM]],Sheet1!$P$48:$P$67,0),MATCH(Table1[[#This Row], [WEAPON]],Sheet1!$X$47:$Z$47,0)))/Table1[[#This Row], [NUM OF MEM]]</f>
        <v>4.2166666666666659</v>
      </c>
      <c r="Q1241" s="9">
        <f>Table1[[#This Row], [ROOM TIME]]+Table1[[#This Row], [GUARD TIME]]</f>
        <v>39.484444444444435</v>
      </c>
      <c r="R1241" s="4">
        <f>Sheet1!$K$3*_xlfn.XLOOKUP(Table1[[#This Row], [DISGUISE]],Sheet1!$A$21:$A$23,Sheet1!$D$21:$D$23)</f>
        <v>69</v>
      </c>
      <c r="S1241" s="9">
        <f>Table1[[#This Row], [TOTAL TIME]]-Table1[[#This Row], [TOTAL TIME TAKEN]]</f>
        <v>29.515555555555565</v>
      </c>
      <c r="T1241" t="str">
        <f>IF(Table1[[#This Row], [TIME DIFFERENCE]]&gt;=0,"PASS","FAIL")</f>
        <v>PASS</v>
      </c>
      <c r="U1241" s="9">
        <f>Table1[[#This Row], [TRC]]+Table1[[#This Row], [DRC]]+Table1[[#This Row], [WRC]]+Table1[[#This Row], [ERC]]+Table1[[#This Row], [EQRC]]</f>
        <v>8241202.3999999994</v>
      </c>
      <c r="V1241" s="9">
        <f>Table1[[#This Row], [TOTAL COST]]+_xlfn.XLOOKUP(Table1[[#This Row], [TEAM]],Sheet1!$A$12:$A$17,Sheet1!$I$12:$I$17)</f>
        <v>8553139.8999999985</v>
      </c>
      <c r="W1241" s="9">
        <f>Table1[[#This Row], [LOOT]]-Table1[[#This Row], [TOTAL COST]]</f>
        <v>9458797.6000000015</v>
      </c>
      <c r="X1241" s="9">
        <f>IF(Table1[[#This Row], [PASS/FAIL]]="FAIL",0,Table1[[#This Row], [PROFIT]])</f>
        <v>9458797.6000000015</v>
      </c>
    </row>
    <row r="1242" spans="1:24" ht="19.5" customHeight="1" x14ac:dyDescent="0.45">
      <c r="A1242" t="s">
        <v>16</v>
      </c>
      <c r="B1242" s="14">
        <f>_xlfn.XLOOKUP(Table1[[#This Row], [TEAM]],Sheet1!$A$12:$A$17,Sheet1!$F$12:$F$17)</f>
        <v>2</v>
      </c>
      <c r="C1242" s="14">
        <f>_xlfn.XLOOKUP(Table1[[#This Row], [TEAM]],Sheet1!$A$12:$A$17,Sheet1!$G$12:$G$17)</f>
        <v>6082800</v>
      </c>
      <c r="D1242" t="s">
        <v>23</v>
      </c>
      <c r="E1242" s="4">
        <f>_xlfn.XLOOKUP(Table1[[#This Row], [ROOM]],Sheet1!$A$47:$A$66,Sheet1!$B$47:$B$66)</f>
        <v>245</v>
      </c>
      <c r="F1242" t="s">
        <v>58</v>
      </c>
      <c r="G1242" s="4">
        <f>_xlfn.XLOOKUP(Table1[[#This Row], [DISGUISE]],Sheet1!$A$21:$A$23,Sheet1!$B$21:$B$23)*Table1[[#This Row], [NUM OF MEM]]*(1+_xlfn.XLOOKUP(Table1[[#This Row], [DISGUISE]],Sheet1!$A$21:$A$23,Sheet1!$C$21:$C$23))</f>
        <v>25600</v>
      </c>
      <c r="H1242" s="13" t="s">
        <v>66</v>
      </c>
      <c r="I1242" s="4">
        <f>_xlfn.XLOOKUP(Table1[[#This Row], [WEAPON]],Sheet1!$A$27:$A$29,Sheet1!$B$27:$B$29)*Table1[[#This Row], [NUM OF MEM]]*(1+_xlfn.XLOOKUP(Table1[[#This Row], [WEAPON]],Sheet1!$A$27:$A$29,Sheet1!$C$27:$C$29))</f>
        <v>72000</v>
      </c>
      <c r="J1242" t="s">
        <v>64</v>
      </c>
      <c r="K1242" s="9">
        <f>Table1[[#This Row], [NUM OF MEM]]*Table1[[#This Row], [TOTAL TIME TAKEN]]*_xlfn.XLOOKUP(Table1[[#This Row], [EXIT]],Sheet1!$A$70:$A$71,Sheet1!$B$70:$B$71)*(1+_xlfn.XLOOKUP(Table1[[#This Row], [EXIT]],Sheet1!$A$70:$A$71,Sheet1!$C$70:$C$71))</f>
        <v>1760875.1999999997</v>
      </c>
      <c r="L1242" s="13" t="s">
        <v>61</v>
      </c>
      <c r="M1242" s="4">
        <f>IF(Table1[[#This Row], [EQUIPMENT]]="YES",Sheet1!$C$44*(1+Sheet1!$D$44),0)</f>
        <v>0</v>
      </c>
      <c r="N1242" s="4">
        <f>_xlfn.XLOOKUP(Table1[[#This Row], [ROOM]],Sheet1!$A$47:$A$66,Sheet1!$F$47:$F$66)</f>
        <v>17400000</v>
      </c>
      <c r="O1242" s="9">
        <f>_xlfn.XLOOKUP(_xlfn.CONCAT(Table1[[#This Row], [TEAM]],Table1[[#This Row], [ROOM]]),'ROOM TIME'!$H$2:$H$121,'ROOM TIME'!$J$2:$J$121)</f>
        <v>61.059999999999988</v>
      </c>
      <c r="P1242" s="9">
        <f>(INDEX(Sheet1!$X$48:$Z$67,MATCH(Table1[[#This Row], [ROOM]],Sheet1!$P$48:$P$67,0),MATCH(Table1[[#This Row], [WEAPON]],Sheet1!$X$47:$Z$47,0)))/Table1[[#This Row], [NUM OF MEM]]</f>
        <v>6.875</v>
      </c>
      <c r="Q1242" s="9">
        <f>Table1[[#This Row], [ROOM TIME]]+Table1[[#This Row], [GUARD TIME]]</f>
        <v>67.934999999999988</v>
      </c>
      <c r="R1242" s="4">
        <f>Sheet1!$K$3*_xlfn.XLOOKUP(Table1[[#This Row], [DISGUISE]],Sheet1!$A$21:$A$23,Sheet1!$D$21:$D$23)</f>
        <v>69</v>
      </c>
      <c r="S1242" s="9">
        <f>Table1[[#This Row], [TOTAL TIME]]-Table1[[#This Row], [TOTAL TIME TAKEN]]</f>
        <v>1.0650000000000119</v>
      </c>
      <c r="T1242" t="str">
        <f>IF(Table1[[#This Row], [TIME DIFFERENCE]]&gt;=0,"PASS","FAIL")</f>
        <v>PASS</v>
      </c>
      <c r="U1242" s="9">
        <f>Table1[[#This Row], [TRC]]+Table1[[#This Row], [DRC]]+Table1[[#This Row], [WRC]]+Table1[[#This Row], [ERC]]+Table1[[#This Row], [EQRC]]</f>
        <v>7941275.1999999993</v>
      </c>
      <c r="V1242" s="9">
        <f>Table1[[#This Row], [TOTAL COST]]+_xlfn.XLOOKUP(Table1[[#This Row], [TEAM]],Sheet1!$A$12:$A$17,Sheet1!$I$12:$I$17)</f>
        <v>8245415.1999999993</v>
      </c>
      <c r="W1242" s="9">
        <f>Table1[[#This Row], [LOOT]]-Table1[[#This Row], [TOTAL COST]]</f>
        <v>9458724.8000000007</v>
      </c>
      <c r="X1242" s="9">
        <f>IF(Table1[[#This Row], [PASS/FAIL]]="FAIL",0,Table1[[#This Row], [PROFIT]])</f>
        <v>9458724.8000000007</v>
      </c>
    </row>
    <row r="1243" spans="1:24" ht="19.5" customHeight="1" x14ac:dyDescent="0.45">
      <c r="A1243" t="s">
        <v>9</v>
      </c>
      <c r="B1243" s="14">
        <f>_xlfn.XLOOKUP(Table1[[#This Row], [TEAM]],Sheet1!$A$12:$A$17,Sheet1!$F$12:$F$17)</f>
        <v>3</v>
      </c>
      <c r="C1243" s="14">
        <f>_xlfn.XLOOKUP(Table1[[#This Row], [TEAM]],Sheet1!$A$12:$A$17,Sheet1!$G$12:$G$17)</f>
        <v>6238750</v>
      </c>
      <c r="D1243" t="s">
        <v>21</v>
      </c>
      <c r="E1243" s="4">
        <f>_xlfn.XLOOKUP(Table1[[#This Row], [ROOM]],Sheet1!$A$47:$A$66,Sheet1!$B$47:$B$66)</f>
        <v>234</v>
      </c>
      <c r="F1243" t="s">
        <v>58</v>
      </c>
      <c r="G1243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3" s="13" t="s">
        <v>59</v>
      </c>
      <c r="I1243" s="4">
        <f>_xlfn.XLOOKUP(Table1[[#This Row], [WEAPON]],Sheet1!$A$27:$A$29,Sheet1!$B$27:$B$29)*Table1[[#This Row], [NUM OF MEM]]*(1+_xlfn.XLOOKUP(Table1[[#This Row], [WEAPON]],Sheet1!$A$27:$A$29,Sheet1!$C$27:$C$29))</f>
        <v>136500</v>
      </c>
      <c r="J1243" t="s">
        <v>60</v>
      </c>
      <c r="K1243" s="9">
        <f>Table1[[#This Row], [NUM OF MEM]]*Table1[[#This Row], [TOTAL TIME TAKEN]]*_xlfn.XLOOKUP(Table1[[#This Row], [EXIT]],Sheet1!$A$70:$A$71,Sheet1!$B$70:$B$71)*(1+_xlfn.XLOOKUP(Table1[[#This Row], [EXIT]],Sheet1!$A$70:$A$71,Sheet1!$C$70:$C$71))</f>
        <v>1720153.8499999996</v>
      </c>
      <c r="L1243" s="13" t="s">
        <v>65</v>
      </c>
      <c r="M1243" s="4">
        <f>IF(Table1[[#This Row], [EQUIPMENT]]="YES",Sheet1!$C$44*(1+Sheet1!$D$44),0)</f>
        <v>307500</v>
      </c>
      <c r="N1243" s="4">
        <f>_xlfn.XLOOKUP(Table1[[#This Row], [ROOM]],Sheet1!$A$47:$A$66,Sheet1!$F$47:$F$66)</f>
        <v>17900000</v>
      </c>
      <c r="O1243" s="9">
        <f>_xlfn.XLOOKUP(_xlfn.CONCAT(Table1[[#This Row], [TEAM]],Table1[[#This Row], [ROOM]]),'ROOM TIME'!$H$2:$H$121,'ROOM TIME'!$J$2:$J$121)</f>
        <v>39.698888888888881</v>
      </c>
      <c r="P1243" s="9">
        <f>(INDEX(Sheet1!$X$48:$Z$67,MATCH(Table1[[#This Row], [ROOM]],Sheet1!$P$48:$P$67,0),MATCH(Table1[[#This Row], [WEAPON]],Sheet1!$X$47:$Z$47,0)))/Table1[[#This Row], [NUM OF MEM]]</f>
        <v>4.9833333333333334</v>
      </c>
      <c r="Q1243" s="9">
        <f>Table1[[#This Row], [ROOM TIME]]+Table1[[#This Row], [GUARD TIME]]</f>
        <v>44.682222222222215</v>
      </c>
      <c r="R1243" s="4">
        <f>Sheet1!$K$3*_xlfn.XLOOKUP(Table1[[#This Row], [DISGUISE]],Sheet1!$A$21:$A$23,Sheet1!$D$21:$D$23)</f>
        <v>69</v>
      </c>
      <c r="S1243" s="9">
        <f>Table1[[#This Row], [TOTAL TIME]]-Table1[[#This Row], [TOTAL TIME TAKEN]]</f>
        <v>24.317777777777785</v>
      </c>
      <c r="T1243" t="str">
        <f>IF(Table1[[#This Row], [TIME DIFFERENCE]]&gt;=0,"PASS","FAIL")</f>
        <v>PASS</v>
      </c>
      <c r="U1243" s="9">
        <f>Table1[[#This Row], [TRC]]+Table1[[#This Row], [DRC]]+Table1[[#This Row], [WRC]]+Table1[[#This Row], [ERC]]+Table1[[#This Row], [EQRC]]</f>
        <v>8441303.8499999996</v>
      </c>
      <c r="V1243" s="9">
        <f>Table1[[#This Row], [TOTAL COST]]+_xlfn.XLOOKUP(Table1[[#This Row], [TEAM]],Sheet1!$A$12:$A$17,Sheet1!$I$12:$I$17)</f>
        <v>8753241.3499999996</v>
      </c>
      <c r="W1243" s="9">
        <f>Table1[[#This Row], [LOOT]]-Table1[[#This Row], [TOTAL COST]]</f>
        <v>9458696.1500000004</v>
      </c>
      <c r="X1243" s="9">
        <f>IF(Table1[[#This Row], [PASS/FAIL]]="FAIL",0,Table1[[#This Row], [PROFIT]])</f>
        <v>9458696.1500000004</v>
      </c>
    </row>
    <row r="1244" spans="1:24" ht="19.5" customHeight="1" x14ac:dyDescent="0.45">
      <c r="A1244" t="s">
        <v>16</v>
      </c>
      <c r="B1244" s="14">
        <f>_xlfn.XLOOKUP(Table1[[#This Row], [TEAM]],Sheet1!$A$12:$A$17,Sheet1!$F$12:$F$17)</f>
        <v>2</v>
      </c>
      <c r="C1244" s="14">
        <f>_xlfn.XLOOKUP(Table1[[#This Row], [TEAM]],Sheet1!$A$12:$A$17,Sheet1!$G$12:$G$17)</f>
        <v>6082800</v>
      </c>
      <c r="D1244" t="s">
        <v>30</v>
      </c>
      <c r="E1244" s="4">
        <f>_xlfn.XLOOKUP(Table1[[#This Row], [ROOM]],Sheet1!$A$47:$A$66,Sheet1!$B$47:$B$66)</f>
        <v>246</v>
      </c>
      <c r="F1244" t="s">
        <v>62</v>
      </c>
      <c r="G1244" s="4">
        <f>_xlfn.XLOOKUP(Table1[[#This Row], [DISGUISE]],Sheet1!$A$21:$A$23,Sheet1!$B$21:$B$23)*Table1[[#This Row], [NUM OF MEM]]*(1+_xlfn.XLOOKUP(Table1[[#This Row], [DISGUISE]],Sheet1!$A$21:$A$23,Sheet1!$C$21:$C$23))</f>
        <v>10400</v>
      </c>
      <c r="H1244" s="13" t="s">
        <v>66</v>
      </c>
      <c r="I1244" s="4">
        <f>_xlfn.XLOOKUP(Table1[[#This Row], [WEAPON]],Sheet1!$A$27:$A$29,Sheet1!$B$27:$B$29)*Table1[[#This Row], [NUM OF MEM]]*(1+_xlfn.XLOOKUP(Table1[[#This Row], [WEAPON]],Sheet1!$A$27:$A$29,Sheet1!$C$27:$C$29))</f>
        <v>72000</v>
      </c>
      <c r="J1244" t="s">
        <v>60</v>
      </c>
      <c r="K1244" s="9">
        <f>Table1[[#This Row], [NUM OF MEM]]*Table1[[#This Row], [TOTAL TIME TAKEN]]*_xlfn.XLOOKUP(Table1[[#This Row], [EXIT]],Sheet1!$A$70:$A$71,Sheet1!$B$70:$B$71)*(1+_xlfn.XLOOKUP(Table1[[#This Row], [EXIT]],Sheet1!$A$70:$A$71,Sheet1!$C$70:$C$71))</f>
        <v>1669251.5999999996</v>
      </c>
      <c r="L1244" s="13" t="s">
        <v>65</v>
      </c>
      <c r="M1244" s="4">
        <f>IF(Table1[[#This Row], [EQUIPMENT]]="YES",Sheet1!$C$44*(1+Sheet1!$D$44),0)</f>
        <v>307500</v>
      </c>
      <c r="N1244" s="4">
        <f>_xlfn.XLOOKUP(Table1[[#This Row], [ROOM]],Sheet1!$A$47:$A$66,Sheet1!$F$47:$F$66)</f>
        <v>17600000</v>
      </c>
      <c r="O1244" s="9">
        <f>_xlfn.XLOOKUP(_xlfn.CONCAT(Table1[[#This Row], [TEAM]],Table1[[#This Row], [ROOM]]),'ROOM TIME'!$H$2:$H$121,'ROOM TIME'!$J$2:$J$121)</f>
        <v>57.539999999999985</v>
      </c>
      <c r="P1244" s="9">
        <f>(INDEX(Sheet1!$X$48:$Z$67,MATCH(Table1[[#This Row], [ROOM]],Sheet1!$P$48:$P$67,0),MATCH(Table1[[#This Row], [WEAPON]],Sheet1!$X$47:$Z$47,0)))/Table1[[#This Row], [NUM OF MEM]]</f>
        <v>7.5</v>
      </c>
      <c r="Q1244" s="9">
        <f>Table1[[#This Row], [ROOM TIME]]+Table1[[#This Row], [GUARD TIME]]</f>
        <v>65.039999999999992</v>
      </c>
      <c r="R1244" s="4">
        <f>Sheet1!$K$3*_xlfn.XLOOKUP(Table1[[#This Row], [DISGUISE]],Sheet1!$A$21:$A$23,Sheet1!$D$21:$D$23)</f>
        <v>66</v>
      </c>
      <c r="S1244" s="9">
        <f>Table1[[#This Row], [TOTAL TIME]]-Table1[[#This Row], [TOTAL TIME TAKEN]]</f>
        <v>0.96000000000000796</v>
      </c>
      <c r="T1244" t="str">
        <f>IF(Table1[[#This Row], [TIME DIFFERENCE]]&gt;=0,"PASS","FAIL")</f>
        <v>PASS</v>
      </c>
      <c r="U1244" s="9">
        <f>Table1[[#This Row], [TRC]]+Table1[[#This Row], [DRC]]+Table1[[#This Row], [WRC]]+Table1[[#This Row], [ERC]]+Table1[[#This Row], [EQRC]]</f>
        <v>8141951.5999999996</v>
      </c>
      <c r="V1244" s="9">
        <f>Table1[[#This Row], [TOTAL COST]]+_xlfn.XLOOKUP(Table1[[#This Row], [TEAM]],Sheet1!$A$12:$A$17,Sheet1!$I$12:$I$17)</f>
        <v>8446091.5999999996</v>
      </c>
      <c r="W1244" s="9">
        <f>Table1[[#This Row], [LOOT]]-Table1[[#This Row], [TOTAL COST]]</f>
        <v>9458048.4000000004</v>
      </c>
      <c r="X1244" s="9">
        <f>IF(Table1[[#This Row], [PASS/FAIL]]="FAIL",0,Table1[[#This Row], [PROFIT]])</f>
        <v>9458048.4000000004</v>
      </c>
    </row>
    <row r="1245" spans="1:24" ht="19.5" customHeight="1" x14ac:dyDescent="0.45">
      <c r="A1245" t="s">
        <v>9</v>
      </c>
      <c r="B1245" s="14">
        <f>_xlfn.XLOOKUP(Table1[[#This Row], [TEAM]],Sheet1!$A$12:$A$17,Sheet1!$F$12:$F$17)</f>
        <v>3</v>
      </c>
      <c r="C1245" s="14">
        <f>_xlfn.XLOOKUP(Table1[[#This Row], [TEAM]],Sheet1!$A$12:$A$17,Sheet1!$G$12:$G$17)</f>
        <v>6238750</v>
      </c>
      <c r="D1245" t="s">
        <v>34</v>
      </c>
      <c r="E1245" s="4">
        <f>_xlfn.XLOOKUP(Table1[[#This Row], [ROOM]],Sheet1!$A$47:$A$66,Sheet1!$B$47:$B$66)</f>
        <v>456</v>
      </c>
      <c r="F1245" t="s">
        <v>58</v>
      </c>
      <c r="G124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5" s="13" t="s">
        <v>66</v>
      </c>
      <c r="I1245" s="4">
        <f>_xlfn.XLOOKUP(Table1[[#This Row], [WEAPON]],Sheet1!$A$27:$A$29,Sheet1!$B$27:$B$29)*Table1[[#This Row], [NUM OF MEM]]*(1+_xlfn.XLOOKUP(Table1[[#This Row], [WEAPON]],Sheet1!$A$27:$A$29,Sheet1!$C$27:$C$29))</f>
        <v>108000</v>
      </c>
      <c r="J1245" t="s">
        <v>64</v>
      </c>
      <c r="K1245" s="9">
        <f>Table1[[#This Row], [NUM OF MEM]]*Table1[[#This Row], [TOTAL TIME TAKEN]]*_xlfn.XLOOKUP(Table1[[#This Row], [EXIT]],Sheet1!$A$70:$A$71,Sheet1!$B$70:$B$71)*(1+_xlfn.XLOOKUP(Table1[[#This Row], [EXIT]],Sheet1!$A$70:$A$71,Sheet1!$C$70:$C$71))</f>
        <v>1549411.1999999997</v>
      </c>
      <c r="L1245" s="13" t="s">
        <v>65</v>
      </c>
      <c r="M1245" s="4">
        <f>IF(Table1[[#This Row], [EQUIPMENT]]="YES",Sheet1!$C$44*(1+Sheet1!$D$44),0)</f>
        <v>307500</v>
      </c>
      <c r="N1245" s="4">
        <f>_xlfn.XLOOKUP(Table1[[#This Row], [ROOM]],Sheet1!$A$47:$A$66,Sheet1!$F$47:$F$66)</f>
        <v>17700000</v>
      </c>
      <c r="O1245" s="9">
        <f>_xlfn.XLOOKUP(_xlfn.CONCAT(Table1[[#This Row], [TEAM]],Table1[[#This Row], [ROOM]]),'ROOM TIME'!$H$2:$H$121,'ROOM TIME'!$J$2:$J$121)</f>
        <v>35.267777777777766</v>
      </c>
      <c r="P1245" s="9">
        <f>(INDEX(Sheet1!$X$48:$Z$67,MATCH(Table1[[#This Row], [ROOM]],Sheet1!$P$48:$P$67,0),MATCH(Table1[[#This Row], [WEAPON]],Sheet1!$X$47:$Z$47,0)))/Table1[[#This Row], [NUM OF MEM]]</f>
        <v>4.583333333333333</v>
      </c>
      <c r="Q1245" s="9">
        <f>Table1[[#This Row], [ROOM TIME]]+Table1[[#This Row], [GUARD TIME]]</f>
        <v>39.851111111111102</v>
      </c>
      <c r="R1245" s="4">
        <f>Sheet1!$K$3*_xlfn.XLOOKUP(Table1[[#This Row], [DISGUISE]],Sheet1!$A$21:$A$23,Sheet1!$D$21:$D$23)</f>
        <v>69</v>
      </c>
      <c r="S1245" s="9">
        <f>Table1[[#This Row], [TOTAL TIME]]-Table1[[#This Row], [TOTAL TIME TAKEN]]</f>
        <v>29.148888888888898</v>
      </c>
      <c r="T1245" t="str">
        <f>IF(Table1[[#This Row], [TIME DIFFERENCE]]&gt;=0,"PASS","FAIL")</f>
        <v>PASS</v>
      </c>
      <c r="U1245" s="9">
        <f>Table1[[#This Row], [TRC]]+Table1[[#This Row], [DRC]]+Table1[[#This Row], [WRC]]+Table1[[#This Row], [ERC]]+Table1[[#This Row], [EQRC]]</f>
        <v>8242061.1999999993</v>
      </c>
      <c r="V1245" s="9">
        <f>Table1[[#This Row], [TOTAL COST]]+_xlfn.XLOOKUP(Table1[[#This Row], [TEAM]],Sheet1!$A$12:$A$17,Sheet1!$I$12:$I$17)</f>
        <v>8553998.6999999993</v>
      </c>
      <c r="W1245" s="9">
        <f>Table1[[#This Row], [LOOT]]-Table1[[#This Row], [TOTAL COST]]</f>
        <v>9457938.8000000007</v>
      </c>
      <c r="X1245" s="9">
        <f>IF(Table1[[#This Row], [PASS/FAIL]]="FAIL",0,Table1[[#This Row], [PROFIT]])</f>
        <v>9457938.8000000007</v>
      </c>
    </row>
    <row r="1246" spans="1:24" ht="19.5" customHeight="1" x14ac:dyDescent="0.45">
      <c r="A1246" t="s">
        <v>13</v>
      </c>
      <c r="B1246" s="14">
        <f>_xlfn.XLOOKUP(Table1[[#This Row], [TEAM]],Sheet1!$A$12:$A$17,Sheet1!$F$12:$F$17)</f>
        <v>3</v>
      </c>
      <c r="C1246" s="14">
        <f>_xlfn.XLOOKUP(Table1[[#This Row], [TEAM]],Sheet1!$A$12:$A$17,Sheet1!$G$12:$G$17)</f>
        <v>5930000</v>
      </c>
      <c r="D1246" t="s">
        <v>17</v>
      </c>
      <c r="E1246" s="4">
        <f>_xlfn.XLOOKUP(Table1[[#This Row], [ROOM]],Sheet1!$A$47:$A$66,Sheet1!$B$47:$B$66)</f>
        <v>125</v>
      </c>
      <c r="F1246" t="s">
        <v>58</v>
      </c>
      <c r="G1246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6" s="13" t="s">
        <v>59</v>
      </c>
      <c r="I1246" s="4">
        <f>_xlfn.XLOOKUP(Table1[[#This Row], [WEAPON]],Sheet1!$A$27:$A$29,Sheet1!$B$27:$B$29)*Table1[[#This Row], [NUM OF MEM]]*(1+_xlfn.XLOOKUP(Table1[[#This Row], [WEAPON]],Sheet1!$A$27:$A$29,Sheet1!$C$27:$C$29))</f>
        <v>136500</v>
      </c>
      <c r="J1246" t="s">
        <v>64</v>
      </c>
      <c r="K1246" s="9">
        <f>Table1[[#This Row], [NUM OF MEM]]*Table1[[#This Row], [TOTAL TIME TAKEN]]*_xlfn.XLOOKUP(Table1[[#This Row], [EXIT]],Sheet1!$A$70:$A$71,Sheet1!$B$70:$B$71)*(1+_xlfn.XLOOKUP(Table1[[#This Row], [EXIT]],Sheet1!$A$70:$A$71,Sheet1!$C$70:$C$71))</f>
        <v>1788501.5999999999</v>
      </c>
      <c r="L1246" s="13" t="s">
        <v>61</v>
      </c>
      <c r="M1246" s="4">
        <f>IF(Table1[[#This Row], [EQUIPMENT]]="YES",Sheet1!$C$44*(1+Sheet1!$D$44),0)</f>
        <v>0</v>
      </c>
      <c r="N1246" s="4">
        <f>_xlfn.XLOOKUP(Table1[[#This Row], [ROOM]],Sheet1!$A$47:$A$66,Sheet1!$F$47:$F$66)</f>
        <v>17350000</v>
      </c>
      <c r="O1246" s="9">
        <f>_xlfn.XLOOKUP(_xlfn.CONCAT(Table1[[#This Row], [TEAM]],Table1[[#This Row], [ROOM]]),'ROOM TIME'!$H$2:$H$121,'ROOM TIME'!$J$2:$J$121)</f>
        <v>42.167222222222215</v>
      </c>
      <c r="P1246" s="9">
        <f>(INDEX(Sheet1!$X$48:$Z$67,MATCH(Table1[[#This Row], [ROOM]],Sheet1!$P$48:$P$67,0),MATCH(Table1[[#This Row], [WEAPON]],Sheet1!$X$47:$Z$47,0)))/Table1[[#This Row], [NUM OF MEM]]</f>
        <v>3.8333333333333335</v>
      </c>
      <c r="Q1246" s="9">
        <f>Table1[[#This Row], [ROOM TIME]]+Table1[[#This Row], [GUARD TIME]]</f>
        <v>46.00055555555555</v>
      </c>
      <c r="R1246" s="4">
        <f>Sheet1!$K$3*_xlfn.XLOOKUP(Table1[[#This Row], [DISGUISE]],Sheet1!$A$21:$A$23,Sheet1!$D$21:$D$23)</f>
        <v>69</v>
      </c>
      <c r="S1246" s="9">
        <f>Table1[[#This Row], [TOTAL TIME]]-Table1[[#This Row], [TOTAL TIME TAKEN]]</f>
        <v>22.99944444444445</v>
      </c>
      <c r="T1246" t="str">
        <f>IF(Table1[[#This Row], [TIME DIFFERENCE]]&gt;=0,"PASS","FAIL")</f>
        <v>PASS</v>
      </c>
      <c r="U1246" s="9">
        <f>Table1[[#This Row], [TRC]]+Table1[[#This Row], [DRC]]+Table1[[#This Row], [WRC]]+Table1[[#This Row], [ERC]]+Table1[[#This Row], [EQRC]]</f>
        <v>7893401.5999999996</v>
      </c>
      <c r="V1246" s="9">
        <f>Table1[[#This Row], [TOTAL COST]]+_xlfn.XLOOKUP(Table1[[#This Row], [TEAM]],Sheet1!$A$12:$A$17,Sheet1!$I$12:$I$17)</f>
        <v>8189901.5999999996</v>
      </c>
      <c r="W1246" s="9">
        <f>Table1[[#This Row], [LOOT]]-Table1[[#This Row], [TOTAL COST]]</f>
        <v>9456598.4000000004</v>
      </c>
      <c r="X1246" s="9">
        <f>IF(Table1[[#This Row], [PASS/FAIL]]="FAIL",0,Table1[[#This Row], [PROFIT]])</f>
        <v>9456598.4000000004</v>
      </c>
    </row>
    <row r="1247" spans="1:24" ht="19.5" customHeight="1" x14ac:dyDescent="0.45">
      <c r="A1247" t="s">
        <v>13</v>
      </c>
      <c r="B1247" s="14">
        <f>_xlfn.XLOOKUP(Table1[[#This Row], [TEAM]],Sheet1!$A$12:$A$17,Sheet1!$F$12:$F$17)</f>
        <v>3</v>
      </c>
      <c r="C1247" s="14">
        <f>_xlfn.XLOOKUP(Table1[[#This Row], [TEAM]],Sheet1!$A$12:$A$17,Sheet1!$G$12:$G$17)</f>
        <v>5930000</v>
      </c>
      <c r="D1247" t="s">
        <v>31</v>
      </c>
      <c r="E1247" s="4">
        <f>_xlfn.XLOOKUP(Table1[[#This Row], [ROOM]],Sheet1!$A$47:$A$66,Sheet1!$B$47:$B$66)</f>
        <v>256</v>
      </c>
      <c r="F1247" t="s">
        <v>58</v>
      </c>
      <c r="G1247" s="4">
        <f>_xlfn.XLOOKUP(Table1[[#This Row], [DISGUISE]],Sheet1!$A$21:$A$23,Sheet1!$B$21:$B$23)*Table1[[#This Row], [NUM OF MEM]]*(1+_xlfn.XLOOKUP(Table1[[#This Row], [DISGUISE]],Sheet1!$A$21:$A$23,Sheet1!$C$21:$C$23))</f>
        <v>38400</v>
      </c>
      <c r="H1247" s="13" t="s">
        <v>63</v>
      </c>
      <c r="I1247" s="4">
        <f>_xlfn.XLOOKUP(Table1[[#This Row], [WEAPON]],Sheet1!$A$27:$A$29,Sheet1!$B$27:$B$29)*Table1[[#This Row], [NUM OF MEM]]*(1+_xlfn.XLOOKUP(Table1[[#This Row], [WEAPON]],Sheet1!$A$27:$A$29,Sheet1!$C$27:$C$29))</f>
        <v>69000</v>
      </c>
      <c r="J1247" t="s">
        <v>60</v>
      </c>
      <c r="K1247" s="9">
        <f>Table1[[#This Row], [NUM OF MEM]]*Table1[[#This Row], [TOTAL TIME TAKEN]]*_xlfn.XLOOKUP(Table1[[#This Row], [EXIT]],Sheet1!$A$70:$A$71,Sheet1!$B$70:$B$71)*(1+_xlfn.XLOOKUP(Table1[[#This Row], [EXIT]],Sheet1!$A$70:$A$71,Sheet1!$C$70:$C$71))</f>
        <v>1699579.0749999997</v>
      </c>
      <c r="L1247" s="13" t="s">
        <v>65</v>
      </c>
      <c r="M1247" s="4">
        <f>IF(Table1[[#This Row], [EQUIPMENT]]="YES",Sheet1!$C$44*(1+Sheet1!$D$44),0)</f>
        <v>307500</v>
      </c>
      <c r="N1247" s="4">
        <f>_xlfn.XLOOKUP(Table1[[#This Row], [ROOM]],Sheet1!$A$47:$A$66,Sheet1!$F$47:$F$66)</f>
        <v>17500000</v>
      </c>
      <c r="O1247" s="9">
        <f>_xlfn.XLOOKUP(_xlfn.CONCAT(Table1[[#This Row], [TEAM]],Table1[[#This Row], [ROOM]]),'ROOM TIME'!$H$2:$H$121,'ROOM TIME'!$J$2:$J$121)</f>
        <v>39.197777777777766</v>
      </c>
      <c r="P1247" s="9">
        <f>(INDEX(Sheet1!$X$48:$Z$67,MATCH(Table1[[#This Row], [ROOM]],Sheet1!$P$48:$P$67,0),MATCH(Table1[[#This Row], [WEAPON]],Sheet1!$X$47:$Z$47,0)))/Table1[[#This Row], [NUM OF MEM]]</f>
        <v>4.95</v>
      </c>
      <c r="Q1247" s="9">
        <f>Table1[[#This Row], [ROOM TIME]]+Table1[[#This Row], [GUARD TIME]]</f>
        <v>44.147777777777769</v>
      </c>
      <c r="R1247" s="4">
        <f>Sheet1!$K$3*_xlfn.XLOOKUP(Table1[[#This Row], [DISGUISE]],Sheet1!$A$21:$A$23,Sheet1!$D$21:$D$23)</f>
        <v>69</v>
      </c>
      <c r="S1247" s="9">
        <f>Table1[[#This Row], [TOTAL TIME]]-Table1[[#This Row], [TOTAL TIME TAKEN]]</f>
        <v>24.852222222222231</v>
      </c>
      <c r="T1247" t="str">
        <f>IF(Table1[[#This Row], [TIME DIFFERENCE]]&gt;=0,"PASS","FAIL")</f>
        <v>PASS</v>
      </c>
      <c r="U1247" s="9">
        <f>Table1[[#This Row], [TRC]]+Table1[[#This Row], [DRC]]+Table1[[#This Row], [WRC]]+Table1[[#This Row], [ERC]]+Table1[[#This Row], [EQRC]]</f>
        <v>8044479.0749999993</v>
      </c>
      <c r="V1247" s="9">
        <f>Table1[[#This Row], [TOTAL COST]]+_xlfn.XLOOKUP(Table1[[#This Row], [TEAM]],Sheet1!$A$12:$A$17,Sheet1!$I$12:$I$17)</f>
        <v>8340979.0749999993</v>
      </c>
      <c r="W1247" s="9">
        <f>Table1[[#This Row], [LOOT]]-Table1[[#This Row], [TOTAL COST]]</f>
        <v>9455520.9250000007</v>
      </c>
      <c r="X1247" s="9">
        <f>IF(Table1[[#This Row], [PASS/FAIL]]="FAIL",0,Table1[[#This Row], [PROFIT]])</f>
        <v>9455520.9250000007</v>
      </c>
    </row>
    <row r="1248" spans="1:24" ht="19.5" customHeight="1" x14ac:dyDescent="0.45">
      <c r="A1248" t="s">
        <v>13</v>
      </c>
      <c r="B1248" s="14">
        <f>_xlfn.XLOOKUP(Table1[[#This Row], [TEAM]],Sheet1!$A$12:$A$17,Sheet1!$F$12:$F$17)</f>
        <v>3</v>
      </c>
      <c r="C1248" s="14">
        <f>_xlfn.XLOOKUP(Table1[[#This Row], [TEAM]],Sheet1!$A$12:$A$17,Sheet1!$G$12:$G$17)</f>
        <v>5930000</v>
      </c>
      <c r="D1248" t="s">
        <v>20</v>
      </c>
      <c r="E1248" s="4">
        <f>_xlfn.XLOOKUP(Table1[[#This Row], [ROOM]],Sheet1!$A$47:$A$66,Sheet1!$B$47:$B$66)</f>
        <v>145</v>
      </c>
      <c r="F1248" t="s">
        <v>62</v>
      </c>
      <c r="G1248" s="4">
        <f>_xlfn.XLOOKUP(Table1[[#This Row], [DISGUISE]],Sheet1!$A$21:$A$23,Sheet1!$B$21:$B$23)*Table1[[#This Row], [NUM OF MEM]]*(1+_xlfn.XLOOKUP(Table1[[#This Row], [DISGUISE]],Sheet1!$A$21:$A$23,Sheet1!$C$21:$C$23))</f>
        <v>15600</v>
      </c>
      <c r="H1248" s="13" t="s">
        <v>63</v>
      </c>
      <c r="I1248" s="4">
        <f>_xlfn.XLOOKUP(Table1[[#This Row], [WEAPON]],Sheet1!$A$27:$A$29,Sheet1!$B$27:$B$29)*Table1[[#This Row], [NUM OF MEM]]*(1+_xlfn.XLOOKUP(Table1[[#This Row], [WEAPON]],Sheet1!$A$27:$A$29,Sheet1!$C$27:$C$29))</f>
        <v>69000</v>
      </c>
      <c r="J1248" t="s">
        <v>60</v>
      </c>
      <c r="K1248" s="9">
        <f>Table1[[#This Row], [NUM OF MEM]]*Table1[[#This Row], [TOTAL TIME TAKEN]]*_xlfn.XLOOKUP(Table1[[#This Row], [EXIT]],Sheet1!$A$70:$A$71,Sheet1!$B$70:$B$71)*(1+_xlfn.XLOOKUP(Table1[[#This Row], [EXIT]],Sheet1!$A$70:$A$71,Sheet1!$C$70:$C$71))</f>
        <v>1772553.2249999996</v>
      </c>
      <c r="L1248" s="13" t="s">
        <v>65</v>
      </c>
      <c r="M1248" s="4">
        <f>IF(Table1[[#This Row], [EQUIPMENT]]="YES",Sheet1!$C$44*(1+Sheet1!$D$44),0)</f>
        <v>307500</v>
      </c>
      <c r="N1248" s="4">
        <f>_xlfn.XLOOKUP(Table1[[#This Row], [ROOM]],Sheet1!$A$47:$A$66,Sheet1!$F$47:$F$66)</f>
        <v>17550000</v>
      </c>
      <c r="O1248" s="9">
        <f>_xlfn.XLOOKUP(_xlfn.CONCAT(Table1[[#This Row], [TEAM]],Table1[[#This Row], [ROOM]]),'ROOM TIME'!$H$2:$H$121,'ROOM TIME'!$J$2:$J$121)</f>
        <v>41.543333333333322</v>
      </c>
      <c r="P1248" s="9">
        <f>(INDEX(Sheet1!$X$48:$Z$67,MATCH(Table1[[#This Row], [ROOM]],Sheet1!$P$48:$P$67,0),MATCH(Table1[[#This Row], [WEAPON]],Sheet1!$X$47:$Z$47,0)))/Table1[[#This Row], [NUM OF MEM]]</f>
        <v>4.5</v>
      </c>
      <c r="Q1248" s="9">
        <f>Table1[[#This Row], [ROOM TIME]]+Table1[[#This Row], [GUARD TIME]]</f>
        <v>46.043333333333322</v>
      </c>
      <c r="R1248" s="4">
        <f>Sheet1!$K$3*_xlfn.XLOOKUP(Table1[[#This Row], [DISGUISE]],Sheet1!$A$21:$A$23,Sheet1!$D$21:$D$23)</f>
        <v>66</v>
      </c>
      <c r="S1248" s="9">
        <f>Table1[[#This Row], [TOTAL TIME]]-Table1[[#This Row], [TOTAL TIME TAKEN]]</f>
        <v>19.956666666666678</v>
      </c>
      <c r="T1248" t="str">
        <f>IF(Table1[[#This Row], [TIME DIFFERENCE]]&gt;=0,"PASS","FAIL")</f>
        <v>PASS</v>
      </c>
      <c r="U1248" s="9">
        <f>Table1[[#This Row], [TRC]]+Table1[[#This Row], [DRC]]+Table1[[#This Row], [WRC]]+Table1[[#This Row], [ERC]]+Table1[[#This Row], [EQRC]]</f>
        <v>8094653.2249999996</v>
      </c>
      <c r="V1248" s="9">
        <f>Table1[[#This Row], [TOTAL COST]]+_xlfn.XLOOKUP(Table1[[#This Row], [TEAM]],Sheet1!$A$12:$A$17,Sheet1!$I$12:$I$17)</f>
        <v>8391153.2249999996</v>
      </c>
      <c r="W1248" s="9">
        <f>Table1[[#This Row], [LOOT]]-Table1[[#This Row], [TOTAL COST]]</f>
        <v>9455346.7750000004</v>
      </c>
      <c r="X1248" s="9">
        <f>IF(Table1[[#This Row], [PASS/FAIL]]="FAIL",0,Table1[[#This Row], [PROFIT]])</f>
        <v>9455346.7750000004</v>
      </c>
    </row>
    <row r="1249" spans="1:24" ht="19.5" customHeight="1" x14ac:dyDescent="0.45">
      <c r="A1249" t="s">
        <v>13</v>
      </c>
      <c r="B1249" s="14">
        <f>_xlfn.XLOOKUP(Table1[[#This Row], [TEAM]],Sheet1!$A$12:$A$17,Sheet1!$F$12:$F$17)</f>
        <v>3</v>
      </c>
      <c r="C1249" s="14">
        <f>_xlfn.XLOOKUP(Table1[[#This Row], [TEAM]],Sheet1!$A$12:$A$17,Sheet1!$G$12:$G$17)</f>
        <v>5930000</v>
      </c>
      <c r="D1249" t="s">
        <v>25</v>
      </c>
      <c r="E1249" s="4">
        <f>_xlfn.XLOOKUP(Table1[[#This Row], [ROOM]],Sheet1!$A$47:$A$66,Sheet1!$B$47:$B$66)</f>
        <v>126</v>
      </c>
      <c r="F1249" t="s">
        <v>62</v>
      </c>
      <c r="G1249" s="4">
        <f>_xlfn.XLOOKUP(Table1[[#This Row], [DISGUISE]],Sheet1!$A$21:$A$23,Sheet1!$B$21:$B$23)*Table1[[#This Row], [NUM OF MEM]]*(1+_xlfn.XLOOKUP(Table1[[#This Row], [DISGUISE]],Sheet1!$A$21:$A$23,Sheet1!$C$21:$C$23))</f>
        <v>15600</v>
      </c>
      <c r="H1249" s="13" t="s">
        <v>59</v>
      </c>
      <c r="I1249" s="4">
        <f>_xlfn.XLOOKUP(Table1[[#This Row], [WEAPON]],Sheet1!$A$27:$A$29,Sheet1!$B$27:$B$29)*Table1[[#This Row], [NUM OF MEM]]*(1+_xlfn.XLOOKUP(Table1[[#This Row], [WEAPON]],Sheet1!$A$27:$A$29,Sheet1!$C$27:$C$29))</f>
        <v>136500</v>
      </c>
      <c r="J1249" t="s">
        <v>64</v>
      </c>
      <c r="K1249" s="9">
        <f>Table1[[#This Row], [NUM OF MEM]]*Table1[[#This Row], [TOTAL TIME TAKEN]]*_xlfn.XLOOKUP(Table1[[#This Row], [EXIT]],Sheet1!$A$70:$A$71,Sheet1!$B$70:$B$71)*(1+_xlfn.XLOOKUP(Table1[[#This Row], [EXIT]],Sheet1!$A$70:$A$71,Sheet1!$C$70:$C$71))</f>
        <v>1705168.7999999993</v>
      </c>
      <c r="L1249" s="13" t="s">
        <v>65</v>
      </c>
      <c r="M1249" s="4">
        <f>IF(Table1[[#This Row], [EQUIPMENT]]="YES",Sheet1!$C$44*(1+Sheet1!$D$44),0)</f>
        <v>307500</v>
      </c>
      <c r="N1249" s="4">
        <f>_xlfn.XLOOKUP(Table1[[#This Row], [ROOM]],Sheet1!$A$47:$A$66,Sheet1!$F$47:$F$66)</f>
        <v>17550000</v>
      </c>
      <c r="O1249" s="9">
        <f>_xlfn.XLOOKUP(_xlfn.CONCAT(Table1[[#This Row], [TEAM]],Table1[[#This Row], [ROOM]]),'ROOM TIME'!$H$2:$H$121,'ROOM TIME'!$J$2:$J$121)</f>
        <v>39.640555555555544</v>
      </c>
      <c r="P1249" s="9">
        <f>(INDEX(Sheet1!$X$48:$Z$67,MATCH(Table1[[#This Row], [ROOM]],Sheet1!$P$48:$P$67,0),MATCH(Table1[[#This Row], [WEAPON]],Sheet1!$X$47:$Z$47,0)))/Table1[[#This Row], [NUM OF MEM]]</f>
        <v>4.2166666666666659</v>
      </c>
      <c r="Q1249" s="9">
        <f>Table1[[#This Row], [ROOM TIME]]+Table1[[#This Row], [GUARD TIME]]</f>
        <v>43.857222222222212</v>
      </c>
      <c r="R1249" s="4">
        <f>Sheet1!$K$3*_xlfn.XLOOKUP(Table1[[#This Row], [DISGUISE]],Sheet1!$A$21:$A$23,Sheet1!$D$21:$D$23)</f>
        <v>66</v>
      </c>
      <c r="S1249" s="9">
        <f>Table1[[#This Row], [TOTAL TIME]]-Table1[[#This Row], [TOTAL TIME TAKEN]]</f>
        <v>22.142777777777788</v>
      </c>
      <c r="T1249" t="str">
        <f>IF(Table1[[#This Row], [TIME DIFFERENCE]]&gt;=0,"PASS","FAIL")</f>
        <v>PASS</v>
      </c>
      <c r="U1249" s="9">
        <f>Table1[[#This Row], [TRC]]+Table1[[#This Row], [DRC]]+Table1[[#This Row], [WRC]]+Table1[[#This Row], [ERC]]+Table1[[#This Row], [EQRC]]</f>
        <v>8094768.7999999989</v>
      </c>
      <c r="V1249" s="9">
        <f>Table1[[#This Row], [TOTAL COST]]+_xlfn.XLOOKUP(Table1[[#This Row], [TEAM]],Sheet1!$A$12:$A$17,Sheet1!$I$12:$I$17)</f>
        <v>8391268.7999999989</v>
      </c>
      <c r="W1249" s="9">
        <f>Table1[[#This Row], [LOOT]]-Table1[[#This Row], [TOTAL COST]]</f>
        <v>9455231.2000000011</v>
      </c>
      <c r="X1249" s="9">
        <f>IF(Table1[[#This Row], [PASS/FAIL]]="FAIL",0,Table1[[#This Row], [PROFIT]])</f>
        <v>9455231.2000000011</v>
      </c>
    </row>
    <row r="1250" spans="1:24" ht="19.5" customHeight="1" x14ac:dyDescent="0.45">
      <c r="A1250" t="s">
        <v>12</v>
      </c>
      <c r="B1250" s="14">
        <f>_xlfn.XLOOKUP(Table1[[#This Row], [TEAM]],Sheet1!$A$12:$A$17,Sheet1!$F$12:$F$17)</f>
        <v>3</v>
      </c>
      <c r="C1250" s="14">
        <f>_xlfn.XLOOKUP(Table1[[#This Row], [TEAM]],Sheet1!$A$12:$A$17,Sheet1!$G$12:$G$17)</f>
        <v>5988750</v>
      </c>
      <c r="D1250" t="s">
        <v>20</v>
      </c>
      <c r="E1250" s="4">
        <f>_xlfn.XLOOKUP(Table1[[#This Row], [ROOM]],Sheet1!$A$47:$A$66,Sheet1!$B$47:$B$66)</f>
        <v>145</v>
      </c>
      <c r="F1250" t="s">
        <v>62</v>
      </c>
      <c r="G1250" s="4">
        <f>_xlfn.XLOOKUP(Table1[[#This Row], [DISGUISE]],Sheet1!$A$21:$A$23,Sheet1!$B$21:$B$23)*Table1[[#This Row], [NUM OF MEM]]*(1+_xlfn.XLOOKUP(Table1[[#This Row], [DISGUISE]],Sheet1!$A$21:$A$23,Sheet1!$C$21:$C$23))</f>
        <v>15600</v>
      </c>
      <c r="H1250" s="13" t="s">
        <v>63</v>
      </c>
      <c r="I1250" s="4">
        <f>_xlfn.XLOOKUP(Table1[[#This Row], [WEAPON]],Sheet1!$A$27:$A$29,Sheet1!$B$27:$B$29)*Table1[[#This Row], [NUM OF MEM]]*(1+_xlfn.XLOOKUP(Table1[[#This Row], [WEAPON]],Sheet1!$A$27:$A$29,Sheet1!$C$27:$C$29))</f>
        <v>69000</v>
      </c>
      <c r="J1250" t="s">
        <v>64</v>
      </c>
      <c r="K1250" s="9">
        <f>Table1[[#This Row], [NUM OF MEM]]*Table1[[#This Row], [TOTAL TIME TAKEN]]*_xlfn.XLOOKUP(Table1[[#This Row], [EXIT]],Sheet1!$A$70:$A$71,Sheet1!$B$70:$B$71)*(1+_xlfn.XLOOKUP(Table1[[#This Row], [EXIT]],Sheet1!$A$70:$A$71,Sheet1!$C$70:$C$71))</f>
        <v>1713959.9999999998</v>
      </c>
      <c r="L1250" s="13" t="s">
        <v>65</v>
      </c>
      <c r="M1250" s="4">
        <f>IF(Table1[[#This Row], [EQUIPMENT]]="YES",Sheet1!$C$44*(1+Sheet1!$D$44),0)</f>
        <v>307500</v>
      </c>
      <c r="N1250" s="4">
        <f>_xlfn.XLOOKUP(Table1[[#This Row], [ROOM]],Sheet1!$A$47:$A$66,Sheet1!$F$47:$F$66)</f>
        <v>17550000</v>
      </c>
      <c r="O1250" s="9">
        <f>_xlfn.XLOOKUP(_xlfn.CONCAT(Table1[[#This Row], [TEAM]],Table1[[#This Row], [ROOM]]),'ROOM TIME'!$H$2:$H$121,'ROOM TIME'!$J$2:$J$121)</f>
        <v>39.583333333333321</v>
      </c>
      <c r="P1250" s="9">
        <f>(INDEX(Sheet1!$X$48:$Z$67,MATCH(Table1[[#This Row], [ROOM]],Sheet1!$P$48:$P$67,0),MATCH(Table1[[#This Row], [WEAPON]],Sheet1!$X$47:$Z$47,0)))/Table1[[#This Row], [NUM OF MEM]]</f>
        <v>4.5</v>
      </c>
      <c r="Q1250" s="9">
        <f>Table1[[#This Row], [ROOM TIME]]+Table1[[#This Row], [GUARD TIME]]</f>
        <v>44.083333333333321</v>
      </c>
      <c r="R1250" s="4">
        <f>Sheet1!$K$3*_xlfn.XLOOKUP(Table1[[#This Row], [DISGUISE]],Sheet1!$A$21:$A$23,Sheet1!$D$21:$D$23)</f>
        <v>66</v>
      </c>
      <c r="S1250" s="9">
        <f>Table1[[#This Row], [TOTAL TIME]]-Table1[[#This Row], [TOTAL TIME TAKEN]]</f>
        <v>21.916666666666679</v>
      </c>
      <c r="T1250" t="str">
        <f>IF(Table1[[#This Row], [TIME DIFFERENCE]]&gt;=0,"PASS","FAIL")</f>
        <v>PASS</v>
      </c>
      <c r="U1250" s="4">
        <f>Table1[[#This Row], [TRC]]+Table1[[#This Row], [DRC]]+Table1[[#This Row], [WRC]]+Table1[[#This Row], [ERC]]+Table1[[#This Row], [EQRC]]</f>
        <v>8094810</v>
      </c>
      <c r="V1250" s="9">
        <f>Table1[[#This Row], [TOTAL COST]]+_xlfn.XLOOKUP(Table1[[#This Row], [TEAM]],Sheet1!$A$12:$A$17,Sheet1!$I$12:$I$17)</f>
        <v>8394247.5</v>
      </c>
      <c r="W1250" s="4">
        <f>Table1[[#This Row], [LOOT]]-Table1[[#This Row], [TOTAL COST]]</f>
        <v>9455190</v>
      </c>
      <c r="X1250" s="4">
        <f>IF(Table1[[#This Row], [PASS/FAIL]]="FAIL",0,Table1[[#This Row], [PROFIT]])</f>
        <v>9455190</v>
      </c>
    </row>
    <row r="1251" spans="1:24" ht="19.5" customHeight="1" x14ac:dyDescent="0.45">
      <c r="A1251" t="s">
        <v>16</v>
      </c>
      <c r="B1251" s="14">
        <f>_xlfn.XLOOKUP(Table1[[#This Row], [TEAM]],Sheet1!$A$12:$A$17,Sheet1!$F$12:$F$17)</f>
        <v>2</v>
      </c>
      <c r="C1251" s="14">
        <f>_xlfn.XLOOKUP(Table1[[#This Row], [TEAM]],Sheet1!$A$12:$A$17,Sheet1!$G$12:$G$17)</f>
        <v>6082800</v>
      </c>
      <c r="D1251" t="s">
        <v>30</v>
      </c>
      <c r="E1251" s="4">
        <f>_xlfn.XLOOKUP(Table1[[#This Row], [ROOM]],Sheet1!$A$47:$A$66,Sheet1!$B$47:$B$66)</f>
        <v>246</v>
      </c>
      <c r="F1251" t="s">
        <v>62</v>
      </c>
      <c r="G1251" s="4">
        <f>_xlfn.XLOOKUP(Table1[[#This Row], [DISGUISE]],Sheet1!$A$21:$A$23,Sheet1!$B$21:$B$23)*Table1[[#This Row], [NUM OF MEM]]*(1+_xlfn.XLOOKUP(Table1[[#This Row], [DISGUISE]],Sheet1!$A$21:$A$23,Sheet1!$C$21:$C$23))</f>
        <v>10400</v>
      </c>
      <c r="H1251" s="13" t="s">
        <v>59</v>
      </c>
      <c r="I1251" s="4">
        <f>_xlfn.XLOOKUP(Table1[[#This Row], [WEAPON]],Sheet1!$A$27:$A$29,Sheet1!$B$27:$B$29)*Table1[[#This Row], [NUM OF MEM]]*(1+_xlfn.XLOOKUP(Table1[[#This Row], [WEAPON]],Sheet1!$A$27:$A$29,Sheet1!$C$27:$C$29))</f>
        <v>91000</v>
      </c>
      <c r="J1251" t="s">
        <v>60</v>
      </c>
      <c r="K1251" s="9">
        <f>Table1[[#This Row], [NUM OF MEM]]*Table1[[#This Row], [TOTAL TIME TAKEN]]*_xlfn.XLOOKUP(Table1[[#This Row], [EXIT]],Sheet1!$A$70:$A$71,Sheet1!$B$70:$B$71)*(1+_xlfn.XLOOKUP(Table1[[#This Row], [EXIT]],Sheet1!$A$70:$A$71,Sheet1!$C$70:$C$71))</f>
        <v>1653852.5999999996</v>
      </c>
      <c r="L1251" s="13" t="s">
        <v>65</v>
      </c>
      <c r="M1251" s="4">
        <f>IF(Table1[[#This Row], [EQUIPMENT]]="YES",Sheet1!$C$44*(1+Sheet1!$D$44),0)</f>
        <v>307500</v>
      </c>
      <c r="N1251" s="4">
        <f>_xlfn.XLOOKUP(Table1[[#This Row], [ROOM]],Sheet1!$A$47:$A$66,Sheet1!$F$47:$F$66)</f>
        <v>17600000</v>
      </c>
      <c r="O1251" s="9">
        <f>_xlfn.XLOOKUP(_xlfn.CONCAT(Table1[[#This Row], [TEAM]],Table1[[#This Row], [ROOM]]),'ROOM TIME'!$H$2:$H$121,'ROOM TIME'!$J$2:$J$121)</f>
        <v>57.539999999999985</v>
      </c>
      <c r="P1251" s="9">
        <f>(INDEX(Sheet1!$X$48:$Z$67,MATCH(Table1[[#This Row], [ROOM]],Sheet1!$P$48:$P$67,0),MATCH(Table1[[#This Row], [WEAPON]],Sheet1!$X$47:$Z$47,0)))/Table1[[#This Row], [NUM OF MEM]]</f>
        <v>6.8999999999999995</v>
      </c>
      <c r="Q1251" s="9">
        <f>Table1[[#This Row], [ROOM TIME]]+Table1[[#This Row], [GUARD TIME]]</f>
        <v>64.439999999999984</v>
      </c>
      <c r="R1251" s="4">
        <f>Sheet1!$K$3*_xlfn.XLOOKUP(Table1[[#This Row], [DISGUISE]],Sheet1!$A$21:$A$23,Sheet1!$D$21:$D$23)</f>
        <v>66</v>
      </c>
      <c r="S1251" s="9">
        <f>Table1[[#This Row], [TOTAL TIME]]-Table1[[#This Row], [TOTAL TIME TAKEN]]</f>
        <v>1.5600000000000165</v>
      </c>
      <c r="T1251" t="str">
        <f>IF(Table1[[#This Row], [TIME DIFFERENCE]]&gt;=0,"PASS","FAIL")</f>
        <v>PASS</v>
      </c>
      <c r="U1251" s="9">
        <f>Table1[[#This Row], [TRC]]+Table1[[#This Row], [DRC]]+Table1[[#This Row], [WRC]]+Table1[[#This Row], [ERC]]+Table1[[#This Row], [EQRC]]</f>
        <v>8145552.5999999996</v>
      </c>
      <c r="V1251" s="9">
        <f>Table1[[#This Row], [TOTAL COST]]+_xlfn.XLOOKUP(Table1[[#This Row], [TEAM]],Sheet1!$A$12:$A$17,Sheet1!$I$12:$I$17)</f>
        <v>8449692.5999999996</v>
      </c>
      <c r="W1251" s="9">
        <f>Table1[[#This Row], [LOOT]]-Table1[[#This Row], [TOTAL COST]]</f>
        <v>9454447.4000000004</v>
      </c>
      <c r="X1251" s="9">
        <f>IF(Table1[[#This Row], [PASS/FAIL]]="FAIL",0,Table1[[#This Row], [PROFIT]])</f>
        <v>9454447.4000000004</v>
      </c>
    </row>
    <row r="1252" spans="1:24" ht="19.5" customHeight="1" x14ac:dyDescent="0.45">
      <c r="A1252" t="s">
        <v>16</v>
      </c>
      <c r="B1252" s="14">
        <f>_xlfn.XLOOKUP(Table1[[#This Row], [TEAM]],Sheet1!$A$12:$A$17,Sheet1!$F$12:$F$17)</f>
        <v>2</v>
      </c>
      <c r="C1252" s="14">
        <f>_xlfn.XLOOKUP(Table1[[#This Row], [TEAM]],Sheet1!$A$12:$A$17,Sheet1!$G$12:$G$17)</f>
        <v>6082800</v>
      </c>
      <c r="D1252" t="s">
        <v>23</v>
      </c>
      <c r="E1252" s="4">
        <f>_xlfn.XLOOKUP(Table1[[#This Row], [ROOM]],Sheet1!$A$47:$A$66,Sheet1!$B$47:$B$66)</f>
        <v>245</v>
      </c>
      <c r="F1252" t="s">
        <v>58</v>
      </c>
      <c r="G1252" s="4">
        <f>_xlfn.XLOOKUP(Table1[[#This Row], [DISGUISE]],Sheet1!$A$21:$A$23,Sheet1!$B$21:$B$23)*Table1[[#This Row], [NUM OF MEM]]*(1+_xlfn.XLOOKUP(Table1[[#This Row], [DISGUISE]],Sheet1!$A$21:$A$23,Sheet1!$C$21:$C$23))</f>
        <v>25600</v>
      </c>
      <c r="H1252" s="13" t="s">
        <v>59</v>
      </c>
      <c r="I1252" s="4">
        <f>_xlfn.XLOOKUP(Table1[[#This Row], [WEAPON]],Sheet1!$A$27:$A$29,Sheet1!$B$27:$B$29)*Table1[[#This Row], [NUM OF MEM]]*(1+_xlfn.XLOOKUP(Table1[[#This Row], [WEAPON]],Sheet1!$A$27:$A$29,Sheet1!$C$27:$C$29))</f>
        <v>91000</v>
      </c>
      <c r="J1252" t="s">
        <v>64</v>
      </c>
      <c r="K1252" s="9">
        <f>Table1[[#This Row], [NUM OF MEM]]*Table1[[#This Row], [TOTAL TIME TAKEN]]*_xlfn.XLOOKUP(Table1[[#This Row], [EXIT]],Sheet1!$A$70:$A$71,Sheet1!$B$70:$B$71)*(1+_xlfn.XLOOKUP(Table1[[#This Row], [EXIT]],Sheet1!$A$70:$A$71,Sheet1!$C$70:$C$71))</f>
        <v>1746619.1999999997</v>
      </c>
      <c r="L1252" s="13" t="s">
        <v>61</v>
      </c>
      <c r="M1252" s="4">
        <f>IF(Table1[[#This Row], [EQUIPMENT]]="YES",Sheet1!$C$44*(1+Sheet1!$D$44),0)</f>
        <v>0</v>
      </c>
      <c r="N1252" s="4">
        <f>_xlfn.XLOOKUP(Table1[[#This Row], [ROOM]],Sheet1!$A$47:$A$66,Sheet1!$F$47:$F$66)</f>
        <v>17400000</v>
      </c>
      <c r="O1252" s="9">
        <f>_xlfn.XLOOKUP(_xlfn.CONCAT(Table1[[#This Row], [TEAM]],Table1[[#This Row], [ROOM]]),'ROOM TIME'!$H$2:$H$121,'ROOM TIME'!$J$2:$J$121)</f>
        <v>61.059999999999988</v>
      </c>
      <c r="P1252" s="9">
        <f>(INDEX(Sheet1!$X$48:$Z$67,MATCH(Table1[[#This Row], [ROOM]],Sheet1!$P$48:$P$67,0),MATCH(Table1[[#This Row], [WEAPON]],Sheet1!$X$47:$Z$47,0)))/Table1[[#This Row], [NUM OF MEM]]</f>
        <v>6.3249999999999993</v>
      </c>
      <c r="Q1252" s="9">
        <f>Table1[[#This Row], [ROOM TIME]]+Table1[[#This Row], [GUARD TIME]]</f>
        <v>67.384999999999991</v>
      </c>
      <c r="R1252" s="4">
        <f>Sheet1!$K$3*_xlfn.XLOOKUP(Table1[[#This Row], [DISGUISE]],Sheet1!$A$21:$A$23,Sheet1!$D$21:$D$23)</f>
        <v>69</v>
      </c>
      <c r="S1252" s="9">
        <f>Table1[[#This Row], [TOTAL TIME]]-Table1[[#This Row], [TOTAL TIME TAKEN]]</f>
        <v>1.6150000000000091</v>
      </c>
      <c r="T1252" t="str">
        <f>IF(Table1[[#This Row], [TIME DIFFERENCE]]&gt;=0,"PASS","FAIL")</f>
        <v>PASS</v>
      </c>
      <c r="U1252" s="9">
        <f>Table1[[#This Row], [TRC]]+Table1[[#This Row], [DRC]]+Table1[[#This Row], [WRC]]+Table1[[#This Row], [ERC]]+Table1[[#This Row], [EQRC]]</f>
        <v>7946019.1999999993</v>
      </c>
      <c r="V1252" s="9">
        <f>Table1[[#This Row], [TOTAL COST]]+_xlfn.XLOOKUP(Table1[[#This Row], [TEAM]],Sheet1!$A$12:$A$17,Sheet1!$I$12:$I$17)</f>
        <v>8250159.1999999993</v>
      </c>
      <c r="W1252" s="9">
        <f>Table1[[#This Row], [LOOT]]-Table1[[#This Row], [TOTAL COST]]</f>
        <v>9453980.8000000007</v>
      </c>
      <c r="X1252" s="9">
        <f>IF(Table1[[#This Row], [PASS/FAIL]]="FAIL",0,Table1[[#This Row], [PROFIT]])</f>
        <v>9453980.8000000007</v>
      </c>
    </row>
    <row r="1253" spans="1:24" ht="19.5" customHeight="1" x14ac:dyDescent="0.45">
      <c r="A1253" t="s">
        <v>16</v>
      </c>
      <c r="B1253" s="14">
        <f>_xlfn.XLOOKUP(Table1[[#This Row], [TEAM]],Sheet1!$A$12:$A$17,Sheet1!$F$12:$F$17)</f>
        <v>2</v>
      </c>
      <c r="C1253" s="14">
        <f>_xlfn.XLOOKUP(Table1[[#This Row], [TEAM]],Sheet1!$A$12:$A$17,Sheet1!$G$12:$G$17)</f>
        <v>6082800</v>
      </c>
      <c r="D1253" t="s">
        <v>30</v>
      </c>
      <c r="E1253" s="4">
        <f>_xlfn.XLOOKUP(Table1[[#This Row], [ROOM]],Sheet1!$A$47:$A$66,Sheet1!$B$47:$B$66)</f>
        <v>246</v>
      </c>
      <c r="F1253" t="s">
        <v>58</v>
      </c>
      <c r="G1253" s="4">
        <f>_xlfn.XLOOKUP(Table1[[#This Row], [DISGUISE]],Sheet1!$A$21:$A$23,Sheet1!$B$21:$B$23)*Table1[[#This Row], [NUM OF MEM]]*(1+_xlfn.XLOOKUP(Table1[[#This Row], [DISGUISE]],Sheet1!$A$21:$A$23,Sheet1!$C$21:$C$23))</f>
        <v>25600</v>
      </c>
      <c r="H1253" s="13" t="s">
        <v>63</v>
      </c>
      <c r="I1253" s="4">
        <f>_xlfn.XLOOKUP(Table1[[#This Row], [WEAPON]],Sheet1!$A$27:$A$29,Sheet1!$B$27:$B$29)*Table1[[#This Row], [NUM OF MEM]]*(1+_xlfn.XLOOKUP(Table1[[#This Row], [WEAPON]],Sheet1!$A$27:$A$29,Sheet1!$C$27:$C$29))</f>
        <v>46000</v>
      </c>
      <c r="J1253" t="s">
        <v>60</v>
      </c>
      <c r="K1253" s="9">
        <f>Table1[[#This Row], [NUM OF MEM]]*Table1[[#This Row], [TOTAL TIME TAKEN]]*_xlfn.XLOOKUP(Table1[[#This Row], [EXIT]],Sheet1!$A$70:$A$71,Sheet1!$B$70:$B$71)*(1+_xlfn.XLOOKUP(Table1[[#This Row], [EXIT]],Sheet1!$A$70:$A$71,Sheet1!$C$70:$C$71))</f>
        <v>1684650.5999999996</v>
      </c>
      <c r="L1253" s="13" t="s">
        <v>65</v>
      </c>
      <c r="M1253" s="4">
        <f>IF(Table1[[#This Row], [EQUIPMENT]]="YES",Sheet1!$C$44*(1+Sheet1!$D$44),0)</f>
        <v>307500</v>
      </c>
      <c r="N1253" s="4">
        <f>_xlfn.XLOOKUP(Table1[[#This Row], [ROOM]],Sheet1!$A$47:$A$66,Sheet1!$F$47:$F$66)</f>
        <v>17600000</v>
      </c>
      <c r="O1253" s="9">
        <f>_xlfn.XLOOKUP(_xlfn.CONCAT(Table1[[#This Row], [TEAM]],Table1[[#This Row], [ROOM]]),'ROOM TIME'!$H$2:$H$121,'ROOM TIME'!$J$2:$J$121)</f>
        <v>57.539999999999985</v>
      </c>
      <c r="P1253" s="9">
        <f>(INDEX(Sheet1!$X$48:$Z$67,MATCH(Table1[[#This Row], [ROOM]],Sheet1!$P$48:$P$67,0),MATCH(Table1[[#This Row], [WEAPON]],Sheet1!$X$47:$Z$47,0)))/Table1[[#This Row], [NUM OF MEM]]</f>
        <v>8.1000000000000014</v>
      </c>
      <c r="Q1253" s="9">
        <f>Table1[[#This Row], [ROOM TIME]]+Table1[[#This Row], [GUARD TIME]]</f>
        <v>65.639999999999986</v>
      </c>
      <c r="R1253" s="4">
        <f>Sheet1!$K$3*_xlfn.XLOOKUP(Table1[[#This Row], [DISGUISE]],Sheet1!$A$21:$A$23,Sheet1!$D$21:$D$23)</f>
        <v>69</v>
      </c>
      <c r="S1253" s="9">
        <f>Table1[[#This Row], [TOTAL TIME]]-Table1[[#This Row], [TOTAL TIME TAKEN]]</f>
        <v>3.3600000000000136</v>
      </c>
      <c r="T1253" t="str">
        <f>IF(Table1[[#This Row], [TIME DIFFERENCE]]&gt;=0,"PASS","FAIL")</f>
        <v>PASS</v>
      </c>
      <c r="U1253" s="9">
        <f>Table1[[#This Row], [TRC]]+Table1[[#This Row], [DRC]]+Table1[[#This Row], [WRC]]+Table1[[#This Row], [ERC]]+Table1[[#This Row], [EQRC]]</f>
        <v>8146550.5999999996</v>
      </c>
      <c r="V1253" s="9">
        <f>Table1[[#This Row], [TOTAL COST]]+_xlfn.XLOOKUP(Table1[[#This Row], [TEAM]],Sheet1!$A$12:$A$17,Sheet1!$I$12:$I$17)</f>
        <v>8450690.5999999996</v>
      </c>
      <c r="W1253" s="9">
        <f>Table1[[#This Row], [LOOT]]-Table1[[#This Row], [TOTAL COST]]</f>
        <v>9453449.4000000004</v>
      </c>
      <c r="X1253" s="9">
        <f>IF(Table1[[#This Row], [PASS/FAIL]]="FAIL",0,Table1[[#This Row], [PROFIT]])</f>
        <v>9453449.4000000004</v>
      </c>
    </row>
    <row r="1254" spans="1:24" ht="19.5" customHeight="1" x14ac:dyDescent="0.45">
      <c r="A1254" t="s">
        <v>13</v>
      </c>
      <c r="B1254" s="14">
        <f>_xlfn.XLOOKUP(Table1[[#This Row], [TEAM]],Sheet1!$A$12:$A$17,Sheet1!$F$12:$F$17)</f>
        <v>3</v>
      </c>
      <c r="C1254" s="14">
        <f>_xlfn.XLOOKUP(Table1[[#This Row], [TEAM]],Sheet1!$A$12:$A$17,Sheet1!$G$12:$G$17)</f>
        <v>5930000</v>
      </c>
      <c r="D1254" t="s">
        <v>31</v>
      </c>
      <c r="E1254" s="4">
        <f>_xlfn.XLOOKUP(Table1[[#This Row], [ROOM]],Sheet1!$A$47:$A$66,Sheet1!$B$47:$B$66)</f>
        <v>256</v>
      </c>
      <c r="F1254" t="s">
        <v>62</v>
      </c>
      <c r="G125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54" s="13" t="s">
        <v>66</v>
      </c>
      <c r="I1254" s="4">
        <f>_xlfn.XLOOKUP(Table1[[#This Row], [WEAPON]],Sheet1!$A$27:$A$29,Sheet1!$B$27:$B$29)*Table1[[#This Row], [NUM OF MEM]]*(1+_xlfn.XLOOKUP(Table1[[#This Row], [WEAPON]],Sheet1!$A$27:$A$29,Sheet1!$C$27:$C$29))</f>
        <v>108000</v>
      </c>
      <c r="J1254" t="s">
        <v>60</v>
      </c>
      <c r="K1254" s="9">
        <f>Table1[[#This Row], [NUM OF MEM]]*Table1[[#This Row], [TOTAL TIME TAKEN]]*_xlfn.XLOOKUP(Table1[[#This Row], [EXIT]],Sheet1!$A$70:$A$71,Sheet1!$B$70:$B$71)*(1+_xlfn.XLOOKUP(Table1[[#This Row], [EXIT]],Sheet1!$A$70:$A$71,Sheet1!$C$70:$C$71))</f>
        <v>1685463.3249999997</v>
      </c>
      <c r="L1254" s="13" t="s">
        <v>65</v>
      </c>
      <c r="M1254" s="4">
        <f>IF(Table1[[#This Row], [EQUIPMENT]]="YES",Sheet1!$C$44*(1+Sheet1!$D$44),0)</f>
        <v>307500</v>
      </c>
      <c r="N1254" s="4">
        <f>_xlfn.XLOOKUP(Table1[[#This Row], [ROOM]],Sheet1!$A$47:$A$66,Sheet1!$F$47:$F$66)</f>
        <v>17500000</v>
      </c>
      <c r="O1254" s="9">
        <f>_xlfn.XLOOKUP(_xlfn.CONCAT(Table1[[#This Row], [TEAM]],Table1[[#This Row], [ROOM]]),'ROOM TIME'!$H$2:$H$121,'ROOM TIME'!$J$2:$J$121)</f>
        <v>39.197777777777766</v>
      </c>
      <c r="P1254" s="9">
        <f>(INDEX(Sheet1!$X$48:$Z$67,MATCH(Table1[[#This Row], [ROOM]],Sheet1!$P$48:$P$67,0),MATCH(Table1[[#This Row], [WEAPON]],Sheet1!$X$47:$Z$47,0)))/Table1[[#This Row], [NUM OF MEM]]</f>
        <v>4.583333333333333</v>
      </c>
      <c r="Q1254" s="9">
        <f>Table1[[#This Row], [ROOM TIME]]+Table1[[#This Row], [GUARD TIME]]</f>
        <v>43.781111111111102</v>
      </c>
      <c r="R1254" s="4">
        <f>Sheet1!$K$3*_xlfn.XLOOKUP(Table1[[#This Row], [DISGUISE]],Sheet1!$A$21:$A$23,Sheet1!$D$21:$D$23)</f>
        <v>66</v>
      </c>
      <c r="S1254" s="9">
        <f>Table1[[#This Row], [TOTAL TIME]]-Table1[[#This Row], [TOTAL TIME TAKEN]]</f>
        <v>22.218888888888898</v>
      </c>
      <c r="T1254" t="str">
        <f>IF(Table1[[#This Row], [TIME DIFFERENCE]]&gt;=0,"PASS","FAIL")</f>
        <v>PASS</v>
      </c>
      <c r="U1254" s="9">
        <f>Table1[[#This Row], [TRC]]+Table1[[#This Row], [DRC]]+Table1[[#This Row], [WRC]]+Table1[[#This Row], [ERC]]+Table1[[#This Row], [EQRC]]</f>
        <v>8046563.3249999993</v>
      </c>
      <c r="V1254" s="9">
        <f>Table1[[#This Row], [TOTAL COST]]+_xlfn.XLOOKUP(Table1[[#This Row], [TEAM]],Sheet1!$A$12:$A$17,Sheet1!$I$12:$I$17)</f>
        <v>8343063.3249999993</v>
      </c>
      <c r="W1254" s="9">
        <f>Table1[[#This Row], [LOOT]]-Table1[[#This Row], [TOTAL COST]]</f>
        <v>9453436.6750000007</v>
      </c>
      <c r="X1254" s="9">
        <f>IF(Table1[[#This Row], [PASS/FAIL]]="FAIL",0,Table1[[#This Row], [PROFIT]])</f>
        <v>9453436.6750000007</v>
      </c>
    </row>
    <row r="1255" spans="1:24" ht="19.5" customHeight="1" x14ac:dyDescent="0.45">
      <c r="A1255" t="s">
        <v>9</v>
      </c>
      <c r="B1255" s="14">
        <f>_xlfn.XLOOKUP(Table1[[#This Row], [TEAM]],Sheet1!$A$12:$A$17,Sheet1!$F$12:$F$17)</f>
        <v>3</v>
      </c>
      <c r="C1255" s="14">
        <f>_xlfn.XLOOKUP(Table1[[#This Row], [TEAM]],Sheet1!$A$12:$A$17,Sheet1!$G$12:$G$17)</f>
        <v>6238750</v>
      </c>
      <c r="D1255" t="s">
        <v>21</v>
      </c>
      <c r="E1255" s="4">
        <f>_xlfn.XLOOKUP(Table1[[#This Row], [ROOM]],Sheet1!$A$47:$A$66,Sheet1!$B$47:$B$66)</f>
        <v>234</v>
      </c>
      <c r="F1255" t="s">
        <v>58</v>
      </c>
      <c r="G125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55" s="13" t="s">
        <v>66</v>
      </c>
      <c r="I1255" s="4">
        <f>_xlfn.XLOOKUP(Table1[[#This Row], [WEAPON]],Sheet1!$A$27:$A$29,Sheet1!$B$27:$B$29)*Table1[[#This Row], [NUM OF MEM]]*(1+_xlfn.XLOOKUP(Table1[[#This Row], [WEAPON]],Sheet1!$A$27:$A$29,Sheet1!$C$27:$C$29))</f>
        <v>108000</v>
      </c>
      <c r="J1255" t="s">
        <v>64</v>
      </c>
      <c r="K1255" s="9">
        <f>Table1[[#This Row], [NUM OF MEM]]*Table1[[#This Row], [TOTAL TIME TAKEN]]*_xlfn.XLOOKUP(Table1[[#This Row], [EXIT]],Sheet1!$A$70:$A$71,Sheet1!$B$70:$B$71)*(1+_xlfn.XLOOKUP(Table1[[#This Row], [EXIT]],Sheet1!$A$70:$A$71,Sheet1!$C$70:$C$71))</f>
        <v>1754092.7999999996</v>
      </c>
      <c r="L1255" s="13" t="s">
        <v>65</v>
      </c>
      <c r="M1255" s="4">
        <f>IF(Table1[[#This Row], [EQUIPMENT]]="YES",Sheet1!$C$44*(1+Sheet1!$D$44),0)</f>
        <v>307500</v>
      </c>
      <c r="N1255" s="4">
        <f>_xlfn.XLOOKUP(Table1[[#This Row], [ROOM]],Sheet1!$A$47:$A$66,Sheet1!$F$47:$F$66)</f>
        <v>17900000</v>
      </c>
      <c r="O1255" s="9">
        <f>_xlfn.XLOOKUP(_xlfn.CONCAT(Table1[[#This Row], [TEAM]],Table1[[#This Row], [ROOM]]),'ROOM TIME'!$H$2:$H$121,'ROOM TIME'!$J$2:$J$121)</f>
        <v>39.698888888888881</v>
      </c>
      <c r="P1255" s="9">
        <f>(INDEX(Sheet1!$X$48:$Z$67,MATCH(Table1[[#This Row], [ROOM]],Sheet1!$P$48:$P$67,0),MATCH(Table1[[#This Row], [WEAPON]],Sheet1!$X$47:$Z$47,0)))/Table1[[#This Row], [NUM OF MEM]]</f>
        <v>5.416666666666667</v>
      </c>
      <c r="Q1255" s="9">
        <f>Table1[[#This Row], [ROOM TIME]]+Table1[[#This Row], [GUARD TIME]]</f>
        <v>45.115555555555545</v>
      </c>
      <c r="R1255" s="4">
        <f>Sheet1!$K$3*_xlfn.XLOOKUP(Table1[[#This Row], [DISGUISE]],Sheet1!$A$21:$A$23,Sheet1!$D$21:$D$23)</f>
        <v>69</v>
      </c>
      <c r="S1255" s="9">
        <f>Table1[[#This Row], [TOTAL TIME]]-Table1[[#This Row], [TOTAL TIME TAKEN]]</f>
        <v>23.884444444444455</v>
      </c>
      <c r="T1255" t="str">
        <f>IF(Table1[[#This Row], [TIME DIFFERENCE]]&gt;=0,"PASS","FAIL")</f>
        <v>PASS</v>
      </c>
      <c r="U1255" s="9">
        <f>Table1[[#This Row], [TRC]]+Table1[[#This Row], [DRC]]+Table1[[#This Row], [WRC]]+Table1[[#This Row], [ERC]]+Table1[[#This Row], [EQRC]]</f>
        <v>8446742.8000000007</v>
      </c>
      <c r="V1255" s="9">
        <f>Table1[[#This Row], [TOTAL COST]]+_xlfn.XLOOKUP(Table1[[#This Row], [TEAM]],Sheet1!$A$12:$A$17,Sheet1!$I$12:$I$17)</f>
        <v>8758680.3000000007</v>
      </c>
      <c r="W1255" s="9">
        <f>Table1[[#This Row], [LOOT]]-Table1[[#This Row], [TOTAL COST]]</f>
        <v>9453257.1999999993</v>
      </c>
      <c r="X1255" s="9">
        <f>IF(Table1[[#This Row], [PASS/FAIL]]="FAIL",0,Table1[[#This Row], [PROFIT]])</f>
        <v>9453257.1999999993</v>
      </c>
    </row>
    <row r="1256" spans="1:24" ht="19.5" customHeight="1" x14ac:dyDescent="0.45">
      <c r="A1256" t="s">
        <v>12</v>
      </c>
      <c r="B1256" s="14">
        <f>_xlfn.XLOOKUP(Table1[[#This Row], [TEAM]],Sheet1!$A$12:$A$17,Sheet1!$F$12:$F$17)</f>
        <v>3</v>
      </c>
      <c r="C1256" s="14">
        <f>_xlfn.XLOOKUP(Table1[[#This Row], [TEAM]],Sheet1!$A$12:$A$17,Sheet1!$G$12:$G$17)</f>
        <v>5988750</v>
      </c>
      <c r="D1256" t="s">
        <v>31</v>
      </c>
      <c r="E1256" s="4">
        <f>_xlfn.XLOOKUP(Table1[[#This Row], [ROOM]],Sheet1!$A$47:$A$66,Sheet1!$B$47:$B$66)</f>
        <v>256</v>
      </c>
      <c r="F1256" t="s">
        <v>58</v>
      </c>
      <c r="G12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256" s="13" t="s">
        <v>63</v>
      </c>
      <c r="I1256" s="4">
        <f>_xlfn.XLOOKUP(Table1[[#This Row], [WEAPON]],Sheet1!$A$27:$A$29,Sheet1!$B$27:$B$29)*Table1[[#This Row], [NUM OF MEM]]*(1+_xlfn.XLOOKUP(Table1[[#This Row], [WEAPON]],Sheet1!$A$27:$A$29,Sheet1!$C$27:$C$29))</f>
        <v>69000</v>
      </c>
      <c r="J1256" t="s">
        <v>64</v>
      </c>
      <c r="K1256" s="9">
        <f>Table1[[#This Row], [NUM OF MEM]]*Table1[[#This Row], [TOTAL TIME TAKEN]]*_xlfn.XLOOKUP(Table1[[#This Row], [EXIT]],Sheet1!$A$70:$A$71,Sheet1!$B$70:$B$71)*(1+_xlfn.XLOOKUP(Table1[[#This Row], [EXIT]],Sheet1!$A$70:$A$71,Sheet1!$C$70:$C$71))</f>
        <v>1643198.3999999994</v>
      </c>
      <c r="L1256" s="13" t="s">
        <v>65</v>
      </c>
      <c r="M1256" s="4">
        <f>IF(Table1[[#This Row], [EQUIPMENT]]="YES",Sheet1!$C$44*(1+Sheet1!$D$44),0)</f>
        <v>307500</v>
      </c>
      <c r="N1256" s="4">
        <f>_xlfn.XLOOKUP(Table1[[#This Row], [ROOM]],Sheet1!$A$47:$A$66,Sheet1!$F$47:$F$66)</f>
        <v>17500000</v>
      </c>
      <c r="O1256" s="9">
        <f>_xlfn.XLOOKUP(_xlfn.CONCAT(Table1[[#This Row], [TEAM]],Table1[[#This Row], [ROOM]]),'ROOM TIME'!$H$2:$H$121,'ROOM TIME'!$J$2:$J$121)</f>
        <v>37.313333333333318</v>
      </c>
      <c r="P1256" s="9">
        <f>(INDEX(Sheet1!$X$48:$Z$67,MATCH(Table1[[#This Row], [ROOM]],Sheet1!$P$48:$P$67,0),MATCH(Table1[[#This Row], [WEAPON]],Sheet1!$X$47:$Z$47,0)))/Table1[[#This Row], [NUM OF MEM]]</f>
        <v>4.95</v>
      </c>
      <c r="Q1256" s="9">
        <f>Table1[[#This Row], [ROOM TIME]]+Table1[[#This Row], [GUARD TIME]]</f>
        <v>42.263333333333321</v>
      </c>
      <c r="R1256" s="4">
        <f>Sheet1!$K$3*_xlfn.XLOOKUP(Table1[[#This Row], [DISGUISE]],Sheet1!$A$21:$A$23,Sheet1!$D$21:$D$23)</f>
        <v>69</v>
      </c>
      <c r="S1256" s="9">
        <f>Table1[[#This Row], [TOTAL TIME]]-Table1[[#This Row], [TOTAL TIME TAKEN]]</f>
        <v>26.736666666666679</v>
      </c>
      <c r="T1256" t="str">
        <f>IF(Table1[[#This Row], [TIME DIFFERENCE]]&gt;=0,"PASS","FAIL")</f>
        <v>PASS</v>
      </c>
      <c r="U1256" s="9">
        <f>Table1[[#This Row], [TRC]]+Table1[[#This Row], [DRC]]+Table1[[#This Row], [WRC]]+Table1[[#This Row], [ERC]]+Table1[[#This Row], [EQRC]]</f>
        <v>8046848.3999999994</v>
      </c>
      <c r="V1256" s="9">
        <f>Table1[[#This Row], [TOTAL COST]]+_xlfn.XLOOKUP(Table1[[#This Row], [TEAM]],Sheet1!$A$12:$A$17,Sheet1!$I$12:$I$17)</f>
        <v>8346285.8999999994</v>
      </c>
      <c r="W1256" s="9">
        <f>Table1[[#This Row], [LOOT]]-Table1[[#This Row], [TOTAL COST]]</f>
        <v>9453151.6000000015</v>
      </c>
      <c r="X1256" s="9">
        <f>IF(Table1[[#This Row], [PASS/FAIL]]="FAIL",0,Table1[[#This Row], [PROFIT]])</f>
        <v>9453151.6000000015</v>
      </c>
    </row>
    <row r="1257" spans="1:24" ht="19.5" customHeight="1" x14ac:dyDescent="0.45">
      <c r="A1257" t="s">
        <v>12</v>
      </c>
      <c r="B1257" s="14">
        <f>_xlfn.XLOOKUP(Table1[[#This Row], [TEAM]],Sheet1!$A$12:$A$17,Sheet1!$F$12:$F$17)</f>
        <v>3</v>
      </c>
      <c r="C1257" s="14">
        <f>_xlfn.XLOOKUP(Table1[[#This Row], [TEAM]],Sheet1!$A$12:$A$17,Sheet1!$G$12:$G$17)</f>
        <v>5988750</v>
      </c>
      <c r="D1257" t="s">
        <v>31</v>
      </c>
      <c r="E1257" s="4">
        <f>_xlfn.XLOOKUP(Table1[[#This Row], [ROOM]],Sheet1!$A$47:$A$66,Sheet1!$B$47:$B$66)</f>
        <v>256</v>
      </c>
      <c r="F1257" t="s">
        <v>62</v>
      </c>
      <c r="G1257" s="4">
        <f>_xlfn.XLOOKUP(Table1[[#This Row], [DISGUISE]],Sheet1!$A$21:$A$23,Sheet1!$B$21:$B$23)*Table1[[#This Row], [NUM OF MEM]]*(1+_xlfn.XLOOKUP(Table1[[#This Row], [DISGUISE]],Sheet1!$A$21:$A$23,Sheet1!$C$21:$C$23))</f>
        <v>15600</v>
      </c>
      <c r="H1257" s="13" t="s">
        <v>59</v>
      </c>
      <c r="I1257" s="4">
        <f>_xlfn.XLOOKUP(Table1[[#This Row], [WEAPON]],Sheet1!$A$27:$A$29,Sheet1!$B$27:$B$29)*Table1[[#This Row], [NUM OF MEM]]*(1+_xlfn.XLOOKUP(Table1[[#This Row], [WEAPON]],Sheet1!$A$27:$A$29,Sheet1!$C$27:$C$29))</f>
        <v>136500</v>
      </c>
      <c r="J1257" t="s">
        <v>60</v>
      </c>
      <c r="K1257" s="9">
        <f>Table1[[#This Row], [NUM OF MEM]]*Table1[[#This Row], [TOTAL TIME TAKEN]]*_xlfn.XLOOKUP(Table1[[#This Row], [EXIT]],Sheet1!$A$70:$A$71,Sheet1!$B$70:$B$71)*(1+_xlfn.XLOOKUP(Table1[[#This Row], [EXIT]],Sheet1!$A$70:$A$71,Sheet1!$C$70:$C$71))</f>
        <v>1598801.1749999996</v>
      </c>
      <c r="L1257" s="13" t="s">
        <v>65</v>
      </c>
      <c r="M1257" s="4">
        <f>IF(Table1[[#This Row], [EQUIPMENT]]="YES",Sheet1!$C$44*(1+Sheet1!$D$44),0)</f>
        <v>307500</v>
      </c>
      <c r="N1257" s="4">
        <f>_xlfn.XLOOKUP(Table1[[#This Row], [ROOM]],Sheet1!$A$47:$A$66,Sheet1!$F$47:$F$66)</f>
        <v>17500000</v>
      </c>
      <c r="O1257" s="9">
        <f>_xlfn.XLOOKUP(_xlfn.CONCAT(Table1[[#This Row], [TEAM]],Table1[[#This Row], [ROOM]]),'ROOM TIME'!$H$2:$H$121,'ROOM TIME'!$J$2:$J$121)</f>
        <v>37.313333333333318</v>
      </c>
      <c r="P1257" s="9">
        <f>(INDEX(Sheet1!$X$48:$Z$67,MATCH(Table1[[#This Row], [ROOM]],Sheet1!$P$48:$P$67,0),MATCH(Table1[[#This Row], [WEAPON]],Sheet1!$X$47:$Z$47,0)))/Table1[[#This Row], [NUM OF MEM]]</f>
        <v>4.2166666666666659</v>
      </c>
      <c r="Q1257" s="9">
        <f>Table1[[#This Row], [ROOM TIME]]+Table1[[#This Row], [GUARD TIME]]</f>
        <v>41.529999999999987</v>
      </c>
      <c r="R1257" s="4">
        <f>Sheet1!$K$3*_xlfn.XLOOKUP(Table1[[#This Row], [DISGUISE]],Sheet1!$A$21:$A$23,Sheet1!$D$21:$D$23)</f>
        <v>66</v>
      </c>
      <c r="S1257" s="9">
        <f>Table1[[#This Row], [TOTAL TIME]]-Table1[[#This Row], [TOTAL TIME TAKEN]]</f>
        <v>24.470000000000013</v>
      </c>
      <c r="T1257" t="str">
        <f>IF(Table1[[#This Row], [TIME DIFFERENCE]]&gt;=0,"PASS","FAIL")</f>
        <v>PASS</v>
      </c>
      <c r="U1257" s="9">
        <f>Table1[[#This Row], [TRC]]+Table1[[#This Row], [DRC]]+Table1[[#This Row], [WRC]]+Table1[[#This Row], [ERC]]+Table1[[#This Row], [EQRC]]</f>
        <v>8047151.1749999998</v>
      </c>
      <c r="V1257" s="9">
        <f>Table1[[#This Row], [TOTAL COST]]+_xlfn.XLOOKUP(Table1[[#This Row], [TEAM]],Sheet1!$A$12:$A$17,Sheet1!$I$12:$I$17)</f>
        <v>8346588.6749999998</v>
      </c>
      <c r="W1257" s="9">
        <f>Table1[[#This Row], [LOOT]]-Table1[[#This Row], [TOTAL COST]]</f>
        <v>9452848.8249999993</v>
      </c>
      <c r="X1257" s="9">
        <f>IF(Table1[[#This Row], [PASS/FAIL]]="FAIL",0,Table1[[#This Row], [PROFIT]])</f>
        <v>9452848.8249999993</v>
      </c>
    </row>
    <row r="1258" spans="1:24" ht="19.5" customHeight="1" x14ac:dyDescent="0.45">
      <c r="A1258" t="s">
        <v>9</v>
      </c>
      <c r="B1258" s="14">
        <f>_xlfn.XLOOKUP(Table1[[#This Row], [TEAM]],Sheet1!$A$12:$A$17,Sheet1!$F$12:$F$17)</f>
        <v>3</v>
      </c>
      <c r="C1258" s="14">
        <f>_xlfn.XLOOKUP(Table1[[#This Row], [TEAM]],Sheet1!$A$12:$A$17,Sheet1!$G$12:$G$17)</f>
        <v>6238750</v>
      </c>
      <c r="D1258" t="s">
        <v>28</v>
      </c>
      <c r="E1258" s="4">
        <f>_xlfn.XLOOKUP(Table1[[#This Row], [ROOM]],Sheet1!$A$47:$A$66,Sheet1!$B$47:$B$66)</f>
        <v>156</v>
      </c>
      <c r="F1258" t="s">
        <v>58</v>
      </c>
      <c r="G1258" s="4">
        <f>_xlfn.XLOOKUP(Table1[[#This Row], [DISGUISE]],Sheet1!$A$21:$A$23,Sheet1!$B$21:$B$23)*Table1[[#This Row], [NUM OF MEM]]*(1+_xlfn.XLOOKUP(Table1[[#This Row], [DISGUISE]],Sheet1!$A$21:$A$23,Sheet1!$C$21:$C$23))</f>
        <v>38400</v>
      </c>
      <c r="H1258" s="13" t="s">
        <v>63</v>
      </c>
      <c r="I1258" s="4">
        <f>_xlfn.XLOOKUP(Table1[[#This Row], [WEAPON]],Sheet1!$A$27:$A$29,Sheet1!$B$27:$B$29)*Table1[[#This Row], [NUM OF MEM]]*(1+_xlfn.XLOOKUP(Table1[[#This Row], [WEAPON]],Sheet1!$A$27:$A$29,Sheet1!$C$27:$C$29))</f>
        <v>69000</v>
      </c>
      <c r="J1258" t="s">
        <v>64</v>
      </c>
      <c r="K1258" s="9">
        <f>Table1[[#This Row], [NUM OF MEM]]*Table1[[#This Row], [TOTAL TIME TAKEN]]*_xlfn.XLOOKUP(Table1[[#This Row], [EXIT]],Sheet1!$A$70:$A$71,Sheet1!$B$70:$B$71)*(1+_xlfn.XLOOKUP(Table1[[#This Row], [EXIT]],Sheet1!$A$70:$A$71,Sheet1!$C$70:$C$71))</f>
        <v>1543730.3999999997</v>
      </c>
      <c r="L1258" s="13" t="s">
        <v>65</v>
      </c>
      <c r="M1258" s="4">
        <f>IF(Table1[[#This Row], [EQUIPMENT]]="YES",Sheet1!$C$44*(1+Sheet1!$D$44),0)</f>
        <v>307500</v>
      </c>
      <c r="N1258" s="4">
        <f>_xlfn.XLOOKUP(Table1[[#This Row], [ROOM]],Sheet1!$A$47:$A$66,Sheet1!$F$47:$F$66)</f>
        <v>17650000</v>
      </c>
      <c r="O1258" s="9">
        <f>_xlfn.XLOOKUP(_xlfn.CONCAT(Table1[[#This Row], [TEAM]],Table1[[#This Row], [ROOM]]),'ROOM TIME'!$H$2:$H$121,'ROOM TIME'!$J$2:$J$121)</f>
        <v>35.204999999999991</v>
      </c>
      <c r="P1258" s="9">
        <f>(INDEX(Sheet1!$X$48:$Z$67,MATCH(Table1[[#This Row], [ROOM]],Sheet1!$P$48:$P$67,0),MATCH(Table1[[#This Row], [WEAPON]],Sheet1!$X$47:$Z$47,0)))/Table1[[#This Row], [NUM OF MEM]]</f>
        <v>4.5</v>
      </c>
      <c r="Q1258" s="9">
        <f>Table1[[#This Row], [ROOM TIME]]+Table1[[#This Row], [GUARD TIME]]</f>
        <v>39.704999999999991</v>
      </c>
      <c r="R1258" s="4">
        <f>Sheet1!$K$3*_xlfn.XLOOKUP(Table1[[#This Row], [DISGUISE]],Sheet1!$A$21:$A$23,Sheet1!$D$21:$D$23)</f>
        <v>69</v>
      </c>
      <c r="S1258" s="9">
        <f>Table1[[#This Row], [TOTAL TIME]]-Table1[[#This Row], [TOTAL TIME TAKEN]]</f>
        <v>29.295000000000009</v>
      </c>
      <c r="T1258" t="str">
        <f>IF(Table1[[#This Row], [TIME DIFFERENCE]]&gt;=0,"PASS","FAIL")</f>
        <v>PASS</v>
      </c>
      <c r="U1258" s="9">
        <f>Table1[[#This Row], [TRC]]+Table1[[#This Row], [DRC]]+Table1[[#This Row], [WRC]]+Table1[[#This Row], [ERC]]+Table1[[#This Row], [EQRC]]</f>
        <v>8197380.3999999994</v>
      </c>
      <c r="V1258" s="9">
        <f>Table1[[#This Row], [TOTAL COST]]+_xlfn.XLOOKUP(Table1[[#This Row], [TEAM]],Sheet1!$A$12:$A$17,Sheet1!$I$12:$I$17)</f>
        <v>8509317.8999999985</v>
      </c>
      <c r="W1258" s="9">
        <f>Table1[[#This Row], [LOOT]]-Table1[[#This Row], [TOTAL COST]]</f>
        <v>9452619.6000000015</v>
      </c>
      <c r="X1258" s="9">
        <f>IF(Table1[[#This Row], [PASS/FAIL]]="FAIL",0,Table1[[#This Row], [PROFIT]])</f>
        <v>9452619.6000000015</v>
      </c>
    </row>
    <row r="1259" spans="1:24" ht="19.5" customHeight="1" x14ac:dyDescent="0.45">
      <c r="A1259" t="s">
        <v>16</v>
      </c>
      <c r="B1259" s="14">
        <f>_xlfn.XLOOKUP(Table1[[#This Row], [TEAM]],Sheet1!$A$12:$A$17,Sheet1!$F$12:$F$17)</f>
        <v>2</v>
      </c>
      <c r="C1259" s="14">
        <f>_xlfn.XLOOKUP(Table1[[#This Row], [TEAM]],Sheet1!$A$12:$A$17,Sheet1!$G$12:$G$17)</f>
        <v>6082800</v>
      </c>
      <c r="D1259" t="s">
        <v>30</v>
      </c>
      <c r="E1259" s="4">
        <f>_xlfn.XLOOKUP(Table1[[#This Row], [ROOM]],Sheet1!$A$47:$A$66,Sheet1!$B$47:$B$66)</f>
        <v>246</v>
      </c>
      <c r="F1259" t="s">
        <v>62</v>
      </c>
      <c r="G1259" s="4">
        <f>_xlfn.XLOOKUP(Table1[[#This Row], [DISGUISE]],Sheet1!$A$21:$A$23,Sheet1!$B$21:$B$23)*Table1[[#This Row], [NUM OF MEM]]*(1+_xlfn.XLOOKUP(Table1[[#This Row], [DISGUISE]],Sheet1!$A$21:$A$23,Sheet1!$C$21:$C$23))</f>
        <v>10400</v>
      </c>
      <c r="H1259" s="13" t="s">
        <v>63</v>
      </c>
      <c r="I1259" s="4">
        <f>_xlfn.XLOOKUP(Table1[[#This Row], [WEAPON]],Sheet1!$A$27:$A$29,Sheet1!$B$27:$B$29)*Table1[[#This Row], [NUM OF MEM]]*(1+_xlfn.XLOOKUP(Table1[[#This Row], [WEAPON]],Sheet1!$A$27:$A$29,Sheet1!$C$27:$C$29))</f>
        <v>46000</v>
      </c>
      <c r="J1259" t="s">
        <v>64</v>
      </c>
      <c r="K1259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1259" s="13" t="s">
        <v>65</v>
      </c>
      <c r="M1259" s="4">
        <f>IF(Table1[[#This Row], [EQUIPMENT]]="YES",Sheet1!$C$44*(1+Sheet1!$D$44),0)</f>
        <v>307500</v>
      </c>
      <c r="N1259" s="4">
        <f>_xlfn.XLOOKUP(Table1[[#This Row], [ROOM]],Sheet1!$A$47:$A$66,Sheet1!$F$47:$F$66)</f>
        <v>17600000</v>
      </c>
      <c r="O1259" s="9">
        <f>_xlfn.XLOOKUP(_xlfn.CONCAT(Table1[[#This Row], [TEAM]],Table1[[#This Row], [ROOM]]),'ROOM TIME'!$H$2:$H$121,'ROOM TIME'!$J$2:$J$121)</f>
        <v>57.539999999999985</v>
      </c>
      <c r="P1259" s="9">
        <f>(INDEX(Sheet1!$X$48:$Z$67,MATCH(Table1[[#This Row], [ROOM]],Sheet1!$P$48:$P$67,0),MATCH(Table1[[#This Row], [WEAPON]],Sheet1!$X$47:$Z$47,0)))/Table1[[#This Row], [NUM OF MEM]]</f>
        <v>8.1000000000000014</v>
      </c>
      <c r="Q1259" s="9">
        <f>Table1[[#This Row], [ROOM TIME]]+Table1[[#This Row], [GUARD TIME]]</f>
        <v>65.639999999999986</v>
      </c>
      <c r="R1259" s="4">
        <f>Sheet1!$K$3*_xlfn.XLOOKUP(Table1[[#This Row], [DISGUISE]],Sheet1!$A$21:$A$23,Sheet1!$D$21:$D$23)</f>
        <v>66</v>
      </c>
      <c r="S1259" s="9">
        <f>Table1[[#This Row], [TOTAL TIME]]-Table1[[#This Row], [TOTAL TIME TAKEN]]</f>
        <v>0.36000000000001364</v>
      </c>
      <c r="T1259" t="str">
        <f>IF(Table1[[#This Row], [TIME DIFFERENCE]]&gt;=0,"PASS","FAIL")</f>
        <v>PASS</v>
      </c>
      <c r="U1259" s="9">
        <f>Table1[[#This Row], [TRC]]+Table1[[#This Row], [DRC]]+Table1[[#This Row], [WRC]]+Table1[[#This Row], [ERC]]+Table1[[#This Row], [EQRC]]</f>
        <v>8148088.7999999998</v>
      </c>
      <c r="V1259" s="9">
        <f>Table1[[#This Row], [TOTAL COST]]+_xlfn.XLOOKUP(Table1[[#This Row], [TEAM]],Sheet1!$A$12:$A$17,Sheet1!$I$12:$I$17)</f>
        <v>8452228.8000000007</v>
      </c>
      <c r="W1259" s="9">
        <f>Table1[[#This Row], [LOOT]]-Table1[[#This Row], [TOTAL COST]]</f>
        <v>9451911.1999999993</v>
      </c>
      <c r="X1259" s="9">
        <f>IF(Table1[[#This Row], [PASS/FAIL]]="FAIL",0,Table1[[#This Row], [PROFIT]])</f>
        <v>9451911.1999999993</v>
      </c>
    </row>
    <row r="1260" spans="1:24" ht="19.5" customHeight="1" x14ac:dyDescent="0.45">
      <c r="A1260" t="s">
        <v>12</v>
      </c>
      <c r="B1260" s="14">
        <f>_xlfn.XLOOKUP(Table1[[#This Row], [TEAM]],Sheet1!$A$12:$A$17,Sheet1!$F$12:$F$17)</f>
        <v>3</v>
      </c>
      <c r="C1260" s="14">
        <f>_xlfn.XLOOKUP(Table1[[#This Row], [TEAM]],Sheet1!$A$12:$A$17,Sheet1!$G$12:$G$17)</f>
        <v>5988750</v>
      </c>
      <c r="D1260" t="s">
        <v>31</v>
      </c>
      <c r="E1260" s="4">
        <f>_xlfn.XLOOKUP(Table1[[#This Row], [ROOM]],Sheet1!$A$47:$A$66,Sheet1!$B$47:$B$66)</f>
        <v>256</v>
      </c>
      <c r="F1260" t="s">
        <v>62</v>
      </c>
      <c r="G1260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0" s="13" t="s">
        <v>66</v>
      </c>
      <c r="I1260" s="4">
        <f>_xlfn.XLOOKUP(Table1[[#This Row], [WEAPON]],Sheet1!$A$27:$A$29,Sheet1!$B$27:$B$29)*Table1[[#This Row], [NUM OF MEM]]*(1+_xlfn.XLOOKUP(Table1[[#This Row], [WEAPON]],Sheet1!$A$27:$A$29,Sheet1!$C$27:$C$29))</f>
        <v>108000</v>
      </c>
      <c r="J1260" t="s">
        <v>64</v>
      </c>
      <c r="K1260" s="9">
        <f>Table1[[#This Row], [NUM OF MEM]]*Table1[[#This Row], [TOTAL TIME TAKEN]]*_xlfn.XLOOKUP(Table1[[#This Row], [EXIT]],Sheet1!$A$70:$A$71,Sheet1!$B$70:$B$71)*(1+_xlfn.XLOOKUP(Table1[[#This Row], [EXIT]],Sheet1!$A$70:$A$71,Sheet1!$C$70:$C$71))</f>
        <v>1628942.3999999997</v>
      </c>
      <c r="L1260" s="13" t="s">
        <v>65</v>
      </c>
      <c r="M1260" s="4">
        <f>IF(Table1[[#This Row], [EQUIPMENT]]="YES",Sheet1!$C$44*(1+Sheet1!$D$44),0)</f>
        <v>307500</v>
      </c>
      <c r="N1260" s="4">
        <f>_xlfn.XLOOKUP(Table1[[#This Row], [ROOM]],Sheet1!$A$47:$A$66,Sheet1!$F$47:$F$66)</f>
        <v>17500000</v>
      </c>
      <c r="O1260" s="9">
        <f>_xlfn.XLOOKUP(_xlfn.CONCAT(Table1[[#This Row], [TEAM]],Table1[[#This Row], [ROOM]]),'ROOM TIME'!$H$2:$H$121,'ROOM TIME'!$J$2:$J$121)</f>
        <v>37.313333333333318</v>
      </c>
      <c r="P1260" s="9">
        <f>(INDEX(Sheet1!$X$48:$Z$67,MATCH(Table1[[#This Row], [ROOM]],Sheet1!$P$48:$P$67,0),MATCH(Table1[[#This Row], [WEAPON]],Sheet1!$X$47:$Z$47,0)))/Table1[[#This Row], [NUM OF MEM]]</f>
        <v>4.583333333333333</v>
      </c>
      <c r="Q1260" s="9">
        <f>Table1[[#This Row], [ROOM TIME]]+Table1[[#This Row], [GUARD TIME]]</f>
        <v>41.896666666666654</v>
      </c>
      <c r="R1260" s="4">
        <f>Sheet1!$K$3*_xlfn.XLOOKUP(Table1[[#This Row], [DISGUISE]],Sheet1!$A$21:$A$23,Sheet1!$D$21:$D$23)</f>
        <v>66</v>
      </c>
      <c r="S1260" s="9">
        <f>Table1[[#This Row], [TOTAL TIME]]-Table1[[#This Row], [TOTAL TIME TAKEN]]</f>
        <v>24.103333333333346</v>
      </c>
      <c r="T1260" t="str">
        <f>IF(Table1[[#This Row], [TIME DIFFERENCE]]&gt;=0,"PASS","FAIL")</f>
        <v>PASS</v>
      </c>
      <c r="U1260" s="9">
        <f>Table1[[#This Row], [TRC]]+Table1[[#This Row], [DRC]]+Table1[[#This Row], [WRC]]+Table1[[#This Row], [ERC]]+Table1[[#This Row], [EQRC]]</f>
        <v>8048792.3999999994</v>
      </c>
      <c r="V1260" s="9">
        <f>Table1[[#This Row], [TOTAL COST]]+_xlfn.XLOOKUP(Table1[[#This Row], [TEAM]],Sheet1!$A$12:$A$17,Sheet1!$I$12:$I$17)</f>
        <v>8348229.8999999994</v>
      </c>
      <c r="W1260" s="9">
        <f>Table1[[#This Row], [LOOT]]-Table1[[#This Row], [TOTAL COST]]</f>
        <v>9451207.6000000015</v>
      </c>
      <c r="X1260" s="9">
        <f>IF(Table1[[#This Row], [PASS/FAIL]]="FAIL",0,Table1[[#This Row], [PROFIT]])</f>
        <v>9451207.6000000015</v>
      </c>
    </row>
    <row r="1261" spans="1:24" ht="19.5" customHeight="1" x14ac:dyDescent="0.45">
      <c r="A1261" t="s">
        <v>9</v>
      </c>
      <c r="B1261" s="14">
        <f>_xlfn.XLOOKUP(Table1[[#This Row], [TEAM]],Sheet1!$A$12:$A$17,Sheet1!$F$12:$F$17)</f>
        <v>3</v>
      </c>
      <c r="C1261" s="14">
        <f>_xlfn.XLOOKUP(Table1[[#This Row], [TEAM]],Sheet1!$A$12:$A$17,Sheet1!$G$12:$G$17)</f>
        <v>6238750</v>
      </c>
      <c r="D1261" t="s">
        <v>28</v>
      </c>
      <c r="E1261" s="4">
        <f>_xlfn.XLOOKUP(Table1[[#This Row], [ROOM]],Sheet1!$A$47:$A$66,Sheet1!$B$47:$B$66)</f>
        <v>156</v>
      </c>
      <c r="F1261" t="s">
        <v>62</v>
      </c>
      <c r="G126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1" s="13" t="s">
        <v>66</v>
      </c>
      <c r="I1261" s="4">
        <f>_xlfn.XLOOKUP(Table1[[#This Row], [WEAPON]],Sheet1!$A$27:$A$29,Sheet1!$B$27:$B$29)*Table1[[#This Row], [NUM OF MEM]]*(1+_xlfn.XLOOKUP(Table1[[#This Row], [WEAPON]],Sheet1!$A$27:$A$29,Sheet1!$C$27:$C$29))</f>
        <v>108000</v>
      </c>
      <c r="J1261" t="s">
        <v>64</v>
      </c>
      <c r="K1261" s="9">
        <f>Table1[[#This Row], [NUM OF MEM]]*Table1[[#This Row], [TOTAL TIME TAKEN]]*_xlfn.XLOOKUP(Table1[[#This Row], [EXIT]],Sheet1!$A$70:$A$71,Sheet1!$B$70:$B$71)*(1+_xlfn.XLOOKUP(Table1[[#This Row], [EXIT]],Sheet1!$A$70:$A$71,Sheet1!$C$70:$C$71))</f>
        <v>1530770.3999999994</v>
      </c>
      <c r="L1261" s="13" t="s">
        <v>65</v>
      </c>
      <c r="M1261" s="4">
        <f>IF(Table1[[#This Row], [EQUIPMENT]]="YES",Sheet1!$C$44*(1+Sheet1!$D$44),0)</f>
        <v>307500</v>
      </c>
      <c r="N1261" s="4">
        <f>_xlfn.XLOOKUP(Table1[[#This Row], [ROOM]],Sheet1!$A$47:$A$66,Sheet1!$F$47:$F$66)</f>
        <v>17650000</v>
      </c>
      <c r="O1261" s="9">
        <f>_xlfn.XLOOKUP(_xlfn.CONCAT(Table1[[#This Row], [TEAM]],Table1[[#This Row], [ROOM]]),'ROOM TIME'!$H$2:$H$121,'ROOM TIME'!$J$2:$J$121)</f>
        <v>35.204999999999991</v>
      </c>
      <c r="P1261" s="9">
        <f>(INDEX(Sheet1!$X$48:$Z$67,MATCH(Table1[[#This Row], [ROOM]],Sheet1!$P$48:$P$67,0),MATCH(Table1[[#This Row], [WEAPON]],Sheet1!$X$47:$Z$47,0)))/Table1[[#This Row], [NUM OF MEM]]</f>
        <v>4.166666666666667</v>
      </c>
      <c r="Q1261" s="9">
        <f>Table1[[#This Row], [ROOM TIME]]+Table1[[#This Row], [GUARD TIME]]</f>
        <v>39.371666666666655</v>
      </c>
      <c r="R1261" s="4">
        <f>Sheet1!$K$3*_xlfn.XLOOKUP(Table1[[#This Row], [DISGUISE]],Sheet1!$A$21:$A$23,Sheet1!$D$21:$D$23)</f>
        <v>66</v>
      </c>
      <c r="S1261" s="9">
        <f>Table1[[#This Row], [TOTAL TIME]]-Table1[[#This Row], [TOTAL TIME TAKEN]]</f>
        <v>26.628333333333345</v>
      </c>
      <c r="T1261" t="str">
        <f>IF(Table1[[#This Row], [TIME DIFFERENCE]]&gt;=0,"PASS","FAIL")</f>
        <v>PASS</v>
      </c>
      <c r="U1261" s="9">
        <f>Table1[[#This Row], [TRC]]+Table1[[#This Row], [DRC]]+Table1[[#This Row], [WRC]]+Table1[[#This Row], [ERC]]+Table1[[#This Row], [EQRC]]</f>
        <v>8200620.3999999994</v>
      </c>
      <c r="V1261" s="9">
        <f>Table1[[#This Row], [TOTAL COST]]+_xlfn.XLOOKUP(Table1[[#This Row], [TEAM]],Sheet1!$A$12:$A$17,Sheet1!$I$12:$I$17)</f>
        <v>8512557.8999999985</v>
      </c>
      <c r="W1261" s="9">
        <f>Table1[[#This Row], [LOOT]]-Table1[[#This Row], [TOTAL COST]]</f>
        <v>9449379.6000000015</v>
      </c>
      <c r="X1261" s="9">
        <f>IF(Table1[[#This Row], [PASS/FAIL]]="FAIL",0,Table1[[#This Row], [PROFIT]])</f>
        <v>9449379.6000000015</v>
      </c>
    </row>
    <row r="1262" spans="1:24" ht="19.5" customHeight="1" x14ac:dyDescent="0.45">
      <c r="A1262" t="s">
        <v>12</v>
      </c>
      <c r="B1262" s="14">
        <f>_xlfn.XLOOKUP(Table1[[#This Row], [TEAM]],Sheet1!$A$12:$A$17,Sheet1!$F$12:$F$17)</f>
        <v>3</v>
      </c>
      <c r="C1262" s="14">
        <f>_xlfn.XLOOKUP(Table1[[#This Row], [TEAM]],Sheet1!$A$12:$A$17,Sheet1!$G$12:$G$17)</f>
        <v>5988750</v>
      </c>
      <c r="D1262" t="s">
        <v>20</v>
      </c>
      <c r="E1262" s="4">
        <f>_xlfn.XLOOKUP(Table1[[#This Row], [ROOM]],Sheet1!$A$47:$A$66,Sheet1!$B$47:$B$66)</f>
        <v>145</v>
      </c>
      <c r="F1262" t="s">
        <v>58</v>
      </c>
      <c r="G1262" s="4">
        <f>_xlfn.XLOOKUP(Table1[[#This Row], [DISGUISE]],Sheet1!$A$21:$A$23,Sheet1!$B$21:$B$23)*Table1[[#This Row], [NUM OF MEM]]*(1+_xlfn.XLOOKUP(Table1[[#This Row], [DISGUISE]],Sheet1!$A$21:$A$23,Sheet1!$C$21:$C$23))</f>
        <v>38400</v>
      </c>
      <c r="H1262" s="13" t="s">
        <v>63</v>
      </c>
      <c r="I1262" s="4">
        <f>_xlfn.XLOOKUP(Table1[[#This Row], [WEAPON]],Sheet1!$A$27:$A$29,Sheet1!$B$27:$B$29)*Table1[[#This Row], [NUM OF MEM]]*(1+_xlfn.XLOOKUP(Table1[[#This Row], [WEAPON]],Sheet1!$A$27:$A$29,Sheet1!$C$27:$C$29))</f>
        <v>69000</v>
      </c>
      <c r="J1262" t="s">
        <v>60</v>
      </c>
      <c r="K1262" s="9">
        <f>Table1[[#This Row], [NUM OF MEM]]*Table1[[#This Row], [TOTAL TIME TAKEN]]*_xlfn.XLOOKUP(Table1[[#This Row], [EXIT]],Sheet1!$A$70:$A$71,Sheet1!$B$70:$B$71)*(1+_xlfn.XLOOKUP(Table1[[#This Row], [EXIT]],Sheet1!$A$70:$A$71,Sheet1!$C$70:$C$71))</f>
        <v>1697098.1249999995</v>
      </c>
      <c r="L1262" s="13" t="s">
        <v>65</v>
      </c>
      <c r="M1262" s="4">
        <f>IF(Table1[[#This Row], [EQUIPMENT]]="YES",Sheet1!$C$44*(1+Sheet1!$D$44),0)</f>
        <v>307500</v>
      </c>
      <c r="N1262" s="4">
        <f>_xlfn.XLOOKUP(Table1[[#This Row], [ROOM]],Sheet1!$A$47:$A$66,Sheet1!$F$47:$F$66)</f>
        <v>17550000</v>
      </c>
      <c r="O1262" s="9">
        <f>_xlfn.XLOOKUP(_xlfn.CONCAT(Table1[[#This Row], [TEAM]],Table1[[#This Row], [ROOM]]),'ROOM TIME'!$H$2:$H$121,'ROOM TIME'!$J$2:$J$121)</f>
        <v>39.583333333333321</v>
      </c>
      <c r="P1262" s="9">
        <f>(INDEX(Sheet1!$X$48:$Z$67,MATCH(Table1[[#This Row], [ROOM]],Sheet1!$P$48:$P$67,0),MATCH(Table1[[#This Row], [WEAPON]],Sheet1!$X$47:$Z$47,0)))/Table1[[#This Row], [NUM OF MEM]]</f>
        <v>4.5</v>
      </c>
      <c r="Q1262" s="9">
        <f>Table1[[#This Row], [ROOM TIME]]+Table1[[#This Row], [GUARD TIME]]</f>
        <v>44.083333333333321</v>
      </c>
      <c r="R1262" s="4">
        <f>Sheet1!$K$3*_xlfn.XLOOKUP(Table1[[#This Row], [DISGUISE]],Sheet1!$A$21:$A$23,Sheet1!$D$21:$D$23)</f>
        <v>69</v>
      </c>
      <c r="S1262" s="9">
        <f>Table1[[#This Row], [TOTAL TIME]]-Table1[[#This Row], [TOTAL TIME TAKEN]]</f>
        <v>24.916666666666679</v>
      </c>
      <c r="T1262" t="str">
        <f>IF(Table1[[#This Row], [TIME DIFFERENCE]]&gt;=0,"PASS","FAIL")</f>
        <v>PASS</v>
      </c>
      <c r="U1262" s="9">
        <f>Table1[[#This Row], [TRC]]+Table1[[#This Row], [DRC]]+Table1[[#This Row], [WRC]]+Table1[[#This Row], [ERC]]+Table1[[#This Row], [EQRC]]</f>
        <v>8100748.125</v>
      </c>
      <c r="V1262" s="9">
        <f>Table1[[#This Row], [TOTAL COST]]+_xlfn.XLOOKUP(Table1[[#This Row], [TEAM]],Sheet1!$A$12:$A$17,Sheet1!$I$12:$I$17)</f>
        <v>8400185.625</v>
      </c>
      <c r="W1262" s="9">
        <f>Table1[[#This Row], [LOOT]]-Table1[[#This Row], [TOTAL COST]]</f>
        <v>9449251.875</v>
      </c>
      <c r="X1262" s="9">
        <f>IF(Table1[[#This Row], [PASS/FAIL]]="FAIL",0,Table1[[#This Row], [PROFIT]])</f>
        <v>9449251.875</v>
      </c>
    </row>
    <row r="1263" spans="1:24" ht="19.5" customHeight="1" x14ac:dyDescent="0.45">
      <c r="A1263" t="s">
        <v>13</v>
      </c>
      <c r="B1263" s="14">
        <f>_xlfn.XLOOKUP(Table1[[#This Row], [TEAM]],Sheet1!$A$12:$A$17,Sheet1!$F$12:$F$17)</f>
        <v>3</v>
      </c>
      <c r="C1263" s="14">
        <f>_xlfn.XLOOKUP(Table1[[#This Row], [TEAM]],Sheet1!$A$12:$A$17,Sheet1!$G$12:$G$17)</f>
        <v>5930000</v>
      </c>
      <c r="D1263" t="s">
        <v>25</v>
      </c>
      <c r="E1263" s="4">
        <f>_xlfn.XLOOKUP(Table1[[#This Row], [ROOM]],Sheet1!$A$47:$A$66,Sheet1!$B$47:$B$66)</f>
        <v>126</v>
      </c>
      <c r="F1263" t="s">
        <v>58</v>
      </c>
      <c r="G1263" s="4">
        <f>_xlfn.XLOOKUP(Table1[[#This Row], [DISGUISE]],Sheet1!$A$21:$A$23,Sheet1!$B$21:$B$23)*Table1[[#This Row], [NUM OF MEM]]*(1+_xlfn.XLOOKUP(Table1[[#This Row], [DISGUISE]],Sheet1!$A$21:$A$23,Sheet1!$C$21:$C$23))</f>
        <v>38400</v>
      </c>
      <c r="H1263" s="13" t="s">
        <v>59</v>
      </c>
      <c r="I1263" s="4">
        <f>_xlfn.XLOOKUP(Table1[[#This Row], [WEAPON]],Sheet1!$A$27:$A$29,Sheet1!$B$27:$B$29)*Table1[[#This Row], [NUM OF MEM]]*(1+_xlfn.XLOOKUP(Table1[[#This Row], [WEAPON]],Sheet1!$A$27:$A$29,Sheet1!$C$27:$C$29))</f>
        <v>136500</v>
      </c>
      <c r="J1263" t="s">
        <v>60</v>
      </c>
      <c r="K1263" s="9">
        <f>Table1[[#This Row], [NUM OF MEM]]*Table1[[#This Row], [TOTAL TIME TAKEN]]*_xlfn.XLOOKUP(Table1[[#This Row], [EXIT]],Sheet1!$A$70:$A$71,Sheet1!$B$70:$B$71)*(1+_xlfn.XLOOKUP(Table1[[#This Row], [EXIT]],Sheet1!$A$70:$A$71,Sheet1!$C$70:$C$71))</f>
        <v>1688393.4124999996</v>
      </c>
      <c r="L1263" s="13" t="s">
        <v>65</v>
      </c>
      <c r="M1263" s="4">
        <f>IF(Table1[[#This Row], [EQUIPMENT]]="YES",Sheet1!$C$44*(1+Sheet1!$D$44),0)</f>
        <v>307500</v>
      </c>
      <c r="N1263" s="4">
        <f>_xlfn.XLOOKUP(Table1[[#This Row], [ROOM]],Sheet1!$A$47:$A$66,Sheet1!$F$47:$F$66)</f>
        <v>17550000</v>
      </c>
      <c r="O1263" s="9">
        <f>_xlfn.XLOOKUP(_xlfn.CONCAT(Table1[[#This Row], [TEAM]],Table1[[#This Row], [ROOM]]),'ROOM TIME'!$H$2:$H$121,'ROOM TIME'!$J$2:$J$121)</f>
        <v>39.640555555555544</v>
      </c>
      <c r="P1263" s="9">
        <f>(INDEX(Sheet1!$X$48:$Z$67,MATCH(Table1[[#This Row], [ROOM]],Sheet1!$P$48:$P$67,0),MATCH(Table1[[#This Row], [WEAPON]],Sheet1!$X$47:$Z$47,0)))/Table1[[#This Row], [NUM OF MEM]]</f>
        <v>4.2166666666666659</v>
      </c>
      <c r="Q1263" s="9">
        <f>Table1[[#This Row], [ROOM TIME]]+Table1[[#This Row], [GUARD TIME]]</f>
        <v>43.857222222222212</v>
      </c>
      <c r="R1263" s="4">
        <f>Sheet1!$K$3*_xlfn.XLOOKUP(Table1[[#This Row], [DISGUISE]],Sheet1!$A$21:$A$23,Sheet1!$D$21:$D$23)</f>
        <v>69</v>
      </c>
      <c r="S1263" s="9">
        <f>Table1[[#This Row], [TOTAL TIME]]-Table1[[#This Row], [TOTAL TIME TAKEN]]</f>
        <v>25.142777777777788</v>
      </c>
      <c r="T1263" t="str">
        <f>IF(Table1[[#This Row], [TIME DIFFERENCE]]&gt;=0,"PASS","FAIL")</f>
        <v>PASS</v>
      </c>
      <c r="U1263" s="9">
        <f>Table1[[#This Row], [TRC]]+Table1[[#This Row], [DRC]]+Table1[[#This Row], [WRC]]+Table1[[#This Row], [ERC]]+Table1[[#This Row], [EQRC]]</f>
        <v>8100793.4124999996</v>
      </c>
      <c r="V1263" s="9">
        <f>Table1[[#This Row], [TOTAL COST]]+_xlfn.XLOOKUP(Table1[[#This Row], [TEAM]],Sheet1!$A$12:$A$17,Sheet1!$I$12:$I$17)</f>
        <v>8397293.4124999996</v>
      </c>
      <c r="W1263" s="9">
        <f>Table1[[#This Row], [LOOT]]-Table1[[#This Row], [TOTAL COST]]</f>
        <v>9449206.5875000004</v>
      </c>
      <c r="X1263" s="9">
        <f>IF(Table1[[#This Row], [PASS/FAIL]]="FAIL",0,Table1[[#This Row], [PROFIT]])</f>
        <v>9449206.5875000004</v>
      </c>
    </row>
    <row r="1264" spans="1:24" ht="19.5" customHeight="1" x14ac:dyDescent="0.45">
      <c r="A1264" t="s">
        <v>9</v>
      </c>
      <c r="B1264" s="14">
        <f>_xlfn.XLOOKUP(Table1[[#This Row], [TEAM]],Sheet1!$A$12:$A$17,Sheet1!$F$12:$F$17)</f>
        <v>3</v>
      </c>
      <c r="C1264" s="14">
        <f>_xlfn.XLOOKUP(Table1[[#This Row], [TEAM]],Sheet1!$A$12:$A$17,Sheet1!$G$12:$G$17)</f>
        <v>6238750</v>
      </c>
      <c r="D1264" t="s">
        <v>28</v>
      </c>
      <c r="E1264" s="4">
        <f>_xlfn.XLOOKUP(Table1[[#This Row], [ROOM]],Sheet1!$A$47:$A$66,Sheet1!$B$47:$B$66)</f>
        <v>156</v>
      </c>
      <c r="F1264" t="s">
        <v>62</v>
      </c>
      <c r="G126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4" s="13" t="s">
        <v>59</v>
      </c>
      <c r="I1264" s="4">
        <f>_xlfn.XLOOKUP(Table1[[#This Row], [WEAPON]],Sheet1!$A$27:$A$29,Sheet1!$B$27:$B$29)*Table1[[#This Row], [NUM OF MEM]]*(1+_xlfn.XLOOKUP(Table1[[#This Row], [WEAPON]],Sheet1!$A$27:$A$29,Sheet1!$C$27:$C$29))</f>
        <v>136500</v>
      </c>
      <c r="J1264" t="s">
        <v>60</v>
      </c>
      <c r="K1264" s="9">
        <f>Table1[[#This Row], [NUM OF MEM]]*Table1[[#This Row], [TOTAL TIME TAKEN]]*_xlfn.XLOOKUP(Table1[[#This Row], [EXIT]],Sheet1!$A$70:$A$71,Sheet1!$B$70:$B$71)*(1+_xlfn.XLOOKUP(Table1[[#This Row], [EXIT]],Sheet1!$A$70:$A$71,Sheet1!$C$70:$C$71))</f>
        <v>1502878.2374999998</v>
      </c>
      <c r="L1264" s="13" t="s">
        <v>65</v>
      </c>
      <c r="M1264" s="4">
        <f>IF(Table1[[#This Row], [EQUIPMENT]]="YES",Sheet1!$C$44*(1+Sheet1!$D$44),0)</f>
        <v>307500</v>
      </c>
      <c r="N1264" s="4">
        <f>_xlfn.XLOOKUP(Table1[[#This Row], [ROOM]],Sheet1!$A$47:$A$66,Sheet1!$F$47:$F$66)</f>
        <v>17650000</v>
      </c>
      <c r="O1264" s="9">
        <f>_xlfn.XLOOKUP(_xlfn.CONCAT(Table1[[#This Row], [TEAM]],Table1[[#This Row], [ROOM]]),'ROOM TIME'!$H$2:$H$121,'ROOM TIME'!$J$2:$J$121)</f>
        <v>35.204999999999991</v>
      </c>
      <c r="P1264" s="9">
        <f>(INDEX(Sheet1!$X$48:$Z$67,MATCH(Table1[[#This Row], [ROOM]],Sheet1!$P$48:$P$67,0),MATCH(Table1[[#This Row], [WEAPON]],Sheet1!$X$47:$Z$47,0)))/Table1[[#This Row], [NUM OF MEM]]</f>
        <v>3.8333333333333335</v>
      </c>
      <c r="Q1264" s="9">
        <f>Table1[[#This Row], [ROOM TIME]]+Table1[[#This Row], [GUARD TIME]]</f>
        <v>39.038333333333327</v>
      </c>
      <c r="R1264" s="4">
        <f>Sheet1!$K$3*_xlfn.XLOOKUP(Table1[[#This Row], [DISGUISE]],Sheet1!$A$21:$A$23,Sheet1!$D$21:$D$23)</f>
        <v>66</v>
      </c>
      <c r="S1264" s="9">
        <f>Table1[[#This Row], [TOTAL TIME]]-Table1[[#This Row], [TOTAL TIME TAKEN]]</f>
        <v>26.961666666666673</v>
      </c>
      <c r="T1264" t="str">
        <f>IF(Table1[[#This Row], [TIME DIFFERENCE]]&gt;=0,"PASS","FAIL")</f>
        <v>PASS</v>
      </c>
      <c r="U1264" s="9">
        <f>Table1[[#This Row], [TRC]]+Table1[[#This Row], [DRC]]+Table1[[#This Row], [WRC]]+Table1[[#This Row], [ERC]]+Table1[[#This Row], [EQRC]]</f>
        <v>8201228.2374999998</v>
      </c>
      <c r="V1264" s="9">
        <f>Table1[[#This Row], [TOTAL COST]]+_xlfn.XLOOKUP(Table1[[#This Row], [TEAM]],Sheet1!$A$12:$A$17,Sheet1!$I$12:$I$17)</f>
        <v>8513165.7375000007</v>
      </c>
      <c r="W1264" s="9">
        <f>Table1[[#This Row], [LOOT]]-Table1[[#This Row], [TOTAL COST]]</f>
        <v>9448771.7624999993</v>
      </c>
      <c r="X1264" s="9">
        <f>IF(Table1[[#This Row], [PASS/FAIL]]="FAIL",0,Table1[[#This Row], [PROFIT]])</f>
        <v>9448771.7624999993</v>
      </c>
    </row>
    <row r="1265" spans="1:24" ht="19.5" customHeight="1" x14ac:dyDescent="0.45">
      <c r="A1265" t="s">
        <v>9</v>
      </c>
      <c r="B1265" s="14">
        <f>_xlfn.XLOOKUP(Table1[[#This Row], [TEAM]],Sheet1!$A$12:$A$17,Sheet1!$F$12:$F$17)</f>
        <v>3</v>
      </c>
      <c r="C1265" s="14">
        <f>_xlfn.XLOOKUP(Table1[[#This Row], [TEAM]],Sheet1!$A$12:$A$17,Sheet1!$G$12:$G$17)</f>
        <v>6238750</v>
      </c>
      <c r="D1265" t="s">
        <v>10</v>
      </c>
      <c r="E1265" s="4">
        <f>_xlfn.XLOOKUP(Table1[[#This Row], [ROOM]],Sheet1!$A$47:$A$66,Sheet1!$B$47:$B$66)</f>
        <v>123</v>
      </c>
      <c r="F1265" t="s">
        <v>62</v>
      </c>
      <c r="G1265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5" s="13" t="s">
        <v>59</v>
      </c>
      <c r="I1265" s="4">
        <f>_xlfn.XLOOKUP(Table1[[#This Row], [WEAPON]],Sheet1!$A$27:$A$29,Sheet1!$B$27:$B$29)*Table1[[#This Row], [NUM OF MEM]]*(1+_xlfn.XLOOKUP(Table1[[#This Row], [WEAPON]],Sheet1!$A$27:$A$29,Sheet1!$C$27:$C$29))</f>
        <v>136500</v>
      </c>
      <c r="J1265" t="s">
        <v>60</v>
      </c>
      <c r="K1265" s="9">
        <f>Table1[[#This Row], [NUM OF MEM]]*Table1[[#This Row], [TOTAL TIME TAKEN]]*_xlfn.XLOOKUP(Table1[[#This Row], [EXIT]],Sheet1!$A$70:$A$71,Sheet1!$B$70:$B$71)*(1+_xlfn.XLOOKUP(Table1[[#This Row], [EXIT]],Sheet1!$A$70:$A$71,Sheet1!$C$70:$C$71))</f>
        <v>1702979.6874999995</v>
      </c>
      <c r="L1265" s="13" t="s">
        <v>65</v>
      </c>
      <c r="M1265" s="4">
        <f>IF(Table1[[#This Row], [EQUIPMENT]]="YES",Sheet1!$C$44*(1+Sheet1!$D$44),0)</f>
        <v>307500</v>
      </c>
      <c r="N1265" s="4">
        <f>_xlfn.XLOOKUP(Table1[[#This Row], [ROOM]],Sheet1!$A$47:$A$66,Sheet1!$F$47:$F$66)</f>
        <v>17850000</v>
      </c>
      <c r="O1265" s="9">
        <f>_xlfn.XLOOKUP(_xlfn.CONCAT(Table1[[#This Row], [TEAM]],Table1[[#This Row], [ROOM]]),'ROOM TIME'!$H$2:$H$121,'ROOM TIME'!$J$2:$J$121)</f>
        <v>39.636111111111099</v>
      </c>
      <c r="P1265" s="9">
        <f>(INDEX(Sheet1!$X$48:$Z$67,MATCH(Table1[[#This Row], [ROOM]],Sheet1!$P$48:$P$67,0),MATCH(Table1[[#This Row], [WEAPON]],Sheet1!$X$47:$Z$47,0)))/Table1[[#This Row], [NUM OF MEM]]</f>
        <v>4.5999999999999996</v>
      </c>
      <c r="Q1265" s="9">
        <f>Table1[[#This Row], [ROOM TIME]]+Table1[[#This Row], [GUARD TIME]]</f>
        <v>44.2361111111111</v>
      </c>
      <c r="R1265" s="4">
        <f>Sheet1!$K$3*_xlfn.XLOOKUP(Table1[[#This Row], [DISGUISE]],Sheet1!$A$21:$A$23,Sheet1!$D$21:$D$23)</f>
        <v>66</v>
      </c>
      <c r="S1265" s="9">
        <f>Table1[[#This Row], [TOTAL TIME]]-Table1[[#This Row], [TOTAL TIME TAKEN]]</f>
        <v>21.7638888888889</v>
      </c>
      <c r="T1265" t="str">
        <f>IF(Table1[[#This Row], [TIME DIFFERENCE]]&gt;=0,"PASS","FAIL")</f>
        <v>PASS</v>
      </c>
      <c r="U1265" s="9">
        <f>Table1[[#This Row], [TRC]]+Table1[[#This Row], [DRC]]+Table1[[#This Row], [WRC]]+Table1[[#This Row], [ERC]]+Table1[[#This Row], [EQRC]]</f>
        <v>8401329.6875</v>
      </c>
      <c r="V1265" s="9">
        <f>Table1[[#This Row], [TOTAL COST]]+_xlfn.XLOOKUP(Table1[[#This Row], [TEAM]],Sheet1!$A$12:$A$17,Sheet1!$I$12:$I$17)</f>
        <v>8713267.1875</v>
      </c>
      <c r="W1265" s="9">
        <f>Table1[[#This Row], [LOOT]]-Table1[[#This Row], [TOTAL COST]]</f>
        <v>9448670.3125</v>
      </c>
      <c r="X1265" s="9">
        <f>IF(Table1[[#This Row], [PASS/FAIL]]="FAIL",0,Table1[[#This Row], [PROFIT]])</f>
        <v>9448670.3125</v>
      </c>
    </row>
    <row r="1266" spans="1:24" ht="19.5" customHeight="1" x14ac:dyDescent="0.45">
      <c r="A1266" t="s">
        <v>16</v>
      </c>
      <c r="B1266" s="14">
        <f>_xlfn.XLOOKUP(Table1[[#This Row], [TEAM]],Sheet1!$A$12:$A$17,Sheet1!$F$12:$F$17)</f>
        <v>2</v>
      </c>
      <c r="C1266" s="14">
        <f>_xlfn.XLOOKUP(Table1[[#This Row], [TEAM]],Sheet1!$A$12:$A$17,Sheet1!$G$12:$G$17)</f>
        <v>6082800</v>
      </c>
      <c r="D1266" t="s">
        <v>17</v>
      </c>
      <c r="E1266" s="4">
        <f>_xlfn.XLOOKUP(Table1[[#This Row], [ROOM]],Sheet1!$A$47:$A$66,Sheet1!$B$47:$B$66)</f>
        <v>125</v>
      </c>
      <c r="F1266" t="s">
        <v>58</v>
      </c>
      <c r="G1266" s="4">
        <f>_xlfn.XLOOKUP(Table1[[#This Row], [DISGUISE]],Sheet1!$A$21:$A$23,Sheet1!$B$21:$B$23)*Table1[[#This Row], [NUM OF MEM]]*(1+_xlfn.XLOOKUP(Table1[[#This Row], [DISGUISE]],Sheet1!$A$21:$A$23,Sheet1!$C$21:$C$23))</f>
        <v>25600</v>
      </c>
      <c r="H1266" s="13" t="s">
        <v>66</v>
      </c>
      <c r="I1266" s="4">
        <f>_xlfn.XLOOKUP(Table1[[#This Row], [WEAPON]],Sheet1!$A$27:$A$29,Sheet1!$B$27:$B$29)*Table1[[#This Row], [NUM OF MEM]]*(1+_xlfn.XLOOKUP(Table1[[#This Row], [WEAPON]],Sheet1!$A$27:$A$29,Sheet1!$C$27:$C$29))</f>
        <v>72000</v>
      </c>
      <c r="J1266" t="s">
        <v>60</v>
      </c>
      <c r="K1266" s="9">
        <f>Table1[[#This Row], [NUM OF MEM]]*Table1[[#This Row], [TOTAL TIME TAKEN]]*_xlfn.XLOOKUP(Table1[[#This Row], [EXIT]],Sheet1!$A$70:$A$71,Sheet1!$B$70:$B$71)*(1+_xlfn.XLOOKUP(Table1[[#This Row], [EXIT]],Sheet1!$A$70:$A$71,Sheet1!$C$70:$C$71))</f>
        <v>1721896.9312499997</v>
      </c>
      <c r="L1266" s="13" t="s">
        <v>61</v>
      </c>
      <c r="M1266" s="4">
        <f>IF(Table1[[#This Row], [EQUIPMENT]]="YES",Sheet1!$C$44*(1+Sheet1!$D$44),0)</f>
        <v>0</v>
      </c>
      <c r="N1266" s="4">
        <f>_xlfn.XLOOKUP(Table1[[#This Row], [ROOM]],Sheet1!$A$47:$A$66,Sheet1!$F$47:$F$66)</f>
        <v>17350000</v>
      </c>
      <c r="O1266" s="9">
        <f>_xlfn.XLOOKUP(_xlfn.CONCAT(Table1[[#This Row], [TEAM]],Table1[[#This Row], [ROOM]]),'ROOM TIME'!$H$2:$H$121,'ROOM TIME'!$J$2:$J$121)</f>
        <v>60.841249999999988</v>
      </c>
      <c r="P1266" s="9">
        <f>(INDEX(Sheet1!$X$48:$Z$67,MATCH(Table1[[#This Row], [ROOM]],Sheet1!$P$48:$P$67,0),MATCH(Table1[[#This Row], [WEAPON]],Sheet1!$X$47:$Z$47,0)))/Table1[[#This Row], [NUM OF MEM]]</f>
        <v>6.25</v>
      </c>
      <c r="Q1266" s="9">
        <f>Table1[[#This Row], [ROOM TIME]]+Table1[[#This Row], [GUARD TIME]]</f>
        <v>67.091249999999988</v>
      </c>
      <c r="R1266" s="4">
        <f>Sheet1!$K$3*_xlfn.XLOOKUP(Table1[[#This Row], [DISGUISE]],Sheet1!$A$21:$A$23,Sheet1!$D$21:$D$23)</f>
        <v>69</v>
      </c>
      <c r="S1266" s="9">
        <f>Table1[[#This Row], [TOTAL TIME]]-Table1[[#This Row], [TOTAL TIME TAKEN]]</f>
        <v>1.9087500000000119</v>
      </c>
      <c r="T1266" t="str">
        <f>IF(Table1[[#This Row], [TIME DIFFERENCE]]&gt;=0,"PASS","FAIL")</f>
        <v>PASS</v>
      </c>
      <c r="U1266" s="9">
        <f>Table1[[#This Row], [TRC]]+Table1[[#This Row], [DRC]]+Table1[[#This Row], [WRC]]+Table1[[#This Row], [ERC]]+Table1[[#This Row], [EQRC]]</f>
        <v>7902296.9312499994</v>
      </c>
      <c r="V1266" s="9">
        <f>Table1[[#This Row], [TOTAL COST]]+_xlfn.XLOOKUP(Table1[[#This Row], [TEAM]],Sheet1!$A$12:$A$17,Sheet1!$I$12:$I$17)</f>
        <v>8206436.9312499994</v>
      </c>
      <c r="W1266" s="9">
        <f>Table1[[#This Row], [LOOT]]-Table1[[#This Row], [TOTAL COST]]</f>
        <v>9447703.0687500015</v>
      </c>
      <c r="X1266" s="9">
        <f>IF(Table1[[#This Row], [PASS/FAIL]]="FAIL",0,Table1[[#This Row], [PROFIT]])</f>
        <v>9447703.0687500015</v>
      </c>
    </row>
    <row r="1267" spans="1:24" ht="19.5" customHeight="1" x14ac:dyDescent="0.45">
      <c r="A1267" t="s">
        <v>13</v>
      </c>
      <c r="B1267" s="14">
        <f>_xlfn.XLOOKUP(Table1[[#This Row], [TEAM]],Sheet1!$A$12:$A$17,Sheet1!$F$12:$F$17)</f>
        <v>3</v>
      </c>
      <c r="C1267" s="14">
        <f>_xlfn.XLOOKUP(Table1[[#This Row], [TEAM]],Sheet1!$A$12:$A$17,Sheet1!$G$12:$G$17)</f>
        <v>5930000</v>
      </c>
      <c r="D1267" t="s">
        <v>25</v>
      </c>
      <c r="E1267" s="4">
        <f>_xlfn.XLOOKUP(Table1[[#This Row], [ROOM]],Sheet1!$A$47:$A$66,Sheet1!$B$47:$B$66)</f>
        <v>126</v>
      </c>
      <c r="F1267" t="s">
        <v>58</v>
      </c>
      <c r="G1267" s="4">
        <f>_xlfn.XLOOKUP(Table1[[#This Row], [DISGUISE]],Sheet1!$A$21:$A$23,Sheet1!$B$21:$B$23)*Table1[[#This Row], [NUM OF MEM]]*(1+_xlfn.XLOOKUP(Table1[[#This Row], [DISGUISE]],Sheet1!$A$21:$A$23,Sheet1!$C$21:$C$23))</f>
        <v>38400</v>
      </c>
      <c r="H1267" s="13" t="s">
        <v>66</v>
      </c>
      <c r="I1267" s="4">
        <f>_xlfn.XLOOKUP(Table1[[#This Row], [WEAPON]],Sheet1!$A$27:$A$29,Sheet1!$B$27:$B$29)*Table1[[#This Row], [NUM OF MEM]]*(1+_xlfn.XLOOKUP(Table1[[#This Row], [WEAPON]],Sheet1!$A$27:$A$29,Sheet1!$C$27:$C$29))</f>
        <v>108000</v>
      </c>
      <c r="J1267" t="s">
        <v>64</v>
      </c>
      <c r="K1267" s="9">
        <f>Table1[[#This Row], [NUM OF MEM]]*Table1[[#This Row], [TOTAL TIME TAKEN]]*_xlfn.XLOOKUP(Table1[[#This Row], [EXIT]],Sheet1!$A$70:$A$71,Sheet1!$B$70:$B$71)*(1+_xlfn.XLOOKUP(Table1[[#This Row], [EXIT]],Sheet1!$A$70:$A$71,Sheet1!$C$70:$C$71))</f>
        <v>1719424.7999999993</v>
      </c>
      <c r="L1267" s="13" t="s">
        <v>65</v>
      </c>
      <c r="M1267" s="4">
        <f>IF(Table1[[#This Row], [EQUIPMENT]]="YES",Sheet1!$C$44*(1+Sheet1!$D$44),0)</f>
        <v>307500</v>
      </c>
      <c r="N1267" s="4">
        <f>_xlfn.XLOOKUP(Table1[[#This Row], [ROOM]],Sheet1!$A$47:$A$66,Sheet1!$F$47:$F$66)</f>
        <v>17550000</v>
      </c>
      <c r="O1267" s="9">
        <f>_xlfn.XLOOKUP(_xlfn.CONCAT(Table1[[#This Row], [TEAM]],Table1[[#This Row], [ROOM]]),'ROOM TIME'!$H$2:$H$121,'ROOM TIME'!$J$2:$J$121)</f>
        <v>39.640555555555544</v>
      </c>
      <c r="P1267" s="9">
        <f>(INDEX(Sheet1!$X$48:$Z$67,MATCH(Table1[[#This Row], [ROOM]],Sheet1!$P$48:$P$67,0),MATCH(Table1[[#This Row], [WEAPON]],Sheet1!$X$47:$Z$47,0)))/Table1[[#This Row], [NUM OF MEM]]</f>
        <v>4.583333333333333</v>
      </c>
      <c r="Q1267" s="9">
        <f>Table1[[#This Row], [ROOM TIME]]+Table1[[#This Row], [GUARD TIME]]</f>
        <v>44.223888888888879</v>
      </c>
      <c r="R1267" s="4">
        <f>Sheet1!$K$3*_xlfn.XLOOKUP(Table1[[#This Row], [DISGUISE]],Sheet1!$A$21:$A$23,Sheet1!$D$21:$D$23)</f>
        <v>69</v>
      </c>
      <c r="S1267" s="9">
        <f>Table1[[#This Row], [TOTAL TIME]]-Table1[[#This Row], [TOTAL TIME TAKEN]]</f>
        <v>24.776111111111121</v>
      </c>
      <c r="T1267" t="str">
        <f>IF(Table1[[#This Row], [TIME DIFFERENCE]]&gt;=0,"PASS","FAIL")</f>
        <v>PASS</v>
      </c>
      <c r="U1267" s="9">
        <f>Table1[[#This Row], [TRC]]+Table1[[#This Row], [DRC]]+Table1[[#This Row], [WRC]]+Table1[[#This Row], [ERC]]+Table1[[#This Row], [EQRC]]</f>
        <v>8103324.7999999989</v>
      </c>
      <c r="V1267" s="9">
        <f>Table1[[#This Row], [TOTAL COST]]+_xlfn.XLOOKUP(Table1[[#This Row], [TEAM]],Sheet1!$A$12:$A$17,Sheet1!$I$12:$I$17)</f>
        <v>8399824.7999999989</v>
      </c>
      <c r="W1267" s="9">
        <f>Table1[[#This Row], [LOOT]]-Table1[[#This Row], [TOTAL COST]]</f>
        <v>9446675.2000000011</v>
      </c>
      <c r="X1267" s="9">
        <f>IF(Table1[[#This Row], [PASS/FAIL]]="FAIL",0,Table1[[#This Row], [PROFIT]])</f>
        <v>9446675.2000000011</v>
      </c>
    </row>
    <row r="1268" spans="1:24" ht="19.5" customHeight="1" x14ac:dyDescent="0.45">
      <c r="A1268" t="s">
        <v>9</v>
      </c>
      <c r="B1268" s="14">
        <f>_xlfn.XLOOKUP(Table1[[#This Row], [TEAM]],Sheet1!$A$12:$A$17,Sheet1!$F$12:$F$17)</f>
        <v>3</v>
      </c>
      <c r="C1268" s="14">
        <f>_xlfn.XLOOKUP(Table1[[#This Row], [TEAM]],Sheet1!$A$12:$A$17,Sheet1!$G$12:$G$17)</f>
        <v>6238750</v>
      </c>
      <c r="D1268" t="s">
        <v>22</v>
      </c>
      <c r="E1268" s="4">
        <f>_xlfn.XLOOKUP(Table1[[#This Row], [ROOM]],Sheet1!$A$47:$A$66,Sheet1!$B$47:$B$66)</f>
        <v>235</v>
      </c>
      <c r="F1268" t="s">
        <v>62</v>
      </c>
      <c r="G1268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8" s="13" t="s">
        <v>63</v>
      </c>
      <c r="I1268" s="4">
        <f>_xlfn.XLOOKUP(Table1[[#This Row], [WEAPON]],Sheet1!$A$27:$A$29,Sheet1!$B$27:$B$29)*Table1[[#This Row], [NUM OF MEM]]*(1+_xlfn.XLOOKUP(Table1[[#This Row], [WEAPON]],Sheet1!$A$27:$A$29,Sheet1!$C$27:$C$29))</f>
        <v>69000</v>
      </c>
      <c r="J1268" t="s">
        <v>60</v>
      </c>
      <c r="K1268" s="9">
        <f>Table1[[#This Row], [NUM OF MEM]]*Table1[[#This Row], [TOTAL TIME TAKEN]]*_xlfn.XLOOKUP(Table1[[#This Row], [EXIT]],Sheet1!$A$70:$A$71,Sheet1!$B$70:$B$71)*(1+_xlfn.XLOOKUP(Table1[[#This Row], [EXIT]],Sheet1!$A$70:$A$71,Sheet1!$C$70:$C$71))</f>
        <v>1722549.2499999993</v>
      </c>
      <c r="L1268" s="13" t="s">
        <v>65</v>
      </c>
      <c r="M1268" s="4">
        <f>IF(Table1[[#This Row], [EQUIPMENT]]="YES",Sheet1!$C$44*(1+Sheet1!$D$44),0)</f>
        <v>307500</v>
      </c>
      <c r="N1268" s="4">
        <f>_xlfn.XLOOKUP(Table1[[#This Row], [ROOM]],Sheet1!$A$47:$A$66,Sheet1!$F$47:$F$66)</f>
        <v>17800000</v>
      </c>
      <c r="O1268" s="9">
        <f>_xlfn.XLOOKUP(_xlfn.CONCAT(Table1[[#This Row], [TEAM]],Table1[[#This Row], [ROOM]]),'ROOM TIME'!$H$2:$H$121,'ROOM TIME'!$J$2:$J$121)</f>
        <v>39.344444444444434</v>
      </c>
      <c r="P1268" s="9">
        <f>(INDEX(Sheet1!$X$48:$Z$67,MATCH(Table1[[#This Row], [ROOM]],Sheet1!$P$48:$P$67,0),MATCH(Table1[[#This Row], [WEAPON]],Sheet1!$X$47:$Z$47,0)))/Table1[[#This Row], [NUM OF MEM]]</f>
        <v>5.4000000000000012</v>
      </c>
      <c r="Q1268" s="9">
        <f>Table1[[#This Row], [ROOM TIME]]+Table1[[#This Row], [GUARD TIME]]</f>
        <v>44.744444444444433</v>
      </c>
      <c r="R1268" s="4">
        <f>Sheet1!$K$3*_xlfn.XLOOKUP(Table1[[#This Row], [DISGUISE]],Sheet1!$A$21:$A$23,Sheet1!$D$21:$D$23)</f>
        <v>66</v>
      </c>
      <c r="S1268" s="9">
        <f>Table1[[#This Row], [TOTAL TIME]]-Table1[[#This Row], [TOTAL TIME TAKEN]]</f>
        <v>21.255555555555567</v>
      </c>
      <c r="T1268" t="str">
        <f>IF(Table1[[#This Row], [TIME DIFFERENCE]]&gt;=0,"PASS","FAIL")</f>
        <v>PASS</v>
      </c>
      <c r="U1268" s="9">
        <f>Table1[[#This Row], [TRC]]+Table1[[#This Row], [DRC]]+Table1[[#This Row], [WRC]]+Table1[[#This Row], [ERC]]+Table1[[#This Row], [EQRC]]</f>
        <v>8353399.2499999991</v>
      </c>
      <c r="V1268" s="9">
        <f>Table1[[#This Row], [TOTAL COST]]+_xlfn.XLOOKUP(Table1[[#This Row], [TEAM]],Sheet1!$A$12:$A$17,Sheet1!$I$12:$I$17)</f>
        <v>8665336.75</v>
      </c>
      <c r="W1268" s="9">
        <f>Table1[[#This Row], [LOOT]]-Table1[[#This Row], [TOTAL COST]]</f>
        <v>9446600.75</v>
      </c>
      <c r="X1268" s="9">
        <f>IF(Table1[[#This Row], [PASS/FAIL]]="FAIL",0,Table1[[#This Row], [PROFIT]])</f>
        <v>9446600.75</v>
      </c>
    </row>
    <row r="1269" spans="1:24" ht="19.5" customHeight="1" x14ac:dyDescent="0.45">
      <c r="A1269" t="s">
        <v>12</v>
      </c>
      <c r="B1269" s="14">
        <f>_xlfn.XLOOKUP(Table1[[#This Row], [TEAM]],Sheet1!$A$12:$A$17,Sheet1!$F$12:$F$17)</f>
        <v>3</v>
      </c>
      <c r="C1269" s="14">
        <f>_xlfn.XLOOKUP(Table1[[#This Row], [TEAM]],Sheet1!$A$12:$A$17,Sheet1!$G$12:$G$17)</f>
        <v>5988750</v>
      </c>
      <c r="D1269" t="s">
        <v>20</v>
      </c>
      <c r="E1269" s="4">
        <f>_xlfn.XLOOKUP(Table1[[#This Row], [ROOM]],Sheet1!$A$47:$A$66,Sheet1!$B$47:$B$66)</f>
        <v>145</v>
      </c>
      <c r="F1269" t="s">
        <v>62</v>
      </c>
      <c r="G1269" s="4">
        <f>_xlfn.XLOOKUP(Table1[[#This Row], [DISGUISE]],Sheet1!$A$21:$A$23,Sheet1!$B$21:$B$23)*Table1[[#This Row], [NUM OF MEM]]*(1+_xlfn.XLOOKUP(Table1[[#This Row], [DISGUISE]],Sheet1!$A$21:$A$23,Sheet1!$C$21:$C$23))</f>
        <v>15600</v>
      </c>
      <c r="H1269" s="13" t="s">
        <v>66</v>
      </c>
      <c r="I1269" s="4">
        <f>_xlfn.XLOOKUP(Table1[[#This Row], [WEAPON]],Sheet1!$A$27:$A$29,Sheet1!$B$27:$B$29)*Table1[[#This Row], [NUM OF MEM]]*(1+_xlfn.XLOOKUP(Table1[[#This Row], [WEAPON]],Sheet1!$A$27:$A$29,Sheet1!$C$27:$C$29))</f>
        <v>108000</v>
      </c>
      <c r="J1269" t="s">
        <v>60</v>
      </c>
      <c r="K1269" s="9">
        <f>Table1[[#This Row], [NUM OF MEM]]*Table1[[#This Row], [TOTAL TIME TAKEN]]*_xlfn.XLOOKUP(Table1[[#This Row], [EXIT]],Sheet1!$A$70:$A$71,Sheet1!$B$70:$B$71)*(1+_xlfn.XLOOKUP(Table1[[#This Row], [EXIT]],Sheet1!$A$70:$A$71,Sheet1!$C$70:$C$71))</f>
        <v>1684265.6249999993</v>
      </c>
      <c r="L1269" s="13" t="s">
        <v>65</v>
      </c>
      <c r="M1269" s="4">
        <f>IF(Table1[[#This Row], [EQUIPMENT]]="YES",Sheet1!$C$44*(1+Sheet1!$D$44),0)</f>
        <v>307500</v>
      </c>
      <c r="N1269" s="4">
        <f>_xlfn.XLOOKUP(Table1[[#This Row], [ROOM]],Sheet1!$A$47:$A$66,Sheet1!$F$47:$F$66)</f>
        <v>17550000</v>
      </c>
      <c r="O1269" s="9">
        <f>_xlfn.XLOOKUP(_xlfn.CONCAT(Table1[[#This Row], [TEAM]],Table1[[#This Row], [ROOM]]),'ROOM TIME'!$H$2:$H$121,'ROOM TIME'!$J$2:$J$121)</f>
        <v>39.583333333333321</v>
      </c>
      <c r="P1269" s="9">
        <f>(INDEX(Sheet1!$X$48:$Z$67,MATCH(Table1[[#This Row], [ROOM]],Sheet1!$P$48:$P$67,0),MATCH(Table1[[#This Row], [WEAPON]],Sheet1!$X$47:$Z$47,0)))/Table1[[#This Row], [NUM OF MEM]]</f>
        <v>4.166666666666667</v>
      </c>
      <c r="Q1269" s="9">
        <f>Table1[[#This Row], [ROOM TIME]]+Table1[[#This Row], [GUARD TIME]]</f>
        <v>43.749999999999986</v>
      </c>
      <c r="R1269" s="4">
        <f>Sheet1!$K$3*_xlfn.XLOOKUP(Table1[[#This Row], [DISGUISE]],Sheet1!$A$21:$A$23,Sheet1!$D$21:$D$23)</f>
        <v>66</v>
      </c>
      <c r="S1269" s="9">
        <f>Table1[[#This Row], [TOTAL TIME]]-Table1[[#This Row], [TOTAL TIME TAKEN]]</f>
        <v>22.250000000000014</v>
      </c>
      <c r="T1269" t="str">
        <f>IF(Table1[[#This Row], [TIME DIFFERENCE]]&gt;=0,"PASS","FAIL")</f>
        <v>PASS</v>
      </c>
      <c r="U1269" s="9">
        <f>Table1[[#This Row], [TRC]]+Table1[[#This Row], [DRC]]+Table1[[#This Row], [WRC]]+Table1[[#This Row], [ERC]]+Table1[[#This Row], [EQRC]]</f>
        <v>8104115.6249999991</v>
      </c>
      <c r="V1269" s="9">
        <f>Table1[[#This Row], [TOTAL COST]]+_xlfn.XLOOKUP(Table1[[#This Row], [TEAM]],Sheet1!$A$12:$A$17,Sheet1!$I$12:$I$17)</f>
        <v>8403553.125</v>
      </c>
      <c r="W1269" s="9">
        <f>Table1[[#This Row], [LOOT]]-Table1[[#This Row], [TOTAL COST]]</f>
        <v>9445884.375</v>
      </c>
      <c r="X1269" s="9">
        <f>IF(Table1[[#This Row], [PASS/FAIL]]="FAIL",0,Table1[[#This Row], [PROFIT]])</f>
        <v>9445884.375</v>
      </c>
    </row>
    <row r="1270" spans="1:24" ht="19.5" customHeight="1" x14ac:dyDescent="0.45">
      <c r="A1270" t="s">
        <v>9</v>
      </c>
      <c r="B1270" s="14">
        <f>_xlfn.XLOOKUP(Table1[[#This Row], [TEAM]],Sheet1!$A$12:$A$17,Sheet1!$F$12:$F$17)</f>
        <v>3</v>
      </c>
      <c r="C1270" s="14">
        <f>_xlfn.XLOOKUP(Table1[[#This Row], [TEAM]],Sheet1!$A$12:$A$17,Sheet1!$G$12:$G$17)</f>
        <v>6238750</v>
      </c>
      <c r="D1270" t="s">
        <v>10</v>
      </c>
      <c r="E1270" s="4">
        <f>_xlfn.XLOOKUP(Table1[[#This Row], [ROOM]],Sheet1!$A$47:$A$66,Sheet1!$B$47:$B$66)</f>
        <v>123</v>
      </c>
      <c r="F1270" t="s">
        <v>58</v>
      </c>
      <c r="G1270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0" s="13" t="s">
        <v>63</v>
      </c>
      <c r="I1270" s="4">
        <f>_xlfn.XLOOKUP(Table1[[#This Row], [WEAPON]],Sheet1!$A$27:$A$29,Sheet1!$B$27:$B$29)*Table1[[#This Row], [NUM OF MEM]]*(1+_xlfn.XLOOKUP(Table1[[#This Row], [WEAPON]],Sheet1!$A$27:$A$29,Sheet1!$C$27:$C$29))</f>
        <v>69000</v>
      </c>
      <c r="J1270" t="s">
        <v>64</v>
      </c>
      <c r="K1270" s="9">
        <f>Table1[[#This Row], [NUM OF MEM]]*Table1[[#This Row], [TOTAL TIME TAKEN]]*_xlfn.XLOOKUP(Table1[[#This Row], [EXIT]],Sheet1!$A$70:$A$71,Sheet1!$B$70:$B$71)*(1+_xlfn.XLOOKUP(Table1[[#This Row], [EXIT]],Sheet1!$A$70:$A$71,Sheet1!$C$70:$C$71))</f>
        <v>1751003.9999999993</v>
      </c>
      <c r="L1270" s="13" t="s">
        <v>65</v>
      </c>
      <c r="M1270" s="4">
        <f>IF(Table1[[#This Row], [EQUIPMENT]]="YES",Sheet1!$C$44*(1+Sheet1!$D$44),0)</f>
        <v>307500</v>
      </c>
      <c r="N1270" s="4">
        <f>_xlfn.XLOOKUP(Table1[[#This Row], [ROOM]],Sheet1!$A$47:$A$66,Sheet1!$F$47:$F$66)</f>
        <v>17850000</v>
      </c>
      <c r="O1270" s="9">
        <f>_xlfn.XLOOKUP(_xlfn.CONCAT(Table1[[#This Row], [TEAM]],Table1[[#This Row], [ROOM]]),'ROOM TIME'!$H$2:$H$121,'ROOM TIME'!$J$2:$J$121)</f>
        <v>39.636111111111099</v>
      </c>
      <c r="P1270" s="9">
        <f>(INDEX(Sheet1!$X$48:$Z$67,MATCH(Table1[[#This Row], [ROOM]],Sheet1!$P$48:$P$67,0),MATCH(Table1[[#This Row], [WEAPON]],Sheet1!$X$47:$Z$47,0)))/Table1[[#This Row], [NUM OF MEM]]</f>
        <v>5.4000000000000012</v>
      </c>
      <c r="Q1270" s="9">
        <f>Table1[[#This Row], [ROOM TIME]]+Table1[[#This Row], [GUARD TIME]]</f>
        <v>45.036111111111097</v>
      </c>
      <c r="R1270" s="4">
        <f>Sheet1!$K$3*_xlfn.XLOOKUP(Table1[[#This Row], [DISGUISE]],Sheet1!$A$21:$A$23,Sheet1!$D$21:$D$23)</f>
        <v>69</v>
      </c>
      <c r="S1270" s="9">
        <f>Table1[[#This Row], [TOTAL TIME]]-Table1[[#This Row], [TOTAL TIME TAKEN]]</f>
        <v>23.963888888888903</v>
      </c>
      <c r="T1270" t="str">
        <f>IF(Table1[[#This Row], [TIME DIFFERENCE]]&gt;=0,"PASS","FAIL")</f>
        <v>PASS</v>
      </c>
      <c r="U1270" s="4">
        <f>Table1[[#This Row], [TRC]]+Table1[[#This Row], [DRC]]+Table1[[#This Row], [WRC]]+Table1[[#This Row], [ERC]]+Table1[[#This Row], [EQRC]]</f>
        <v>8404654</v>
      </c>
      <c r="V1270" s="9">
        <f>Table1[[#This Row], [TOTAL COST]]+_xlfn.XLOOKUP(Table1[[#This Row], [TEAM]],Sheet1!$A$12:$A$17,Sheet1!$I$12:$I$17)</f>
        <v>8716591.5</v>
      </c>
      <c r="W1270" s="4">
        <f>Table1[[#This Row], [LOOT]]-Table1[[#This Row], [TOTAL COST]]</f>
        <v>9445346</v>
      </c>
      <c r="X1270" s="4">
        <f>IF(Table1[[#This Row], [PASS/FAIL]]="FAIL",0,Table1[[#This Row], [PROFIT]])</f>
        <v>9445346</v>
      </c>
    </row>
    <row r="1271" spans="1:24" ht="19.5" customHeight="1" x14ac:dyDescent="0.45">
      <c r="A1271" t="s">
        <v>12</v>
      </c>
      <c r="B1271" s="14">
        <f>_xlfn.XLOOKUP(Table1[[#This Row], [TEAM]],Sheet1!$A$12:$A$17,Sheet1!$F$12:$F$17)</f>
        <v>3</v>
      </c>
      <c r="C1271" s="14">
        <f>_xlfn.XLOOKUP(Table1[[#This Row], [TEAM]],Sheet1!$A$12:$A$17,Sheet1!$G$12:$G$17)</f>
        <v>5988750</v>
      </c>
      <c r="D1271" t="s">
        <v>25</v>
      </c>
      <c r="E1271" s="4">
        <f>_xlfn.XLOOKUP(Table1[[#This Row], [ROOM]],Sheet1!$A$47:$A$66,Sheet1!$B$47:$B$66)</f>
        <v>126</v>
      </c>
      <c r="F1271" t="s">
        <v>58</v>
      </c>
      <c r="G1271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1" s="13" t="s">
        <v>59</v>
      </c>
      <c r="I1271" s="4">
        <f>_xlfn.XLOOKUP(Table1[[#This Row], [WEAPON]],Sheet1!$A$27:$A$29,Sheet1!$B$27:$B$29)*Table1[[#This Row], [NUM OF MEM]]*(1+_xlfn.XLOOKUP(Table1[[#This Row], [WEAPON]],Sheet1!$A$27:$A$29,Sheet1!$C$27:$C$29))</f>
        <v>136500</v>
      </c>
      <c r="J1271" t="s">
        <v>64</v>
      </c>
      <c r="K1271" s="9">
        <f>Table1[[#This Row], [NUM OF MEM]]*Table1[[#This Row], [TOTAL TIME TAKEN]]*_xlfn.XLOOKUP(Table1[[#This Row], [EXIT]],Sheet1!$A$70:$A$71,Sheet1!$B$70:$B$71)*(1+_xlfn.XLOOKUP(Table1[[#This Row], [EXIT]],Sheet1!$A$70:$A$71,Sheet1!$C$70:$C$71))</f>
        <v>1633651.1999999995</v>
      </c>
      <c r="L1271" s="13" t="s">
        <v>65</v>
      </c>
      <c r="M1271" s="4">
        <f>IF(Table1[[#This Row], [EQUIPMENT]]="YES",Sheet1!$C$44*(1+Sheet1!$D$44),0)</f>
        <v>307500</v>
      </c>
      <c r="N1271" s="4">
        <f>_xlfn.XLOOKUP(Table1[[#This Row], [ROOM]],Sheet1!$A$47:$A$66,Sheet1!$F$47:$F$66)</f>
        <v>17550000</v>
      </c>
      <c r="O1271" s="9">
        <f>_xlfn.XLOOKUP(_xlfn.CONCAT(Table1[[#This Row], [TEAM]],Table1[[#This Row], [ROOM]]),'ROOM TIME'!$H$2:$H$121,'ROOM TIME'!$J$2:$J$121)</f>
        <v>37.801111111111091</v>
      </c>
      <c r="P1271" s="9">
        <f>(INDEX(Sheet1!$X$48:$Z$67,MATCH(Table1[[#This Row], [ROOM]],Sheet1!$P$48:$P$67,0),MATCH(Table1[[#This Row], [WEAPON]],Sheet1!$X$47:$Z$47,0)))/Table1[[#This Row], [NUM OF MEM]]</f>
        <v>4.2166666666666659</v>
      </c>
      <c r="Q1271" s="9">
        <f>Table1[[#This Row], [ROOM TIME]]+Table1[[#This Row], [GUARD TIME]]</f>
        <v>42.017777777777759</v>
      </c>
      <c r="R1271" s="4">
        <f>Sheet1!$K$3*_xlfn.XLOOKUP(Table1[[#This Row], [DISGUISE]],Sheet1!$A$21:$A$23,Sheet1!$D$21:$D$23)</f>
        <v>69</v>
      </c>
      <c r="S1271" s="9">
        <f>Table1[[#This Row], [TOTAL TIME]]-Table1[[#This Row], [TOTAL TIME TAKEN]]</f>
        <v>26.982222222222241</v>
      </c>
      <c r="T1271" t="str">
        <f>IF(Table1[[#This Row], [TIME DIFFERENCE]]&gt;=0,"PASS","FAIL")</f>
        <v>PASS</v>
      </c>
      <c r="U1271" s="9">
        <f>Table1[[#This Row], [TRC]]+Table1[[#This Row], [DRC]]+Table1[[#This Row], [WRC]]+Table1[[#This Row], [ERC]]+Table1[[#This Row], [EQRC]]</f>
        <v>8104801.1999999993</v>
      </c>
      <c r="V1271" s="9">
        <f>Table1[[#This Row], [TOTAL COST]]+_xlfn.XLOOKUP(Table1[[#This Row], [TEAM]],Sheet1!$A$12:$A$17,Sheet1!$I$12:$I$17)</f>
        <v>8404238.6999999993</v>
      </c>
      <c r="W1271" s="9">
        <f>Table1[[#This Row], [LOOT]]-Table1[[#This Row], [TOTAL COST]]</f>
        <v>9445198.8000000007</v>
      </c>
      <c r="X1271" s="9">
        <f>IF(Table1[[#This Row], [PASS/FAIL]]="FAIL",0,Table1[[#This Row], [PROFIT]])</f>
        <v>9445198.8000000007</v>
      </c>
    </row>
    <row r="1272" spans="1:24" ht="19.5" customHeight="1" x14ac:dyDescent="0.45">
      <c r="A1272" t="s">
        <v>9</v>
      </c>
      <c r="B1272" s="14">
        <f>_xlfn.XLOOKUP(Table1[[#This Row], [TEAM]],Sheet1!$A$12:$A$17,Sheet1!$F$12:$F$17)</f>
        <v>3</v>
      </c>
      <c r="C1272" s="14">
        <f>_xlfn.XLOOKUP(Table1[[#This Row], [TEAM]],Sheet1!$A$12:$A$17,Sheet1!$G$12:$G$17)</f>
        <v>6238750</v>
      </c>
      <c r="D1272" t="s">
        <v>10</v>
      </c>
      <c r="E1272" s="4">
        <f>_xlfn.XLOOKUP(Table1[[#This Row], [ROOM]],Sheet1!$A$47:$A$66,Sheet1!$B$47:$B$66)</f>
        <v>123</v>
      </c>
      <c r="F1272" t="s">
        <v>62</v>
      </c>
      <c r="G1272" s="4">
        <f>_xlfn.XLOOKUP(Table1[[#This Row], [DISGUISE]],Sheet1!$A$21:$A$23,Sheet1!$B$21:$B$23)*Table1[[#This Row], [NUM OF MEM]]*(1+_xlfn.XLOOKUP(Table1[[#This Row], [DISGUISE]],Sheet1!$A$21:$A$23,Sheet1!$C$21:$C$23))</f>
        <v>15600</v>
      </c>
      <c r="H1272" s="13" t="s">
        <v>66</v>
      </c>
      <c r="I1272" s="4">
        <f>_xlfn.XLOOKUP(Table1[[#This Row], [WEAPON]],Sheet1!$A$27:$A$29,Sheet1!$B$27:$B$29)*Table1[[#This Row], [NUM OF MEM]]*(1+_xlfn.XLOOKUP(Table1[[#This Row], [WEAPON]],Sheet1!$A$27:$A$29,Sheet1!$C$27:$C$29))</f>
        <v>108000</v>
      </c>
      <c r="J1272" t="s">
        <v>64</v>
      </c>
      <c r="K1272" s="9">
        <f>Table1[[#This Row], [NUM OF MEM]]*Table1[[#This Row], [TOTAL TIME TAKEN]]*_xlfn.XLOOKUP(Table1[[#This Row], [EXIT]],Sheet1!$A$70:$A$71,Sheet1!$B$70:$B$71)*(1+_xlfn.XLOOKUP(Table1[[#This Row], [EXIT]],Sheet1!$A$70:$A$71,Sheet1!$C$70:$C$71))</f>
        <v>1735451.9999999998</v>
      </c>
      <c r="L1272" s="13" t="s">
        <v>65</v>
      </c>
      <c r="M1272" s="4">
        <f>IF(Table1[[#This Row], [EQUIPMENT]]="YES",Sheet1!$C$44*(1+Sheet1!$D$44),0)</f>
        <v>307500</v>
      </c>
      <c r="N1272" s="4">
        <f>_xlfn.XLOOKUP(Table1[[#This Row], [ROOM]],Sheet1!$A$47:$A$66,Sheet1!$F$47:$F$66)</f>
        <v>17850000</v>
      </c>
      <c r="O1272" s="9">
        <f>_xlfn.XLOOKUP(_xlfn.CONCAT(Table1[[#This Row], [TEAM]],Table1[[#This Row], [ROOM]]),'ROOM TIME'!$H$2:$H$121,'ROOM TIME'!$J$2:$J$121)</f>
        <v>39.636111111111099</v>
      </c>
      <c r="P1272" s="4">
        <f>(INDEX(Sheet1!$X$48:$Z$67,MATCH(Table1[[#This Row], [ROOM]],Sheet1!$P$48:$P$67,0),MATCH(Table1[[#This Row], [WEAPON]],Sheet1!$X$47:$Z$47,0)))/Table1[[#This Row], [NUM OF MEM]]</f>
        <v>5</v>
      </c>
      <c r="Q1272" s="9">
        <f>Table1[[#This Row], [ROOM TIME]]+Table1[[#This Row], [GUARD TIME]]</f>
        <v>44.636111111111099</v>
      </c>
      <c r="R1272" s="4">
        <f>Sheet1!$K$3*_xlfn.XLOOKUP(Table1[[#This Row], [DISGUISE]],Sheet1!$A$21:$A$23,Sheet1!$D$21:$D$23)</f>
        <v>66</v>
      </c>
      <c r="S1272" s="9">
        <f>Table1[[#This Row], [TOTAL TIME]]-Table1[[#This Row], [TOTAL TIME TAKEN]]</f>
        <v>21.363888888888901</v>
      </c>
      <c r="T1272" t="str">
        <f>IF(Table1[[#This Row], [TIME DIFFERENCE]]&gt;=0,"PASS","FAIL")</f>
        <v>PASS</v>
      </c>
      <c r="U1272" s="4">
        <f>Table1[[#This Row], [TRC]]+Table1[[#This Row], [DRC]]+Table1[[#This Row], [WRC]]+Table1[[#This Row], [ERC]]+Table1[[#This Row], [EQRC]]</f>
        <v>8405302</v>
      </c>
      <c r="V1272" s="9">
        <f>Table1[[#This Row], [TOTAL COST]]+_xlfn.XLOOKUP(Table1[[#This Row], [TEAM]],Sheet1!$A$12:$A$17,Sheet1!$I$12:$I$17)</f>
        <v>8717239.5</v>
      </c>
      <c r="W1272" s="4">
        <f>Table1[[#This Row], [LOOT]]-Table1[[#This Row], [TOTAL COST]]</f>
        <v>9444698</v>
      </c>
      <c r="X1272" s="4">
        <f>IF(Table1[[#This Row], [PASS/FAIL]]="FAIL",0,Table1[[#This Row], [PROFIT]])</f>
        <v>9444698</v>
      </c>
    </row>
    <row r="1273" spans="1:24" ht="19.5" customHeight="1" x14ac:dyDescent="0.45">
      <c r="A1273" t="s">
        <v>12</v>
      </c>
      <c r="B1273" s="14">
        <f>_xlfn.XLOOKUP(Table1[[#This Row], [TEAM]],Sheet1!$A$12:$A$17,Sheet1!$F$12:$F$17)</f>
        <v>3</v>
      </c>
      <c r="C1273" s="14">
        <f>_xlfn.XLOOKUP(Table1[[#This Row], [TEAM]],Sheet1!$A$12:$A$17,Sheet1!$G$12:$G$17)</f>
        <v>5988750</v>
      </c>
      <c r="D1273" t="s">
        <v>31</v>
      </c>
      <c r="E1273" s="4">
        <f>_xlfn.XLOOKUP(Table1[[#This Row], [ROOM]],Sheet1!$A$47:$A$66,Sheet1!$B$47:$B$66)</f>
        <v>256</v>
      </c>
      <c r="F1273" t="s">
        <v>58</v>
      </c>
      <c r="G1273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3" s="13" t="s">
        <v>66</v>
      </c>
      <c r="I1273" s="4">
        <f>_xlfn.XLOOKUP(Table1[[#This Row], [WEAPON]],Sheet1!$A$27:$A$29,Sheet1!$B$27:$B$29)*Table1[[#This Row], [NUM OF MEM]]*(1+_xlfn.XLOOKUP(Table1[[#This Row], [WEAPON]],Sheet1!$A$27:$A$29,Sheet1!$C$27:$C$29))</f>
        <v>108000</v>
      </c>
      <c r="J1273" t="s">
        <v>60</v>
      </c>
      <c r="K1273" s="9">
        <f>Table1[[#This Row], [NUM OF MEM]]*Table1[[#This Row], [TOTAL TIME TAKEN]]*_xlfn.XLOOKUP(Table1[[#This Row], [EXIT]],Sheet1!$A$70:$A$71,Sheet1!$B$70:$B$71)*(1+_xlfn.XLOOKUP(Table1[[#This Row], [EXIT]],Sheet1!$A$70:$A$71,Sheet1!$C$70:$C$71))</f>
        <v>1612916.9249999996</v>
      </c>
      <c r="L1273" s="13" t="s">
        <v>65</v>
      </c>
      <c r="M1273" s="4">
        <f>IF(Table1[[#This Row], [EQUIPMENT]]="YES",Sheet1!$C$44*(1+Sheet1!$D$44),0)</f>
        <v>307500</v>
      </c>
      <c r="N1273" s="4">
        <f>_xlfn.XLOOKUP(Table1[[#This Row], [ROOM]],Sheet1!$A$47:$A$66,Sheet1!$F$47:$F$66)</f>
        <v>17500000</v>
      </c>
      <c r="O1273" s="9">
        <f>_xlfn.XLOOKUP(_xlfn.CONCAT(Table1[[#This Row], [TEAM]],Table1[[#This Row], [ROOM]]),'ROOM TIME'!$H$2:$H$121,'ROOM TIME'!$J$2:$J$121)</f>
        <v>37.313333333333318</v>
      </c>
      <c r="P1273" s="9">
        <f>(INDEX(Sheet1!$X$48:$Z$67,MATCH(Table1[[#This Row], [ROOM]],Sheet1!$P$48:$P$67,0),MATCH(Table1[[#This Row], [WEAPON]],Sheet1!$X$47:$Z$47,0)))/Table1[[#This Row], [NUM OF MEM]]</f>
        <v>4.583333333333333</v>
      </c>
      <c r="Q1273" s="9">
        <f>Table1[[#This Row], [ROOM TIME]]+Table1[[#This Row], [GUARD TIME]]</f>
        <v>41.896666666666654</v>
      </c>
      <c r="R1273" s="4">
        <f>Sheet1!$K$3*_xlfn.XLOOKUP(Table1[[#This Row], [DISGUISE]],Sheet1!$A$21:$A$23,Sheet1!$D$21:$D$23)</f>
        <v>69</v>
      </c>
      <c r="S1273" s="9">
        <f>Table1[[#This Row], [TOTAL TIME]]-Table1[[#This Row], [TOTAL TIME TAKEN]]</f>
        <v>27.103333333333346</v>
      </c>
      <c r="T1273" t="str">
        <f>IF(Table1[[#This Row], [TIME DIFFERENCE]]&gt;=0,"PASS","FAIL")</f>
        <v>PASS</v>
      </c>
      <c r="U1273" s="9">
        <f>Table1[[#This Row], [TRC]]+Table1[[#This Row], [DRC]]+Table1[[#This Row], [WRC]]+Table1[[#This Row], [ERC]]+Table1[[#This Row], [EQRC]]</f>
        <v>8055566.9249999998</v>
      </c>
      <c r="V1273" s="9">
        <f>Table1[[#This Row], [TOTAL COST]]+_xlfn.XLOOKUP(Table1[[#This Row], [TEAM]],Sheet1!$A$12:$A$17,Sheet1!$I$12:$I$17)</f>
        <v>8355004.4249999998</v>
      </c>
      <c r="W1273" s="9">
        <f>Table1[[#This Row], [LOOT]]-Table1[[#This Row], [TOTAL COST]]</f>
        <v>9444433.0749999993</v>
      </c>
      <c r="X1273" s="9">
        <f>IF(Table1[[#This Row], [PASS/FAIL]]="FAIL",0,Table1[[#This Row], [PROFIT]])</f>
        <v>9444433.0749999993</v>
      </c>
    </row>
    <row r="1274" spans="1:24" ht="19.5" customHeight="1" x14ac:dyDescent="0.45">
      <c r="A1274" t="s">
        <v>9</v>
      </c>
      <c r="B1274" s="14">
        <f>_xlfn.XLOOKUP(Table1[[#This Row], [TEAM]],Sheet1!$A$12:$A$17,Sheet1!$F$12:$F$17)</f>
        <v>3</v>
      </c>
      <c r="C1274" s="14">
        <f>_xlfn.XLOOKUP(Table1[[#This Row], [TEAM]],Sheet1!$A$12:$A$17,Sheet1!$G$12:$G$17)</f>
        <v>6238750</v>
      </c>
      <c r="D1274" t="s">
        <v>11</v>
      </c>
      <c r="E1274" s="4">
        <f>_xlfn.XLOOKUP(Table1[[#This Row], [ROOM]],Sheet1!$A$47:$A$66,Sheet1!$B$47:$B$66)</f>
        <v>124</v>
      </c>
      <c r="F1274" t="s">
        <v>62</v>
      </c>
      <c r="G127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74" s="13" t="s">
        <v>63</v>
      </c>
      <c r="I1274" s="4">
        <f>_xlfn.XLOOKUP(Table1[[#This Row], [WEAPON]],Sheet1!$A$27:$A$29,Sheet1!$B$27:$B$29)*Table1[[#This Row], [NUM OF MEM]]*(1+_xlfn.XLOOKUP(Table1[[#This Row], [WEAPON]],Sheet1!$A$27:$A$29,Sheet1!$C$27:$C$29))</f>
        <v>69000</v>
      </c>
      <c r="J1274" t="s">
        <v>60</v>
      </c>
      <c r="K1274" s="9">
        <f>Table1[[#This Row], [NUM OF MEM]]*Table1[[#This Row], [TOTAL TIME TAKEN]]*_xlfn.XLOOKUP(Table1[[#This Row], [EXIT]],Sheet1!$A$70:$A$71,Sheet1!$B$70:$B$71)*(1+_xlfn.XLOOKUP(Table1[[#This Row], [EXIT]],Sheet1!$A$70:$A$71,Sheet1!$C$70:$C$71))</f>
        <v>1682447.6874999995</v>
      </c>
      <c r="L1274" s="13" t="s">
        <v>61</v>
      </c>
      <c r="M1274" s="4">
        <f>IF(Table1[[#This Row], [EQUIPMENT]]="YES",Sheet1!$C$44*(1+Sheet1!$D$44),0)</f>
        <v>0</v>
      </c>
      <c r="N1274" s="4">
        <f>_xlfn.XLOOKUP(Table1[[#This Row], [ROOM]],Sheet1!$A$47:$A$66,Sheet1!$F$47:$F$66)</f>
        <v>17450000</v>
      </c>
      <c r="O1274" s="9">
        <f>_xlfn.XLOOKUP(_xlfn.CONCAT(Table1[[#This Row], [TEAM]],Table1[[#This Row], [ROOM]]),'ROOM TIME'!$H$2:$H$121,'ROOM TIME'!$J$2:$J$121)</f>
        <v>38.752777777777773</v>
      </c>
      <c r="P1274" s="9">
        <f>(INDEX(Sheet1!$X$48:$Z$67,MATCH(Table1[[#This Row], [ROOM]],Sheet1!$P$48:$P$67,0),MATCH(Table1[[#This Row], [WEAPON]],Sheet1!$X$47:$Z$47,0)))/Table1[[#This Row], [NUM OF MEM]]</f>
        <v>4.95</v>
      </c>
      <c r="Q1274" s="9">
        <f>Table1[[#This Row], [ROOM TIME]]+Table1[[#This Row], [GUARD TIME]]</f>
        <v>43.702777777777776</v>
      </c>
      <c r="R1274" s="4">
        <f>Sheet1!$K$3*_xlfn.XLOOKUP(Table1[[#This Row], [DISGUISE]],Sheet1!$A$21:$A$23,Sheet1!$D$21:$D$23)</f>
        <v>66</v>
      </c>
      <c r="S1274" s="9">
        <f>Table1[[#This Row], [TOTAL TIME]]-Table1[[#This Row], [TOTAL TIME TAKEN]]</f>
        <v>22.297222222222224</v>
      </c>
      <c r="T1274" t="str">
        <f>IF(Table1[[#This Row], [TIME DIFFERENCE]]&gt;=0,"PASS","FAIL")</f>
        <v>PASS</v>
      </c>
      <c r="U1274" s="9">
        <f>Table1[[#This Row], [TRC]]+Table1[[#This Row], [DRC]]+Table1[[#This Row], [WRC]]+Table1[[#This Row], [ERC]]+Table1[[#This Row], [EQRC]]</f>
        <v>8005797.6875</v>
      </c>
      <c r="V1274" s="9">
        <f>Table1[[#This Row], [TOTAL COST]]+_xlfn.XLOOKUP(Table1[[#This Row], [TEAM]],Sheet1!$A$12:$A$17,Sheet1!$I$12:$I$17)</f>
        <v>8317735.1875</v>
      </c>
      <c r="W1274" s="9">
        <f>Table1[[#This Row], [LOOT]]-Table1[[#This Row], [TOTAL COST]]</f>
        <v>9444202.3125</v>
      </c>
      <c r="X1274" s="9">
        <f>IF(Table1[[#This Row], [PASS/FAIL]]="FAIL",0,Table1[[#This Row], [PROFIT]])</f>
        <v>9444202.3125</v>
      </c>
    </row>
    <row r="1275" spans="1:24" ht="19.5" customHeight="1" x14ac:dyDescent="0.45">
      <c r="A1275" t="s">
        <v>9</v>
      </c>
      <c r="B1275" s="14">
        <f>_xlfn.XLOOKUP(Table1[[#This Row], [TEAM]],Sheet1!$A$12:$A$17,Sheet1!$F$12:$F$17)</f>
        <v>3</v>
      </c>
      <c r="C1275" s="14">
        <f>_xlfn.XLOOKUP(Table1[[#This Row], [TEAM]],Sheet1!$A$12:$A$17,Sheet1!$G$12:$G$17)</f>
        <v>6238750</v>
      </c>
      <c r="D1275" t="s">
        <v>34</v>
      </c>
      <c r="E1275" s="4">
        <f>_xlfn.XLOOKUP(Table1[[#This Row], [ROOM]],Sheet1!$A$47:$A$66,Sheet1!$B$47:$B$66)</f>
        <v>456</v>
      </c>
      <c r="F1275" t="s">
        <v>58</v>
      </c>
      <c r="G127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5" s="13" t="s">
        <v>59</v>
      </c>
      <c r="I1275" s="4">
        <f>_xlfn.XLOOKUP(Table1[[#This Row], [WEAPON]],Sheet1!$A$27:$A$29,Sheet1!$B$27:$B$29)*Table1[[#This Row], [NUM OF MEM]]*(1+_xlfn.XLOOKUP(Table1[[#This Row], [WEAPON]],Sheet1!$A$27:$A$29,Sheet1!$C$27:$C$29))</f>
        <v>136500</v>
      </c>
      <c r="J1275" t="s">
        <v>64</v>
      </c>
      <c r="K1275" s="9">
        <f>Table1[[#This Row], [NUM OF MEM]]*Table1[[#This Row], [TOTAL TIME TAKEN]]*_xlfn.XLOOKUP(Table1[[#This Row], [EXIT]],Sheet1!$A$70:$A$71,Sheet1!$B$70:$B$71)*(1+_xlfn.XLOOKUP(Table1[[#This Row], [EXIT]],Sheet1!$A$70:$A$71,Sheet1!$C$70:$C$71))</f>
        <v>1535155.1999999997</v>
      </c>
      <c r="L1275" s="13" t="s">
        <v>65</v>
      </c>
      <c r="M1275" s="4">
        <f>IF(Table1[[#This Row], [EQUIPMENT]]="YES",Sheet1!$C$44*(1+Sheet1!$D$44),0)</f>
        <v>307500</v>
      </c>
      <c r="N1275" s="4">
        <f>_xlfn.XLOOKUP(Table1[[#This Row], [ROOM]],Sheet1!$A$47:$A$66,Sheet1!$F$47:$F$66)</f>
        <v>17700000</v>
      </c>
      <c r="O1275" s="9">
        <f>_xlfn.XLOOKUP(_xlfn.CONCAT(Table1[[#This Row], [TEAM]],Table1[[#This Row], [ROOM]]),'ROOM TIME'!$H$2:$H$121,'ROOM TIME'!$J$2:$J$121)</f>
        <v>35.267777777777766</v>
      </c>
      <c r="P1275" s="9">
        <f>(INDEX(Sheet1!$X$48:$Z$67,MATCH(Table1[[#This Row], [ROOM]],Sheet1!$P$48:$P$67,0),MATCH(Table1[[#This Row], [WEAPON]],Sheet1!$X$47:$Z$47,0)))/Table1[[#This Row], [NUM OF MEM]]</f>
        <v>4.2166666666666659</v>
      </c>
      <c r="Q1275" s="9">
        <f>Table1[[#This Row], [ROOM TIME]]+Table1[[#This Row], [GUARD TIME]]</f>
        <v>39.484444444444435</v>
      </c>
      <c r="R1275" s="4">
        <f>Sheet1!$K$3*_xlfn.XLOOKUP(Table1[[#This Row], [DISGUISE]],Sheet1!$A$21:$A$23,Sheet1!$D$21:$D$23)</f>
        <v>69</v>
      </c>
      <c r="S1275" s="9">
        <f>Table1[[#This Row], [TOTAL TIME]]-Table1[[#This Row], [TOTAL TIME TAKEN]]</f>
        <v>29.515555555555565</v>
      </c>
      <c r="T1275" t="str">
        <f>IF(Table1[[#This Row], [TIME DIFFERENCE]]&gt;=0,"PASS","FAIL")</f>
        <v>PASS</v>
      </c>
      <c r="U1275" s="9">
        <f>Table1[[#This Row], [TRC]]+Table1[[#This Row], [DRC]]+Table1[[#This Row], [WRC]]+Table1[[#This Row], [ERC]]+Table1[[#This Row], [EQRC]]</f>
        <v>8256305.1999999993</v>
      </c>
      <c r="V1275" s="9">
        <f>Table1[[#This Row], [TOTAL COST]]+_xlfn.XLOOKUP(Table1[[#This Row], [TEAM]],Sheet1!$A$12:$A$17,Sheet1!$I$12:$I$17)</f>
        <v>8568242.6999999993</v>
      </c>
      <c r="W1275" s="9">
        <f>Table1[[#This Row], [LOOT]]-Table1[[#This Row], [TOTAL COST]]</f>
        <v>9443694.8000000007</v>
      </c>
      <c r="X1275" s="9">
        <f>IF(Table1[[#This Row], [PASS/FAIL]]="FAIL",0,Table1[[#This Row], [PROFIT]])</f>
        <v>9443694.8000000007</v>
      </c>
    </row>
    <row r="1276" spans="1:24" ht="19.5" customHeight="1" x14ac:dyDescent="0.45">
      <c r="A1276" t="s">
        <v>16</v>
      </c>
      <c r="B1276" s="14">
        <f>_xlfn.XLOOKUP(Table1[[#This Row], [TEAM]],Sheet1!$A$12:$A$17,Sheet1!$F$12:$F$17)</f>
        <v>2</v>
      </c>
      <c r="C1276" s="14">
        <f>_xlfn.XLOOKUP(Table1[[#This Row], [TEAM]],Sheet1!$A$12:$A$17,Sheet1!$G$12:$G$17)</f>
        <v>6082800</v>
      </c>
      <c r="D1276" t="s">
        <v>17</v>
      </c>
      <c r="E1276" s="4">
        <f>_xlfn.XLOOKUP(Table1[[#This Row], [ROOM]],Sheet1!$A$47:$A$66,Sheet1!$B$47:$B$66)</f>
        <v>125</v>
      </c>
      <c r="F1276" t="s">
        <v>58</v>
      </c>
      <c r="G1276" s="4">
        <f>_xlfn.XLOOKUP(Table1[[#This Row], [DISGUISE]],Sheet1!$A$21:$A$23,Sheet1!$B$21:$B$23)*Table1[[#This Row], [NUM OF MEM]]*(1+_xlfn.XLOOKUP(Table1[[#This Row], [DISGUISE]],Sheet1!$A$21:$A$23,Sheet1!$C$21:$C$23))</f>
        <v>25600</v>
      </c>
      <c r="H1276" s="13" t="s">
        <v>63</v>
      </c>
      <c r="I1276" s="4">
        <f>_xlfn.XLOOKUP(Table1[[#This Row], [WEAPON]],Sheet1!$A$27:$A$29,Sheet1!$B$27:$B$29)*Table1[[#This Row], [NUM OF MEM]]*(1+_xlfn.XLOOKUP(Table1[[#This Row], [WEAPON]],Sheet1!$A$27:$A$29,Sheet1!$C$27:$C$29))</f>
        <v>46000</v>
      </c>
      <c r="J1276" t="s">
        <v>64</v>
      </c>
      <c r="K1276" s="9">
        <f>Table1[[#This Row], [NUM OF MEM]]*Table1[[#This Row], [TOTAL TIME TAKEN]]*_xlfn.XLOOKUP(Table1[[#This Row], [EXIT]],Sheet1!$A$70:$A$71,Sheet1!$B$70:$B$71)*(1+_xlfn.XLOOKUP(Table1[[#This Row], [EXIT]],Sheet1!$A$70:$A$71,Sheet1!$C$70:$C$71))</f>
        <v>1751965.1999999997</v>
      </c>
      <c r="L1276" s="13" t="s">
        <v>61</v>
      </c>
      <c r="M1276" s="4">
        <f>IF(Table1[[#This Row], [EQUIPMENT]]="YES",Sheet1!$C$44*(1+Sheet1!$D$44),0)</f>
        <v>0</v>
      </c>
      <c r="N1276" s="4">
        <f>_xlfn.XLOOKUP(Table1[[#This Row], [ROOM]],Sheet1!$A$47:$A$66,Sheet1!$F$47:$F$66)</f>
        <v>17350000</v>
      </c>
      <c r="O1276" s="9">
        <f>_xlfn.XLOOKUP(_xlfn.CONCAT(Table1[[#This Row], [TEAM]],Table1[[#This Row], [ROOM]]),'ROOM TIME'!$H$2:$H$121,'ROOM TIME'!$J$2:$J$121)</f>
        <v>60.841249999999988</v>
      </c>
      <c r="P1276" s="9">
        <f>(INDEX(Sheet1!$X$48:$Z$67,MATCH(Table1[[#This Row], [ROOM]],Sheet1!$P$48:$P$67,0),MATCH(Table1[[#This Row], [WEAPON]],Sheet1!$X$47:$Z$47,0)))/Table1[[#This Row], [NUM OF MEM]]</f>
        <v>6.75</v>
      </c>
      <c r="Q1276" s="9">
        <f>Table1[[#This Row], [ROOM TIME]]+Table1[[#This Row], [GUARD TIME]]</f>
        <v>67.591249999999988</v>
      </c>
      <c r="R1276" s="4">
        <f>Sheet1!$K$3*_xlfn.XLOOKUP(Table1[[#This Row], [DISGUISE]],Sheet1!$A$21:$A$23,Sheet1!$D$21:$D$23)</f>
        <v>69</v>
      </c>
      <c r="S1276" s="9">
        <f>Table1[[#This Row], [TOTAL TIME]]-Table1[[#This Row], [TOTAL TIME TAKEN]]</f>
        <v>1.4087500000000119</v>
      </c>
      <c r="T1276" t="str">
        <f>IF(Table1[[#This Row], [TIME DIFFERENCE]]&gt;=0,"PASS","FAIL")</f>
        <v>PASS</v>
      </c>
      <c r="U1276" s="9">
        <f>Table1[[#This Row], [TRC]]+Table1[[#This Row], [DRC]]+Table1[[#This Row], [WRC]]+Table1[[#This Row], [ERC]]+Table1[[#This Row], [EQRC]]</f>
        <v>7906365.1999999993</v>
      </c>
      <c r="V1276" s="9">
        <f>Table1[[#This Row], [TOTAL COST]]+_xlfn.XLOOKUP(Table1[[#This Row], [TEAM]],Sheet1!$A$12:$A$17,Sheet1!$I$12:$I$17)</f>
        <v>8210505.1999999993</v>
      </c>
      <c r="W1276" s="9">
        <f>Table1[[#This Row], [LOOT]]-Table1[[#This Row], [TOTAL COST]]</f>
        <v>9443634.8000000007</v>
      </c>
      <c r="X1276" s="9">
        <f>IF(Table1[[#This Row], [PASS/FAIL]]="FAIL",0,Table1[[#This Row], [PROFIT]])</f>
        <v>9443634.8000000007</v>
      </c>
    </row>
    <row r="1277" spans="1:24" ht="19.5" customHeight="1" x14ac:dyDescent="0.45">
      <c r="A1277" t="s">
        <v>16</v>
      </c>
      <c r="B1277" s="14">
        <f>_xlfn.XLOOKUP(Table1[[#This Row], [TEAM]],Sheet1!$A$12:$A$17,Sheet1!$F$12:$F$17)</f>
        <v>2</v>
      </c>
      <c r="C1277" s="14">
        <f>_xlfn.XLOOKUP(Table1[[#This Row], [TEAM]],Sheet1!$A$12:$A$17,Sheet1!$G$12:$G$17)</f>
        <v>6082800</v>
      </c>
      <c r="D1277" t="s">
        <v>30</v>
      </c>
      <c r="E1277" s="4">
        <f>_xlfn.XLOOKUP(Table1[[#This Row], [ROOM]],Sheet1!$A$47:$A$66,Sheet1!$B$47:$B$66)</f>
        <v>246</v>
      </c>
      <c r="F1277" t="s">
        <v>58</v>
      </c>
      <c r="G1277" s="4">
        <f>_xlfn.XLOOKUP(Table1[[#This Row], [DISGUISE]],Sheet1!$A$21:$A$23,Sheet1!$B$21:$B$23)*Table1[[#This Row], [NUM OF MEM]]*(1+_xlfn.XLOOKUP(Table1[[#This Row], [DISGUISE]],Sheet1!$A$21:$A$23,Sheet1!$C$21:$C$23))</f>
        <v>25600</v>
      </c>
      <c r="H1277" s="13" t="s">
        <v>66</v>
      </c>
      <c r="I1277" s="4">
        <f>_xlfn.XLOOKUP(Table1[[#This Row], [WEAPON]],Sheet1!$A$27:$A$29,Sheet1!$B$27:$B$29)*Table1[[#This Row], [NUM OF MEM]]*(1+_xlfn.XLOOKUP(Table1[[#This Row], [WEAPON]],Sheet1!$A$27:$A$29,Sheet1!$C$27:$C$29))</f>
        <v>72000</v>
      </c>
      <c r="J1277" t="s">
        <v>60</v>
      </c>
      <c r="K1277" s="9">
        <f>Table1[[#This Row], [NUM OF MEM]]*Table1[[#This Row], [TOTAL TIME TAKEN]]*_xlfn.XLOOKUP(Table1[[#This Row], [EXIT]],Sheet1!$A$70:$A$71,Sheet1!$B$70:$B$71)*(1+_xlfn.XLOOKUP(Table1[[#This Row], [EXIT]],Sheet1!$A$70:$A$71,Sheet1!$C$70:$C$71))</f>
        <v>1669251.5999999996</v>
      </c>
      <c r="L1277" s="13" t="s">
        <v>65</v>
      </c>
      <c r="M1277" s="4">
        <f>IF(Table1[[#This Row], [EQUIPMENT]]="YES",Sheet1!$C$44*(1+Sheet1!$D$44),0)</f>
        <v>307500</v>
      </c>
      <c r="N1277" s="4">
        <f>_xlfn.XLOOKUP(Table1[[#This Row], [ROOM]],Sheet1!$A$47:$A$66,Sheet1!$F$47:$F$66)</f>
        <v>17600000</v>
      </c>
      <c r="O1277" s="9">
        <f>_xlfn.XLOOKUP(_xlfn.CONCAT(Table1[[#This Row], [TEAM]],Table1[[#This Row], [ROOM]]),'ROOM TIME'!$H$2:$H$121,'ROOM TIME'!$J$2:$J$121)</f>
        <v>57.539999999999985</v>
      </c>
      <c r="P1277" s="9">
        <f>(INDEX(Sheet1!$X$48:$Z$67,MATCH(Table1[[#This Row], [ROOM]],Sheet1!$P$48:$P$67,0),MATCH(Table1[[#This Row], [WEAPON]],Sheet1!$X$47:$Z$47,0)))/Table1[[#This Row], [NUM OF MEM]]</f>
        <v>7.5</v>
      </c>
      <c r="Q1277" s="9">
        <f>Table1[[#This Row], [ROOM TIME]]+Table1[[#This Row], [GUARD TIME]]</f>
        <v>65.039999999999992</v>
      </c>
      <c r="R1277" s="4">
        <f>Sheet1!$K$3*_xlfn.XLOOKUP(Table1[[#This Row], [DISGUISE]],Sheet1!$A$21:$A$23,Sheet1!$D$21:$D$23)</f>
        <v>69</v>
      </c>
      <c r="S1277" s="9">
        <f>Table1[[#This Row], [TOTAL TIME]]-Table1[[#This Row], [TOTAL TIME TAKEN]]</f>
        <v>3.960000000000008</v>
      </c>
      <c r="T1277" t="str">
        <f>IF(Table1[[#This Row], [TIME DIFFERENCE]]&gt;=0,"PASS","FAIL")</f>
        <v>PASS</v>
      </c>
      <c r="U1277" s="9">
        <f>Table1[[#This Row], [TRC]]+Table1[[#This Row], [DRC]]+Table1[[#This Row], [WRC]]+Table1[[#This Row], [ERC]]+Table1[[#This Row], [EQRC]]</f>
        <v>8157151.5999999996</v>
      </c>
      <c r="V1277" s="9">
        <f>Table1[[#This Row], [TOTAL COST]]+_xlfn.XLOOKUP(Table1[[#This Row], [TEAM]],Sheet1!$A$12:$A$17,Sheet1!$I$12:$I$17)</f>
        <v>8461291.5999999996</v>
      </c>
      <c r="W1277" s="9">
        <f>Table1[[#This Row], [LOOT]]-Table1[[#This Row], [TOTAL COST]]</f>
        <v>9442848.4000000004</v>
      </c>
      <c r="X1277" s="9">
        <f>IF(Table1[[#This Row], [PASS/FAIL]]="FAIL",0,Table1[[#This Row], [PROFIT]])</f>
        <v>9442848.4000000004</v>
      </c>
    </row>
    <row r="1278" spans="1:24" ht="19.5" customHeight="1" x14ac:dyDescent="0.45">
      <c r="A1278" t="s">
        <v>9</v>
      </c>
      <c r="B1278" s="14">
        <f>_xlfn.XLOOKUP(Table1[[#This Row], [TEAM]],Sheet1!$A$12:$A$17,Sheet1!$F$12:$F$17)</f>
        <v>3</v>
      </c>
      <c r="C1278" s="14">
        <f>_xlfn.XLOOKUP(Table1[[#This Row], [TEAM]],Sheet1!$A$12:$A$17,Sheet1!$G$12:$G$17)</f>
        <v>6238750</v>
      </c>
      <c r="D1278" t="s">
        <v>28</v>
      </c>
      <c r="E1278" s="4">
        <f>_xlfn.XLOOKUP(Table1[[#This Row], [ROOM]],Sheet1!$A$47:$A$66,Sheet1!$B$47:$B$66)</f>
        <v>156</v>
      </c>
      <c r="F1278" t="s">
        <v>58</v>
      </c>
      <c r="G1278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8" s="13" t="s">
        <v>66</v>
      </c>
      <c r="I1278" s="4">
        <f>_xlfn.XLOOKUP(Table1[[#This Row], [WEAPON]],Sheet1!$A$27:$A$29,Sheet1!$B$27:$B$29)*Table1[[#This Row], [NUM OF MEM]]*(1+_xlfn.XLOOKUP(Table1[[#This Row], [WEAPON]],Sheet1!$A$27:$A$29,Sheet1!$C$27:$C$29))</f>
        <v>108000</v>
      </c>
      <c r="J1278" t="s">
        <v>60</v>
      </c>
      <c r="K1278" s="9">
        <f>Table1[[#This Row], [NUM OF MEM]]*Table1[[#This Row], [TOTAL TIME TAKEN]]*_xlfn.XLOOKUP(Table1[[#This Row], [EXIT]],Sheet1!$A$70:$A$71,Sheet1!$B$70:$B$71)*(1+_xlfn.XLOOKUP(Table1[[#This Row], [EXIT]],Sheet1!$A$70:$A$71,Sheet1!$C$70:$C$71))</f>
        <v>1515710.7374999993</v>
      </c>
      <c r="L1278" s="13" t="s">
        <v>65</v>
      </c>
      <c r="M1278" s="4">
        <f>IF(Table1[[#This Row], [EQUIPMENT]]="YES",Sheet1!$C$44*(1+Sheet1!$D$44),0)</f>
        <v>307500</v>
      </c>
      <c r="N1278" s="4">
        <f>_xlfn.XLOOKUP(Table1[[#This Row], [ROOM]],Sheet1!$A$47:$A$66,Sheet1!$F$47:$F$66)</f>
        <v>17650000</v>
      </c>
      <c r="O1278" s="9">
        <f>_xlfn.XLOOKUP(_xlfn.CONCAT(Table1[[#This Row], [TEAM]],Table1[[#This Row], [ROOM]]),'ROOM TIME'!$H$2:$H$121,'ROOM TIME'!$J$2:$J$121)</f>
        <v>35.204999999999991</v>
      </c>
      <c r="P1278" s="9">
        <f>(INDEX(Sheet1!$X$48:$Z$67,MATCH(Table1[[#This Row], [ROOM]],Sheet1!$P$48:$P$67,0),MATCH(Table1[[#This Row], [WEAPON]],Sheet1!$X$47:$Z$47,0)))/Table1[[#This Row], [NUM OF MEM]]</f>
        <v>4.166666666666667</v>
      </c>
      <c r="Q1278" s="9">
        <f>Table1[[#This Row], [ROOM TIME]]+Table1[[#This Row], [GUARD TIME]]</f>
        <v>39.371666666666655</v>
      </c>
      <c r="R1278" s="4">
        <f>Sheet1!$K$3*_xlfn.XLOOKUP(Table1[[#This Row], [DISGUISE]],Sheet1!$A$21:$A$23,Sheet1!$D$21:$D$23)</f>
        <v>69</v>
      </c>
      <c r="S1278" s="9">
        <f>Table1[[#This Row], [TOTAL TIME]]-Table1[[#This Row], [TOTAL TIME TAKEN]]</f>
        <v>29.628333333333345</v>
      </c>
      <c r="T1278" t="str">
        <f>IF(Table1[[#This Row], [TIME DIFFERENCE]]&gt;=0,"PASS","FAIL")</f>
        <v>PASS</v>
      </c>
      <c r="U1278" s="9">
        <f>Table1[[#This Row], [TRC]]+Table1[[#This Row], [DRC]]+Table1[[#This Row], [WRC]]+Table1[[#This Row], [ERC]]+Table1[[#This Row], [EQRC]]</f>
        <v>8208360.7374999989</v>
      </c>
      <c r="V1278" s="9">
        <f>Table1[[#This Row], [TOTAL COST]]+_xlfn.XLOOKUP(Table1[[#This Row], [TEAM]],Sheet1!$A$12:$A$17,Sheet1!$I$12:$I$17)</f>
        <v>8520298.2374999989</v>
      </c>
      <c r="W1278" s="9">
        <f>Table1[[#This Row], [LOOT]]-Table1[[#This Row], [TOTAL COST]]</f>
        <v>9441639.2625000011</v>
      </c>
      <c r="X1278" s="9">
        <f>IF(Table1[[#This Row], [PASS/FAIL]]="FAIL",0,Table1[[#This Row], [PROFIT]])</f>
        <v>9441639.2625000011</v>
      </c>
    </row>
    <row r="1279" spans="1:24" ht="19.5" customHeight="1" x14ac:dyDescent="0.45">
      <c r="A1279" t="s">
        <v>9</v>
      </c>
      <c r="B1279" s="14">
        <f>_xlfn.XLOOKUP(Table1[[#This Row], [TEAM]],Sheet1!$A$12:$A$17,Sheet1!$F$12:$F$17)</f>
        <v>3</v>
      </c>
      <c r="C1279" s="14">
        <f>_xlfn.XLOOKUP(Table1[[#This Row], [TEAM]],Sheet1!$A$12:$A$17,Sheet1!$G$12:$G$17)</f>
        <v>6238750</v>
      </c>
      <c r="D1279" t="s">
        <v>21</v>
      </c>
      <c r="E1279" s="4">
        <f>_xlfn.XLOOKUP(Table1[[#This Row], [ROOM]],Sheet1!$A$47:$A$66,Sheet1!$B$47:$B$66)</f>
        <v>234</v>
      </c>
      <c r="F1279" t="s">
        <v>58</v>
      </c>
      <c r="G1279" s="4">
        <f>_xlfn.XLOOKUP(Table1[[#This Row], [DISGUISE]],Sheet1!$A$21:$A$23,Sheet1!$B$21:$B$23)*Table1[[#This Row], [NUM OF MEM]]*(1+_xlfn.XLOOKUP(Table1[[#This Row], [DISGUISE]],Sheet1!$A$21:$A$23,Sheet1!$C$21:$C$23))</f>
        <v>38400</v>
      </c>
      <c r="H1279" s="13" t="s">
        <v>59</v>
      </c>
      <c r="I1279" s="4">
        <f>_xlfn.XLOOKUP(Table1[[#This Row], [WEAPON]],Sheet1!$A$27:$A$29,Sheet1!$B$27:$B$29)*Table1[[#This Row], [NUM OF MEM]]*(1+_xlfn.XLOOKUP(Table1[[#This Row], [WEAPON]],Sheet1!$A$27:$A$29,Sheet1!$C$27:$C$29))</f>
        <v>136500</v>
      </c>
      <c r="J1279" t="s">
        <v>64</v>
      </c>
      <c r="K1279" s="9">
        <f>Table1[[#This Row], [NUM OF MEM]]*Table1[[#This Row], [TOTAL TIME TAKEN]]*_xlfn.XLOOKUP(Table1[[#This Row], [EXIT]],Sheet1!$A$70:$A$71,Sheet1!$B$70:$B$71)*(1+_xlfn.XLOOKUP(Table1[[#This Row], [EXIT]],Sheet1!$A$70:$A$71,Sheet1!$C$70:$C$71))</f>
        <v>1737244.7999999996</v>
      </c>
      <c r="L1279" s="13" t="s">
        <v>65</v>
      </c>
      <c r="M1279" s="4">
        <f>IF(Table1[[#This Row], [EQUIPMENT]]="YES",Sheet1!$C$44*(1+Sheet1!$D$44),0)</f>
        <v>307500</v>
      </c>
      <c r="N1279" s="4">
        <f>_xlfn.XLOOKUP(Table1[[#This Row], [ROOM]],Sheet1!$A$47:$A$66,Sheet1!$F$47:$F$66)</f>
        <v>17900000</v>
      </c>
      <c r="O1279" s="9">
        <f>_xlfn.XLOOKUP(_xlfn.CONCAT(Table1[[#This Row], [TEAM]],Table1[[#This Row], [ROOM]]),'ROOM TIME'!$H$2:$H$121,'ROOM TIME'!$J$2:$J$121)</f>
        <v>39.698888888888881</v>
      </c>
      <c r="P1279" s="9">
        <f>(INDEX(Sheet1!$X$48:$Z$67,MATCH(Table1[[#This Row], [ROOM]],Sheet1!$P$48:$P$67,0),MATCH(Table1[[#This Row], [WEAPON]],Sheet1!$X$47:$Z$47,0)))/Table1[[#This Row], [NUM OF MEM]]</f>
        <v>4.9833333333333334</v>
      </c>
      <c r="Q1279" s="9">
        <f>Table1[[#This Row], [ROOM TIME]]+Table1[[#This Row], [GUARD TIME]]</f>
        <v>44.682222222222215</v>
      </c>
      <c r="R1279" s="4">
        <f>Sheet1!$K$3*_xlfn.XLOOKUP(Table1[[#This Row], [DISGUISE]],Sheet1!$A$21:$A$23,Sheet1!$D$21:$D$23)</f>
        <v>69</v>
      </c>
      <c r="S1279" s="9">
        <f>Table1[[#This Row], [TOTAL TIME]]-Table1[[#This Row], [TOTAL TIME TAKEN]]</f>
        <v>24.317777777777785</v>
      </c>
      <c r="T1279" t="str">
        <f>IF(Table1[[#This Row], [TIME DIFFERENCE]]&gt;=0,"PASS","FAIL")</f>
        <v>PASS</v>
      </c>
      <c r="U1279" s="9">
        <f>Table1[[#This Row], [TRC]]+Table1[[#This Row], [DRC]]+Table1[[#This Row], [WRC]]+Table1[[#This Row], [ERC]]+Table1[[#This Row], [EQRC]]</f>
        <v>8458394.8000000007</v>
      </c>
      <c r="V1279" s="9">
        <f>Table1[[#This Row], [TOTAL COST]]+_xlfn.XLOOKUP(Table1[[#This Row], [TEAM]],Sheet1!$A$12:$A$17,Sheet1!$I$12:$I$17)</f>
        <v>8770332.3000000007</v>
      </c>
      <c r="W1279" s="9">
        <f>Table1[[#This Row], [LOOT]]-Table1[[#This Row], [TOTAL COST]]</f>
        <v>9441605.1999999993</v>
      </c>
      <c r="X1279" s="9">
        <f>IF(Table1[[#This Row], [PASS/FAIL]]="FAIL",0,Table1[[#This Row], [PROFIT]])</f>
        <v>9441605.1999999993</v>
      </c>
    </row>
    <row r="1280" spans="1:24" ht="19.5" customHeight="1" x14ac:dyDescent="0.45">
      <c r="A1280" t="s">
        <v>16</v>
      </c>
      <c r="B1280" s="14">
        <f>_xlfn.XLOOKUP(Table1[[#This Row], [TEAM]],Sheet1!$A$12:$A$17,Sheet1!$F$12:$F$17)</f>
        <v>2</v>
      </c>
      <c r="C1280" s="14">
        <f>_xlfn.XLOOKUP(Table1[[#This Row], [TEAM]],Sheet1!$A$12:$A$17,Sheet1!$G$12:$G$17)</f>
        <v>6082800</v>
      </c>
      <c r="D1280" t="s">
        <v>25</v>
      </c>
      <c r="E1280" s="4">
        <f>_xlfn.XLOOKUP(Table1[[#This Row], [ROOM]],Sheet1!$A$47:$A$66,Sheet1!$B$47:$B$66)</f>
        <v>126</v>
      </c>
      <c r="F1280" t="s">
        <v>62</v>
      </c>
      <c r="G1280" s="4">
        <f>_xlfn.XLOOKUP(Table1[[#This Row], [DISGUISE]],Sheet1!$A$21:$A$23,Sheet1!$B$21:$B$23)*Table1[[#This Row], [NUM OF MEM]]*(1+_xlfn.XLOOKUP(Table1[[#This Row], [DISGUISE]],Sheet1!$A$21:$A$23,Sheet1!$C$21:$C$23))</f>
        <v>10400</v>
      </c>
      <c r="H1280" s="13" t="s">
        <v>63</v>
      </c>
      <c r="I1280" s="4">
        <f>_xlfn.XLOOKUP(Table1[[#This Row], [WEAPON]],Sheet1!$A$27:$A$29,Sheet1!$B$27:$B$29)*Table1[[#This Row], [NUM OF MEM]]*(1+_xlfn.XLOOKUP(Table1[[#This Row], [WEAPON]],Sheet1!$A$27:$A$29,Sheet1!$C$27:$C$29))</f>
        <v>46000</v>
      </c>
      <c r="J1280" t="s">
        <v>60</v>
      </c>
      <c r="K1280" s="9">
        <f>Table1[[#This Row], [NUM OF MEM]]*Table1[[#This Row], [TOTAL TIME TAKEN]]*_xlfn.XLOOKUP(Table1[[#This Row], [EXIT]],Sheet1!$A$70:$A$71,Sheet1!$B$70:$B$71)*(1+_xlfn.XLOOKUP(Table1[[#This Row], [EXIT]],Sheet1!$A$70:$A$71,Sheet1!$C$70:$C$71))</f>
        <v>1661712.5062499996</v>
      </c>
      <c r="L1280" s="13" t="s">
        <v>65</v>
      </c>
      <c r="M1280" s="4">
        <f>IF(Table1[[#This Row], [EQUIPMENT]]="YES",Sheet1!$C$44*(1+Sheet1!$D$44),0)</f>
        <v>307500</v>
      </c>
      <c r="N1280" s="4">
        <f>_xlfn.XLOOKUP(Table1[[#This Row], [ROOM]],Sheet1!$A$47:$A$66,Sheet1!$F$47:$F$66)</f>
        <v>17550000</v>
      </c>
      <c r="O1280" s="9">
        <f>_xlfn.XLOOKUP(_xlfn.CONCAT(Table1[[#This Row], [TEAM]],Table1[[#This Row], [ROOM]]),'ROOM TIME'!$H$2:$H$121,'ROOM TIME'!$J$2:$J$121)</f>
        <v>57.321249999999985</v>
      </c>
      <c r="P1280" s="9">
        <f>(INDEX(Sheet1!$X$48:$Z$67,MATCH(Table1[[#This Row], [ROOM]],Sheet1!$P$48:$P$67,0),MATCH(Table1[[#This Row], [WEAPON]],Sheet1!$X$47:$Z$47,0)))/Table1[[#This Row], [NUM OF MEM]]</f>
        <v>7.4250000000000007</v>
      </c>
      <c r="Q1280" s="9">
        <f>Table1[[#This Row], [ROOM TIME]]+Table1[[#This Row], [GUARD TIME]]</f>
        <v>64.746249999999989</v>
      </c>
      <c r="R1280" s="4">
        <f>Sheet1!$K$3*_xlfn.XLOOKUP(Table1[[#This Row], [DISGUISE]],Sheet1!$A$21:$A$23,Sheet1!$D$21:$D$23)</f>
        <v>66</v>
      </c>
      <c r="S1280" s="9">
        <f>Table1[[#This Row], [TOTAL TIME]]-Table1[[#This Row], [TOTAL TIME TAKEN]]</f>
        <v>1.2537500000000108</v>
      </c>
      <c r="T1280" t="str">
        <f>IF(Table1[[#This Row], [TIME DIFFERENCE]]&gt;=0,"PASS","FAIL")</f>
        <v>PASS</v>
      </c>
      <c r="U1280" s="9">
        <f>Table1[[#This Row], [TRC]]+Table1[[#This Row], [DRC]]+Table1[[#This Row], [WRC]]+Table1[[#This Row], [ERC]]+Table1[[#This Row], [EQRC]]</f>
        <v>8108412.5062499996</v>
      </c>
      <c r="V1280" s="9">
        <f>Table1[[#This Row], [TOTAL COST]]+_xlfn.XLOOKUP(Table1[[#This Row], [TEAM]],Sheet1!$A$12:$A$17,Sheet1!$I$12:$I$17)</f>
        <v>8412552.5062499996</v>
      </c>
      <c r="W1280" s="9">
        <f>Table1[[#This Row], [LOOT]]-Table1[[#This Row], [TOTAL COST]]</f>
        <v>9441587.4937500004</v>
      </c>
      <c r="X1280" s="9">
        <f>IF(Table1[[#This Row], [PASS/FAIL]]="FAIL",0,Table1[[#This Row], [PROFIT]])</f>
        <v>9441587.4937500004</v>
      </c>
    </row>
    <row r="1281" spans="1:24" ht="19.5" customHeight="1" x14ac:dyDescent="0.45">
      <c r="A1281" t="s">
        <v>16</v>
      </c>
      <c r="B1281" s="14">
        <f>_xlfn.XLOOKUP(Table1[[#This Row], [TEAM]],Sheet1!$A$12:$A$17,Sheet1!$F$12:$F$17)</f>
        <v>2</v>
      </c>
      <c r="C1281" s="14">
        <f>_xlfn.XLOOKUP(Table1[[#This Row], [TEAM]],Sheet1!$A$12:$A$17,Sheet1!$G$12:$G$17)</f>
        <v>6082800</v>
      </c>
      <c r="D1281" t="s">
        <v>17</v>
      </c>
      <c r="E1281" s="4">
        <f>_xlfn.XLOOKUP(Table1[[#This Row], [ROOM]],Sheet1!$A$47:$A$66,Sheet1!$B$47:$B$66)</f>
        <v>125</v>
      </c>
      <c r="F1281" t="s">
        <v>58</v>
      </c>
      <c r="G1281" s="4">
        <f>_xlfn.XLOOKUP(Table1[[#This Row], [DISGUISE]],Sheet1!$A$21:$A$23,Sheet1!$B$21:$B$23)*Table1[[#This Row], [NUM OF MEM]]*(1+_xlfn.XLOOKUP(Table1[[#This Row], [DISGUISE]],Sheet1!$A$21:$A$23,Sheet1!$C$21:$C$23))</f>
        <v>25600</v>
      </c>
      <c r="H1281" s="13" t="s">
        <v>59</v>
      </c>
      <c r="I1281" s="4">
        <f>_xlfn.XLOOKUP(Table1[[#This Row], [WEAPON]],Sheet1!$A$27:$A$29,Sheet1!$B$27:$B$29)*Table1[[#This Row], [NUM OF MEM]]*(1+_xlfn.XLOOKUP(Table1[[#This Row], [WEAPON]],Sheet1!$A$27:$A$29,Sheet1!$C$27:$C$29))</f>
        <v>91000</v>
      </c>
      <c r="J1281" t="s">
        <v>60</v>
      </c>
      <c r="K1281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1709064.4312499997</v>
      </c>
      <c r="L1281" s="13" t="s">
        <v>61</v>
      </c>
      <c r="M1281" s="4">
        <f>IF(Table1[[#This Row], [EQUIPMENT]]="YES",Sheet1!$C$44*(1+Sheet1!$D$44),0)</f>
        <v>0</v>
      </c>
      <c r="N1281" s="4">
        <f>_xlfn.XLOOKUP(Table1[[#This Row], [ROOM]],Sheet1!$A$47:$A$66,Sheet1!$F$47:$F$66)</f>
        <v>17350000</v>
      </c>
      <c r="O1281" s="9">
        <f>_xlfn.XLOOKUP(_xlfn.CONCAT(Table1[[#This Row], [TEAM]],Table1[[#This Row], [ROOM]]),'ROOM TIME'!$H$2:$H$121,'ROOM TIME'!$J$2:$J$121)</f>
        <v>60.841249999999988</v>
      </c>
      <c r="P1281" s="9">
        <f>(INDEX(Sheet1!$X$48:$Z$67,MATCH(Table1[[#This Row], [ROOM]],Sheet1!$P$48:$P$67,0),MATCH(Table1[[#This Row], [WEAPON]],Sheet1!$X$47:$Z$47,0)))/Table1[[#This Row], [NUM OF MEM]]</f>
        <v>5.75</v>
      </c>
      <c r="Q1281" s="9">
        <f>Table1[[#This Row], [ROOM TIME]]+Table1[[#This Row], [GUARD TIME]]</f>
        <v>66.591249999999988</v>
      </c>
      <c r="R1281" s="4">
        <f>Sheet1!$K$3*_xlfn.XLOOKUP(Table1[[#This Row], [DISGUISE]],Sheet1!$A$21:$A$23,Sheet1!$D$21:$D$23)</f>
        <v>69</v>
      </c>
      <c r="S1281" s="9">
        <f>Table1[[#This Row], [TOTAL TIME]]-Table1[[#This Row], [TOTAL TIME TAKEN]]</f>
        <v>2.4087500000000119</v>
      </c>
      <c r="T1281" t="str">
        <f>IF(Table1[[#This Row], [TIME DIFFERENCE]]&gt;=0,"PASS","FAIL")</f>
        <v>PASS</v>
      </c>
      <c r="U1281" s="9">
        <f>Table1[[#This Row], [TRC]]+Table1[[#This Row], [DRC]]+Table1[[#This Row], [WRC]]+Table1[[#This Row], [ERC]]+Table1[[#This Row], [EQRC]]</f>
        <v>7908464.4312499994</v>
      </c>
      <c r="V1281" s="9">
        <f>Table1[[#This Row], [TOTAL COST]]+_xlfn.XLOOKUP(Table1[[#This Row], [TEAM]],Sheet1!$A$12:$A$17,Sheet1!$I$12:$I$17)</f>
        <v>8212604.4312499994</v>
      </c>
      <c r="W1281" s="9">
        <f>Table1[[#This Row], [LOOT]]-Table1[[#This Row], [TOTAL COST]]</f>
        <v>9441535.5687500015</v>
      </c>
      <c r="X1281" s="9">
        <f>IF(Table1[[#This Row], [PASS/FAIL]]="FAIL",0,Table1[[#This Row], [PROFIT]])</f>
        <v>9441535.5687500015</v>
      </c>
    </row>
    <row r="1282" spans="1:24" ht="19.5" customHeight="1" x14ac:dyDescent="0.45">
      <c r="A1282" t="s">
        <v>16</v>
      </c>
      <c r="B1282" s="14">
        <f>_xlfn.XLOOKUP(Table1[[#This Row], [TEAM]],Sheet1!$A$12:$A$17,Sheet1!$F$12:$F$17)</f>
        <v>2</v>
      </c>
      <c r="C1282" s="14">
        <f>_xlfn.XLOOKUP(Table1[[#This Row], [TEAM]],Sheet1!$A$12:$A$17,Sheet1!$G$12:$G$17)</f>
        <v>6082800</v>
      </c>
      <c r="D1282" t="s">
        <v>30</v>
      </c>
      <c r="E1282" s="4">
        <f>_xlfn.XLOOKUP(Table1[[#This Row], [ROOM]],Sheet1!$A$47:$A$66,Sheet1!$B$47:$B$66)</f>
        <v>246</v>
      </c>
      <c r="F1282" t="s">
        <v>62</v>
      </c>
      <c r="G1282" s="4">
        <f>_xlfn.XLOOKUP(Table1[[#This Row], [DISGUISE]],Sheet1!$A$21:$A$23,Sheet1!$B$21:$B$23)*Table1[[#This Row], [NUM OF MEM]]*(1+_xlfn.XLOOKUP(Table1[[#This Row], [DISGUISE]],Sheet1!$A$21:$A$23,Sheet1!$C$21:$C$23))</f>
        <v>10400</v>
      </c>
      <c r="H1282" s="13" t="s">
        <v>66</v>
      </c>
      <c r="I1282" s="4">
        <f>_xlfn.XLOOKUP(Table1[[#This Row], [WEAPON]],Sheet1!$A$27:$A$29,Sheet1!$B$27:$B$29)*Table1[[#This Row], [NUM OF MEM]]*(1+_xlfn.XLOOKUP(Table1[[#This Row], [WEAPON]],Sheet1!$A$27:$A$29,Sheet1!$C$27:$C$29))</f>
        <v>72000</v>
      </c>
      <c r="J1282" t="s">
        <v>64</v>
      </c>
      <c r="K1282" s="9">
        <f>Table1[[#This Row], [NUM OF MEM]]*Table1[[#This Row], [TOTAL TIME TAKEN]]*_xlfn.XLOOKUP(Table1[[#This Row], [EXIT]],Sheet1!$A$70:$A$71,Sheet1!$B$70:$B$71)*(1+_xlfn.XLOOKUP(Table1[[#This Row], [EXIT]],Sheet1!$A$70:$A$71,Sheet1!$C$70:$C$71))</f>
        <v>1685836.7999999996</v>
      </c>
      <c r="L1282" s="13" t="s">
        <v>65</v>
      </c>
      <c r="M1282" s="4">
        <f>IF(Table1[[#This Row], [EQUIPMENT]]="YES",Sheet1!$C$44*(1+Sheet1!$D$44),0)</f>
        <v>307500</v>
      </c>
      <c r="N1282" s="4">
        <f>_xlfn.XLOOKUP(Table1[[#This Row], [ROOM]],Sheet1!$A$47:$A$66,Sheet1!$F$47:$F$66)</f>
        <v>17600000</v>
      </c>
      <c r="O1282" s="9">
        <f>_xlfn.XLOOKUP(_xlfn.CONCAT(Table1[[#This Row], [TEAM]],Table1[[#This Row], [ROOM]]),'ROOM TIME'!$H$2:$H$121,'ROOM TIME'!$J$2:$J$121)</f>
        <v>57.539999999999985</v>
      </c>
      <c r="P1282" s="9">
        <f>(INDEX(Sheet1!$X$48:$Z$67,MATCH(Table1[[#This Row], [ROOM]],Sheet1!$P$48:$P$67,0),MATCH(Table1[[#This Row], [WEAPON]],Sheet1!$X$47:$Z$47,0)))/Table1[[#This Row], [NUM OF MEM]]</f>
        <v>7.5</v>
      </c>
      <c r="Q1282" s="9">
        <f>Table1[[#This Row], [ROOM TIME]]+Table1[[#This Row], [GUARD TIME]]</f>
        <v>65.039999999999992</v>
      </c>
      <c r="R1282" s="4">
        <f>Sheet1!$K$3*_xlfn.XLOOKUP(Table1[[#This Row], [DISGUISE]],Sheet1!$A$21:$A$23,Sheet1!$D$21:$D$23)</f>
        <v>66</v>
      </c>
      <c r="S1282" s="9">
        <f>Table1[[#This Row], [TOTAL TIME]]-Table1[[#This Row], [TOTAL TIME TAKEN]]</f>
        <v>0.96000000000000796</v>
      </c>
      <c r="T1282" t="str">
        <f>IF(Table1[[#This Row], [TIME DIFFERENCE]]&gt;=0,"PASS","FAIL")</f>
        <v>PASS</v>
      </c>
      <c r="U1282" s="9">
        <f>Table1[[#This Row], [TRC]]+Table1[[#This Row], [DRC]]+Table1[[#This Row], [WRC]]+Table1[[#This Row], [ERC]]+Table1[[#This Row], [EQRC]]</f>
        <v>8158536.7999999998</v>
      </c>
      <c r="V1282" s="9">
        <f>Table1[[#This Row], [TOTAL COST]]+_xlfn.XLOOKUP(Table1[[#This Row], [TEAM]],Sheet1!$A$12:$A$17,Sheet1!$I$12:$I$17)</f>
        <v>8462676.8000000007</v>
      </c>
      <c r="W1282" s="9">
        <f>Table1[[#This Row], [LOOT]]-Table1[[#This Row], [TOTAL COST]]</f>
        <v>9441463.1999999993</v>
      </c>
      <c r="X1282" s="9">
        <f>IF(Table1[[#This Row], [PASS/FAIL]]="FAIL",0,Table1[[#This Row], [PROFIT]])</f>
        <v>9441463.1999999993</v>
      </c>
    </row>
    <row r="1283" spans="1:24" ht="19.5" customHeight="1" x14ac:dyDescent="0.45">
      <c r="A1283" t="s">
        <v>16</v>
      </c>
      <c r="B1283" s="14">
        <f>_xlfn.XLOOKUP(Table1[[#This Row], [TEAM]],Sheet1!$A$12:$A$17,Sheet1!$F$12:$F$17)</f>
        <v>2</v>
      </c>
      <c r="C1283" s="14">
        <f>_xlfn.XLOOKUP(Table1[[#This Row], [TEAM]],Sheet1!$A$12:$A$17,Sheet1!$G$12:$G$17)</f>
        <v>6082800</v>
      </c>
      <c r="D1283" t="s">
        <v>30</v>
      </c>
      <c r="E1283" s="4">
        <f>_xlfn.XLOOKUP(Table1[[#This Row], [ROOM]],Sheet1!$A$47:$A$66,Sheet1!$B$47:$B$66)</f>
        <v>246</v>
      </c>
      <c r="F1283" t="s">
        <v>58</v>
      </c>
      <c r="G1283" s="4">
        <f>_xlfn.XLOOKUP(Table1[[#This Row], [DISGUISE]],Sheet1!$A$21:$A$23,Sheet1!$B$21:$B$23)*Table1[[#This Row], [NUM OF MEM]]*(1+_xlfn.XLOOKUP(Table1[[#This Row], [DISGUISE]],Sheet1!$A$21:$A$23,Sheet1!$C$21:$C$23))</f>
        <v>25600</v>
      </c>
      <c r="H1283" s="13" t="s">
        <v>59</v>
      </c>
      <c r="I1283" s="4">
        <f>_xlfn.XLOOKUP(Table1[[#This Row], [WEAPON]],Sheet1!$A$27:$A$29,Sheet1!$B$27:$B$29)*Table1[[#This Row], [NUM OF MEM]]*(1+_xlfn.XLOOKUP(Table1[[#This Row], [WEAPON]],Sheet1!$A$27:$A$29,Sheet1!$C$27:$C$29))</f>
        <v>91000</v>
      </c>
      <c r="J1283" t="s">
        <v>60</v>
      </c>
      <c r="K1283" s="9">
        <f>Table1[[#This Row], [NUM OF MEM]]*Table1[[#This Row], [TOTAL TIME TAKEN]]*_xlfn.XLOOKUP(Table1[[#This Row], [EXIT]],Sheet1!$A$70:$A$71,Sheet1!$B$70:$B$71)*(1+_xlfn.XLOOKUP(Table1[[#This Row], [EXIT]],Sheet1!$A$70:$A$71,Sheet1!$C$70:$C$71))</f>
        <v>1653852.5999999996</v>
      </c>
      <c r="L1283" s="13" t="s">
        <v>65</v>
      </c>
      <c r="M1283" s="4">
        <f>IF(Table1[[#This Row], [EQUIPMENT]]="YES",Sheet1!$C$44*(1+Sheet1!$D$44),0)</f>
        <v>307500</v>
      </c>
      <c r="N1283" s="4">
        <f>_xlfn.XLOOKUP(Table1[[#This Row], [ROOM]],Sheet1!$A$47:$A$66,Sheet1!$F$47:$F$66)</f>
        <v>17600000</v>
      </c>
      <c r="O1283" s="9">
        <f>_xlfn.XLOOKUP(_xlfn.CONCAT(Table1[[#This Row], [TEAM]],Table1[[#This Row], [ROOM]]),'ROOM TIME'!$H$2:$H$121,'ROOM TIME'!$J$2:$J$121)</f>
        <v>57.539999999999985</v>
      </c>
      <c r="P1283" s="9">
        <f>(INDEX(Sheet1!$X$48:$Z$67,MATCH(Table1[[#This Row], [ROOM]],Sheet1!$P$48:$P$67,0),MATCH(Table1[[#This Row], [WEAPON]],Sheet1!$X$47:$Z$47,0)))/Table1[[#This Row], [NUM OF MEM]]</f>
        <v>6.8999999999999995</v>
      </c>
      <c r="Q1283" s="9">
        <f>Table1[[#This Row], [ROOM TIME]]+Table1[[#This Row], [GUARD TIME]]</f>
        <v>64.439999999999984</v>
      </c>
      <c r="R1283" s="4">
        <f>Sheet1!$K$3*_xlfn.XLOOKUP(Table1[[#This Row], [DISGUISE]],Sheet1!$A$21:$A$23,Sheet1!$D$21:$D$23)</f>
        <v>69</v>
      </c>
      <c r="S1283" s="9">
        <f>Table1[[#This Row], [TOTAL TIME]]-Table1[[#This Row], [TOTAL TIME TAKEN]]</f>
        <v>4.5600000000000165</v>
      </c>
      <c r="T1283" t="str">
        <f>IF(Table1[[#This Row], [TIME DIFFERENCE]]&gt;=0,"PASS","FAIL")</f>
        <v>PASS</v>
      </c>
      <c r="U1283" s="9">
        <f>Table1[[#This Row], [TRC]]+Table1[[#This Row], [DRC]]+Table1[[#This Row], [WRC]]+Table1[[#This Row], [ERC]]+Table1[[#This Row], [EQRC]]</f>
        <v>8160752.5999999996</v>
      </c>
      <c r="V1283" s="9">
        <f>Table1[[#This Row], [TOTAL COST]]+_xlfn.XLOOKUP(Table1[[#This Row], [TEAM]],Sheet1!$A$12:$A$17,Sheet1!$I$12:$I$17)</f>
        <v>8464892.5999999996</v>
      </c>
      <c r="W1283" s="9">
        <f>Table1[[#This Row], [LOOT]]-Table1[[#This Row], [TOTAL COST]]</f>
        <v>9439247.4000000004</v>
      </c>
      <c r="X1283" s="9">
        <f>IF(Table1[[#This Row], [PASS/FAIL]]="FAIL",0,Table1[[#This Row], [PROFIT]])</f>
        <v>9439247.4000000004</v>
      </c>
    </row>
    <row r="1284" spans="1:24" ht="19.5" customHeight="1" x14ac:dyDescent="0.45">
      <c r="A1284" t="s">
        <v>13</v>
      </c>
      <c r="B1284" s="14">
        <f>_xlfn.XLOOKUP(Table1[[#This Row], [TEAM]],Sheet1!$A$12:$A$17,Sheet1!$F$12:$F$17)</f>
        <v>3</v>
      </c>
      <c r="C1284" s="14">
        <f>_xlfn.XLOOKUP(Table1[[#This Row], [TEAM]],Sheet1!$A$12:$A$17,Sheet1!$G$12:$G$17)</f>
        <v>5930000</v>
      </c>
      <c r="D1284" t="s">
        <v>31</v>
      </c>
      <c r="E1284" s="4">
        <f>_xlfn.XLOOKUP(Table1[[#This Row], [ROOM]],Sheet1!$A$47:$A$66,Sheet1!$B$47:$B$66)</f>
        <v>256</v>
      </c>
      <c r="F1284" t="s">
        <v>62</v>
      </c>
      <c r="G1284" s="4">
        <f>_xlfn.XLOOKUP(Table1[[#This Row], [DISGUISE]],Sheet1!$A$21:$A$23,Sheet1!$B$21:$B$23)*Table1[[#This Row], [NUM OF MEM]]*(1+_xlfn.XLOOKUP(Table1[[#This Row], [DISGUISE]],Sheet1!$A$21:$A$23,Sheet1!$C$21:$C$23))</f>
        <v>15600</v>
      </c>
      <c r="H1284" s="13" t="s">
        <v>59</v>
      </c>
      <c r="I1284" s="4">
        <f>_xlfn.XLOOKUP(Table1[[#This Row], [WEAPON]],Sheet1!$A$27:$A$29,Sheet1!$B$27:$B$29)*Table1[[#This Row], [NUM OF MEM]]*(1+_xlfn.XLOOKUP(Table1[[#This Row], [WEAPON]],Sheet1!$A$27:$A$29,Sheet1!$C$27:$C$29))</f>
        <v>136500</v>
      </c>
      <c r="J1284" t="s">
        <v>60</v>
      </c>
      <c r="K1284" s="9">
        <f>Table1[[#This Row], [NUM OF MEM]]*Table1[[#This Row], [TOTAL TIME TAKEN]]*_xlfn.XLOOKUP(Table1[[#This Row], [EXIT]],Sheet1!$A$70:$A$71,Sheet1!$B$70:$B$71)*(1+_xlfn.XLOOKUP(Table1[[#This Row], [EXIT]],Sheet1!$A$70:$A$71,Sheet1!$C$70:$C$71))</f>
        <v>1671347.5749999997</v>
      </c>
      <c r="L1284" s="13" t="s">
        <v>65</v>
      </c>
      <c r="M1284" s="4">
        <f>IF(Table1[[#This Row], [EQUIPMENT]]="YES",Sheet1!$C$44*(1+Sheet1!$D$44),0)</f>
        <v>307500</v>
      </c>
      <c r="N1284" s="4">
        <f>_xlfn.XLOOKUP(Table1[[#This Row], [ROOM]],Sheet1!$A$47:$A$66,Sheet1!$F$47:$F$66)</f>
        <v>17500000</v>
      </c>
      <c r="O1284" s="9">
        <f>_xlfn.XLOOKUP(_xlfn.CONCAT(Table1[[#This Row], [TEAM]],Table1[[#This Row], [ROOM]]),'ROOM TIME'!$H$2:$H$121,'ROOM TIME'!$J$2:$J$121)</f>
        <v>39.197777777777766</v>
      </c>
      <c r="P1284" s="9">
        <f>(INDEX(Sheet1!$X$48:$Z$67,MATCH(Table1[[#This Row], [ROOM]],Sheet1!$P$48:$P$67,0),MATCH(Table1[[#This Row], [WEAPON]],Sheet1!$X$47:$Z$47,0)))/Table1[[#This Row], [NUM OF MEM]]</f>
        <v>4.2166666666666659</v>
      </c>
      <c r="Q1284" s="9">
        <f>Table1[[#This Row], [ROOM TIME]]+Table1[[#This Row], [GUARD TIME]]</f>
        <v>43.414444444444435</v>
      </c>
      <c r="R1284" s="4">
        <f>Sheet1!$K$3*_xlfn.XLOOKUP(Table1[[#This Row], [DISGUISE]],Sheet1!$A$21:$A$23,Sheet1!$D$21:$D$23)</f>
        <v>66</v>
      </c>
      <c r="S1284" s="9">
        <f>Table1[[#This Row], [TOTAL TIME]]-Table1[[#This Row], [TOTAL TIME TAKEN]]</f>
        <v>22.585555555555565</v>
      </c>
      <c r="T1284" t="str">
        <f>IF(Table1[[#This Row], [TIME DIFFERENCE]]&gt;=0,"PASS","FAIL")</f>
        <v>PASS</v>
      </c>
      <c r="U1284" s="9">
        <f>Table1[[#This Row], [TRC]]+Table1[[#This Row], [DRC]]+Table1[[#This Row], [WRC]]+Table1[[#This Row], [ERC]]+Table1[[#This Row], [EQRC]]</f>
        <v>8060947.5749999993</v>
      </c>
      <c r="V1284" s="9">
        <f>Table1[[#This Row], [TOTAL COST]]+_xlfn.XLOOKUP(Table1[[#This Row], [TEAM]],Sheet1!$A$12:$A$17,Sheet1!$I$12:$I$17)</f>
        <v>8357447.5749999993</v>
      </c>
      <c r="W1284" s="9">
        <f>Table1[[#This Row], [LOOT]]-Table1[[#This Row], [TOTAL COST]]</f>
        <v>9439052.4250000007</v>
      </c>
      <c r="X1284" s="9">
        <f>IF(Table1[[#This Row], [PASS/FAIL]]="FAIL",0,Table1[[#This Row], [PROFIT]])</f>
        <v>9439052.4250000007</v>
      </c>
    </row>
    <row r="1285" spans="1:24" ht="19.5" customHeight="1" x14ac:dyDescent="0.45">
      <c r="A1285" t="s">
        <v>9</v>
      </c>
      <c r="B1285" s="14">
        <f>_xlfn.XLOOKUP(Table1[[#This Row], [TEAM]],Sheet1!$A$12:$A$17,Sheet1!$F$12:$F$17)</f>
        <v>3</v>
      </c>
      <c r="C1285" s="14">
        <f>_xlfn.XLOOKUP(Table1[[#This Row], [TEAM]],Sheet1!$A$12:$A$17,Sheet1!$G$12:$G$17)</f>
        <v>6238750</v>
      </c>
      <c r="D1285" t="s">
        <v>10</v>
      </c>
      <c r="E1285" s="4">
        <f>_xlfn.XLOOKUP(Table1[[#This Row], [ROOM]],Sheet1!$A$47:$A$66,Sheet1!$B$47:$B$66)</f>
        <v>123</v>
      </c>
      <c r="F1285" t="s">
        <v>58</v>
      </c>
      <c r="G128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85" s="13" t="s">
        <v>66</v>
      </c>
      <c r="I1285" s="4">
        <f>_xlfn.XLOOKUP(Table1[[#This Row], [WEAPON]],Sheet1!$A$27:$A$29,Sheet1!$B$27:$B$29)*Table1[[#This Row], [NUM OF MEM]]*(1+_xlfn.XLOOKUP(Table1[[#This Row], [WEAPON]],Sheet1!$A$27:$A$29,Sheet1!$C$27:$C$29))</f>
        <v>108000</v>
      </c>
      <c r="J1285" t="s">
        <v>60</v>
      </c>
      <c r="K1285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1718378.6874999995</v>
      </c>
      <c r="L1285" s="13" t="s">
        <v>65</v>
      </c>
      <c r="M1285" s="4">
        <f>IF(Table1[[#This Row], [EQUIPMENT]]="YES",Sheet1!$C$44*(1+Sheet1!$D$44),0)</f>
        <v>307500</v>
      </c>
      <c r="N1285" s="4">
        <f>_xlfn.XLOOKUP(Table1[[#This Row], [ROOM]],Sheet1!$A$47:$A$66,Sheet1!$F$47:$F$66)</f>
        <v>17850000</v>
      </c>
      <c r="O1285" s="9">
        <f>_xlfn.XLOOKUP(_xlfn.CONCAT(Table1[[#This Row], [TEAM]],Table1[[#This Row], [ROOM]]),'ROOM TIME'!$H$2:$H$121,'ROOM TIME'!$J$2:$J$121)</f>
        <v>39.636111111111099</v>
      </c>
      <c r="P1285" s="4">
        <f>(INDEX(Sheet1!$X$48:$Z$67,MATCH(Table1[[#This Row], [ROOM]],Sheet1!$P$48:$P$67,0),MATCH(Table1[[#This Row], [WEAPON]],Sheet1!$X$47:$Z$47,0)))/Table1[[#This Row], [NUM OF MEM]]</f>
        <v>5</v>
      </c>
      <c r="Q1285" s="9">
        <f>Table1[[#This Row], [ROOM TIME]]+Table1[[#This Row], [GUARD TIME]]</f>
        <v>44.636111111111099</v>
      </c>
      <c r="R1285" s="4">
        <f>Sheet1!$K$3*_xlfn.XLOOKUP(Table1[[#This Row], [DISGUISE]],Sheet1!$A$21:$A$23,Sheet1!$D$21:$D$23)</f>
        <v>69</v>
      </c>
      <c r="S1285" s="9">
        <f>Table1[[#This Row], [TOTAL TIME]]-Table1[[#This Row], [TOTAL TIME TAKEN]]</f>
        <v>24.363888888888901</v>
      </c>
      <c r="T1285" t="str">
        <f>IF(Table1[[#This Row], [TIME DIFFERENCE]]&gt;=0,"PASS","FAIL")</f>
        <v>PASS</v>
      </c>
      <c r="U1285" s="9">
        <f>Table1[[#This Row], [TRC]]+Table1[[#This Row], [DRC]]+Table1[[#This Row], [WRC]]+Table1[[#This Row], [ERC]]+Table1[[#This Row], [EQRC]]</f>
        <v>8411028.6875</v>
      </c>
      <c r="V1285" s="9">
        <f>Table1[[#This Row], [TOTAL COST]]+_xlfn.XLOOKUP(Table1[[#This Row], [TEAM]],Sheet1!$A$12:$A$17,Sheet1!$I$12:$I$17)</f>
        <v>8722966.1875</v>
      </c>
      <c r="W1285" s="9">
        <f>Table1[[#This Row], [LOOT]]-Table1[[#This Row], [TOTAL COST]]</f>
        <v>9438971.3125</v>
      </c>
      <c r="X1285" s="9">
        <f>IF(Table1[[#This Row], [PASS/FAIL]]="FAIL",0,Table1[[#This Row], [PROFIT]])</f>
        <v>9438971.3125</v>
      </c>
    </row>
    <row r="1286" spans="1:24" ht="19.5" customHeight="1" x14ac:dyDescent="0.45">
      <c r="A1286" t="s">
        <v>13</v>
      </c>
      <c r="B1286" s="14">
        <f>_xlfn.XLOOKUP(Table1[[#This Row], [TEAM]],Sheet1!$A$12:$A$17,Sheet1!$F$12:$F$17)</f>
        <v>3</v>
      </c>
      <c r="C1286" s="14">
        <f>_xlfn.XLOOKUP(Table1[[#This Row], [TEAM]],Sheet1!$A$12:$A$17,Sheet1!$G$12:$G$17)</f>
        <v>5930000</v>
      </c>
      <c r="D1286" t="s">
        <v>31</v>
      </c>
      <c r="E1286" s="4">
        <f>_xlfn.XLOOKUP(Table1[[#This Row], [ROOM]],Sheet1!$A$47:$A$66,Sheet1!$B$47:$B$66)</f>
        <v>256</v>
      </c>
      <c r="F1286" t="s">
        <v>58</v>
      </c>
      <c r="G1286" s="4">
        <f>_xlfn.XLOOKUP(Table1[[#This Row], [DISGUISE]],Sheet1!$A$21:$A$23,Sheet1!$B$21:$B$23)*Table1[[#This Row], [NUM OF MEM]]*(1+_xlfn.XLOOKUP(Table1[[#This Row], [DISGUISE]],Sheet1!$A$21:$A$23,Sheet1!$C$21:$C$23))</f>
        <v>38400</v>
      </c>
      <c r="H1286" s="13" t="s">
        <v>63</v>
      </c>
      <c r="I1286" s="4">
        <f>_xlfn.XLOOKUP(Table1[[#This Row], [WEAPON]],Sheet1!$A$27:$A$29,Sheet1!$B$27:$B$29)*Table1[[#This Row], [NUM OF MEM]]*(1+_xlfn.XLOOKUP(Table1[[#This Row], [WEAPON]],Sheet1!$A$27:$A$29,Sheet1!$C$27:$C$29))</f>
        <v>69000</v>
      </c>
      <c r="J1286" t="s">
        <v>64</v>
      </c>
      <c r="K1286" s="9">
        <f>Table1[[#This Row], [NUM OF MEM]]*Table1[[#This Row], [TOTAL TIME TAKEN]]*_xlfn.XLOOKUP(Table1[[#This Row], [EXIT]],Sheet1!$A$70:$A$71,Sheet1!$B$70:$B$71)*(1+_xlfn.XLOOKUP(Table1[[#This Row], [EXIT]],Sheet1!$A$70:$A$71,Sheet1!$C$70:$C$71))</f>
        <v>1716465.5999999994</v>
      </c>
      <c r="L1286" s="13" t="s">
        <v>65</v>
      </c>
      <c r="M1286" s="4">
        <f>IF(Table1[[#This Row], [EQUIPMENT]]="YES",Sheet1!$C$44*(1+Sheet1!$D$44),0)</f>
        <v>307500</v>
      </c>
      <c r="N1286" s="4">
        <f>_xlfn.XLOOKUP(Table1[[#This Row], [ROOM]],Sheet1!$A$47:$A$66,Sheet1!$F$47:$F$66)</f>
        <v>17500000</v>
      </c>
      <c r="O1286" s="9">
        <f>_xlfn.XLOOKUP(_xlfn.CONCAT(Table1[[#This Row], [TEAM]],Table1[[#This Row], [ROOM]]),'ROOM TIME'!$H$2:$H$121,'ROOM TIME'!$J$2:$J$121)</f>
        <v>39.197777777777766</v>
      </c>
      <c r="P1286" s="9">
        <f>(INDEX(Sheet1!$X$48:$Z$67,MATCH(Table1[[#This Row], [ROOM]],Sheet1!$P$48:$P$67,0),MATCH(Table1[[#This Row], [WEAPON]],Sheet1!$X$47:$Z$47,0)))/Table1[[#This Row], [NUM OF MEM]]</f>
        <v>4.95</v>
      </c>
      <c r="Q1286" s="9">
        <f>Table1[[#This Row], [ROOM TIME]]+Table1[[#This Row], [GUARD TIME]]</f>
        <v>44.147777777777769</v>
      </c>
      <c r="R1286" s="4">
        <f>Sheet1!$K$3*_xlfn.XLOOKUP(Table1[[#This Row], [DISGUISE]],Sheet1!$A$21:$A$23,Sheet1!$D$21:$D$23)</f>
        <v>69</v>
      </c>
      <c r="S1286" s="9">
        <f>Table1[[#This Row], [TOTAL TIME]]-Table1[[#This Row], [TOTAL TIME TAKEN]]</f>
        <v>24.852222222222231</v>
      </c>
      <c r="T1286" t="str">
        <f>IF(Table1[[#This Row], [TIME DIFFERENCE]]&gt;=0,"PASS","FAIL")</f>
        <v>PASS</v>
      </c>
      <c r="U1286" s="9">
        <f>Table1[[#This Row], [TRC]]+Table1[[#This Row], [DRC]]+Table1[[#This Row], [WRC]]+Table1[[#This Row], [ERC]]+Table1[[#This Row], [EQRC]]</f>
        <v>8061365.5999999996</v>
      </c>
      <c r="V1286" s="9">
        <f>Table1[[#This Row], [TOTAL COST]]+_xlfn.XLOOKUP(Table1[[#This Row], [TEAM]],Sheet1!$A$12:$A$17,Sheet1!$I$12:$I$17)</f>
        <v>8357865.5999999996</v>
      </c>
      <c r="W1286" s="9">
        <f>Table1[[#This Row], [LOOT]]-Table1[[#This Row], [TOTAL COST]]</f>
        <v>9438634.4000000004</v>
      </c>
      <c r="X1286" s="9">
        <f>IF(Table1[[#This Row], [PASS/FAIL]]="FAIL",0,Table1[[#This Row], [PROFIT]])</f>
        <v>9438634.4000000004</v>
      </c>
    </row>
    <row r="1287" spans="1:24" ht="19.5" customHeight="1" x14ac:dyDescent="0.45">
      <c r="A1287" t="s">
        <v>16</v>
      </c>
      <c r="B1287" s="14">
        <f>_xlfn.XLOOKUP(Table1[[#This Row], [TEAM]],Sheet1!$A$12:$A$17,Sheet1!$F$12:$F$17)</f>
        <v>2</v>
      </c>
      <c r="C1287" s="14">
        <f>_xlfn.XLOOKUP(Table1[[#This Row], [TEAM]],Sheet1!$A$12:$A$17,Sheet1!$G$12:$G$17)</f>
        <v>6082800</v>
      </c>
      <c r="D1287" t="s">
        <v>30</v>
      </c>
      <c r="E1287" s="4">
        <f>_xlfn.XLOOKUP(Table1[[#This Row], [ROOM]],Sheet1!$A$47:$A$66,Sheet1!$B$47:$B$66)</f>
        <v>246</v>
      </c>
      <c r="F1287" t="s">
        <v>62</v>
      </c>
      <c r="G1287" s="4">
        <f>_xlfn.XLOOKUP(Table1[[#This Row], [DISGUISE]],Sheet1!$A$21:$A$23,Sheet1!$B$21:$B$23)*Table1[[#This Row], [NUM OF MEM]]*(1+_xlfn.XLOOKUP(Table1[[#This Row], [DISGUISE]],Sheet1!$A$21:$A$23,Sheet1!$C$21:$C$23))</f>
        <v>10400</v>
      </c>
      <c r="H1287" s="13" t="s">
        <v>59</v>
      </c>
      <c r="I1287" s="4">
        <f>_xlfn.XLOOKUP(Table1[[#This Row], [WEAPON]],Sheet1!$A$27:$A$29,Sheet1!$B$27:$B$29)*Table1[[#This Row], [NUM OF MEM]]*(1+_xlfn.XLOOKUP(Table1[[#This Row], [WEAPON]],Sheet1!$A$27:$A$29,Sheet1!$C$27:$C$29))</f>
        <v>91000</v>
      </c>
      <c r="J1287" t="s">
        <v>64</v>
      </c>
      <c r="K1287" s="9">
        <f>Table1[[#This Row], [NUM OF MEM]]*Table1[[#This Row], [TOTAL TIME TAKEN]]*_xlfn.XLOOKUP(Table1[[#This Row], [EXIT]],Sheet1!$A$70:$A$71,Sheet1!$B$70:$B$71)*(1+_xlfn.XLOOKUP(Table1[[#This Row], [EXIT]],Sheet1!$A$70:$A$71,Sheet1!$C$70:$C$71))</f>
        <v>1670284.7999999993</v>
      </c>
      <c r="L1287" s="13" t="s">
        <v>65</v>
      </c>
      <c r="M1287" s="4">
        <f>IF(Table1[[#This Row], [EQUIPMENT]]="YES",Sheet1!$C$44*(1+Sheet1!$D$44),0)</f>
        <v>307500</v>
      </c>
      <c r="N1287" s="4">
        <f>_xlfn.XLOOKUP(Table1[[#This Row], [ROOM]],Sheet1!$A$47:$A$66,Sheet1!$F$47:$F$66)</f>
        <v>17600000</v>
      </c>
      <c r="O1287" s="9">
        <f>_xlfn.XLOOKUP(_xlfn.CONCAT(Table1[[#This Row], [TEAM]],Table1[[#This Row], [ROOM]]),'ROOM TIME'!$H$2:$H$121,'ROOM TIME'!$J$2:$J$121)</f>
        <v>57.539999999999985</v>
      </c>
      <c r="P1287" s="9">
        <f>(INDEX(Sheet1!$X$48:$Z$67,MATCH(Table1[[#This Row], [ROOM]],Sheet1!$P$48:$P$67,0),MATCH(Table1[[#This Row], [WEAPON]],Sheet1!$X$47:$Z$47,0)))/Table1[[#This Row], [NUM OF MEM]]</f>
        <v>6.8999999999999995</v>
      </c>
      <c r="Q1287" s="9">
        <f>Table1[[#This Row], [ROOM TIME]]+Table1[[#This Row], [GUARD TIME]]</f>
        <v>64.439999999999984</v>
      </c>
      <c r="R1287" s="4">
        <f>Sheet1!$K$3*_xlfn.XLOOKUP(Table1[[#This Row], [DISGUISE]],Sheet1!$A$21:$A$23,Sheet1!$D$21:$D$23)</f>
        <v>66</v>
      </c>
      <c r="S1287" s="9">
        <f>Table1[[#This Row], [TOTAL TIME]]-Table1[[#This Row], [TOTAL TIME TAKEN]]</f>
        <v>1.5600000000000165</v>
      </c>
      <c r="T1287" t="str">
        <f>IF(Table1[[#This Row], [TIME DIFFERENCE]]&gt;=0,"PASS","FAIL")</f>
        <v>PASS</v>
      </c>
      <c r="U1287" s="9">
        <f>Table1[[#This Row], [TRC]]+Table1[[#This Row], [DRC]]+Table1[[#This Row], [WRC]]+Table1[[#This Row], [ERC]]+Table1[[#This Row], [EQRC]]</f>
        <v>8161984.7999999989</v>
      </c>
      <c r="V1287" s="9">
        <f>Table1[[#This Row], [TOTAL COST]]+_xlfn.XLOOKUP(Table1[[#This Row], [TEAM]],Sheet1!$A$12:$A$17,Sheet1!$I$12:$I$17)</f>
        <v>8466124.7999999989</v>
      </c>
      <c r="W1287" s="9">
        <f>Table1[[#This Row], [LOOT]]-Table1[[#This Row], [TOTAL COST]]</f>
        <v>9438015.2000000011</v>
      </c>
      <c r="X1287" s="9">
        <f>IF(Table1[[#This Row], [PASS/FAIL]]="FAIL",0,Table1[[#This Row], [PROFIT]])</f>
        <v>9438015.2000000011</v>
      </c>
    </row>
    <row r="1288" spans="1:24" ht="19.5" customHeight="1" x14ac:dyDescent="0.45">
      <c r="A1288" t="s">
        <v>13</v>
      </c>
      <c r="B1288" s="14">
        <f>_xlfn.XLOOKUP(Table1[[#This Row], [TEAM]],Sheet1!$A$12:$A$17,Sheet1!$F$12:$F$17)</f>
        <v>3</v>
      </c>
      <c r="C1288" s="14">
        <f>_xlfn.XLOOKUP(Table1[[#This Row], [TEAM]],Sheet1!$A$12:$A$17,Sheet1!$G$12:$G$17)</f>
        <v>5930000</v>
      </c>
      <c r="D1288" t="s">
        <v>20</v>
      </c>
      <c r="E1288" s="4">
        <f>_xlfn.XLOOKUP(Table1[[#This Row], [ROOM]],Sheet1!$A$47:$A$66,Sheet1!$B$47:$B$66)</f>
        <v>145</v>
      </c>
      <c r="F1288" t="s">
        <v>62</v>
      </c>
      <c r="G1288" s="4">
        <f>_xlfn.XLOOKUP(Table1[[#This Row], [DISGUISE]],Sheet1!$A$21:$A$23,Sheet1!$B$21:$B$23)*Table1[[#This Row], [NUM OF MEM]]*(1+_xlfn.XLOOKUP(Table1[[#This Row], [DISGUISE]],Sheet1!$A$21:$A$23,Sheet1!$C$21:$C$23))</f>
        <v>15600</v>
      </c>
      <c r="H1288" s="13" t="s">
        <v>63</v>
      </c>
      <c r="I1288" s="4">
        <f>_xlfn.XLOOKUP(Table1[[#This Row], [WEAPON]],Sheet1!$A$27:$A$29,Sheet1!$B$27:$B$29)*Table1[[#This Row], [NUM OF MEM]]*(1+_xlfn.XLOOKUP(Table1[[#This Row], [WEAPON]],Sheet1!$A$27:$A$29,Sheet1!$C$27:$C$29))</f>
        <v>69000</v>
      </c>
      <c r="J1288" t="s">
        <v>64</v>
      </c>
      <c r="K1288" s="9">
        <f>Table1[[#This Row], [NUM OF MEM]]*Table1[[#This Row], [TOTAL TIME TAKEN]]*_xlfn.XLOOKUP(Table1[[#This Row], [EXIT]],Sheet1!$A$70:$A$71,Sheet1!$B$70:$B$71)*(1+_xlfn.XLOOKUP(Table1[[#This Row], [EXIT]],Sheet1!$A$70:$A$71,Sheet1!$C$70:$C$71))</f>
        <v>1790164.7999999993</v>
      </c>
      <c r="L1288" s="13" t="s">
        <v>65</v>
      </c>
      <c r="M1288" s="4">
        <f>IF(Table1[[#This Row], [EQUIPMENT]]="YES",Sheet1!$C$44*(1+Sheet1!$D$44),0)</f>
        <v>307500</v>
      </c>
      <c r="N1288" s="4">
        <f>_xlfn.XLOOKUP(Table1[[#This Row], [ROOM]],Sheet1!$A$47:$A$66,Sheet1!$F$47:$F$66)</f>
        <v>17550000</v>
      </c>
      <c r="O1288" s="9">
        <f>_xlfn.XLOOKUP(_xlfn.CONCAT(Table1[[#This Row], [TEAM]],Table1[[#This Row], [ROOM]]),'ROOM TIME'!$H$2:$H$121,'ROOM TIME'!$J$2:$J$121)</f>
        <v>41.543333333333322</v>
      </c>
      <c r="P1288" s="9">
        <f>(INDEX(Sheet1!$X$48:$Z$67,MATCH(Table1[[#This Row], [ROOM]],Sheet1!$P$48:$P$67,0),MATCH(Table1[[#This Row], [WEAPON]],Sheet1!$X$47:$Z$47,0)))/Table1[[#This Row], [NUM OF MEM]]</f>
        <v>4.5</v>
      </c>
      <c r="Q1288" s="9">
        <f>Table1[[#This Row], [ROOM TIME]]+Table1[[#This Row], [GUARD TIME]]</f>
        <v>46.043333333333322</v>
      </c>
      <c r="R1288" s="4">
        <f>Sheet1!$K$3*_xlfn.XLOOKUP(Table1[[#This Row], [DISGUISE]],Sheet1!$A$21:$A$23,Sheet1!$D$21:$D$23)</f>
        <v>66</v>
      </c>
      <c r="S1288" s="9">
        <f>Table1[[#This Row], [TOTAL TIME]]-Table1[[#This Row], [TOTAL TIME TAKEN]]</f>
        <v>19.956666666666678</v>
      </c>
      <c r="T1288" t="str">
        <f>IF(Table1[[#This Row], [TIME DIFFERENCE]]&gt;=0,"PASS","FAIL")</f>
        <v>PASS</v>
      </c>
      <c r="U1288" s="9">
        <f>Table1[[#This Row], [TRC]]+Table1[[#This Row], [DRC]]+Table1[[#This Row], [WRC]]+Table1[[#This Row], [ERC]]+Table1[[#This Row], [EQRC]]</f>
        <v>8112264.7999999989</v>
      </c>
      <c r="V1288" s="9">
        <f>Table1[[#This Row], [TOTAL COST]]+_xlfn.XLOOKUP(Table1[[#This Row], [TEAM]],Sheet1!$A$12:$A$17,Sheet1!$I$12:$I$17)</f>
        <v>8408764.7999999989</v>
      </c>
      <c r="W1288" s="9">
        <f>Table1[[#This Row], [LOOT]]-Table1[[#This Row], [TOTAL COST]]</f>
        <v>9437735.2000000011</v>
      </c>
      <c r="X1288" s="9">
        <f>IF(Table1[[#This Row], [PASS/FAIL]]="FAIL",0,Table1[[#This Row], [PROFIT]])</f>
        <v>9437735.2000000011</v>
      </c>
    </row>
    <row r="1289" spans="1:24" ht="19.5" customHeight="1" x14ac:dyDescent="0.45">
      <c r="A1289" t="s">
        <v>12</v>
      </c>
      <c r="B1289" s="14">
        <f>_xlfn.XLOOKUP(Table1[[#This Row], [TEAM]],Sheet1!$A$12:$A$17,Sheet1!$F$12:$F$17)</f>
        <v>3</v>
      </c>
      <c r="C1289" s="14">
        <f>_xlfn.XLOOKUP(Table1[[#This Row], [TEAM]],Sheet1!$A$12:$A$17,Sheet1!$G$12:$G$17)</f>
        <v>5988750</v>
      </c>
      <c r="D1289" t="s">
        <v>31</v>
      </c>
      <c r="E1289" s="4">
        <f>_xlfn.XLOOKUP(Table1[[#This Row], [ROOM]],Sheet1!$A$47:$A$66,Sheet1!$B$47:$B$66)</f>
        <v>256</v>
      </c>
      <c r="F1289" t="s">
        <v>62</v>
      </c>
      <c r="G1289" s="4">
        <f>_xlfn.XLOOKUP(Table1[[#This Row], [DISGUISE]],Sheet1!$A$21:$A$23,Sheet1!$B$21:$B$23)*Table1[[#This Row], [NUM OF MEM]]*(1+_xlfn.XLOOKUP(Table1[[#This Row], [DISGUISE]],Sheet1!$A$21:$A$23,Sheet1!$C$21:$C$23))</f>
        <v>15600</v>
      </c>
      <c r="H1289" s="13" t="s">
        <v>59</v>
      </c>
      <c r="I1289" s="4">
        <f>_xlfn.XLOOKUP(Table1[[#This Row], [WEAPON]],Sheet1!$A$27:$A$29,Sheet1!$B$27:$B$29)*Table1[[#This Row], [NUM OF MEM]]*(1+_xlfn.XLOOKUP(Table1[[#This Row], [WEAPON]],Sheet1!$A$27:$A$29,Sheet1!$C$27:$C$29))</f>
        <v>136500</v>
      </c>
      <c r="J1289" t="s">
        <v>64</v>
      </c>
      <c r="K1289" s="9">
        <f>Table1[[#This Row], [NUM OF MEM]]*Table1[[#This Row], [TOTAL TIME TAKEN]]*_xlfn.XLOOKUP(Table1[[#This Row], [EXIT]],Sheet1!$A$70:$A$71,Sheet1!$B$70:$B$71)*(1+_xlfn.XLOOKUP(Table1[[#This Row], [EXIT]],Sheet1!$A$70:$A$71,Sheet1!$C$70:$C$71))</f>
        <v>1614686.3999999994</v>
      </c>
      <c r="L1289" s="13" t="s">
        <v>65</v>
      </c>
      <c r="M1289" s="4">
        <f>IF(Table1[[#This Row], [EQUIPMENT]]="YES",Sheet1!$C$44*(1+Sheet1!$D$44),0)</f>
        <v>307500</v>
      </c>
      <c r="N1289" s="4">
        <f>_xlfn.XLOOKUP(Table1[[#This Row], [ROOM]],Sheet1!$A$47:$A$66,Sheet1!$F$47:$F$66)</f>
        <v>17500000</v>
      </c>
      <c r="O1289" s="9">
        <f>_xlfn.XLOOKUP(_xlfn.CONCAT(Table1[[#This Row], [TEAM]],Table1[[#This Row], [ROOM]]),'ROOM TIME'!$H$2:$H$121,'ROOM TIME'!$J$2:$J$121)</f>
        <v>37.313333333333318</v>
      </c>
      <c r="P1289" s="9">
        <f>(INDEX(Sheet1!$X$48:$Z$67,MATCH(Table1[[#This Row], [ROOM]],Sheet1!$P$48:$P$67,0),MATCH(Table1[[#This Row], [WEAPON]],Sheet1!$X$47:$Z$47,0)))/Table1[[#This Row], [NUM OF MEM]]</f>
        <v>4.2166666666666659</v>
      </c>
      <c r="Q1289" s="9">
        <f>Table1[[#This Row], [ROOM TIME]]+Table1[[#This Row], [GUARD TIME]]</f>
        <v>41.529999999999987</v>
      </c>
      <c r="R1289" s="4">
        <f>Sheet1!$K$3*_xlfn.XLOOKUP(Table1[[#This Row], [DISGUISE]],Sheet1!$A$21:$A$23,Sheet1!$D$21:$D$23)</f>
        <v>66</v>
      </c>
      <c r="S1289" s="9">
        <f>Table1[[#This Row], [TOTAL TIME]]-Table1[[#This Row], [TOTAL TIME TAKEN]]</f>
        <v>24.470000000000013</v>
      </c>
      <c r="T1289" t="str">
        <f>IF(Table1[[#This Row], [TIME DIFFERENCE]]&gt;=0,"PASS","FAIL")</f>
        <v>PASS</v>
      </c>
      <c r="U1289" s="9">
        <f>Table1[[#This Row], [TRC]]+Table1[[#This Row], [DRC]]+Table1[[#This Row], [WRC]]+Table1[[#This Row], [ERC]]+Table1[[#This Row], [EQRC]]</f>
        <v>8063036.3999999994</v>
      </c>
      <c r="V1289" s="9">
        <f>Table1[[#This Row], [TOTAL COST]]+_xlfn.XLOOKUP(Table1[[#This Row], [TEAM]],Sheet1!$A$12:$A$17,Sheet1!$I$12:$I$17)</f>
        <v>8362473.8999999994</v>
      </c>
      <c r="W1289" s="9">
        <f>Table1[[#This Row], [LOOT]]-Table1[[#This Row], [TOTAL COST]]</f>
        <v>9436963.6000000015</v>
      </c>
      <c r="X1289" s="9">
        <f>IF(Table1[[#This Row], [PASS/FAIL]]="FAIL",0,Table1[[#This Row], [PROFIT]])</f>
        <v>9436963.6000000015</v>
      </c>
    </row>
    <row r="1290" spans="1:24" ht="19.5" customHeight="1" x14ac:dyDescent="0.45">
      <c r="A1290" t="s">
        <v>16</v>
      </c>
      <c r="B1290" s="14">
        <f>_xlfn.XLOOKUP(Table1[[#This Row], [TEAM]],Sheet1!$A$12:$A$17,Sheet1!$F$12:$F$17)</f>
        <v>2</v>
      </c>
      <c r="C1290" s="14">
        <f>_xlfn.XLOOKUP(Table1[[#This Row], [TEAM]],Sheet1!$A$12:$A$17,Sheet1!$G$12:$G$17)</f>
        <v>6082800</v>
      </c>
      <c r="D1290" t="s">
        <v>30</v>
      </c>
      <c r="E1290" s="4">
        <f>_xlfn.XLOOKUP(Table1[[#This Row], [ROOM]],Sheet1!$A$47:$A$66,Sheet1!$B$47:$B$66)</f>
        <v>246</v>
      </c>
      <c r="F1290" t="s">
        <v>58</v>
      </c>
      <c r="G1290" s="4">
        <f>_xlfn.XLOOKUP(Table1[[#This Row], [DISGUISE]],Sheet1!$A$21:$A$23,Sheet1!$B$21:$B$23)*Table1[[#This Row], [NUM OF MEM]]*(1+_xlfn.XLOOKUP(Table1[[#This Row], [DISGUISE]],Sheet1!$A$21:$A$23,Sheet1!$C$21:$C$23))</f>
        <v>25600</v>
      </c>
      <c r="H1290" s="13" t="s">
        <v>63</v>
      </c>
      <c r="I1290" s="4">
        <f>_xlfn.XLOOKUP(Table1[[#This Row], [WEAPON]],Sheet1!$A$27:$A$29,Sheet1!$B$27:$B$29)*Table1[[#This Row], [NUM OF MEM]]*(1+_xlfn.XLOOKUP(Table1[[#This Row], [WEAPON]],Sheet1!$A$27:$A$29,Sheet1!$C$27:$C$29))</f>
        <v>46000</v>
      </c>
      <c r="J1290" t="s">
        <v>64</v>
      </c>
      <c r="K1290" s="9">
        <f>Table1[[#This Row], [NUM OF MEM]]*Table1[[#This Row], [TOTAL TIME TAKEN]]*_xlfn.XLOOKUP(Table1[[#This Row], [EXIT]],Sheet1!$A$70:$A$71,Sheet1!$B$70:$B$71)*(1+_xlfn.XLOOKUP(Table1[[#This Row], [EXIT]],Sheet1!$A$70:$A$71,Sheet1!$C$70:$C$71))</f>
        <v>1701388.7999999996</v>
      </c>
      <c r="L1290" s="13" t="s">
        <v>65</v>
      </c>
      <c r="M1290" s="4">
        <f>IF(Table1[[#This Row], [EQUIPMENT]]="YES",Sheet1!$C$44*(1+Sheet1!$D$44),0)</f>
        <v>307500</v>
      </c>
      <c r="N1290" s="4">
        <f>_xlfn.XLOOKUP(Table1[[#This Row], [ROOM]],Sheet1!$A$47:$A$66,Sheet1!$F$47:$F$66)</f>
        <v>17600000</v>
      </c>
      <c r="O1290" s="9">
        <f>_xlfn.XLOOKUP(_xlfn.CONCAT(Table1[[#This Row], [TEAM]],Table1[[#This Row], [ROOM]]),'ROOM TIME'!$H$2:$H$121,'ROOM TIME'!$J$2:$J$121)</f>
        <v>57.539999999999985</v>
      </c>
      <c r="P1290" s="9">
        <f>(INDEX(Sheet1!$X$48:$Z$67,MATCH(Table1[[#This Row], [ROOM]],Sheet1!$P$48:$P$67,0),MATCH(Table1[[#This Row], [WEAPON]],Sheet1!$X$47:$Z$47,0)))/Table1[[#This Row], [NUM OF MEM]]</f>
        <v>8.1000000000000014</v>
      </c>
      <c r="Q1290" s="9">
        <f>Table1[[#This Row], [ROOM TIME]]+Table1[[#This Row], [GUARD TIME]]</f>
        <v>65.639999999999986</v>
      </c>
      <c r="R1290" s="4">
        <f>Sheet1!$K$3*_xlfn.XLOOKUP(Table1[[#This Row], [DISGUISE]],Sheet1!$A$21:$A$23,Sheet1!$D$21:$D$23)</f>
        <v>69</v>
      </c>
      <c r="S1290" s="9">
        <f>Table1[[#This Row], [TOTAL TIME]]-Table1[[#This Row], [TOTAL TIME TAKEN]]</f>
        <v>3.3600000000000136</v>
      </c>
      <c r="T1290" t="str">
        <f>IF(Table1[[#This Row], [TIME DIFFERENCE]]&gt;=0,"PASS","FAIL")</f>
        <v>PASS</v>
      </c>
      <c r="U1290" s="9">
        <f>Table1[[#This Row], [TRC]]+Table1[[#This Row], [DRC]]+Table1[[#This Row], [WRC]]+Table1[[#This Row], [ERC]]+Table1[[#This Row], [EQRC]]</f>
        <v>8163288.7999999998</v>
      </c>
      <c r="V1290" s="9">
        <f>Table1[[#This Row], [TOTAL COST]]+_xlfn.XLOOKUP(Table1[[#This Row], [TEAM]],Sheet1!$A$12:$A$17,Sheet1!$I$12:$I$17)</f>
        <v>8467428.8000000007</v>
      </c>
      <c r="W1290" s="9">
        <f>Table1[[#This Row], [LOOT]]-Table1[[#This Row], [TOTAL COST]]</f>
        <v>9436711.1999999993</v>
      </c>
      <c r="X1290" s="9">
        <f>IF(Table1[[#This Row], [PASS/FAIL]]="FAIL",0,Table1[[#This Row], [PROFIT]])</f>
        <v>9436711.1999999993</v>
      </c>
    </row>
    <row r="1291" spans="1:24" ht="19.5" customHeight="1" x14ac:dyDescent="0.45">
      <c r="A1291" t="s">
        <v>13</v>
      </c>
      <c r="B1291" s="14">
        <f>_xlfn.XLOOKUP(Table1[[#This Row], [TEAM]],Sheet1!$A$12:$A$17,Sheet1!$F$12:$F$17)</f>
        <v>3</v>
      </c>
      <c r="C1291" s="14">
        <f>_xlfn.XLOOKUP(Table1[[#This Row], [TEAM]],Sheet1!$A$12:$A$17,Sheet1!$G$12:$G$17)</f>
        <v>5930000</v>
      </c>
      <c r="D1291" t="s">
        <v>31</v>
      </c>
      <c r="E1291" s="4">
        <f>_xlfn.XLOOKUP(Table1[[#This Row], [ROOM]],Sheet1!$A$47:$A$66,Sheet1!$B$47:$B$66)</f>
        <v>256</v>
      </c>
      <c r="F1291" t="s">
        <v>62</v>
      </c>
      <c r="G1291" s="4">
        <f>_xlfn.XLOOKUP(Table1[[#This Row], [DISGUISE]],Sheet1!$A$21:$A$23,Sheet1!$B$21:$B$23)*Table1[[#This Row], [NUM OF MEM]]*(1+_xlfn.XLOOKUP(Table1[[#This Row], [DISGUISE]],Sheet1!$A$21:$A$23,Sheet1!$C$21:$C$23))</f>
        <v>15600</v>
      </c>
      <c r="H1291" s="13" t="s">
        <v>66</v>
      </c>
      <c r="I1291" s="4">
        <f>_xlfn.XLOOKUP(Table1[[#This Row], [WEAPON]],Sheet1!$A$27:$A$29,Sheet1!$B$27:$B$29)*Table1[[#This Row], [NUM OF MEM]]*(1+_xlfn.XLOOKUP(Table1[[#This Row], [WEAPON]],Sheet1!$A$27:$A$29,Sheet1!$C$27:$C$29))</f>
        <v>108000</v>
      </c>
      <c r="J1291" t="s">
        <v>64</v>
      </c>
      <c r="K1291" s="9">
        <f>Table1[[#This Row], [NUM OF MEM]]*Table1[[#This Row], [TOTAL TIME TAKEN]]*_xlfn.XLOOKUP(Table1[[#This Row], [EXIT]],Sheet1!$A$70:$A$71,Sheet1!$B$70:$B$71)*(1+_xlfn.XLOOKUP(Table1[[#This Row], [EXIT]],Sheet1!$A$70:$A$71,Sheet1!$C$70:$C$71))</f>
        <v>1702209.5999999996</v>
      </c>
      <c r="L1291" s="13" t="s">
        <v>65</v>
      </c>
      <c r="M1291" s="4">
        <f>IF(Table1[[#This Row], [EQUIPMENT]]="YES",Sheet1!$C$44*(1+Sheet1!$D$44),0)</f>
        <v>307500</v>
      </c>
      <c r="N1291" s="4">
        <f>_xlfn.XLOOKUP(Table1[[#This Row], [ROOM]],Sheet1!$A$47:$A$66,Sheet1!$F$47:$F$66)</f>
        <v>17500000</v>
      </c>
      <c r="O1291" s="9">
        <f>_xlfn.XLOOKUP(_xlfn.CONCAT(Table1[[#This Row], [TEAM]],Table1[[#This Row], [ROOM]]),'ROOM TIME'!$H$2:$H$121,'ROOM TIME'!$J$2:$J$121)</f>
        <v>39.197777777777766</v>
      </c>
      <c r="P1291" s="9">
        <f>(INDEX(Sheet1!$X$48:$Z$67,MATCH(Table1[[#This Row], [ROOM]],Sheet1!$P$48:$P$67,0),MATCH(Table1[[#This Row], [WEAPON]],Sheet1!$X$47:$Z$47,0)))/Table1[[#This Row], [NUM OF MEM]]</f>
        <v>4.583333333333333</v>
      </c>
      <c r="Q1291" s="9">
        <f>Table1[[#This Row], [ROOM TIME]]+Table1[[#This Row], [GUARD TIME]]</f>
        <v>43.781111111111102</v>
      </c>
      <c r="R1291" s="4">
        <f>Sheet1!$K$3*_xlfn.XLOOKUP(Table1[[#This Row], [DISGUISE]],Sheet1!$A$21:$A$23,Sheet1!$D$21:$D$23)</f>
        <v>66</v>
      </c>
      <c r="S1291" s="9">
        <f>Table1[[#This Row], [TOTAL TIME]]-Table1[[#This Row], [TOTAL TIME TAKEN]]</f>
        <v>22.218888888888898</v>
      </c>
      <c r="T1291" t="str">
        <f>IF(Table1[[#This Row], [TIME DIFFERENCE]]&gt;=0,"PASS","FAIL")</f>
        <v>PASS</v>
      </c>
      <c r="U1291" s="9">
        <f>Table1[[#This Row], [TRC]]+Table1[[#This Row], [DRC]]+Table1[[#This Row], [WRC]]+Table1[[#This Row], [ERC]]+Table1[[#This Row], [EQRC]]</f>
        <v>8063309.5999999996</v>
      </c>
      <c r="V1291" s="9">
        <f>Table1[[#This Row], [TOTAL COST]]+_xlfn.XLOOKUP(Table1[[#This Row], [TEAM]],Sheet1!$A$12:$A$17,Sheet1!$I$12:$I$17)</f>
        <v>8359809.5999999996</v>
      </c>
      <c r="W1291" s="9">
        <f>Table1[[#This Row], [LOOT]]-Table1[[#This Row], [TOTAL COST]]</f>
        <v>9436690.4000000004</v>
      </c>
      <c r="X1291" s="9">
        <f>IF(Table1[[#This Row], [PASS/FAIL]]="FAIL",0,Table1[[#This Row], [PROFIT]])</f>
        <v>9436690.4000000004</v>
      </c>
    </row>
    <row r="1292" spans="1:24" ht="19.5" customHeight="1" x14ac:dyDescent="0.45">
      <c r="A1292" t="s">
        <v>9</v>
      </c>
      <c r="B1292" s="14">
        <f>_xlfn.XLOOKUP(Table1[[#This Row], [TEAM]],Sheet1!$A$12:$A$17,Sheet1!$F$12:$F$17)</f>
        <v>3</v>
      </c>
      <c r="C1292" s="14">
        <f>_xlfn.XLOOKUP(Table1[[#This Row], [TEAM]],Sheet1!$A$12:$A$17,Sheet1!$G$12:$G$17)</f>
        <v>6238750</v>
      </c>
      <c r="D1292" t="s">
        <v>28</v>
      </c>
      <c r="E1292" s="4">
        <f>_xlfn.XLOOKUP(Table1[[#This Row], [ROOM]],Sheet1!$A$47:$A$66,Sheet1!$B$47:$B$66)</f>
        <v>156</v>
      </c>
      <c r="F1292" t="s">
        <v>62</v>
      </c>
      <c r="G1292" s="4">
        <f>_xlfn.XLOOKUP(Table1[[#This Row], [DISGUISE]],Sheet1!$A$21:$A$23,Sheet1!$B$21:$B$23)*Table1[[#This Row], [NUM OF MEM]]*(1+_xlfn.XLOOKUP(Table1[[#This Row], [DISGUISE]],Sheet1!$A$21:$A$23,Sheet1!$C$21:$C$23))</f>
        <v>15600</v>
      </c>
      <c r="H1292" s="13" t="s">
        <v>59</v>
      </c>
      <c r="I1292" s="4">
        <f>_xlfn.XLOOKUP(Table1[[#This Row], [WEAPON]],Sheet1!$A$27:$A$29,Sheet1!$B$27:$B$29)*Table1[[#This Row], [NUM OF MEM]]*(1+_xlfn.XLOOKUP(Table1[[#This Row], [WEAPON]],Sheet1!$A$27:$A$29,Sheet1!$C$27:$C$29))</f>
        <v>136500</v>
      </c>
      <c r="J1292" t="s">
        <v>64</v>
      </c>
      <c r="K1292" s="9">
        <f>Table1[[#This Row], [NUM OF MEM]]*Table1[[#This Row], [TOTAL TIME TAKEN]]*_xlfn.XLOOKUP(Table1[[#This Row], [EXIT]],Sheet1!$A$70:$A$71,Sheet1!$B$70:$B$71)*(1+_xlfn.XLOOKUP(Table1[[#This Row], [EXIT]],Sheet1!$A$70:$A$71,Sheet1!$C$70:$C$71))</f>
        <v>1517810.3999999997</v>
      </c>
      <c r="L1292" s="13" t="s">
        <v>65</v>
      </c>
      <c r="M1292" s="4">
        <f>IF(Table1[[#This Row], [EQUIPMENT]]="YES",Sheet1!$C$44*(1+Sheet1!$D$44),0)</f>
        <v>307500</v>
      </c>
      <c r="N1292" s="4">
        <f>_xlfn.XLOOKUP(Table1[[#This Row], [ROOM]],Sheet1!$A$47:$A$66,Sheet1!$F$47:$F$66)</f>
        <v>17650000</v>
      </c>
      <c r="O1292" s="9">
        <f>_xlfn.XLOOKUP(_xlfn.CONCAT(Table1[[#This Row], [TEAM]],Table1[[#This Row], [ROOM]]),'ROOM TIME'!$H$2:$H$121,'ROOM TIME'!$J$2:$J$121)</f>
        <v>35.204999999999991</v>
      </c>
      <c r="P1292" s="9">
        <f>(INDEX(Sheet1!$X$48:$Z$67,MATCH(Table1[[#This Row], [ROOM]],Sheet1!$P$48:$P$67,0),MATCH(Table1[[#This Row], [WEAPON]],Sheet1!$X$47:$Z$47,0)))/Table1[[#This Row], [NUM OF MEM]]</f>
        <v>3.8333333333333335</v>
      </c>
      <c r="Q1292" s="9">
        <f>Table1[[#This Row], [ROOM TIME]]+Table1[[#This Row], [GUARD TIME]]</f>
        <v>39.038333333333327</v>
      </c>
      <c r="R1292" s="4">
        <f>Sheet1!$K$3*_xlfn.XLOOKUP(Table1[[#This Row], [DISGUISE]],Sheet1!$A$21:$A$23,Sheet1!$D$21:$D$23)</f>
        <v>66</v>
      </c>
      <c r="S1292" s="9">
        <f>Table1[[#This Row], [TOTAL TIME]]-Table1[[#This Row], [TOTAL TIME TAKEN]]</f>
        <v>26.961666666666673</v>
      </c>
      <c r="T1292" t="str">
        <f>IF(Table1[[#This Row], [TIME DIFFERENCE]]&gt;=0,"PASS","FAIL")</f>
        <v>PASS</v>
      </c>
      <c r="U1292" s="9">
        <f>Table1[[#This Row], [TRC]]+Table1[[#This Row], [DRC]]+Table1[[#This Row], [WRC]]+Table1[[#This Row], [ERC]]+Table1[[#This Row], [EQRC]]</f>
        <v>8216160.3999999994</v>
      </c>
      <c r="V1292" s="9">
        <f>Table1[[#This Row], [TOTAL COST]]+_xlfn.XLOOKUP(Table1[[#This Row], [TEAM]],Sheet1!$A$12:$A$17,Sheet1!$I$12:$I$17)</f>
        <v>8528097.8999999985</v>
      </c>
      <c r="W1292" s="9">
        <f>Table1[[#This Row], [LOOT]]-Table1[[#This Row], [TOTAL COST]]</f>
        <v>9433839.6000000015</v>
      </c>
      <c r="X1292" s="9">
        <f>IF(Table1[[#This Row], [PASS/FAIL]]="FAIL",0,Table1[[#This Row], [PROFIT]])</f>
        <v>9433839.6000000015</v>
      </c>
    </row>
    <row r="1293" spans="1:24" ht="19.5" customHeight="1" x14ac:dyDescent="0.45">
      <c r="A1293" t="s">
        <v>13</v>
      </c>
      <c r="B1293" s="14">
        <f>_xlfn.XLOOKUP(Table1[[#This Row], [TEAM]],Sheet1!$A$12:$A$17,Sheet1!$F$12:$F$17)</f>
        <v>3</v>
      </c>
      <c r="C1293" s="14">
        <f>_xlfn.XLOOKUP(Table1[[#This Row], [TEAM]],Sheet1!$A$12:$A$17,Sheet1!$G$12:$G$17)</f>
        <v>5930000</v>
      </c>
      <c r="D1293" t="s">
        <v>20</v>
      </c>
      <c r="E1293" s="4">
        <f>_xlfn.XLOOKUP(Table1[[#This Row], [ROOM]],Sheet1!$A$47:$A$66,Sheet1!$B$47:$B$66)</f>
        <v>145</v>
      </c>
      <c r="F1293" t="s">
        <v>58</v>
      </c>
      <c r="G1293" s="4">
        <f>_xlfn.XLOOKUP(Table1[[#This Row], [DISGUISE]],Sheet1!$A$21:$A$23,Sheet1!$B$21:$B$23)*Table1[[#This Row], [NUM OF MEM]]*(1+_xlfn.XLOOKUP(Table1[[#This Row], [DISGUISE]],Sheet1!$A$21:$A$23,Sheet1!$C$21:$C$23))</f>
        <v>38400</v>
      </c>
      <c r="H1293" s="13" t="s">
        <v>63</v>
      </c>
      <c r="I1293" s="4">
        <f>_xlfn.XLOOKUP(Table1[[#This Row], [WEAPON]],Sheet1!$A$27:$A$29,Sheet1!$B$27:$B$29)*Table1[[#This Row], [NUM OF MEM]]*(1+_xlfn.XLOOKUP(Table1[[#This Row], [WEAPON]],Sheet1!$A$27:$A$29,Sheet1!$C$27:$C$29))</f>
        <v>69000</v>
      </c>
      <c r="J1293" t="s">
        <v>60</v>
      </c>
      <c r="K1293" s="9">
        <f>Table1[[#This Row], [NUM OF MEM]]*Table1[[#This Row], [TOTAL TIME TAKEN]]*_xlfn.XLOOKUP(Table1[[#This Row], [EXIT]],Sheet1!$A$70:$A$71,Sheet1!$B$70:$B$71)*(1+_xlfn.XLOOKUP(Table1[[#This Row], [EXIT]],Sheet1!$A$70:$A$71,Sheet1!$C$70:$C$71))</f>
        <v>1772553.2249999996</v>
      </c>
      <c r="L1293" s="13" t="s">
        <v>65</v>
      </c>
      <c r="M1293" s="4">
        <f>IF(Table1[[#This Row], [EQUIPMENT]]="YES",Sheet1!$C$44*(1+Sheet1!$D$44),0)</f>
        <v>307500</v>
      </c>
      <c r="N1293" s="4">
        <f>_xlfn.XLOOKUP(Table1[[#This Row], [ROOM]],Sheet1!$A$47:$A$66,Sheet1!$F$47:$F$66)</f>
        <v>17550000</v>
      </c>
      <c r="O1293" s="9">
        <f>_xlfn.XLOOKUP(_xlfn.CONCAT(Table1[[#This Row], [TEAM]],Table1[[#This Row], [ROOM]]),'ROOM TIME'!$H$2:$H$121,'ROOM TIME'!$J$2:$J$121)</f>
        <v>41.543333333333322</v>
      </c>
      <c r="P1293" s="9">
        <f>(INDEX(Sheet1!$X$48:$Z$67,MATCH(Table1[[#This Row], [ROOM]],Sheet1!$P$48:$P$67,0),MATCH(Table1[[#This Row], [WEAPON]],Sheet1!$X$47:$Z$47,0)))/Table1[[#This Row], [NUM OF MEM]]</f>
        <v>4.5</v>
      </c>
      <c r="Q1293" s="9">
        <f>Table1[[#This Row], [ROOM TIME]]+Table1[[#This Row], [GUARD TIME]]</f>
        <v>46.043333333333322</v>
      </c>
      <c r="R1293" s="4">
        <f>Sheet1!$K$3*_xlfn.XLOOKUP(Table1[[#This Row], [DISGUISE]],Sheet1!$A$21:$A$23,Sheet1!$D$21:$D$23)</f>
        <v>69</v>
      </c>
      <c r="S1293" s="9">
        <f>Table1[[#This Row], [TOTAL TIME]]-Table1[[#This Row], [TOTAL TIME TAKEN]]</f>
        <v>22.956666666666678</v>
      </c>
      <c r="T1293" t="str">
        <f>IF(Table1[[#This Row], [TIME DIFFERENCE]]&gt;=0,"PASS","FAIL")</f>
        <v>PASS</v>
      </c>
      <c r="U1293" s="9">
        <f>Table1[[#This Row], [TRC]]+Table1[[#This Row], [DRC]]+Table1[[#This Row], [WRC]]+Table1[[#This Row], [ERC]]+Table1[[#This Row], [EQRC]]</f>
        <v>8117453.2249999996</v>
      </c>
      <c r="V1293" s="9">
        <f>Table1[[#This Row], [TOTAL COST]]+_xlfn.XLOOKUP(Table1[[#This Row], [TEAM]],Sheet1!$A$12:$A$17,Sheet1!$I$12:$I$17)</f>
        <v>8413953.2249999996</v>
      </c>
      <c r="W1293" s="9">
        <f>Table1[[#This Row], [LOOT]]-Table1[[#This Row], [TOTAL COST]]</f>
        <v>9432546.7750000004</v>
      </c>
      <c r="X1293" s="9">
        <f>IF(Table1[[#This Row], [PASS/FAIL]]="FAIL",0,Table1[[#This Row], [PROFIT]])</f>
        <v>9432546.7750000004</v>
      </c>
    </row>
    <row r="1294" spans="1:24" ht="19.5" customHeight="1" x14ac:dyDescent="0.45">
      <c r="A1294" t="s">
        <v>13</v>
      </c>
      <c r="B1294" s="14">
        <f>_xlfn.XLOOKUP(Table1[[#This Row], [TEAM]],Sheet1!$A$12:$A$17,Sheet1!$F$12:$F$17)</f>
        <v>3</v>
      </c>
      <c r="C1294" s="14">
        <f>_xlfn.XLOOKUP(Table1[[#This Row], [TEAM]],Sheet1!$A$12:$A$17,Sheet1!$G$12:$G$17)</f>
        <v>5930000</v>
      </c>
      <c r="D1294" t="s">
        <v>25</v>
      </c>
      <c r="E1294" s="4">
        <f>_xlfn.XLOOKUP(Table1[[#This Row], [ROOM]],Sheet1!$A$47:$A$66,Sheet1!$B$47:$B$66)</f>
        <v>126</v>
      </c>
      <c r="F1294" t="s">
        <v>58</v>
      </c>
      <c r="G1294" s="4">
        <f>_xlfn.XLOOKUP(Table1[[#This Row], [DISGUISE]],Sheet1!$A$21:$A$23,Sheet1!$B$21:$B$23)*Table1[[#This Row], [NUM OF MEM]]*(1+_xlfn.XLOOKUP(Table1[[#This Row], [DISGUISE]],Sheet1!$A$21:$A$23,Sheet1!$C$21:$C$23))</f>
        <v>38400</v>
      </c>
      <c r="H1294" s="13" t="s">
        <v>59</v>
      </c>
      <c r="I1294" s="4">
        <f>_xlfn.XLOOKUP(Table1[[#This Row], [WEAPON]],Sheet1!$A$27:$A$29,Sheet1!$B$27:$B$29)*Table1[[#This Row], [NUM OF MEM]]*(1+_xlfn.XLOOKUP(Table1[[#This Row], [WEAPON]],Sheet1!$A$27:$A$29,Sheet1!$C$27:$C$29))</f>
        <v>136500</v>
      </c>
      <c r="J1294" t="s">
        <v>64</v>
      </c>
      <c r="K1294" s="9">
        <f>Table1[[#This Row], [NUM OF MEM]]*Table1[[#This Row], [TOTAL TIME TAKEN]]*_xlfn.XLOOKUP(Table1[[#This Row], [EXIT]],Sheet1!$A$70:$A$71,Sheet1!$B$70:$B$71)*(1+_xlfn.XLOOKUP(Table1[[#This Row], [EXIT]],Sheet1!$A$70:$A$71,Sheet1!$C$70:$C$71))</f>
        <v>1705168.7999999993</v>
      </c>
      <c r="L1294" s="13" t="s">
        <v>65</v>
      </c>
      <c r="M1294" s="4">
        <f>IF(Table1[[#This Row], [EQUIPMENT]]="YES",Sheet1!$C$44*(1+Sheet1!$D$44),0)</f>
        <v>307500</v>
      </c>
      <c r="N1294" s="4">
        <f>_xlfn.XLOOKUP(Table1[[#This Row], [ROOM]],Sheet1!$A$47:$A$66,Sheet1!$F$47:$F$66)</f>
        <v>17550000</v>
      </c>
      <c r="O1294" s="9">
        <f>_xlfn.XLOOKUP(_xlfn.CONCAT(Table1[[#This Row], [TEAM]],Table1[[#This Row], [ROOM]]),'ROOM TIME'!$H$2:$H$121,'ROOM TIME'!$J$2:$J$121)</f>
        <v>39.640555555555544</v>
      </c>
      <c r="P1294" s="9">
        <f>(INDEX(Sheet1!$X$48:$Z$67,MATCH(Table1[[#This Row], [ROOM]],Sheet1!$P$48:$P$67,0),MATCH(Table1[[#This Row], [WEAPON]],Sheet1!$X$47:$Z$47,0)))/Table1[[#This Row], [NUM OF MEM]]</f>
        <v>4.2166666666666659</v>
      </c>
      <c r="Q1294" s="9">
        <f>Table1[[#This Row], [ROOM TIME]]+Table1[[#This Row], [GUARD TIME]]</f>
        <v>43.857222222222212</v>
      </c>
      <c r="R1294" s="4">
        <f>Sheet1!$K$3*_xlfn.XLOOKUP(Table1[[#This Row], [DISGUISE]],Sheet1!$A$21:$A$23,Sheet1!$D$21:$D$23)</f>
        <v>69</v>
      </c>
      <c r="S1294" s="9">
        <f>Table1[[#This Row], [TOTAL TIME]]-Table1[[#This Row], [TOTAL TIME TAKEN]]</f>
        <v>25.142777777777788</v>
      </c>
      <c r="T1294" t="str">
        <f>IF(Table1[[#This Row], [TIME DIFFERENCE]]&gt;=0,"PASS","FAIL")</f>
        <v>PASS</v>
      </c>
      <c r="U1294" s="9">
        <f>Table1[[#This Row], [TRC]]+Table1[[#This Row], [DRC]]+Table1[[#This Row], [WRC]]+Table1[[#This Row], [ERC]]+Table1[[#This Row], [EQRC]]</f>
        <v>8117568.7999999989</v>
      </c>
      <c r="V1294" s="9">
        <f>Table1[[#This Row], [TOTAL COST]]+_xlfn.XLOOKUP(Table1[[#This Row], [TEAM]],Sheet1!$A$12:$A$17,Sheet1!$I$12:$I$17)</f>
        <v>8414068.7999999989</v>
      </c>
      <c r="W1294" s="9">
        <f>Table1[[#This Row], [LOOT]]-Table1[[#This Row], [TOTAL COST]]</f>
        <v>9432431.2000000011</v>
      </c>
      <c r="X1294" s="9">
        <f>IF(Table1[[#This Row], [PASS/FAIL]]="FAIL",0,Table1[[#This Row], [PROFIT]])</f>
        <v>9432431.2000000011</v>
      </c>
    </row>
    <row r="1295" spans="1:24" ht="19.5" customHeight="1" x14ac:dyDescent="0.45">
      <c r="A1295" t="s">
        <v>12</v>
      </c>
      <c r="B1295" s="14">
        <f>_xlfn.XLOOKUP(Table1[[#This Row], [TEAM]],Sheet1!$A$12:$A$17,Sheet1!$F$12:$F$17)</f>
        <v>3</v>
      </c>
      <c r="C1295" s="14">
        <f>_xlfn.XLOOKUP(Table1[[#This Row], [TEAM]],Sheet1!$A$12:$A$17,Sheet1!$G$12:$G$17)</f>
        <v>5988750</v>
      </c>
      <c r="D1295" t="s">
        <v>20</v>
      </c>
      <c r="E1295" s="4">
        <f>_xlfn.XLOOKUP(Table1[[#This Row], [ROOM]],Sheet1!$A$47:$A$66,Sheet1!$B$47:$B$66)</f>
        <v>145</v>
      </c>
      <c r="F1295" t="s">
        <v>58</v>
      </c>
      <c r="G1295" s="4">
        <f>_xlfn.XLOOKUP(Table1[[#This Row], [DISGUISE]],Sheet1!$A$21:$A$23,Sheet1!$B$21:$B$23)*Table1[[#This Row], [NUM OF MEM]]*(1+_xlfn.XLOOKUP(Table1[[#This Row], [DISGUISE]],Sheet1!$A$21:$A$23,Sheet1!$C$21:$C$23))</f>
        <v>38400</v>
      </c>
      <c r="H1295" s="13" t="s">
        <v>63</v>
      </c>
      <c r="I1295" s="4">
        <f>_xlfn.XLOOKUP(Table1[[#This Row], [WEAPON]],Sheet1!$A$27:$A$29,Sheet1!$B$27:$B$29)*Table1[[#This Row], [NUM OF MEM]]*(1+_xlfn.XLOOKUP(Table1[[#This Row], [WEAPON]],Sheet1!$A$27:$A$29,Sheet1!$C$27:$C$29))</f>
        <v>69000</v>
      </c>
      <c r="J1295" t="s">
        <v>64</v>
      </c>
      <c r="K1295" s="9">
        <f>Table1[[#This Row], [NUM OF MEM]]*Table1[[#This Row], [TOTAL TIME TAKEN]]*_xlfn.XLOOKUP(Table1[[#This Row], [EXIT]],Sheet1!$A$70:$A$71,Sheet1!$B$70:$B$71)*(1+_xlfn.XLOOKUP(Table1[[#This Row], [EXIT]],Sheet1!$A$70:$A$71,Sheet1!$C$70:$C$71))</f>
        <v>1713959.9999999998</v>
      </c>
      <c r="L1295" s="13" t="s">
        <v>65</v>
      </c>
      <c r="M1295" s="4">
        <f>IF(Table1[[#This Row], [EQUIPMENT]]="YES",Sheet1!$C$44*(1+Sheet1!$D$44),0)</f>
        <v>307500</v>
      </c>
      <c r="N1295" s="4">
        <f>_xlfn.XLOOKUP(Table1[[#This Row], [ROOM]],Sheet1!$A$47:$A$66,Sheet1!$F$47:$F$66)</f>
        <v>17550000</v>
      </c>
      <c r="O1295" s="9">
        <f>_xlfn.XLOOKUP(_xlfn.CONCAT(Table1[[#This Row], [TEAM]],Table1[[#This Row], [ROOM]]),'ROOM TIME'!$H$2:$H$121,'ROOM TIME'!$J$2:$J$121)</f>
        <v>39.583333333333321</v>
      </c>
      <c r="P1295" s="9">
        <f>(INDEX(Sheet1!$X$48:$Z$67,MATCH(Table1[[#This Row], [ROOM]],Sheet1!$P$48:$P$67,0),MATCH(Table1[[#This Row], [WEAPON]],Sheet1!$X$47:$Z$47,0)))/Table1[[#This Row], [NUM OF MEM]]</f>
        <v>4.5</v>
      </c>
      <c r="Q1295" s="9">
        <f>Table1[[#This Row], [ROOM TIME]]+Table1[[#This Row], [GUARD TIME]]</f>
        <v>44.083333333333321</v>
      </c>
      <c r="R1295" s="4">
        <f>Sheet1!$K$3*_xlfn.XLOOKUP(Table1[[#This Row], [DISGUISE]],Sheet1!$A$21:$A$23,Sheet1!$D$21:$D$23)</f>
        <v>69</v>
      </c>
      <c r="S1295" s="9">
        <f>Table1[[#This Row], [TOTAL TIME]]-Table1[[#This Row], [TOTAL TIME TAKEN]]</f>
        <v>24.916666666666679</v>
      </c>
      <c r="T1295" t="str">
        <f>IF(Table1[[#This Row], [TIME DIFFERENCE]]&gt;=0,"PASS","FAIL")</f>
        <v>PASS</v>
      </c>
      <c r="U1295" s="4">
        <f>Table1[[#This Row], [TRC]]+Table1[[#This Row], [DRC]]+Table1[[#This Row], [WRC]]+Table1[[#This Row], [ERC]]+Table1[[#This Row], [EQRC]]</f>
        <v>8117610</v>
      </c>
      <c r="V1295" s="9">
        <f>Table1[[#This Row], [TOTAL COST]]+_xlfn.XLOOKUP(Table1[[#This Row], [TEAM]],Sheet1!$A$12:$A$17,Sheet1!$I$12:$I$17)</f>
        <v>8417047.5</v>
      </c>
      <c r="W1295" s="4">
        <f>Table1[[#This Row], [LOOT]]-Table1[[#This Row], [TOTAL COST]]</f>
        <v>9432390</v>
      </c>
      <c r="X1295" s="4">
        <f>IF(Table1[[#This Row], [PASS/FAIL]]="FAIL",0,Table1[[#This Row], [PROFIT]])</f>
        <v>9432390</v>
      </c>
    </row>
    <row r="1296" spans="1:24" ht="19.5" customHeight="1" x14ac:dyDescent="0.45">
      <c r="A1296" t="s">
        <v>9</v>
      </c>
      <c r="B1296" s="14">
        <f>_xlfn.XLOOKUP(Table1[[#This Row], [TEAM]],Sheet1!$A$12:$A$17,Sheet1!$F$12:$F$17)</f>
        <v>3</v>
      </c>
      <c r="C1296" s="14">
        <f>_xlfn.XLOOKUP(Table1[[#This Row], [TEAM]],Sheet1!$A$12:$A$17,Sheet1!$G$12:$G$17)</f>
        <v>6238750</v>
      </c>
      <c r="D1296" t="s">
        <v>10</v>
      </c>
      <c r="E1296" s="4">
        <f>_xlfn.XLOOKUP(Table1[[#This Row], [ROOM]],Sheet1!$A$47:$A$66,Sheet1!$B$47:$B$66)</f>
        <v>123</v>
      </c>
      <c r="F1296" t="s">
        <v>62</v>
      </c>
      <c r="G1296" s="4">
        <f>_xlfn.XLOOKUP(Table1[[#This Row], [DISGUISE]],Sheet1!$A$21:$A$23,Sheet1!$B$21:$B$23)*Table1[[#This Row], [NUM OF MEM]]*(1+_xlfn.XLOOKUP(Table1[[#This Row], [DISGUISE]],Sheet1!$A$21:$A$23,Sheet1!$C$21:$C$23))</f>
        <v>15600</v>
      </c>
      <c r="H1296" s="13" t="s">
        <v>59</v>
      </c>
      <c r="I1296" s="4">
        <f>_xlfn.XLOOKUP(Table1[[#This Row], [WEAPON]],Sheet1!$A$27:$A$29,Sheet1!$B$27:$B$29)*Table1[[#This Row], [NUM OF MEM]]*(1+_xlfn.XLOOKUP(Table1[[#This Row], [WEAPON]],Sheet1!$A$27:$A$29,Sheet1!$C$27:$C$29))</f>
        <v>136500</v>
      </c>
      <c r="J1296" t="s">
        <v>64</v>
      </c>
      <c r="K1296" s="9">
        <f>Table1[[#This Row], [NUM OF MEM]]*Table1[[#This Row], [TOTAL TIME TAKEN]]*_xlfn.XLOOKUP(Table1[[#This Row], [EXIT]],Sheet1!$A$70:$A$71,Sheet1!$B$70:$B$71)*(1+_xlfn.XLOOKUP(Table1[[#This Row], [EXIT]],Sheet1!$A$70:$A$71,Sheet1!$C$70:$C$71))</f>
        <v>1719899.9999999998</v>
      </c>
      <c r="L1296" s="13" t="s">
        <v>65</v>
      </c>
      <c r="M1296" s="4">
        <f>IF(Table1[[#This Row], [EQUIPMENT]]="YES",Sheet1!$C$44*(1+Sheet1!$D$44),0)</f>
        <v>307500</v>
      </c>
      <c r="N1296" s="4">
        <f>_xlfn.XLOOKUP(Table1[[#This Row], [ROOM]],Sheet1!$A$47:$A$66,Sheet1!$F$47:$F$66)</f>
        <v>17850000</v>
      </c>
      <c r="O1296" s="9">
        <f>_xlfn.XLOOKUP(_xlfn.CONCAT(Table1[[#This Row], [TEAM]],Table1[[#This Row], [ROOM]]),'ROOM TIME'!$H$2:$H$121,'ROOM TIME'!$J$2:$J$121)</f>
        <v>39.636111111111099</v>
      </c>
      <c r="P1296" s="9">
        <f>(INDEX(Sheet1!$X$48:$Z$67,MATCH(Table1[[#This Row], [ROOM]],Sheet1!$P$48:$P$67,0),MATCH(Table1[[#This Row], [WEAPON]],Sheet1!$X$47:$Z$47,0)))/Table1[[#This Row], [NUM OF MEM]]</f>
        <v>4.5999999999999996</v>
      </c>
      <c r="Q1296" s="9">
        <f>Table1[[#This Row], [ROOM TIME]]+Table1[[#This Row], [GUARD TIME]]</f>
        <v>44.2361111111111</v>
      </c>
      <c r="R1296" s="4">
        <f>Sheet1!$K$3*_xlfn.XLOOKUP(Table1[[#This Row], [DISGUISE]],Sheet1!$A$21:$A$23,Sheet1!$D$21:$D$23)</f>
        <v>66</v>
      </c>
      <c r="S1296" s="9">
        <f>Table1[[#This Row], [TOTAL TIME]]-Table1[[#This Row], [TOTAL TIME TAKEN]]</f>
        <v>21.7638888888889</v>
      </c>
      <c r="T1296" t="str">
        <f>IF(Table1[[#This Row], [TIME DIFFERENCE]]&gt;=0,"PASS","FAIL")</f>
        <v>PASS</v>
      </c>
      <c r="U1296" s="4">
        <f>Table1[[#This Row], [TRC]]+Table1[[#This Row], [DRC]]+Table1[[#This Row], [WRC]]+Table1[[#This Row], [ERC]]+Table1[[#This Row], [EQRC]]</f>
        <v>8418250</v>
      </c>
      <c r="V1296" s="9">
        <f>Table1[[#This Row], [TOTAL COST]]+_xlfn.XLOOKUP(Table1[[#This Row], [TEAM]],Sheet1!$A$12:$A$17,Sheet1!$I$12:$I$17)</f>
        <v>8730187.5</v>
      </c>
      <c r="W1296" s="4">
        <f>Table1[[#This Row], [LOOT]]-Table1[[#This Row], [TOTAL COST]]</f>
        <v>9431750</v>
      </c>
      <c r="X1296" s="4">
        <f>IF(Table1[[#This Row], [PASS/FAIL]]="FAIL",0,Table1[[#This Row], [PROFIT]])</f>
        <v>9431750</v>
      </c>
    </row>
    <row r="1297" spans="1:24" ht="19.5" customHeight="1" x14ac:dyDescent="0.45">
      <c r="A1297" t="s">
        <v>13</v>
      </c>
      <c r="B1297" s="14">
        <f>_xlfn.XLOOKUP(Table1[[#This Row], [TEAM]],Sheet1!$A$12:$A$17,Sheet1!$F$12:$F$17)</f>
        <v>3</v>
      </c>
      <c r="C1297" s="14">
        <f>_xlfn.XLOOKUP(Table1[[#This Row], [TEAM]],Sheet1!$A$12:$A$17,Sheet1!$G$12:$G$17)</f>
        <v>5930000</v>
      </c>
      <c r="D1297" t="s">
        <v>31</v>
      </c>
      <c r="E1297" s="4">
        <f>_xlfn.XLOOKUP(Table1[[#This Row], [ROOM]],Sheet1!$A$47:$A$66,Sheet1!$B$47:$B$66)</f>
        <v>256</v>
      </c>
      <c r="F1297" t="s">
        <v>58</v>
      </c>
      <c r="G1297" s="4">
        <f>_xlfn.XLOOKUP(Table1[[#This Row], [DISGUISE]],Sheet1!$A$21:$A$23,Sheet1!$B$21:$B$23)*Table1[[#This Row], [NUM OF MEM]]*(1+_xlfn.XLOOKUP(Table1[[#This Row], [DISGUISE]],Sheet1!$A$21:$A$23,Sheet1!$C$21:$C$23))</f>
        <v>38400</v>
      </c>
      <c r="H1297" s="13" t="s">
        <v>66</v>
      </c>
      <c r="I1297" s="4">
        <f>_xlfn.XLOOKUP(Table1[[#This Row], [WEAPON]],Sheet1!$A$27:$A$29,Sheet1!$B$27:$B$29)*Table1[[#This Row], [NUM OF MEM]]*(1+_xlfn.XLOOKUP(Table1[[#This Row], [WEAPON]],Sheet1!$A$27:$A$29,Sheet1!$C$27:$C$29))</f>
        <v>108000</v>
      </c>
      <c r="J1297" t="s">
        <v>60</v>
      </c>
      <c r="K1297" s="9">
        <f>Table1[[#This Row], [NUM OF MEM]]*Table1[[#This Row], [TOTAL TIME TAKEN]]*_xlfn.XLOOKUP(Table1[[#This Row], [EXIT]],Sheet1!$A$70:$A$71,Sheet1!$B$70:$B$71)*(1+_xlfn.XLOOKUP(Table1[[#This Row], [EXIT]],Sheet1!$A$70:$A$71,Sheet1!$C$70:$C$71))</f>
        <v>1685463.3249999997</v>
      </c>
      <c r="L1297" s="13" t="s">
        <v>65</v>
      </c>
      <c r="M1297" s="4">
        <f>IF(Table1[[#This Row], [EQUIPMENT]]="YES",Sheet1!$C$44*(1+Sheet1!$D$44),0)</f>
        <v>307500</v>
      </c>
      <c r="N1297" s="4">
        <f>_xlfn.XLOOKUP(Table1[[#This Row], [ROOM]],Sheet1!$A$47:$A$66,Sheet1!$F$47:$F$66)</f>
        <v>17500000</v>
      </c>
      <c r="O1297" s="9">
        <f>_xlfn.XLOOKUP(_xlfn.CONCAT(Table1[[#This Row], [TEAM]],Table1[[#This Row], [ROOM]]),'ROOM TIME'!$H$2:$H$121,'ROOM TIME'!$J$2:$J$121)</f>
        <v>39.197777777777766</v>
      </c>
      <c r="P1297" s="9">
        <f>(INDEX(Sheet1!$X$48:$Z$67,MATCH(Table1[[#This Row], [ROOM]],Sheet1!$P$48:$P$67,0),MATCH(Table1[[#This Row], [WEAPON]],Sheet1!$X$47:$Z$47,0)))/Table1[[#This Row], [NUM OF MEM]]</f>
        <v>4.583333333333333</v>
      </c>
      <c r="Q1297" s="9">
        <f>Table1[[#This Row], [ROOM TIME]]+Table1[[#This Row], [GUARD TIME]]</f>
        <v>43.781111111111102</v>
      </c>
      <c r="R1297" s="4">
        <f>Sheet1!$K$3*_xlfn.XLOOKUP(Table1[[#This Row], [DISGUISE]],Sheet1!$A$21:$A$23,Sheet1!$D$21:$D$23)</f>
        <v>69</v>
      </c>
      <c r="S1297" s="9">
        <f>Table1[[#This Row], [TOTAL TIME]]-Table1[[#This Row], [TOTAL TIME TAKEN]]</f>
        <v>25.218888888888898</v>
      </c>
      <c r="T1297" t="str">
        <f>IF(Table1[[#This Row], [TIME DIFFERENCE]]&gt;=0,"PASS","FAIL")</f>
        <v>PASS</v>
      </c>
      <c r="U1297" s="9">
        <f>Table1[[#This Row], [TRC]]+Table1[[#This Row], [DRC]]+Table1[[#This Row], [WRC]]+Table1[[#This Row], [ERC]]+Table1[[#This Row], [EQRC]]</f>
        <v>8069363.3249999993</v>
      </c>
      <c r="V1297" s="9">
        <f>Table1[[#This Row], [TOTAL COST]]+_xlfn.XLOOKUP(Table1[[#This Row], [TEAM]],Sheet1!$A$12:$A$17,Sheet1!$I$12:$I$17)</f>
        <v>8365863.3249999993</v>
      </c>
      <c r="W1297" s="9">
        <f>Table1[[#This Row], [LOOT]]-Table1[[#This Row], [TOTAL COST]]</f>
        <v>9430636.6750000007</v>
      </c>
      <c r="X1297" s="9">
        <f>IF(Table1[[#This Row], [PASS/FAIL]]="FAIL",0,Table1[[#This Row], [PROFIT]])</f>
        <v>9430636.6750000007</v>
      </c>
    </row>
    <row r="1298" spans="1:24" ht="19.5" customHeight="1" x14ac:dyDescent="0.45">
      <c r="A1298" t="s">
        <v>16</v>
      </c>
      <c r="B1298" s="14">
        <f>_xlfn.XLOOKUP(Table1[[#This Row], [TEAM]],Sheet1!$A$12:$A$17,Sheet1!$F$12:$F$17)</f>
        <v>2</v>
      </c>
      <c r="C1298" s="14">
        <f>_xlfn.XLOOKUP(Table1[[#This Row], [TEAM]],Sheet1!$A$12:$A$17,Sheet1!$G$12:$G$17)</f>
        <v>6082800</v>
      </c>
      <c r="D1298" t="s">
        <v>17</v>
      </c>
      <c r="E1298" s="4">
        <f>_xlfn.XLOOKUP(Table1[[#This Row], [ROOM]],Sheet1!$A$47:$A$66,Sheet1!$B$47:$B$66)</f>
        <v>125</v>
      </c>
      <c r="F1298" t="s">
        <v>58</v>
      </c>
      <c r="G1298" s="4">
        <f>_xlfn.XLOOKUP(Table1[[#This Row], [DISGUISE]],Sheet1!$A$21:$A$23,Sheet1!$B$21:$B$23)*Table1[[#This Row], [NUM OF MEM]]*(1+_xlfn.XLOOKUP(Table1[[#This Row], [DISGUISE]],Sheet1!$A$21:$A$23,Sheet1!$C$21:$C$23))</f>
        <v>25600</v>
      </c>
      <c r="H1298" s="13" t="s">
        <v>66</v>
      </c>
      <c r="I1298" s="4">
        <f>_xlfn.XLOOKUP(Table1[[#This Row], [WEAPON]],Sheet1!$A$27:$A$29,Sheet1!$B$27:$B$29)*Table1[[#This Row], [NUM OF MEM]]*(1+_xlfn.XLOOKUP(Table1[[#This Row], [WEAPON]],Sheet1!$A$27:$A$29,Sheet1!$C$27:$C$29))</f>
        <v>72000</v>
      </c>
      <c r="J1298" t="s">
        <v>64</v>
      </c>
      <c r="K1298" s="9">
        <f>Table1[[#This Row], [NUM OF MEM]]*Table1[[#This Row], [TOTAL TIME TAKEN]]*_xlfn.XLOOKUP(Table1[[#This Row], [EXIT]],Sheet1!$A$70:$A$71,Sheet1!$B$70:$B$71)*(1+_xlfn.XLOOKUP(Table1[[#This Row], [EXIT]],Sheet1!$A$70:$A$71,Sheet1!$C$70:$C$71))</f>
        <v>1739005.1999999997</v>
      </c>
      <c r="L1298" s="13" t="s">
        <v>61</v>
      </c>
      <c r="M1298" s="4">
        <f>IF(Table1[[#This Row], [EQUIPMENT]]="YES",Sheet1!$C$44*(1+Sheet1!$D$44),0)</f>
        <v>0</v>
      </c>
      <c r="N1298" s="4">
        <f>_xlfn.XLOOKUP(Table1[[#This Row], [ROOM]],Sheet1!$A$47:$A$66,Sheet1!$F$47:$F$66)</f>
        <v>17350000</v>
      </c>
      <c r="O1298" s="9">
        <f>_xlfn.XLOOKUP(_xlfn.CONCAT(Table1[[#This Row], [TEAM]],Table1[[#This Row], [ROOM]]),'ROOM TIME'!$H$2:$H$121,'ROOM TIME'!$J$2:$J$121)</f>
        <v>60.841249999999988</v>
      </c>
      <c r="P1298" s="9">
        <f>(INDEX(Sheet1!$X$48:$Z$67,MATCH(Table1[[#This Row], [ROOM]],Sheet1!$P$48:$P$67,0),MATCH(Table1[[#This Row], [WEAPON]],Sheet1!$X$47:$Z$47,0)))/Table1[[#This Row], [NUM OF MEM]]</f>
        <v>6.25</v>
      </c>
      <c r="Q1298" s="9">
        <f>Table1[[#This Row], [ROOM TIME]]+Table1[[#This Row], [GUARD TIME]]</f>
        <v>67.091249999999988</v>
      </c>
      <c r="R1298" s="4">
        <f>Sheet1!$K$3*_xlfn.XLOOKUP(Table1[[#This Row], [DISGUISE]],Sheet1!$A$21:$A$23,Sheet1!$D$21:$D$23)</f>
        <v>69</v>
      </c>
      <c r="S1298" s="9">
        <f>Table1[[#This Row], [TOTAL TIME]]-Table1[[#This Row], [TOTAL TIME TAKEN]]</f>
        <v>1.9087500000000119</v>
      </c>
      <c r="T1298" t="str">
        <f>IF(Table1[[#This Row], [TIME DIFFERENCE]]&gt;=0,"PASS","FAIL")</f>
        <v>PASS</v>
      </c>
      <c r="U1298" s="9">
        <f>Table1[[#This Row], [TRC]]+Table1[[#This Row], [DRC]]+Table1[[#This Row], [WRC]]+Table1[[#This Row], [ERC]]+Table1[[#This Row], [EQRC]]</f>
        <v>7919405.1999999993</v>
      </c>
      <c r="V1298" s="9">
        <f>Table1[[#This Row], [TOTAL COST]]+_xlfn.XLOOKUP(Table1[[#This Row], [TEAM]],Sheet1!$A$12:$A$17,Sheet1!$I$12:$I$17)</f>
        <v>8223545.1999999993</v>
      </c>
      <c r="W1298" s="9">
        <f>Table1[[#This Row], [LOOT]]-Table1[[#This Row], [TOTAL COST]]</f>
        <v>9430594.8000000007</v>
      </c>
      <c r="X1298" s="9">
        <f>IF(Table1[[#This Row], [PASS/FAIL]]="FAIL",0,Table1[[#This Row], [PROFIT]])</f>
        <v>9430594.8000000007</v>
      </c>
    </row>
    <row r="1299" spans="1:24" ht="19.5" customHeight="1" x14ac:dyDescent="0.45">
      <c r="A1299" t="s">
        <v>12</v>
      </c>
      <c r="B1299" s="14">
        <f>_xlfn.XLOOKUP(Table1[[#This Row], [TEAM]],Sheet1!$A$12:$A$17,Sheet1!$F$12:$F$17)</f>
        <v>3</v>
      </c>
      <c r="C1299" s="14">
        <f>_xlfn.XLOOKUP(Table1[[#This Row], [TEAM]],Sheet1!$A$12:$A$17,Sheet1!$G$12:$G$17)</f>
        <v>5988750</v>
      </c>
      <c r="D1299" t="s">
        <v>20</v>
      </c>
      <c r="E1299" s="4">
        <f>_xlfn.XLOOKUP(Table1[[#This Row], [ROOM]],Sheet1!$A$47:$A$66,Sheet1!$B$47:$B$66)</f>
        <v>145</v>
      </c>
      <c r="F1299" t="s">
        <v>62</v>
      </c>
      <c r="G1299" s="4">
        <f>_xlfn.XLOOKUP(Table1[[#This Row], [DISGUISE]],Sheet1!$A$21:$A$23,Sheet1!$B$21:$B$23)*Table1[[#This Row], [NUM OF MEM]]*(1+_xlfn.XLOOKUP(Table1[[#This Row], [DISGUISE]],Sheet1!$A$21:$A$23,Sheet1!$C$21:$C$23))</f>
        <v>15600</v>
      </c>
      <c r="H1299" s="13" t="s">
        <v>59</v>
      </c>
      <c r="I1299" s="4">
        <f>_xlfn.XLOOKUP(Table1[[#This Row], [WEAPON]],Sheet1!$A$27:$A$29,Sheet1!$B$27:$B$29)*Table1[[#This Row], [NUM OF MEM]]*(1+_xlfn.XLOOKUP(Table1[[#This Row], [WEAPON]],Sheet1!$A$27:$A$29,Sheet1!$C$27:$C$29))</f>
        <v>136500</v>
      </c>
      <c r="J1299" t="s">
        <v>60</v>
      </c>
      <c r="K1299" s="9">
        <f>Table1[[#This Row], [NUM OF MEM]]*Table1[[#This Row], [TOTAL TIME TAKEN]]*_xlfn.XLOOKUP(Table1[[#This Row], [EXIT]],Sheet1!$A$70:$A$71,Sheet1!$B$70:$B$71)*(1+_xlfn.XLOOKUP(Table1[[#This Row], [EXIT]],Sheet1!$A$70:$A$71,Sheet1!$C$70:$C$71))</f>
        <v>1671433.1249999995</v>
      </c>
      <c r="L1299" s="13" t="s">
        <v>65</v>
      </c>
      <c r="M1299" s="4">
        <f>IF(Table1[[#This Row], [EQUIPMENT]]="YES",Sheet1!$C$44*(1+Sheet1!$D$44),0)</f>
        <v>307500</v>
      </c>
      <c r="N1299" s="4">
        <f>_xlfn.XLOOKUP(Table1[[#This Row], [ROOM]],Sheet1!$A$47:$A$66,Sheet1!$F$47:$F$66)</f>
        <v>17550000</v>
      </c>
      <c r="O1299" s="9">
        <f>_xlfn.XLOOKUP(_xlfn.CONCAT(Table1[[#This Row], [TEAM]],Table1[[#This Row], [ROOM]]),'ROOM TIME'!$H$2:$H$121,'ROOM TIME'!$J$2:$J$121)</f>
        <v>39.583333333333321</v>
      </c>
      <c r="P1299" s="9">
        <f>(INDEX(Sheet1!$X$48:$Z$67,MATCH(Table1[[#This Row], [ROOM]],Sheet1!$P$48:$P$67,0),MATCH(Table1[[#This Row], [WEAPON]],Sheet1!$X$47:$Z$47,0)))/Table1[[#This Row], [NUM OF MEM]]</f>
        <v>3.8333333333333335</v>
      </c>
      <c r="Q1299" s="9">
        <f>Table1[[#This Row], [ROOM TIME]]+Table1[[#This Row], [GUARD TIME]]</f>
        <v>43.416666666666657</v>
      </c>
      <c r="R1299" s="4">
        <f>Sheet1!$K$3*_xlfn.XLOOKUP(Table1[[#This Row], [DISGUISE]],Sheet1!$A$21:$A$23,Sheet1!$D$21:$D$23)</f>
        <v>66</v>
      </c>
      <c r="S1299" s="9">
        <f>Table1[[#This Row], [TOTAL TIME]]-Table1[[#This Row], [TOTAL TIME TAKEN]]</f>
        <v>22.583333333333343</v>
      </c>
      <c r="T1299" t="str">
        <f>IF(Table1[[#This Row], [TIME DIFFERENCE]]&gt;=0,"PASS","FAIL")</f>
        <v>PASS</v>
      </c>
      <c r="U1299" s="9">
        <f>Table1[[#This Row], [TRC]]+Table1[[#This Row], [DRC]]+Table1[[#This Row], [WRC]]+Table1[[#This Row], [ERC]]+Table1[[#This Row], [EQRC]]</f>
        <v>8119783.125</v>
      </c>
      <c r="V1299" s="9">
        <f>Table1[[#This Row], [TOTAL COST]]+_xlfn.XLOOKUP(Table1[[#This Row], [TEAM]],Sheet1!$A$12:$A$17,Sheet1!$I$12:$I$17)</f>
        <v>8419220.625</v>
      </c>
      <c r="W1299" s="9">
        <f>Table1[[#This Row], [LOOT]]-Table1[[#This Row], [TOTAL COST]]</f>
        <v>9430216.875</v>
      </c>
      <c r="X1299" s="9">
        <f>IF(Table1[[#This Row], [PASS/FAIL]]="FAIL",0,Table1[[#This Row], [PROFIT]])</f>
        <v>9430216.875</v>
      </c>
    </row>
    <row r="1300" spans="1:24" ht="19.5" customHeight="1" x14ac:dyDescent="0.45">
      <c r="A1300" t="s">
        <v>12</v>
      </c>
      <c r="B1300" s="14">
        <f>_xlfn.XLOOKUP(Table1[[#This Row], [TEAM]],Sheet1!$A$12:$A$17,Sheet1!$F$12:$F$17)</f>
        <v>3</v>
      </c>
      <c r="C1300" s="14">
        <f>_xlfn.XLOOKUP(Table1[[#This Row], [TEAM]],Sheet1!$A$12:$A$17,Sheet1!$G$12:$G$17)</f>
        <v>5988750</v>
      </c>
      <c r="D1300" t="s">
        <v>31</v>
      </c>
      <c r="E1300" s="4">
        <f>_xlfn.XLOOKUP(Table1[[#This Row], [ROOM]],Sheet1!$A$47:$A$66,Sheet1!$B$47:$B$66)</f>
        <v>256</v>
      </c>
      <c r="F1300" t="s">
        <v>58</v>
      </c>
      <c r="G1300" s="4">
        <f>_xlfn.XLOOKUP(Table1[[#This Row], [DISGUISE]],Sheet1!$A$21:$A$23,Sheet1!$B$21:$B$23)*Table1[[#This Row], [NUM OF MEM]]*(1+_xlfn.XLOOKUP(Table1[[#This Row], [DISGUISE]],Sheet1!$A$21:$A$23,Sheet1!$C$21:$C$23))</f>
        <v>38400</v>
      </c>
      <c r="H1300" s="13" t="s">
        <v>59</v>
      </c>
      <c r="I1300" s="4">
        <f>_xlfn.XLOOKUP(Table1[[#This Row], [WEAPON]],Sheet1!$A$27:$A$29,Sheet1!$B$27:$B$29)*Table1[[#This Row], [NUM OF MEM]]*(1+_xlfn.XLOOKUP(Table1[[#This Row], [WEAPON]],Sheet1!$A$27:$A$29,Sheet1!$C$27:$C$29))</f>
        <v>136500</v>
      </c>
      <c r="J1300" t="s">
        <v>60</v>
      </c>
      <c r="K1300" s="9">
        <f>Table1[[#This Row], [NUM OF MEM]]*Table1[[#This Row], [TOTAL TIME TAKEN]]*_xlfn.XLOOKUP(Table1[[#This Row], [EXIT]],Sheet1!$A$70:$A$71,Sheet1!$B$70:$B$71)*(1+_xlfn.XLOOKUP(Table1[[#This Row], [EXIT]],Sheet1!$A$70:$A$71,Sheet1!$C$70:$C$71))</f>
        <v>1598801.1749999996</v>
      </c>
      <c r="L1300" s="13" t="s">
        <v>65</v>
      </c>
      <c r="M1300" s="4">
        <f>IF(Table1[[#This Row], [EQUIPMENT]]="YES",Sheet1!$C$44*(1+Sheet1!$D$44),0)</f>
        <v>307500</v>
      </c>
      <c r="N1300" s="4">
        <f>_xlfn.XLOOKUP(Table1[[#This Row], [ROOM]],Sheet1!$A$47:$A$66,Sheet1!$F$47:$F$66)</f>
        <v>17500000</v>
      </c>
      <c r="O1300" s="9">
        <f>_xlfn.XLOOKUP(_xlfn.CONCAT(Table1[[#This Row], [TEAM]],Table1[[#This Row], [ROOM]]),'ROOM TIME'!$H$2:$H$121,'ROOM TIME'!$J$2:$J$121)</f>
        <v>37.313333333333318</v>
      </c>
      <c r="P1300" s="9">
        <f>(INDEX(Sheet1!$X$48:$Z$67,MATCH(Table1[[#This Row], [ROOM]],Sheet1!$P$48:$P$67,0),MATCH(Table1[[#This Row], [WEAPON]],Sheet1!$X$47:$Z$47,0)))/Table1[[#This Row], [NUM OF MEM]]</f>
        <v>4.2166666666666659</v>
      </c>
      <c r="Q1300" s="9">
        <f>Table1[[#This Row], [ROOM TIME]]+Table1[[#This Row], [GUARD TIME]]</f>
        <v>41.529999999999987</v>
      </c>
      <c r="R1300" s="4">
        <f>Sheet1!$K$3*_xlfn.XLOOKUP(Table1[[#This Row], [DISGUISE]],Sheet1!$A$21:$A$23,Sheet1!$D$21:$D$23)</f>
        <v>69</v>
      </c>
      <c r="S1300" s="9">
        <f>Table1[[#This Row], [TOTAL TIME]]-Table1[[#This Row], [TOTAL TIME TAKEN]]</f>
        <v>27.470000000000013</v>
      </c>
      <c r="T1300" t="str">
        <f>IF(Table1[[#This Row], [TIME DIFFERENCE]]&gt;=0,"PASS","FAIL")</f>
        <v>PASS</v>
      </c>
      <c r="U1300" s="9">
        <f>Table1[[#This Row], [TRC]]+Table1[[#This Row], [DRC]]+Table1[[#This Row], [WRC]]+Table1[[#This Row], [ERC]]+Table1[[#This Row], [EQRC]]</f>
        <v>8069951.1749999998</v>
      </c>
      <c r="V1300" s="9">
        <f>Table1[[#This Row], [TOTAL COST]]+_xlfn.XLOOKUP(Table1[[#This Row], [TEAM]],Sheet1!$A$12:$A$17,Sheet1!$I$12:$I$17)</f>
        <v>8369388.6749999998</v>
      </c>
      <c r="W1300" s="9">
        <f>Table1[[#This Row], [LOOT]]-Table1[[#This Row], [TOTAL COST]]</f>
        <v>9430048.8249999993</v>
      </c>
      <c r="X1300" s="9">
        <f>IF(Table1[[#This Row], [PASS/FAIL]]="FAIL",0,Table1[[#This Row], [PROFIT]])</f>
        <v>9430048.8249999993</v>
      </c>
    </row>
    <row r="1301" spans="1:24" ht="19.5" customHeight="1" x14ac:dyDescent="0.45">
      <c r="A1301" t="s">
        <v>16</v>
      </c>
      <c r="B1301" s="14">
        <f>_xlfn.XLOOKUP(Table1[[#This Row], [TEAM]],Sheet1!$A$12:$A$17,Sheet1!$F$12:$F$17)</f>
        <v>2</v>
      </c>
      <c r="C1301" s="14">
        <f>_xlfn.XLOOKUP(Table1[[#This Row], [TEAM]],Sheet1!$A$12:$A$17,Sheet1!$G$12:$G$17)</f>
        <v>6082800</v>
      </c>
      <c r="D1301" t="s">
        <v>25</v>
      </c>
      <c r="E1301" s="4">
        <f>_xlfn.XLOOKUP(Table1[[#This Row], [ROOM]],Sheet1!$A$47:$A$66,Sheet1!$B$47:$B$66)</f>
        <v>126</v>
      </c>
      <c r="F1301" t="s">
        <v>62</v>
      </c>
      <c r="G1301" s="4">
        <f>_xlfn.XLOOKUP(Table1[[#This Row], [DISGUISE]],Sheet1!$A$21:$A$23,Sheet1!$B$21:$B$23)*Table1[[#This Row], [NUM OF MEM]]*(1+_xlfn.XLOOKUP(Table1[[#This Row], [DISGUISE]],Sheet1!$A$21:$A$23,Sheet1!$C$21:$C$23))</f>
        <v>10400</v>
      </c>
      <c r="H1301" s="13" t="s">
        <v>66</v>
      </c>
      <c r="I1301" s="4">
        <f>_xlfn.XLOOKUP(Table1[[#This Row], [WEAPON]],Sheet1!$A$27:$A$29,Sheet1!$B$27:$B$29)*Table1[[#This Row], [NUM OF MEM]]*(1+_xlfn.XLOOKUP(Table1[[#This Row], [WEAPON]],Sheet1!$A$27:$A$29,Sheet1!$C$27:$C$29))</f>
        <v>72000</v>
      </c>
      <c r="J1301" t="s">
        <v>60</v>
      </c>
      <c r="K1301" s="9">
        <f>Table1[[#This Row], [NUM OF MEM]]*Table1[[#This Row], [TOTAL TIME TAKEN]]*_xlfn.XLOOKUP(Table1[[#This Row], [EXIT]],Sheet1!$A$70:$A$71,Sheet1!$B$70:$B$71)*(1+_xlfn.XLOOKUP(Table1[[#This Row], [EXIT]],Sheet1!$A$70:$A$71,Sheet1!$C$70:$C$71))</f>
        <v>1647596.7562499996</v>
      </c>
      <c r="L1301" s="13" t="s">
        <v>65</v>
      </c>
      <c r="M1301" s="4">
        <f>IF(Table1[[#This Row], [EQUIPMENT]]="YES",Sheet1!$C$44*(1+Sheet1!$D$44),0)</f>
        <v>307500</v>
      </c>
      <c r="N1301" s="4">
        <f>_xlfn.XLOOKUP(Table1[[#This Row], [ROOM]],Sheet1!$A$47:$A$66,Sheet1!$F$47:$F$66)</f>
        <v>17550000</v>
      </c>
      <c r="O1301" s="9">
        <f>_xlfn.XLOOKUP(_xlfn.CONCAT(Table1[[#This Row], [TEAM]],Table1[[#This Row], [ROOM]]),'ROOM TIME'!$H$2:$H$121,'ROOM TIME'!$J$2:$J$121)</f>
        <v>57.321249999999985</v>
      </c>
      <c r="P1301" s="9">
        <f>(INDEX(Sheet1!$X$48:$Z$67,MATCH(Table1[[#This Row], [ROOM]],Sheet1!$P$48:$P$67,0),MATCH(Table1[[#This Row], [WEAPON]],Sheet1!$X$47:$Z$47,0)))/Table1[[#This Row], [NUM OF MEM]]</f>
        <v>6.875</v>
      </c>
      <c r="Q1301" s="9">
        <f>Table1[[#This Row], [ROOM TIME]]+Table1[[#This Row], [GUARD TIME]]</f>
        <v>64.196249999999992</v>
      </c>
      <c r="R1301" s="4">
        <f>Sheet1!$K$3*_xlfn.XLOOKUP(Table1[[#This Row], [DISGUISE]],Sheet1!$A$21:$A$23,Sheet1!$D$21:$D$23)</f>
        <v>66</v>
      </c>
      <c r="S1301" s="9">
        <f>Table1[[#This Row], [TOTAL TIME]]-Table1[[#This Row], [TOTAL TIME TAKEN]]</f>
        <v>1.803750000000008</v>
      </c>
      <c r="T1301" t="str">
        <f>IF(Table1[[#This Row], [TIME DIFFERENCE]]&gt;=0,"PASS","FAIL")</f>
        <v>PASS</v>
      </c>
      <c r="U1301" s="9">
        <f>Table1[[#This Row], [TRC]]+Table1[[#This Row], [DRC]]+Table1[[#This Row], [WRC]]+Table1[[#This Row], [ERC]]+Table1[[#This Row], [EQRC]]</f>
        <v>8120296.7562499996</v>
      </c>
      <c r="V1301" s="9">
        <f>Table1[[#This Row], [TOTAL COST]]+_xlfn.XLOOKUP(Table1[[#This Row], [TEAM]],Sheet1!$A$12:$A$17,Sheet1!$I$12:$I$17)</f>
        <v>8424436.7562499996</v>
      </c>
      <c r="W1301" s="9">
        <f>Table1[[#This Row], [LOOT]]-Table1[[#This Row], [TOTAL COST]]</f>
        <v>9429703.2437500004</v>
      </c>
      <c r="X1301" s="9">
        <f>IF(Table1[[#This Row], [PASS/FAIL]]="FAIL",0,Table1[[#This Row], [PROFIT]])</f>
        <v>9429703.2437500004</v>
      </c>
    </row>
    <row r="1302" spans="1:24" ht="19.5" customHeight="1" x14ac:dyDescent="0.45">
      <c r="A1302" t="s">
        <v>9</v>
      </c>
      <c r="B1302" s="14">
        <f>_xlfn.XLOOKUP(Table1[[#This Row], [TEAM]],Sheet1!$A$12:$A$17,Sheet1!$F$12:$F$17)</f>
        <v>3</v>
      </c>
      <c r="C1302" s="14">
        <f>_xlfn.XLOOKUP(Table1[[#This Row], [TEAM]],Sheet1!$A$12:$A$17,Sheet1!$G$12:$G$17)</f>
        <v>6238750</v>
      </c>
      <c r="D1302" t="s">
        <v>22</v>
      </c>
      <c r="E1302" s="4">
        <f>_xlfn.XLOOKUP(Table1[[#This Row], [ROOM]],Sheet1!$A$47:$A$66,Sheet1!$B$47:$B$66)</f>
        <v>235</v>
      </c>
      <c r="F1302" t="s">
        <v>62</v>
      </c>
      <c r="G130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02" s="13" t="s">
        <v>63</v>
      </c>
      <c r="I1302" s="4">
        <f>_xlfn.XLOOKUP(Table1[[#This Row], [WEAPON]],Sheet1!$A$27:$A$29,Sheet1!$B$27:$B$29)*Table1[[#This Row], [NUM OF MEM]]*(1+_xlfn.XLOOKUP(Table1[[#This Row], [WEAPON]],Sheet1!$A$27:$A$29,Sheet1!$C$27:$C$29))</f>
        <v>69000</v>
      </c>
      <c r="J1302" t="s">
        <v>64</v>
      </c>
      <c r="K1302" s="9">
        <f>Table1[[#This Row], [NUM OF MEM]]*Table1[[#This Row], [TOTAL TIME TAKEN]]*_xlfn.XLOOKUP(Table1[[#This Row], [EXIT]],Sheet1!$A$70:$A$71,Sheet1!$B$70:$B$71)*(1+_xlfn.XLOOKUP(Table1[[#This Row], [EXIT]],Sheet1!$A$70:$A$71,Sheet1!$C$70:$C$71))</f>
        <v>1739663.9999999993</v>
      </c>
      <c r="L1302" s="13" t="s">
        <v>65</v>
      </c>
      <c r="M1302" s="4">
        <f>IF(Table1[[#This Row], [EQUIPMENT]]="YES",Sheet1!$C$44*(1+Sheet1!$D$44),0)</f>
        <v>307500</v>
      </c>
      <c r="N1302" s="4">
        <f>_xlfn.XLOOKUP(Table1[[#This Row], [ROOM]],Sheet1!$A$47:$A$66,Sheet1!$F$47:$F$66)</f>
        <v>17800000</v>
      </c>
      <c r="O1302" s="9">
        <f>_xlfn.XLOOKUP(_xlfn.CONCAT(Table1[[#This Row], [TEAM]],Table1[[#This Row], [ROOM]]),'ROOM TIME'!$H$2:$H$121,'ROOM TIME'!$J$2:$J$121)</f>
        <v>39.344444444444434</v>
      </c>
      <c r="P1302" s="9">
        <f>(INDEX(Sheet1!$X$48:$Z$67,MATCH(Table1[[#This Row], [ROOM]],Sheet1!$P$48:$P$67,0),MATCH(Table1[[#This Row], [WEAPON]],Sheet1!$X$47:$Z$47,0)))/Table1[[#This Row], [NUM OF MEM]]</f>
        <v>5.4000000000000012</v>
      </c>
      <c r="Q1302" s="9">
        <f>Table1[[#This Row], [ROOM TIME]]+Table1[[#This Row], [GUARD TIME]]</f>
        <v>44.744444444444433</v>
      </c>
      <c r="R1302" s="4">
        <f>Sheet1!$K$3*_xlfn.XLOOKUP(Table1[[#This Row], [DISGUISE]],Sheet1!$A$21:$A$23,Sheet1!$D$21:$D$23)</f>
        <v>66</v>
      </c>
      <c r="S1302" s="9">
        <f>Table1[[#This Row], [TOTAL TIME]]-Table1[[#This Row], [TOTAL TIME TAKEN]]</f>
        <v>21.255555555555567</v>
      </c>
      <c r="T1302" t="str">
        <f>IF(Table1[[#This Row], [TIME DIFFERENCE]]&gt;=0,"PASS","FAIL")</f>
        <v>PASS</v>
      </c>
      <c r="U1302" s="9">
        <f>Table1[[#This Row], [TRC]]+Table1[[#This Row], [DRC]]+Table1[[#This Row], [WRC]]+Table1[[#This Row], [ERC]]+Table1[[#This Row], [EQRC]]</f>
        <v>8370513.9999999991</v>
      </c>
      <c r="V1302" s="9">
        <f>Table1[[#This Row], [TOTAL COST]]+_xlfn.XLOOKUP(Table1[[#This Row], [TEAM]],Sheet1!$A$12:$A$17,Sheet1!$I$12:$I$17)</f>
        <v>8682451.5</v>
      </c>
      <c r="W1302" s="4">
        <f>Table1[[#This Row], [LOOT]]-Table1[[#This Row], [TOTAL COST]]</f>
        <v>9429486</v>
      </c>
      <c r="X1302" s="4">
        <f>IF(Table1[[#This Row], [PASS/FAIL]]="FAIL",0,Table1[[#This Row], [PROFIT]])</f>
        <v>9429486</v>
      </c>
    </row>
    <row r="1303" spans="1:24" ht="19.5" customHeight="1" x14ac:dyDescent="0.45">
      <c r="A1303" t="s">
        <v>13</v>
      </c>
      <c r="B1303" s="14">
        <f>_xlfn.XLOOKUP(Table1[[#This Row], [TEAM]],Sheet1!$A$12:$A$17,Sheet1!$F$12:$F$17)</f>
        <v>3</v>
      </c>
      <c r="C1303" s="14">
        <f>_xlfn.XLOOKUP(Table1[[#This Row], [TEAM]],Sheet1!$A$12:$A$17,Sheet1!$G$12:$G$17)</f>
        <v>5930000</v>
      </c>
      <c r="D1303" t="s">
        <v>20</v>
      </c>
      <c r="E1303" s="4">
        <f>_xlfn.XLOOKUP(Table1[[#This Row], [ROOM]],Sheet1!$A$47:$A$66,Sheet1!$B$47:$B$66)</f>
        <v>145</v>
      </c>
      <c r="F1303" t="s">
        <v>62</v>
      </c>
      <c r="G13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303" s="13" t="s">
        <v>66</v>
      </c>
      <c r="I1303" s="4">
        <f>_xlfn.XLOOKUP(Table1[[#This Row], [WEAPON]],Sheet1!$A$27:$A$29,Sheet1!$B$27:$B$29)*Table1[[#This Row], [NUM OF MEM]]*(1+_xlfn.XLOOKUP(Table1[[#This Row], [WEAPON]],Sheet1!$A$27:$A$29,Sheet1!$C$27:$C$29))</f>
        <v>108000</v>
      </c>
      <c r="J1303" t="s">
        <v>60</v>
      </c>
      <c r="K1303" s="9">
        <f>Table1[[#This Row], [NUM OF MEM]]*Table1[[#This Row], [TOTAL TIME TAKEN]]*_xlfn.XLOOKUP(Table1[[#This Row], [EXIT]],Sheet1!$A$70:$A$71,Sheet1!$B$70:$B$71)*(1+_xlfn.XLOOKUP(Table1[[#This Row], [EXIT]],Sheet1!$A$70:$A$71,Sheet1!$C$70:$C$71))</f>
        <v>1759720.7249999996</v>
      </c>
      <c r="L1303" s="13" t="s">
        <v>65</v>
      </c>
      <c r="M1303" s="4">
        <f>IF(Table1[[#This Row], [EQUIPMENT]]="YES",Sheet1!$C$44*(1+Sheet1!$D$44),0)</f>
        <v>307500</v>
      </c>
      <c r="N1303" s="4">
        <f>_xlfn.XLOOKUP(Table1[[#This Row], [ROOM]],Sheet1!$A$47:$A$66,Sheet1!$F$47:$F$66)</f>
        <v>17550000</v>
      </c>
      <c r="O1303" s="9">
        <f>_xlfn.XLOOKUP(_xlfn.CONCAT(Table1[[#This Row], [TEAM]],Table1[[#This Row], [ROOM]]),'ROOM TIME'!$H$2:$H$121,'ROOM TIME'!$J$2:$J$121)</f>
        <v>41.543333333333322</v>
      </c>
      <c r="P1303" s="9">
        <f>(INDEX(Sheet1!$X$48:$Z$67,MATCH(Table1[[#This Row], [ROOM]],Sheet1!$P$48:$P$67,0),MATCH(Table1[[#This Row], [WEAPON]],Sheet1!$X$47:$Z$47,0)))/Table1[[#This Row], [NUM OF MEM]]</f>
        <v>4.166666666666667</v>
      </c>
      <c r="Q1303" s="9">
        <f>Table1[[#This Row], [ROOM TIME]]+Table1[[#This Row], [GUARD TIME]]</f>
        <v>45.709999999999987</v>
      </c>
      <c r="R1303" s="4">
        <f>Sheet1!$K$3*_xlfn.XLOOKUP(Table1[[#This Row], [DISGUISE]],Sheet1!$A$21:$A$23,Sheet1!$D$21:$D$23)</f>
        <v>66</v>
      </c>
      <c r="S1303" s="9">
        <f>Table1[[#This Row], [TOTAL TIME]]-Table1[[#This Row], [TOTAL TIME TAKEN]]</f>
        <v>20.290000000000013</v>
      </c>
      <c r="T1303" t="str">
        <f>IF(Table1[[#This Row], [TIME DIFFERENCE]]&gt;=0,"PASS","FAIL")</f>
        <v>PASS</v>
      </c>
      <c r="U1303" s="9">
        <f>Table1[[#This Row], [TRC]]+Table1[[#This Row], [DRC]]+Table1[[#This Row], [WRC]]+Table1[[#This Row], [ERC]]+Table1[[#This Row], [EQRC]]</f>
        <v>8120820.7249999996</v>
      </c>
      <c r="V1303" s="9">
        <f>Table1[[#This Row], [TOTAL COST]]+_xlfn.XLOOKUP(Table1[[#This Row], [TEAM]],Sheet1!$A$12:$A$17,Sheet1!$I$12:$I$17)</f>
        <v>8417320.7249999996</v>
      </c>
      <c r="W1303" s="9">
        <f>Table1[[#This Row], [LOOT]]-Table1[[#This Row], [TOTAL COST]]</f>
        <v>9429179.2750000004</v>
      </c>
      <c r="X1303" s="9">
        <f>IF(Table1[[#This Row], [PASS/FAIL]]="FAIL",0,Table1[[#This Row], [PROFIT]])</f>
        <v>9429179.2750000004</v>
      </c>
    </row>
    <row r="1304" spans="1:24" ht="19.5" customHeight="1" x14ac:dyDescent="0.45">
      <c r="A1304" t="s">
        <v>12</v>
      </c>
      <c r="B1304" s="14">
        <f>_xlfn.XLOOKUP(Table1[[#This Row], [TEAM]],Sheet1!$A$12:$A$17,Sheet1!$F$12:$F$17)</f>
        <v>3</v>
      </c>
      <c r="C1304" s="14">
        <f>_xlfn.XLOOKUP(Table1[[#This Row], [TEAM]],Sheet1!$A$12:$A$17,Sheet1!$G$12:$G$17)</f>
        <v>5988750</v>
      </c>
      <c r="D1304" t="s">
        <v>20</v>
      </c>
      <c r="E1304" s="4">
        <f>_xlfn.XLOOKUP(Table1[[#This Row], [ROOM]],Sheet1!$A$47:$A$66,Sheet1!$B$47:$B$66)</f>
        <v>145</v>
      </c>
      <c r="F1304" t="s">
        <v>62</v>
      </c>
      <c r="G1304" s="4">
        <f>_xlfn.XLOOKUP(Table1[[#This Row], [DISGUISE]],Sheet1!$A$21:$A$23,Sheet1!$B$21:$B$23)*Table1[[#This Row], [NUM OF MEM]]*(1+_xlfn.XLOOKUP(Table1[[#This Row], [DISGUISE]],Sheet1!$A$21:$A$23,Sheet1!$C$21:$C$23))</f>
        <v>15600</v>
      </c>
      <c r="H1304" s="13" t="s">
        <v>66</v>
      </c>
      <c r="I1304" s="4">
        <f>_xlfn.XLOOKUP(Table1[[#This Row], [WEAPON]],Sheet1!$A$27:$A$29,Sheet1!$B$27:$B$29)*Table1[[#This Row], [NUM OF MEM]]*(1+_xlfn.XLOOKUP(Table1[[#This Row], [WEAPON]],Sheet1!$A$27:$A$29,Sheet1!$C$27:$C$29))</f>
        <v>108000</v>
      </c>
      <c r="J1304" t="s">
        <v>64</v>
      </c>
      <c r="K1304" s="9">
        <f>Table1[[#This Row], [NUM OF MEM]]*Table1[[#This Row], [TOTAL TIME TAKEN]]*_xlfn.XLOOKUP(Table1[[#This Row], [EXIT]],Sheet1!$A$70:$A$71,Sheet1!$B$70:$B$71)*(1+_xlfn.XLOOKUP(Table1[[#This Row], [EXIT]],Sheet1!$A$70:$A$71,Sheet1!$C$70:$C$71))</f>
        <v>1700999.9999999991</v>
      </c>
      <c r="L1304" s="13" t="s">
        <v>65</v>
      </c>
      <c r="M1304" s="4">
        <f>IF(Table1[[#This Row], [EQUIPMENT]]="YES",Sheet1!$C$44*(1+Sheet1!$D$44),0)</f>
        <v>307500</v>
      </c>
      <c r="N1304" s="4">
        <f>_xlfn.XLOOKUP(Table1[[#This Row], [ROOM]],Sheet1!$A$47:$A$66,Sheet1!$F$47:$F$66)</f>
        <v>17550000</v>
      </c>
      <c r="O1304" s="9">
        <f>_xlfn.XLOOKUP(_xlfn.CONCAT(Table1[[#This Row], [TEAM]],Table1[[#This Row], [ROOM]]),'ROOM TIME'!$H$2:$H$121,'ROOM TIME'!$J$2:$J$121)</f>
        <v>39.583333333333321</v>
      </c>
      <c r="P1304" s="9">
        <f>(INDEX(Sheet1!$X$48:$Z$67,MATCH(Table1[[#This Row], [ROOM]],Sheet1!$P$48:$P$67,0),MATCH(Table1[[#This Row], [WEAPON]],Sheet1!$X$47:$Z$47,0)))/Table1[[#This Row], [NUM OF MEM]]</f>
        <v>4.166666666666667</v>
      </c>
      <c r="Q1304" s="9">
        <f>Table1[[#This Row], [ROOM TIME]]+Table1[[#This Row], [GUARD TIME]]</f>
        <v>43.749999999999986</v>
      </c>
      <c r="R1304" s="4">
        <f>Sheet1!$K$3*_xlfn.XLOOKUP(Table1[[#This Row], [DISGUISE]],Sheet1!$A$21:$A$23,Sheet1!$D$21:$D$23)</f>
        <v>66</v>
      </c>
      <c r="S1304" s="9">
        <f>Table1[[#This Row], [TOTAL TIME]]-Table1[[#This Row], [TOTAL TIME TAKEN]]</f>
        <v>22.250000000000014</v>
      </c>
      <c r="T1304" t="str">
        <f>IF(Table1[[#This Row], [TIME DIFFERENCE]]&gt;=0,"PASS","FAIL")</f>
        <v>PASS</v>
      </c>
      <c r="U1304" s="9">
        <f>Table1[[#This Row], [TRC]]+Table1[[#This Row], [DRC]]+Table1[[#This Row], [WRC]]+Table1[[#This Row], [ERC]]+Table1[[#This Row], [EQRC]]</f>
        <v>8120849.9999999991</v>
      </c>
      <c r="V1304" s="9">
        <f>Table1[[#This Row], [TOTAL COST]]+_xlfn.XLOOKUP(Table1[[#This Row], [TEAM]],Sheet1!$A$12:$A$17,Sheet1!$I$12:$I$17)</f>
        <v>8420287.5</v>
      </c>
      <c r="W1304" s="4">
        <f>Table1[[#This Row], [LOOT]]-Table1[[#This Row], [TOTAL COST]]</f>
        <v>9429150</v>
      </c>
      <c r="X1304" s="4">
        <f>IF(Table1[[#This Row], [PASS/FAIL]]="FAIL",0,Table1[[#This Row], [PROFIT]])</f>
        <v>9429150</v>
      </c>
    </row>
    <row r="1305" spans="1:24" ht="19.5" customHeight="1" x14ac:dyDescent="0.45">
      <c r="A1305" t="s">
        <v>12</v>
      </c>
      <c r="B1305" s="14">
        <f>_xlfn.XLOOKUP(Table1[[#This Row], [TEAM]],Sheet1!$A$12:$A$17,Sheet1!$F$12:$F$17)</f>
        <v>3</v>
      </c>
      <c r="C1305" s="14">
        <f>_xlfn.XLOOKUP(Table1[[#This Row], [TEAM]],Sheet1!$A$12:$A$17,Sheet1!$G$12:$G$17)</f>
        <v>5988750</v>
      </c>
      <c r="D1305" t="s">
        <v>31</v>
      </c>
      <c r="E1305" s="4">
        <f>_xlfn.XLOOKUP(Table1[[#This Row], [ROOM]],Sheet1!$A$47:$A$66,Sheet1!$B$47:$B$66)</f>
        <v>256</v>
      </c>
      <c r="F1305" t="s">
        <v>58</v>
      </c>
      <c r="G1305" s="4">
        <f>_xlfn.XLOOKUP(Table1[[#This Row], [DISGUISE]],Sheet1!$A$21:$A$23,Sheet1!$B$21:$B$23)*Table1[[#This Row], [NUM OF MEM]]*(1+_xlfn.XLOOKUP(Table1[[#This Row], [DISGUISE]],Sheet1!$A$21:$A$23,Sheet1!$C$21:$C$23))</f>
        <v>38400</v>
      </c>
      <c r="H1305" s="13" t="s">
        <v>66</v>
      </c>
      <c r="I1305" s="4">
        <f>_xlfn.XLOOKUP(Table1[[#This Row], [WEAPON]],Sheet1!$A$27:$A$29,Sheet1!$B$27:$B$29)*Table1[[#This Row], [NUM OF MEM]]*(1+_xlfn.XLOOKUP(Table1[[#This Row], [WEAPON]],Sheet1!$A$27:$A$29,Sheet1!$C$27:$C$29))</f>
        <v>108000</v>
      </c>
      <c r="J1305" t="s">
        <v>64</v>
      </c>
      <c r="K1305" s="9">
        <f>Table1[[#This Row], [NUM OF MEM]]*Table1[[#This Row], [TOTAL TIME TAKEN]]*_xlfn.XLOOKUP(Table1[[#This Row], [EXIT]],Sheet1!$A$70:$A$71,Sheet1!$B$70:$B$71)*(1+_xlfn.XLOOKUP(Table1[[#This Row], [EXIT]],Sheet1!$A$70:$A$71,Sheet1!$C$70:$C$71))</f>
        <v>1628942.3999999997</v>
      </c>
      <c r="L1305" s="13" t="s">
        <v>65</v>
      </c>
      <c r="M1305" s="4">
        <f>IF(Table1[[#This Row], [EQUIPMENT]]="YES",Sheet1!$C$44*(1+Sheet1!$D$44),0)</f>
        <v>307500</v>
      </c>
      <c r="N1305" s="4">
        <f>_xlfn.XLOOKUP(Table1[[#This Row], [ROOM]],Sheet1!$A$47:$A$66,Sheet1!$F$47:$F$66)</f>
        <v>17500000</v>
      </c>
      <c r="O1305" s="9">
        <f>_xlfn.XLOOKUP(_xlfn.CONCAT(Table1[[#This Row], [TEAM]],Table1[[#This Row], [ROOM]]),'ROOM TIME'!$H$2:$H$121,'ROOM TIME'!$J$2:$J$121)</f>
        <v>37.313333333333318</v>
      </c>
      <c r="P1305" s="9">
        <f>(INDEX(Sheet1!$X$48:$Z$67,MATCH(Table1[[#This Row], [ROOM]],Sheet1!$P$48:$P$67,0),MATCH(Table1[[#This Row], [WEAPON]],Sheet1!$X$47:$Z$47,0)))/Table1[[#This Row], [NUM OF MEM]]</f>
        <v>4.583333333333333</v>
      </c>
      <c r="Q1305" s="9">
        <f>Table1[[#This Row], [ROOM TIME]]+Table1[[#This Row], [GUARD TIME]]</f>
        <v>41.896666666666654</v>
      </c>
      <c r="R1305" s="4">
        <f>Sheet1!$K$3*_xlfn.XLOOKUP(Table1[[#This Row], [DISGUISE]],Sheet1!$A$21:$A$23,Sheet1!$D$21:$D$23)</f>
        <v>69</v>
      </c>
      <c r="S1305" s="9">
        <f>Table1[[#This Row], [TOTAL TIME]]-Table1[[#This Row], [TOTAL TIME TAKEN]]</f>
        <v>27.103333333333346</v>
      </c>
      <c r="T1305" t="str">
        <f>IF(Table1[[#This Row], [TIME DIFFERENCE]]&gt;=0,"PASS","FAIL")</f>
        <v>PASS</v>
      </c>
      <c r="U1305" s="9">
        <f>Table1[[#This Row], [TRC]]+Table1[[#This Row], [DRC]]+Table1[[#This Row], [WRC]]+Table1[[#This Row], [ERC]]+Table1[[#This Row], [EQRC]]</f>
        <v>8071592.3999999994</v>
      </c>
      <c r="V1305" s="9">
        <f>Table1[[#This Row], [TOTAL COST]]+_xlfn.XLOOKUP(Table1[[#This Row], [TEAM]],Sheet1!$A$12:$A$17,Sheet1!$I$12:$I$17)</f>
        <v>8371029.8999999994</v>
      </c>
      <c r="W1305" s="9">
        <f>Table1[[#This Row], [LOOT]]-Table1[[#This Row], [TOTAL COST]]</f>
        <v>9428407.6000000015</v>
      </c>
      <c r="X1305" s="9">
        <f>IF(Table1[[#This Row], [PASS/FAIL]]="FAIL",0,Table1[[#This Row], [PROFIT]])</f>
        <v>9428407.6000000015</v>
      </c>
    </row>
    <row r="1306" spans="1:24" ht="19.5" customHeight="1" x14ac:dyDescent="0.45">
      <c r="A1306" t="s">
        <v>9</v>
      </c>
      <c r="B1306" s="14">
        <f>_xlfn.XLOOKUP(Table1[[#This Row], [TEAM]],Sheet1!$A$12:$A$17,Sheet1!$F$12:$F$17)</f>
        <v>3</v>
      </c>
      <c r="C1306" s="14">
        <f>_xlfn.XLOOKUP(Table1[[#This Row], [TEAM]],Sheet1!$A$12:$A$17,Sheet1!$G$12:$G$17)</f>
        <v>6238750</v>
      </c>
      <c r="D1306" t="s">
        <v>11</v>
      </c>
      <c r="E1306" s="4">
        <f>_xlfn.XLOOKUP(Table1[[#This Row], [ROOM]],Sheet1!$A$47:$A$66,Sheet1!$B$47:$B$66)</f>
        <v>124</v>
      </c>
      <c r="F1306" t="s">
        <v>62</v>
      </c>
      <c r="G1306" s="4">
        <f>_xlfn.XLOOKUP(Table1[[#This Row], [DISGUISE]],Sheet1!$A$21:$A$23,Sheet1!$B$21:$B$23)*Table1[[#This Row], [NUM OF MEM]]*(1+_xlfn.XLOOKUP(Table1[[#This Row], [DISGUISE]],Sheet1!$A$21:$A$23,Sheet1!$C$21:$C$23))</f>
        <v>15600</v>
      </c>
      <c r="H1306" s="13" t="s">
        <v>63</v>
      </c>
      <c r="I1306" s="4">
        <f>_xlfn.XLOOKUP(Table1[[#This Row], [WEAPON]],Sheet1!$A$27:$A$29,Sheet1!$B$27:$B$29)*Table1[[#This Row], [NUM OF MEM]]*(1+_xlfn.XLOOKUP(Table1[[#This Row], [WEAPON]],Sheet1!$A$27:$A$29,Sheet1!$C$27:$C$29))</f>
        <v>69000</v>
      </c>
      <c r="J1306" t="s">
        <v>64</v>
      </c>
      <c r="K1306" s="9">
        <f>Table1[[#This Row], [NUM OF MEM]]*Table1[[#This Row], [TOTAL TIME TAKEN]]*_xlfn.XLOOKUP(Table1[[#This Row], [EXIT]],Sheet1!$A$70:$A$71,Sheet1!$B$70:$B$71)*(1+_xlfn.XLOOKUP(Table1[[#This Row], [EXIT]],Sheet1!$A$70:$A$71,Sheet1!$C$70:$C$71))</f>
        <v>1699163.9999999998</v>
      </c>
      <c r="L1306" s="13" t="s">
        <v>61</v>
      </c>
      <c r="M1306" s="4">
        <f>IF(Table1[[#This Row], [EQUIPMENT]]="YES",Sheet1!$C$44*(1+Sheet1!$D$44),0)</f>
        <v>0</v>
      </c>
      <c r="N1306" s="4">
        <f>_xlfn.XLOOKUP(Table1[[#This Row], [ROOM]],Sheet1!$A$47:$A$66,Sheet1!$F$47:$F$66)</f>
        <v>17450000</v>
      </c>
      <c r="O1306" s="9">
        <f>_xlfn.XLOOKUP(_xlfn.CONCAT(Table1[[#This Row], [TEAM]],Table1[[#This Row], [ROOM]]),'ROOM TIME'!$H$2:$H$121,'ROOM TIME'!$J$2:$J$121)</f>
        <v>38.752777777777773</v>
      </c>
      <c r="P1306" s="9">
        <f>(INDEX(Sheet1!$X$48:$Z$67,MATCH(Table1[[#This Row], [ROOM]],Sheet1!$P$48:$P$67,0),MATCH(Table1[[#This Row], [WEAPON]],Sheet1!$X$47:$Z$47,0)))/Table1[[#This Row], [NUM OF MEM]]</f>
        <v>4.95</v>
      </c>
      <c r="Q1306" s="9">
        <f>Table1[[#This Row], [ROOM TIME]]+Table1[[#This Row], [GUARD TIME]]</f>
        <v>43.702777777777776</v>
      </c>
      <c r="R1306" s="4">
        <f>Sheet1!$K$3*_xlfn.XLOOKUP(Table1[[#This Row], [DISGUISE]],Sheet1!$A$21:$A$23,Sheet1!$D$21:$D$23)</f>
        <v>66</v>
      </c>
      <c r="S1306" s="9">
        <f>Table1[[#This Row], [TOTAL TIME]]-Table1[[#This Row], [TOTAL TIME TAKEN]]</f>
        <v>22.297222222222224</v>
      </c>
      <c r="T1306" t="str">
        <f>IF(Table1[[#This Row], [TIME DIFFERENCE]]&gt;=0,"PASS","FAIL")</f>
        <v>PASS</v>
      </c>
      <c r="U1306" s="4">
        <f>Table1[[#This Row], [TRC]]+Table1[[#This Row], [DRC]]+Table1[[#This Row], [WRC]]+Table1[[#This Row], [ERC]]+Table1[[#This Row], [EQRC]]</f>
        <v>8022514</v>
      </c>
      <c r="V1306" s="9">
        <f>Table1[[#This Row], [TOTAL COST]]+_xlfn.XLOOKUP(Table1[[#This Row], [TEAM]],Sheet1!$A$12:$A$17,Sheet1!$I$12:$I$17)</f>
        <v>8334451.5</v>
      </c>
      <c r="W1306" s="4">
        <f>Table1[[#This Row], [LOOT]]-Table1[[#This Row], [TOTAL COST]]</f>
        <v>9427486</v>
      </c>
      <c r="X1306" s="4">
        <f>IF(Table1[[#This Row], [PASS/FAIL]]="FAIL",0,Table1[[#This Row], [PROFIT]])</f>
        <v>9427486</v>
      </c>
    </row>
    <row r="1307" spans="1:24" ht="19.5" customHeight="1" x14ac:dyDescent="0.45">
      <c r="A1307" t="s">
        <v>9</v>
      </c>
      <c r="B1307" s="14">
        <f>_xlfn.XLOOKUP(Table1[[#This Row], [TEAM]],Sheet1!$A$12:$A$17,Sheet1!$F$12:$F$17)</f>
        <v>3</v>
      </c>
      <c r="C1307" s="14">
        <f>_xlfn.XLOOKUP(Table1[[#This Row], [TEAM]],Sheet1!$A$12:$A$17,Sheet1!$G$12:$G$17)</f>
        <v>6238750</v>
      </c>
      <c r="D1307" t="s">
        <v>28</v>
      </c>
      <c r="E1307" s="4">
        <f>_xlfn.XLOOKUP(Table1[[#This Row], [ROOM]],Sheet1!$A$47:$A$66,Sheet1!$B$47:$B$66)</f>
        <v>156</v>
      </c>
      <c r="F1307" t="s">
        <v>58</v>
      </c>
      <c r="G1307" s="4">
        <f>_xlfn.XLOOKUP(Table1[[#This Row], [DISGUISE]],Sheet1!$A$21:$A$23,Sheet1!$B$21:$B$23)*Table1[[#This Row], [NUM OF MEM]]*(1+_xlfn.XLOOKUP(Table1[[#This Row], [DISGUISE]],Sheet1!$A$21:$A$23,Sheet1!$C$21:$C$23))</f>
        <v>38400</v>
      </c>
      <c r="H1307" s="13" t="s">
        <v>66</v>
      </c>
      <c r="I1307" s="4">
        <f>_xlfn.XLOOKUP(Table1[[#This Row], [WEAPON]],Sheet1!$A$27:$A$29,Sheet1!$B$27:$B$29)*Table1[[#This Row], [NUM OF MEM]]*(1+_xlfn.XLOOKUP(Table1[[#This Row], [WEAPON]],Sheet1!$A$27:$A$29,Sheet1!$C$27:$C$29))</f>
        <v>108000</v>
      </c>
      <c r="J1307" t="s">
        <v>64</v>
      </c>
      <c r="K1307" s="9">
        <f>Table1[[#This Row], [NUM OF MEM]]*Table1[[#This Row], [TOTAL TIME TAKEN]]*_xlfn.XLOOKUP(Table1[[#This Row], [EXIT]],Sheet1!$A$70:$A$71,Sheet1!$B$70:$B$71)*(1+_xlfn.XLOOKUP(Table1[[#This Row], [EXIT]],Sheet1!$A$70:$A$71,Sheet1!$C$70:$C$71))</f>
        <v>1530770.3999999994</v>
      </c>
      <c r="L1307" s="13" t="s">
        <v>65</v>
      </c>
      <c r="M1307" s="4">
        <f>IF(Table1[[#This Row], [EQUIPMENT]]="YES",Sheet1!$C$44*(1+Sheet1!$D$44),0)</f>
        <v>307500</v>
      </c>
      <c r="N1307" s="4">
        <f>_xlfn.XLOOKUP(Table1[[#This Row], [ROOM]],Sheet1!$A$47:$A$66,Sheet1!$F$47:$F$66)</f>
        <v>17650000</v>
      </c>
      <c r="O1307" s="9">
        <f>_xlfn.XLOOKUP(_xlfn.CONCAT(Table1[[#This Row], [TEAM]],Table1[[#This Row], [ROOM]]),'ROOM TIME'!$H$2:$H$121,'ROOM TIME'!$J$2:$J$121)</f>
        <v>35.204999999999991</v>
      </c>
      <c r="P1307" s="9">
        <f>(INDEX(Sheet1!$X$48:$Z$67,MATCH(Table1[[#This Row], [ROOM]],Sheet1!$P$48:$P$67,0),MATCH(Table1[[#This Row], [WEAPON]],Sheet1!$X$47:$Z$47,0)))/Table1[[#This Row], [NUM OF MEM]]</f>
        <v>4.166666666666667</v>
      </c>
      <c r="Q1307" s="9">
        <f>Table1[[#This Row], [ROOM TIME]]+Table1[[#This Row], [GUARD TIME]]</f>
        <v>39.371666666666655</v>
      </c>
      <c r="R1307" s="4">
        <f>Sheet1!$K$3*_xlfn.XLOOKUP(Table1[[#This Row], [DISGUISE]],Sheet1!$A$21:$A$23,Sheet1!$D$21:$D$23)</f>
        <v>69</v>
      </c>
      <c r="S1307" s="9">
        <f>Table1[[#This Row], [TOTAL TIME]]-Table1[[#This Row], [TOTAL TIME TAKEN]]</f>
        <v>29.628333333333345</v>
      </c>
      <c r="T1307" t="str">
        <f>IF(Table1[[#This Row], [TIME DIFFERENCE]]&gt;=0,"PASS","FAIL")</f>
        <v>PASS</v>
      </c>
      <c r="U1307" s="9">
        <f>Table1[[#This Row], [TRC]]+Table1[[#This Row], [DRC]]+Table1[[#This Row], [WRC]]+Table1[[#This Row], [ERC]]+Table1[[#This Row], [EQRC]]</f>
        <v>8223420.3999999994</v>
      </c>
      <c r="V1307" s="9">
        <f>Table1[[#This Row], [TOTAL COST]]+_xlfn.XLOOKUP(Table1[[#This Row], [TEAM]],Sheet1!$A$12:$A$17,Sheet1!$I$12:$I$17)</f>
        <v>8535357.8999999985</v>
      </c>
      <c r="W1307" s="9">
        <f>Table1[[#This Row], [LOOT]]-Table1[[#This Row], [TOTAL COST]]</f>
        <v>9426579.6000000015</v>
      </c>
      <c r="X1307" s="9">
        <f>IF(Table1[[#This Row], [PASS/FAIL]]="FAIL",0,Table1[[#This Row], [PROFIT]])</f>
        <v>9426579.6000000015</v>
      </c>
    </row>
    <row r="1308" spans="1:24" ht="19.5" customHeight="1" x14ac:dyDescent="0.45">
      <c r="A1308" t="s">
        <v>16</v>
      </c>
      <c r="B1308" s="14">
        <f>_xlfn.XLOOKUP(Table1[[#This Row], [TEAM]],Sheet1!$A$12:$A$17,Sheet1!$F$12:$F$17)</f>
        <v>2</v>
      </c>
      <c r="C1308" s="14">
        <f>_xlfn.XLOOKUP(Table1[[#This Row], [TEAM]],Sheet1!$A$12:$A$17,Sheet1!$G$12:$G$17)</f>
        <v>6082800</v>
      </c>
      <c r="D1308" t="s">
        <v>25</v>
      </c>
      <c r="E1308" s="4">
        <f>_xlfn.XLOOKUP(Table1[[#This Row], [ROOM]],Sheet1!$A$47:$A$66,Sheet1!$B$47:$B$66)</f>
        <v>126</v>
      </c>
      <c r="F1308" t="s">
        <v>58</v>
      </c>
      <c r="G1308" s="4">
        <f>_xlfn.XLOOKUP(Table1[[#This Row], [DISGUISE]],Sheet1!$A$21:$A$23,Sheet1!$B$21:$B$23)*Table1[[#This Row], [NUM OF MEM]]*(1+_xlfn.XLOOKUP(Table1[[#This Row], [DISGUISE]],Sheet1!$A$21:$A$23,Sheet1!$C$21:$C$23))</f>
        <v>25600</v>
      </c>
      <c r="H1308" s="13" t="s">
        <v>63</v>
      </c>
      <c r="I1308" s="4">
        <f>_xlfn.XLOOKUP(Table1[[#This Row], [WEAPON]],Sheet1!$A$27:$A$29,Sheet1!$B$27:$B$29)*Table1[[#This Row], [NUM OF MEM]]*(1+_xlfn.XLOOKUP(Table1[[#This Row], [WEAPON]],Sheet1!$A$27:$A$29,Sheet1!$C$27:$C$29))</f>
        <v>46000</v>
      </c>
      <c r="J1308" t="s">
        <v>60</v>
      </c>
      <c r="K1308" s="9">
        <f>Table1[[#This Row], [NUM OF MEM]]*Table1[[#This Row], [TOTAL TIME TAKEN]]*_xlfn.XLOOKUP(Table1[[#This Row], [EXIT]],Sheet1!$A$70:$A$71,Sheet1!$B$70:$B$71)*(1+_xlfn.XLOOKUP(Table1[[#This Row], [EXIT]],Sheet1!$A$70:$A$71,Sheet1!$C$70:$C$71))</f>
        <v>1661712.5062499996</v>
      </c>
      <c r="L1308" s="13" t="s">
        <v>65</v>
      </c>
      <c r="M1308" s="4">
        <f>IF(Table1[[#This Row], [EQUIPMENT]]="YES",Sheet1!$C$44*(1+Sheet1!$D$44),0)</f>
        <v>307500</v>
      </c>
      <c r="N1308" s="4">
        <f>_xlfn.XLOOKUP(Table1[[#This Row], [ROOM]],Sheet1!$A$47:$A$66,Sheet1!$F$47:$F$66)</f>
        <v>17550000</v>
      </c>
      <c r="O1308" s="9">
        <f>_xlfn.XLOOKUP(_xlfn.CONCAT(Table1[[#This Row], [TEAM]],Table1[[#This Row], [ROOM]]),'ROOM TIME'!$H$2:$H$121,'ROOM TIME'!$J$2:$J$121)</f>
        <v>57.321249999999985</v>
      </c>
      <c r="P1308" s="9">
        <f>(INDEX(Sheet1!$X$48:$Z$67,MATCH(Table1[[#This Row], [ROOM]],Sheet1!$P$48:$P$67,0),MATCH(Table1[[#This Row], [WEAPON]],Sheet1!$X$47:$Z$47,0)))/Table1[[#This Row], [NUM OF MEM]]</f>
        <v>7.4250000000000007</v>
      </c>
      <c r="Q1308" s="9">
        <f>Table1[[#This Row], [ROOM TIME]]+Table1[[#This Row], [GUARD TIME]]</f>
        <v>64.746249999999989</v>
      </c>
      <c r="R1308" s="4">
        <f>Sheet1!$K$3*_xlfn.XLOOKUP(Table1[[#This Row], [DISGUISE]],Sheet1!$A$21:$A$23,Sheet1!$D$21:$D$23)</f>
        <v>69</v>
      </c>
      <c r="S1308" s="9">
        <f>Table1[[#This Row], [TOTAL TIME]]-Table1[[#This Row], [TOTAL TIME TAKEN]]</f>
        <v>4.2537500000000108</v>
      </c>
      <c r="T1308" t="str">
        <f>IF(Table1[[#This Row], [TIME DIFFERENCE]]&gt;=0,"PASS","FAIL")</f>
        <v>PASS</v>
      </c>
      <c r="U1308" s="9">
        <f>Table1[[#This Row], [TRC]]+Table1[[#This Row], [DRC]]+Table1[[#This Row], [WRC]]+Table1[[#This Row], [ERC]]+Table1[[#This Row], [EQRC]]</f>
        <v>8123612.5062499996</v>
      </c>
      <c r="V1308" s="9">
        <f>Table1[[#This Row], [TOTAL COST]]+_xlfn.XLOOKUP(Table1[[#This Row], [TEAM]],Sheet1!$A$12:$A$17,Sheet1!$I$12:$I$17)</f>
        <v>8427752.5062499996</v>
      </c>
      <c r="W1308" s="9">
        <f>Table1[[#This Row], [LOOT]]-Table1[[#This Row], [TOTAL COST]]</f>
        <v>9426387.4937500004</v>
      </c>
      <c r="X1308" s="9">
        <f>IF(Table1[[#This Row], [PASS/FAIL]]="FAIL",0,Table1[[#This Row], [PROFIT]])</f>
        <v>9426387.4937500004</v>
      </c>
    </row>
    <row r="1309" spans="1:24" ht="19.5" customHeight="1" x14ac:dyDescent="0.45">
      <c r="A1309" t="s">
        <v>16</v>
      </c>
      <c r="B1309" s="14">
        <f>_xlfn.XLOOKUP(Table1[[#This Row], [TEAM]],Sheet1!$A$12:$A$17,Sheet1!$F$12:$F$17)</f>
        <v>2</v>
      </c>
      <c r="C1309" s="14">
        <f>_xlfn.XLOOKUP(Table1[[#This Row], [TEAM]],Sheet1!$A$12:$A$17,Sheet1!$G$12:$G$17)</f>
        <v>6082800</v>
      </c>
      <c r="D1309" t="s">
        <v>30</v>
      </c>
      <c r="E1309" s="4">
        <f>_xlfn.XLOOKUP(Table1[[#This Row], [ROOM]],Sheet1!$A$47:$A$66,Sheet1!$B$47:$B$66)</f>
        <v>246</v>
      </c>
      <c r="F1309" t="s">
        <v>58</v>
      </c>
      <c r="G1309" s="4">
        <f>_xlfn.XLOOKUP(Table1[[#This Row], [DISGUISE]],Sheet1!$A$21:$A$23,Sheet1!$B$21:$B$23)*Table1[[#This Row], [NUM OF MEM]]*(1+_xlfn.XLOOKUP(Table1[[#This Row], [DISGUISE]],Sheet1!$A$21:$A$23,Sheet1!$C$21:$C$23))</f>
        <v>25600</v>
      </c>
      <c r="H1309" s="13" t="s">
        <v>66</v>
      </c>
      <c r="I1309" s="4">
        <f>_xlfn.XLOOKUP(Table1[[#This Row], [WEAPON]],Sheet1!$A$27:$A$29,Sheet1!$B$27:$B$29)*Table1[[#This Row], [NUM OF MEM]]*(1+_xlfn.XLOOKUP(Table1[[#This Row], [WEAPON]],Sheet1!$A$27:$A$29,Sheet1!$C$27:$C$29))</f>
        <v>72000</v>
      </c>
      <c r="J1309" t="s">
        <v>64</v>
      </c>
      <c r="K1309" s="9">
        <f>Table1[[#This Row], [NUM OF MEM]]*Table1[[#This Row], [TOTAL TIME TAKEN]]*_xlfn.XLOOKUP(Table1[[#This Row], [EXIT]],Sheet1!$A$70:$A$71,Sheet1!$B$70:$B$71)*(1+_xlfn.XLOOKUP(Table1[[#This Row], [EXIT]],Sheet1!$A$70:$A$71,Sheet1!$C$70:$C$71))</f>
        <v>1685836.7999999996</v>
      </c>
      <c r="L1309" s="13" t="s">
        <v>65</v>
      </c>
      <c r="M1309" s="4">
        <f>IF(Table1[[#This Row], [EQUIPMENT]]="YES",Sheet1!$C$44*(1+Sheet1!$D$44),0)</f>
        <v>307500</v>
      </c>
      <c r="N1309" s="4">
        <f>_xlfn.XLOOKUP(Table1[[#This Row], [ROOM]],Sheet1!$A$47:$A$66,Sheet1!$F$47:$F$66)</f>
        <v>17600000</v>
      </c>
      <c r="O1309" s="9">
        <f>_xlfn.XLOOKUP(_xlfn.CONCAT(Table1[[#This Row], [TEAM]],Table1[[#This Row], [ROOM]]),'ROOM TIME'!$H$2:$H$121,'ROOM TIME'!$J$2:$J$121)</f>
        <v>57.539999999999985</v>
      </c>
      <c r="P1309" s="9">
        <f>(INDEX(Sheet1!$X$48:$Z$67,MATCH(Table1[[#This Row], [ROOM]],Sheet1!$P$48:$P$67,0),MATCH(Table1[[#This Row], [WEAPON]],Sheet1!$X$47:$Z$47,0)))/Table1[[#This Row], [NUM OF MEM]]</f>
        <v>7.5</v>
      </c>
      <c r="Q1309" s="9">
        <f>Table1[[#This Row], [ROOM TIME]]+Table1[[#This Row], [GUARD TIME]]</f>
        <v>65.039999999999992</v>
      </c>
      <c r="R1309" s="4">
        <f>Sheet1!$K$3*_xlfn.XLOOKUP(Table1[[#This Row], [DISGUISE]],Sheet1!$A$21:$A$23,Sheet1!$D$21:$D$23)</f>
        <v>69</v>
      </c>
      <c r="S1309" s="9">
        <f>Table1[[#This Row], [TOTAL TIME]]-Table1[[#This Row], [TOTAL TIME TAKEN]]</f>
        <v>3.960000000000008</v>
      </c>
      <c r="T1309" t="str">
        <f>IF(Table1[[#This Row], [TIME DIFFERENCE]]&gt;=0,"PASS","FAIL")</f>
        <v>PASS</v>
      </c>
      <c r="U1309" s="9">
        <f>Table1[[#This Row], [TRC]]+Table1[[#This Row], [DRC]]+Table1[[#This Row], [WRC]]+Table1[[#This Row], [ERC]]+Table1[[#This Row], [EQRC]]</f>
        <v>8173736.7999999998</v>
      </c>
      <c r="V1309" s="9">
        <f>Table1[[#This Row], [TOTAL COST]]+_xlfn.XLOOKUP(Table1[[#This Row], [TEAM]],Sheet1!$A$12:$A$17,Sheet1!$I$12:$I$17)</f>
        <v>8477876.8000000007</v>
      </c>
      <c r="W1309" s="9">
        <f>Table1[[#This Row], [LOOT]]-Table1[[#This Row], [TOTAL COST]]</f>
        <v>9426263.1999999993</v>
      </c>
      <c r="X1309" s="9">
        <f>IF(Table1[[#This Row], [PASS/FAIL]]="FAIL",0,Table1[[#This Row], [PROFIT]])</f>
        <v>9426263.1999999993</v>
      </c>
    </row>
    <row r="1310" spans="1:24" ht="19.5" customHeight="1" x14ac:dyDescent="0.45">
      <c r="A1310" t="s">
        <v>9</v>
      </c>
      <c r="B1310" s="14">
        <f>_xlfn.XLOOKUP(Table1[[#This Row], [TEAM]],Sheet1!$A$12:$A$17,Sheet1!$F$12:$F$17)</f>
        <v>3</v>
      </c>
      <c r="C1310" s="14">
        <f>_xlfn.XLOOKUP(Table1[[#This Row], [TEAM]],Sheet1!$A$12:$A$17,Sheet1!$G$12:$G$17)</f>
        <v>6238750</v>
      </c>
      <c r="D1310" t="s">
        <v>28</v>
      </c>
      <c r="E1310" s="4">
        <f>_xlfn.XLOOKUP(Table1[[#This Row], [ROOM]],Sheet1!$A$47:$A$66,Sheet1!$B$47:$B$66)</f>
        <v>156</v>
      </c>
      <c r="F1310" t="s">
        <v>58</v>
      </c>
      <c r="G1310" s="4">
        <f>_xlfn.XLOOKUP(Table1[[#This Row], [DISGUISE]],Sheet1!$A$21:$A$23,Sheet1!$B$21:$B$23)*Table1[[#This Row], [NUM OF MEM]]*(1+_xlfn.XLOOKUP(Table1[[#This Row], [DISGUISE]],Sheet1!$A$21:$A$23,Sheet1!$C$21:$C$23))</f>
        <v>38400</v>
      </c>
      <c r="H1310" s="13" t="s">
        <v>59</v>
      </c>
      <c r="I1310" s="4">
        <f>_xlfn.XLOOKUP(Table1[[#This Row], [WEAPON]],Sheet1!$A$27:$A$29,Sheet1!$B$27:$B$29)*Table1[[#This Row], [NUM OF MEM]]*(1+_xlfn.XLOOKUP(Table1[[#This Row], [WEAPON]],Sheet1!$A$27:$A$29,Sheet1!$C$27:$C$29))</f>
        <v>136500</v>
      </c>
      <c r="J1310" t="s">
        <v>60</v>
      </c>
      <c r="K1310" s="9">
        <f>Table1[[#This Row], [NUM OF MEM]]*Table1[[#This Row], [TOTAL TIME TAKEN]]*_xlfn.XLOOKUP(Table1[[#This Row], [EXIT]],Sheet1!$A$70:$A$71,Sheet1!$B$70:$B$71)*(1+_xlfn.XLOOKUP(Table1[[#This Row], [EXIT]],Sheet1!$A$70:$A$71,Sheet1!$C$70:$C$71))</f>
        <v>1502878.2374999998</v>
      </c>
      <c r="L1310" s="13" t="s">
        <v>65</v>
      </c>
      <c r="M1310" s="4">
        <f>IF(Table1[[#This Row], [EQUIPMENT]]="YES",Sheet1!$C$44*(1+Sheet1!$D$44),0)</f>
        <v>307500</v>
      </c>
      <c r="N1310" s="4">
        <f>_xlfn.XLOOKUP(Table1[[#This Row], [ROOM]],Sheet1!$A$47:$A$66,Sheet1!$F$47:$F$66)</f>
        <v>17650000</v>
      </c>
      <c r="O1310" s="9">
        <f>_xlfn.XLOOKUP(_xlfn.CONCAT(Table1[[#This Row], [TEAM]],Table1[[#This Row], [ROOM]]),'ROOM TIME'!$H$2:$H$121,'ROOM TIME'!$J$2:$J$121)</f>
        <v>35.204999999999991</v>
      </c>
      <c r="P1310" s="9">
        <f>(INDEX(Sheet1!$X$48:$Z$67,MATCH(Table1[[#This Row], [ROOM]],Sheet1!$P$48:$P$67,0),MATCH(Table1[[#This Row], [WEAPON]],Sheet1!$X$47:$Z$47,0)))/Table1[[#This Row], [NUM OF MEM]]</f>
        <v>3.8333333333333335</v>
      </c>
      <c r="Q1310" s="9">
        <f>Table1[[#This Row], [ROOM TIME]]+Table1[[#This Row], [GUARD TIME]]</f>
        <v>39.038333333333327</v>
      </c>
      <c r="R1310" s="4">
        <f>Sheet1!$K$3*_xlfn.XLOOKUP(Table1[[#This Row], [DISGUISE]],Sheet1!$A$21:$A$23,Sheet1!$D$21:$D$23)</f>
        <v>69</v>
      </c>
      <c r="S1310" s="9">
        <f>Table1[[#This Row], [TOTAL TIME]]-Table1[[#This Row], [TOTAL TIME TAKEN]]</f>
        <v>29.961666666666673</v>
      </c>
      <c r="T1310" t="str">
        <f>IF(Table1[[#This Row], [TIME DIFFERENCE]]&gt;=0,"PASS","FAIL")</f>
        <v>PASS</v>
      </c>
      <c r="U1310" s="9">
        <f>Table1[[#This Row], [TRC]]+Table1[[#This Row], [DRC]]+Table1[[#This Row], [WRC]]+Table1[[#This Row], [ERC]]+Table1[[#This Row], [EQRC]]</f>
        <v>8224028.2374999998</v>
      </c>
      <c r="V1310" s="9">
        <f>Table1[[#This Row], [TOTAL COST]]+_xlfn.XLOOKUP(Table1[[#This Row], [TEAM]],Sheet1!$A$12:$A$17,Sheet1!$I$12:$I$17)</f>
        <v>8535965.7375000007</v>
      </c>
      <c r="W1310" s="9">
        <f>Table1[[#This Row], [LOOT]]-Table1[[#This Row], [TOTAL COST]]</f>
        <v>9425971.7624999993</v>
      </c>
      <c r="X1310" s="9">
        <f>IF(Table1[[#This Row], [PASS/FAIL]]="FAIL",0,Table1[[#This Row], [PROFIT]])</f>
        <v>9425971.7624999993</v>
      </c>
    </row>
    <row r="1311" spans="1:24" ht="19.5" customHeight="1" x14ac:dyDescent="0.45">
      <c r="A1311" t="s">
        <v>9</v>
      </c>
      <c r="B1311" s="14">
        <f>_xlfn.XLOOKUP(Table1[[#This Row], [TEAM]],Sheet1!$A$12:$A$17,Sheet1!$F$12:$F$17)</f>
        <v>3</v>
      </c>
      <c r="C1311" s="14">
        <f>_xlfn.XLOOKUP(Table1[[#This Row], [TEAM]],Sheet1!$A$12:$A$17,Sheet1!$G$12:$G$17)</f>
        <v>6238750</v>
      </c>
      <c r="D1311" t="s">
        <v>10</v>
      </c>
      <c r="E1311" s="4">
        <f>_xlfn.XLOOKUP(Table1[[#This Row], [ROOM]],Sheet1!$A$47:$A$66,Sheet1!$B$47:$B$66)</f>
        <v>123</v>
      </c>
      <c r="F1311" t="s">
        <v>58</v>
      </c>
      <c r="G1311" s="4">
        <f>_xlfn.XLOOKUP(Table1[[#This Row], [DISGUISE]],Sheet1!$A$21:$A$23,Sheet1!$B$21:$B$23)*Table1[[#This Row], [NUM OF MEM]]*(1+_xlfn.XLOOKUP(Table1[[#This Row], [DISGUISE]],Sheet1!$A$21:$A$23,Sheet1!$C$21:$C$23))</f>
        <v>38400</v>
      </c>
      <c r="H1311" s="13" t="s">
        <v>59</v>
      </c>
      <c r="I1311" s="4">
        <f>_xlfn.XLOOKUP(Table1[[#This Row], [WEAPON]],Sheet1!$A$27:$A$29,Sheet1!$B$27:$B$29)*Table1[[#This Row], [NUM OF MEM]]*(1+_xlfn.XLOOKUP(Table1[[#This Row], [WEAPON]],Sheet1!$A$27:$A$29,Sheet1!$C$27:$C$29))</f>
        <v>136500</v>
      </c>
      <c r="J1311" t="s">
        <v>60</v>
      </c>
      <c r="K1311" s="9">
        <f>Table1[[#This Row], [NUM OF MEM]]*Table1[[#This Row], [TOTAL TIME TAKEN]]*_xlfn.XLOOKUP(Table1[[#This Row], [EXIT]],Sheet1!$A$70:$A$71,Sheet1!$B$70:$B$71)*(1+_xlfn.XLOOKUP(Table1[[#This Row], [EXIT]],Sheet1!$A$70:$A$71,Sheet1!$C$70:$C$71))</f>
        <v>1702979.6874999995</v>
      </c>
      <c r="L1311" s="13" t="s">
        <v>65</v>
      </c>
      <c r="M1311" s="4">
        <f>IF(Table1[[#This Row], [EQUIPMENT]]="YES",Sheet1!$C$44*(1+Sheet1!$D$44),0)</f>
        <v>307500</v>
      </c>
      <c r="N1311" s="4">
        <f>_xlfn.XLOOKUP(Table1[[#This Row], [ROOM]],Sheet1!$A$47:$A$66,Sheet1!$F$47:$F$66)</f>
        <v>17850000</v>
      </c>
      <c r="O1311" s="9">
        <f>_xlfn.XLOOKUP(_xlfn.CONCAT(Table1[[#This Row], [TEAM]],Table1[[#This Row], [ROOM]]),'ROOM TIME'!$H$2:$H$121,'ROOM TIME'!$J$2:$J$121)</f>
        <v>39.636111111111099</v>
      </c>
      <c r="P1311" s="9">
        <f>(INDEX(Sheet1!$X$48:$Z$67,MATCH(Table1[[#This Row], [ROOM]],Sheet1!$P$48:$P$67,0),MATCH(Table1[[#This Row], [WEAPON]],Sheet1!$X$47:$Z$47,0)))/Table1[[#This Row], [NUM OF MEM]]</f>
        <v>4.5999999999999996</v>
      </c>
      <c r="Q1311" s="9">
        <f>Table1[[#This Row], [ROOM TIME]]+Table1[[#This Row], [GUARD TIME]]</f>
        <v>44.2361111111111</v>
      </c>
      <c r="R1311" s="4">
        <f>Sheet1!$K$3*_xlfn.XLOOKUP(Table1[[#This Row], [DISGUISE]],Sheet1!$A$21:$A$23,Sheet1!$D$21:$D$23)</f>
        <v>69</v>
      </c>
      <c r="S1311" s="9">
        <f>Table1[[#This Row], [TOTAL TIME]]-Table1[[#This Row], [TOTAL TIME TAKEN]]</f>
        <v>24.7638888888889</v>
      </c>
      <c r="T1311" t="str">
        <f>IF(Table1[[#This Row], [TIME DIFFERENCE]]&gt;=0,"PASS","FAIL")</f>
        <v>PASS</v>
      </c>
      <c r="U1311" s="9">
        <f>Table1[[#This Row], [TRC]]+Table1[[#This Row], [DRC]]+Table1[[#This Row], [WRC]]+Table1[[#This Row], [ERC]]+Table1[[#This Row], [EQRC]]</f>
        <v>8424129.6875</v>
      </c>
      <c r="V1311" s="9">
        <f>Table1[[#This Row], [TOTAL COST]]+_xlfn.XLOOKUP(Table1[[#This Row], [TEAM]],Sheet1!$A$12:$A$17,Sheet1!$I$12:$I$17)</f>
        <v>8736067.1875</v>
      </c>
      <c r="W1311" s="9">
        <f>Table1[[#This Row], [LOOT]]-Table1[[#This Row], [TOTAL COST]]</f>
        <v>9425870.3125</v>
      </c>
      <c r="X1311" s="9">
        <f>IF(Table1[[#This Row], [PASS/FAIL]]="FAIL",0,Table1[[#This Row], [PROFIT]])</f>
        <v>9425870.3125</v>
      </c>
    </row>
    <row r="1312" spans="1:24" ht="19.5" customHeight="1" x14ac:dyDescent="0.45">
      <c r="A1312" t="s">
        <v>16</v>
      </c>
      <c r="B1312" s="14">
        <f>_xlfn.XLOOKUP(Table1[[#This Row], [TEAM]],Sheet1!$A$12:$A$17,Sheet1!$F$12:$F$17)</f>
        <v>2</v>
      </c>
      <c r="C1312" s="14">
        <f>_xlfn.XLOOKUP(Table1[[#This Row], [TEAM]],Sheet1!$A$12:$A$17,Sheet1!$G$12:$G$17)</f>
        <v>6082800</v>
      </c>
      <c r="D1312" t="s">
        <v>25</v>
      </c>
      <c r="E1312" s="4">
        <f>_xlfn.XLOOKUP(Table1[[#This Row], [ROOM]],Sheet1!$A$47:$A$66,Sheet1!$B$47:$B$66)</f>
        <v>126</v>
      </c>
      <c r="F1312" t="s">
        <v>62</v>
      </c>
      <c r="G1312" s="4">
        <f>_xlfn.XLOOKUP(Table1[[#This Row], [DISGUISE]],Sheet1!$A$21:$A$23,Sheet1!$B$21:$B$23)*Table1[[#This Row], [NUM OF MEM]]*(1+_xlfn.XLOOKUP(Table1[[#This Row], [DISGUISE]],Sheet1!$A$21:$A$23,Sheet1!$C$21:$C$23))</f>
        <v>10400</v>
      </c>
      <c r="H1312" s="13" t="s">
        <v>63</v>
      </c>
      <c r="I1312" s="4">
        <f>_xlfn.XLOOKUP(Table1[[#This Row], [WEAPON]],Sheet1!$A$27:$A$29,Sheet1!$B$27:$B$29)*Table1[[#This Row], [NUM OF MEM]]*(1+_xlfn.XLOOKUP(Table1[[#This Row], [WEAPON]],Sheet1!$A$27:$A$29,Sheet1!$C$27:$C$29))</f>
        <v>46000</v>
      </c>
      <c r="J1312" t="s">
        <v>64</v>
      </c>
      <c r="K1312" s="9">
        <f>Table1[[#This Row], [NUM OF MEM]]*Table1[[#This Row], [TOTAL TIME TAKEN]]*_xlfn.XLOOKUP(Table1[[#This Row], [EXIT]],Sheet1!$A$70:$A$71,Sheet1!$B$70:$B$71)*(1+_xlfn.XLOOKUP(Table1[[#This Row], [EXIT]],Sheet1!$A$70:$A$71,Sheet1!$C$70:$C$71))</f>
        <v>1678222.7999999996</v>
      </c>
      <c r="L1312" s="13" t="s">
        <v>65</v>
      </c>
      <c r="M1312" s="4">
        <f>IF(Table1[[#This Row], [EQUIPMENT]]="YES",Sheet1!$C$44*(1+Sheet1!$D$44),0)</f>
        <v>307500</v>
      </c>
      <c r="N1312" s="4">
        <f>_xlfn.XLOOKUP(Table1[[#This Row], [ROOM]],Sheet1!$A$47:$A$66,Sheet1!$F$47:$F$66)</f>
        <v>17550000</v>
      </c>
      <c r="O1312" s="9">
        <f>_xlfn.XLOOKUP(_xlfn.CONCAT(Table1[[#This Row], [TEAM]],Table1[[#This Row], [ROOM]]),'ROOM TIME'!$H$2:$H$121,'ROOM TIME'!$J$2:$J$121)</f>
        <v>57.321249999999985</v>
      </c>
      <c r="P1312" s="9">
        <f>(INDEX(Sheet1!$X$48:$Z$67,MATCH(Table1[[#This Row], [ROOM]],Sheet1!$P$48:$P$67,0),MATCH(Table1[[#This Row], [WEAPON]],Sheet1!$X$47:$Z$47,0)))/Table1[[#This Row], [NUM OF MEM]]</f>
        <v>7.4250000000000007</v>
      </c>
      <c r="Q1312" s="9">
        <f>Table1[[#This Row], [ROOM TIME]]+Table1[[#This Row], [GUARD TIME]]</f>
        <v>64.746249999999989</v>
      </c>
      <c r="R1312" s="4">
        <f>Sheet1!$K$3*_xlfn.XLOOKUP(Table1[[#This Row], [DISGUISE]],Sheet1!$A$21:$A$23,Sheet1!$D$21:$D$23)</f>
        <v>66</v>
      </c>
      <c r="S1312" s="9">
        <f>Table1[[#This Row], [TOTAL TIME]]-Table1[[#This Row], [TOTAL TIME TAKEN]]</f>
        <v>1.2537500000000108</v>
      </c>
      <c r="T1312" t="str">
        <f>IF(Table1[[#This Row], [TIME DIFFERENCE]]&gt;=0,"PASS","FAIL")</f>
        <v>PASS</v>
      </c>
      <c r="U1312" s="9">
        <f>Table1[[#This Row], [TRC]]+Table1[[#This Row], [DRC]]+Table1[[#This Row], [WRC]]+Table1[[#This Row], [ERC]]+Table1[[#This Row], [EQRC]]</f>
        <v>8124922.7999999998</v>
      </c>
      <c r="V1312" s="9">
        <f>Table1[[#This Row], [TOTAL COST]]+_xlfn.XLOOKUP(Table1[[#This Row], [TEAM]],Sheet1!$A$12:$A$17,Sheet1!$I$12:$I$17)</f>
        <v>8429062.8000000007</v>
      </c>
      <c r="W1312" s="9">
        <f>Table1[[#This Row], [LOOT]]-Table1[[#This Row], [TOTAL COST]]</f>
        <v>9425077.1999999993</v>
      </c>
      <c r="X1312" s="9">
        <f>IF(Table1[[#This Row], [PASS/FAIL]]="FAIL",0,Table1[[#This Row], [PROFIT]])</f>
        <v>9425077.1999999993</v>
      </c>
    </row>
    <row r="1313" spans="1:24" ht="19.5" customHeight="1" x14ac:dyDescent="0.45">
      <c r="A1313" t="s">
        <v>16</v>
      </c>
      <c r="B1313" s="14">
        <f>_xlfn.XLOOKUP(Table1[[#This Row], [TEAM]],Sheet1!$A$12:$A$17,Sheet1!$F$12:$F$17)</f>
        <v>2</v>
      </c>
      <c r="C1313" s="14">
        <f>_xlfn.XLOOKUP(Table1[[#This Row], [TEAM]],Sheet1!$A$12:$A$17,Sheet1!$G$12:$G$17)</f>
        <v>6082800</v>
      </c>
      <c r="D1313" t="s">
        <v>25</v>
      </c>
      <c r="E1313" s="4">
        <f>_xlfn.XLOOKUP(Table1[[#This Row], [ROOM]],Sheet1!$A$47:$A$66,Sheet1!$B$47:$B$66)</f>
        <v>126</v>
      </c>
      <c r="F1313" t="s">
        <v>62</v>
      </c>
      <c r="G1313" s="4">
        <f>_xlfn.XLOOKUP(Table1[[#This Row], [DISGUISE]],Sheet1!$A$21:$A$23,Sheet1!$B$21:$B$23)*Table1[[#This Row], [NUM OF MEM]]*(1+_xlfn.XLOOKUP(Table1[[#This Row], [DISGUISE]],Sheet1!$A$21:$A$23,Sheet1!$C$21:$C$23))</f>
        <v>10400</v>
      </c>
      <c r="H1313" s="13" t="s">
        <v>59</v>
      </c>
      <c r="I1313" s="4">
        <f>_xlfn.XLOOKUP(Table1[[#This Row], [WEAPON]],Sheet1!$A$27:$A$29,Sheet1!$B$27:$B$29)*Table1[[#This Row], [NUM OF MEM]]*(1+_xlfn.XLOOKUP(Table1[[#This Row], [WEAPON]],Sheet1!$A$27:$A$29,Sheet1!$C$27:$C$29))</f>
        <v>91000</v>
      </c>
      <c r="J1313" t="s">
        <v>60</v>
      </c>
      <c r="K1313" s="9">
        <f>Table1[[#This Row], [NUM OF MEM]]*Table1[[#This Row], [TOTAL TIME TAKEN]]*_xlfn.XLOOKUP(Table1[[#This Row], [EXIT]],Sheet1!$A$70:$A$71,Sheet1!$B$70:$B$71)*(1+_xlfn.XLOOKUP(Table1[[#This Row], [EXIT]],Sheet1!$A$70:$A$71,Sheet1!$C$70:$C$71))</f>
        <v>1633481.0062499996</v>
      </c>
      <c r="L1313" s="13" t="s">
        <v>65</v>
      </c>
      <c r="M1313" s="4">
        <f>IF(Table1[[#This Row], [EQUIPMENT]]="YES",Sheet1!$C$44*(1+Sheet1!$D$44),0)</f>
        <v>307500</v>
      </c>
      <c r="N1313" s="4">
        <f>_xlfn.XLOOKUP(Table1[[#This Row], [ROOM]],Sheet1!$A$47:$A$66,Sheet1!$F$47:$F$66)</f>
        <v>17550000</v>
      </c>
      <c r="O1313" s="9">
        <f>_xlfn.XLOOKUP(_xlfn.CONCAT(Table1[[#This Row], [TEAM]],Table1[[#This Row], [ROOM]]),'ROOM TIME'!$H$2:$H$121,'ROOM TIME'!$J$2:$J$121)</f>
        <v>57.321249999999985</v>
      </c>
      <c r="P1313" s="9">
        <f>(INDEX(Sheet1!$X$48:$Z$67,MATCH(Table1[[#This Row], [ROOM]],Sheet1!$P$48:$P$67,0),MATCH(Table1[[#This Row], [WEAPON]],Sheet1!$X$47:$Z$47,0)))/Table1[[#This Row], [NUM OF MEM]]</f>
        <v>6.3249999999999993</v>
      </c>
      <c r="Q1313" s="9">
        <f>Table1[[#This Row], [ROOM TIME]]+Table1[[#This Row], [GUARD TIME]]</f>
        <v>63.646249999999981</v>
      </c>
      <c r="R1313" s="4">
        <f>Sheet1!$K$3*_xlfn.XLOOKUP(Table1[[#This Row], [DISGUISE]],Sheet1!$A$21:$A$23,Sheet1!$D$21:$D$23)</f>
        <v>66</v>
      </c>
      <c r="S1313" s="9">
        <f>Table1[[#This Row], [TOTAL TIME]]-Table1[[#This Row], [TOTAL TIME TAKEN]]</f>
        <v>2.3537500000000193</v>
      </c>
      <c r="T1313" t="str">
        <f>IF(Table1[[#This Row], [TIME DIFFERENCE]]&gt;=0,"PASS","FAIL")</f>
        <v>PASS</v>
      </c>
      <c r="U1313" s="9">
        <f>Table1[[#This Row], [TRC]]+Table1[[#This Row], [DRC]]+Table1[[#This Row], [WRC]]+Table1[[#This Row], [ERC]]+Table1[[#This Row], [EQRC]]</f>
        <v>8125181.0062499996</v>
      </c>
      <c r="V1313" s="9">
        <f>Table1[[#This Row], [TOTAL COST]]+_xlfn.XLOOKUP(Table1[[#This Row], [TEAM]],Sheet1!$A$12:$A$17,Sheet1!$I$12:$I$17)</f>
        <v>8429321.0062499996</v>
      </c>
      <c r="W1313" s="9">
        <f>Table1[[#This Row], [LOOT]]-Table1[[#This Row], [TOTAL COST]]</f>
        <v>9424818.9937500004</v>
      </c>
      <c r="X1313" s="9">
        <f>IF(Table1[[#This Row], [PASS/FAIL]]="FAIL",0,Table1[[#This Row], [PROFIT]])</f>
        <v>9424818.9937500004</v>
      </c>
    </row>
    <row r="1314" spans="1:24" ht="19.5" customHeight="1" x14ac:dyDescent="0.45">
      <c r="A1314" t="s">
        <v>16</v>
      </c>
      <c r="B1314" s="14">
        <f>_xlfn.XLOOKUP(Table1[[#This Row], [TEAM]],Sheet1!$A$12:$A$17,Sheet1!$F$12:$F$17)</f>
        <v>2</v>
      </c>
      <c r="C1314" s="14">
        <f>_xlfn.XLOOKUP(Table1[[#This Row], [TEAM]],Sheet1!$A$12:$A$17,Sheet1!$G$12:$G$17)</f>
        <v>6082800</v>
      </c>
      <c r="D1314" t="s">
        <v>17</v>
      </c>
      <c r="E1314" s="4">
        <f>_xlfn.XLOOKUP(Table1[[#This Row], [ROOM]],Sheet1!$A$47:$A$66,Sheet1!$B$47:$B$66)</f>
        <v>125</v>
      </c>
      <c r="F1314" t="s">
        <v>58</v>
      </c>
      <c r="G131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14" s="13" t="s">
        <v>59</v>
      </c>
      <c r="I1314" s="4">
        <f>_xlfn.XLOOKUP(Table1[[#This Row], [WEAPON]],Sheet1!$A$27:$A$29,Sheet1!$B$27:$B$29)*Table1[[#This Row], [NUM OF MEM]]*(1+_xlfn.XLOOKUP(Table1[[#This Row], [WEAPON]],Sheet1!$A$27:$A$29,Sheet1!$C$27:$C$29))</f>
        <v>91000</v>
      </c>
      <c r="J1314" t="s">
        <v>64</v>
      </c>
      <c r="K1314" s="9">
        <f>Table1[[#This Row], [NUM OF MEM]]*Table1[[#This Row], [TOTAL TIME TAKEN]]*_xlfn.XLOOKUP(Table1[[#This Row], [EXIT]],Sheet1!$A$70:$A$71,Sheet1!$B$70:$B$71)*(1+_xlfn.XLOOKUP(Table1[[#This Row], [EXIT]],Sheet1!$A$70:$A$71,Sheet1!$C$70:$C$71))</f>
        <v>1726045.1999999997</v>
      </c>
      <c r="L1314" s="13" t="s">
        <v>61</v>
      </c>
      <c r="M1314" s="4">
        <f>IF(Table1[[#This Row], [EQUIPMENT]]="YES",Sheet1!$C$44*(1+Sheet1!$D$44),0)</f>
        <v>0</v>
      </c>
      <c r="N1314" s="4">
        <f>_xlfn.XLOOKUP(Table1[[#This Row], [ROOM]],Sheet1!$A$47:$A$66,Sheet1!$F$47:$F$66)</f>
        <v>17350000</v>
      </c>
      <c r="O1314" s="9">
        <f>_xlfn.XLOOKUP(_xlfn.CONCAT(Table1[[#This Row], [TEAM]],Table1[[#This Row], [ROOM]]),'ROOM TIME'!$H$2:$H$121,'ROOM TIME'!$J$2:$J$121)</f>
        <v>60.841249999999988</v>
      </c>
      <c r="P1314" s="9">
        <f>(INDEX(Sheet1!$X$48:$Z$67,MATCH(Table1[[#This Row], [ROOM]],Sheet1!$P$48:$P$67,0),MATCH(Table1[[#This Row], [WEAPON]],Sheet1!$X$47:$Z$47,0)))/Table1[[#This Row], [NUM OF MEM]]</f>
        <v>5.75</v>
      </c>
      <c r="Q1314" s="9">
        <f>Table1[[#This Row], [ROOM TIME]]+Table1[[#This Row], [GUARD TIME]]</f>
        <v>66.591249999999988</v>
      </c>
      <c r="R1314" s="4">
        <f>Sheet1!$K$3*_xlfn.XLOOKUP(Table1[[#This Row], [DISGUISE]],Sheet1!$A$21:$A$23,Sheet1!$D$21:$D$23)</f>
        <v>69</v>
      </c>
      <c r="S1314" s="9">
        <f>Table1[[#This Row], [TOTAL TIME]]-Table1[[#This Row], [TOTAL TIME TAKEN]]</f>
        <v>2.4087500000000119</v>
      </c>
      <c r="T1314" t="str">
        <f>IF(Table1[[#This Row], [TIME DIFFERENCE]]&gt;=0,"PASS","FAIL")</f>
        <v>PASS</v>
      </c>
      <c r="U1314" s="9">
        <f>Table1[[#This Row], [TRC]]+Table1[[#This Row], [DRC]]+Table1[[#This Row], [WRC]]+Table1[[#This Row], [ERC]]+Table1[[#This Row], [EQRC]]</f>
        <v>7925445.1999999993</v>
      </c>
      <c r="V1314" s="9">
        <f>Table1[[#This Row], [TOTAL COST]]+_xlfn.XLOOKUP(Table1[[#This Row], [TEAM]],Sheet1!$A$12:$A$17,Sheet1!$I$12:$I$17)</f>
        <v>8229585.1999999993</v>
      </c>
      <c r="W1314" s="9">
        <f>Table1[[#This Row], [LOOT]]-Table1[[#This Row], [TOTAL COST]]</f>
        <v>9424554.8000000007</v>
      </c>
      <c r="X1314" s="9">
        <f>IF(Table1[[#This Row], [PASS/FAIL]]="FAIL",0,Table1[[#This Row], [PROFIT]])</f>
        <v>9424554.8000000007</v>
      </c>
    </row>
    <row r="1315" spans="1:24" ht="19.5" customHeight="1" x14ac:dyDescent="0.45">
      <c r="A1315" t="s">
        <v>9</v>
      </c>
      <c r="B1315" s="14">
        <f>_xlfn.XLOOKUP(Table1[[#This Row], [TEAM]],Sheet1!$A$12:$A$17,Sheet1!$F$12:$F$17)</f>
        <v>3</v>
      </c>
      <c r="C1315" s="14">
        <f>_xlfn.XLOOKUP(Table1[[#This Row], [TEAM]],Sheet1!$A$12:$A$17,Sheet1!$G$12:$G$17)</f>
        <v>6238750</v>
      </c>
      <c r="D1315" t="s">
        <v>22</v>
      </c>
      <c r="E1315" s="4">
        <f>_xlfn.XLOOKUP(Table1[[#This Row], [ROOM]],Sheet1!$A$47:$A$66,Sheet1!$B$47:$B$66)</f>
        <v>235</v>
      </c>
      <c r="F1315" t="s">
        <v>58</v>
      </c>
      <c r="G1315" s="4">
        <f>_xlfn.XLOOKUP(Table1[[#This Row], [DISGUISE]],Sheet1!$A$21:$A$23,Sheet1!$B$21:$B$23)*Table1[[#This Row], [NUM OF MEM]]*(1+_xlfn.XLOOKUP(Table1[[#This Row], [DISGUISE]],Sheet1!$A$21:$A$23,Sheet1!$C$21:$C$23))</f>
        <v>38400</v>
      </c>
      <c r="H1315" s="13" t="s">
        <v>63</v>
      </c>
      <c r="I1315" s="4">
        <f>_xlfn.XLOOKUP(Table1[[#This Row], [WEAPON]],Sheet1!$A$27:$A$29,Sheet1!$B$27:$B$29)*Table1[[#This Row], [NUM OF MEM]]*(1+_xlfn.XLOOKUP(Table1[[#This Row], [WEAPON]],Sheet1!$A$27:$A$29,Sheet1!$C$27:$C$29))</f>
        <v>69000</v>
      </c>
      <c r="J1315" t="s">
        <v>60</v>
      </c>
      <c r="K1315" s="9">
        <f>Table1[[#This Row], [NUM OF MEM]]*Table1[[#This Row], [TOTAL TIME TAKEN]]*_xlfn.XLOOKUP(Table1[[#This Row], [EXIT]],Sheet1!$A$70:$A$71,Sheet1!$B$70:$B$71)*(1+_xlfn.XLOOKUP(Table1[[#This Row], [EXIT]],Sheet1!$A$70:$A$71,Sheet1!$C$70:$C$71))</f>
        <v>1722549.2499999993</v>
      </c>
      <c r="L1315" s="13" t="s">
        <v>65</v>
      </c>
      <c r="M1315" s="4">
        <f>IF(Table1[[#This Row], [EQUIPMENT]]="YES",Sheet1!$C$44*(1+Sheet1!$D$44),0)</f>
        <v>307500</v>
      </c>
      <c r="N1315" s="4">
        <f>_xlfn.XLOOKUP(Table1[[#This Row], [ROOM]],Sheet1!$A$47:$A$66,Sheet1!$F$47:$F$66)</f>
        <v>17800000</v>
      </c>
      <c r="O1315" s="9">
        <f>_xlfn.XLOOKUP(_xlfn.CONCAT(Table1[[#This Row], [TEAM]],Table1[[#This Row], [ROOM]]),'ROOM TIME'!$H$2:$H$121,'ROOM TIME'!$J$2:$J$121)</f>
        <v>39.344444444444434</v>
      </c>
      <c r="P1315" s="9">
        <f>(INDEX(Sheet1!$X$48:$Z$67,MATCH(Table1[[#This Row], [ROOM]],Sheet1!$P$48:$P$67,0),MATCH(Table1[[#This Row], [WEAPON]],Sheet1!$X$47:$Z$47,0)))/Table1[[#This Row], [NUM OF MEM]]</f>
        <v>5.4000000000000012</v>
      </c>
      <c r="Q1315" s="9">
        <f>Table1[[#This Row], [ROOM TIME]]+Table1[[#This Row], [GUARD TIME]]</f>
        <v>44.744444444444433</v>
      </c>
      <c r="R1315" s="4">
        <f>Sheet1!$K$3*_xlfn.XLOOKUP(Table1[[#This Row], [DISGUISE]],Sheet1!$A$21:$A$23,Sheet1!$D$21:$D$23)</f>
        <v>69</v>
      </c>
      <c r="S1315" s="9">
        <f>Table1[[#This Row], [TOTAL TIME]]-Table1[[#This Row], [TOTAL TIME TAKEN]]</f>
        <v>24.255555555555567</v>
      </c>
      <c r="T1315" t="str">
        <f>IF(Table1[[#This Row], [TIME DIFFERENCE]]&gt;=0,"PASS","FAIL")</f>
        <v>PASS</v>
      </c>
      <c r="U1315" s="9">
        <f>Table1[[#This Row], [TRC]]+Table1[[#This Row], [DRC]]+Table1[[#This Row], [WRC]]+Table1[[#This Row], [ERC]]+Table1[[#This Row], [EQRC]]</f>
        <v>8376199.2499999991</v>
      </c>
      <c r="V1315" s="9">
        <f>Table1[[#This Row], [TOTAL COST]]+_xlfn.XLOOKUP(Table1[[#This Row], [TEAM]],Sheet1!$A$12:$A$17,Sheet1!$I$12:$I$17)</f>
        <v>8688136.75</v>
      </c>
      <c r="W1315" s="9">
        <f>Table1[[#This Row], [LOOT]]-Table1[[#This Row], [TOTAL COST]]</f>
        <v>9423800.75</v>
      </c>
      <c r="X1315" s="9">
        <f>IF(Table1[[#This Row], [PASS/FAIL]]="FAIL",0,Table1[[#This Row], [PROFIT]])</f>
        <v>9423800.75</v>
      </c>
    </row>
    <row r="1316" spans="1:24" ht="19.5" customHeight="1" x14ac:dyDescent="0.45">
      <c r="A1316" t="s">
        <v>12</v>
      </c>
      <c r="B1316" s="14">
        <f>_xlfn.XLOOKUP(Table1[[#This Row], [TEAM]],Sheet1!$A$12:$A$17,Sheet1!$F$12:$F$17)</f>
        <v>3</v>
      </c>
      <c r="C1316" s="14">
        <f>_xlfn.XLOOKUP(Table1[[#This Row], [TEAM]],Sheet1!$A$12:$A$17,Sheet1!$G$12:$G$17)</f>
        <v>5988750</v>
      </c>
      <c r="D1316" t="s">
        <v>20</v>
      </c>
      <c r="E1316" s="4">
        <f>_xlfn.XLOOKUP(Table1[[#This Row], [ROOM]],Sheet1!$A$47:$A$66,Sheet1!$B$47:$B$66)</f>
        <v>145</v>
      </c>
      <c r="F1316" t="s">
        <v>58</v>
      </c>
      <c r="G131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16" s="13" t="s">
        <v>66</v>
      </c>
      <c r="I1316" s="4">
        <f>_xlfn.XLOOKUP(Table1[[#This Row], [WEAPON]],Sheet1!$A$27:$A$29,Sheet1!$B$27:$B$29)*Table1[[#This Row], [NUM OF MEM]]*(1+_xlfn.XLOOKUP(Table1[[#This Row], [WEAPON]],Sheet1!$A$27:$A$29,Sheet1!$C$27:$C$29))</f>
        <v>108000</v>
      </c>
      <c r="J1316" t="s">
        <v>60</v>
      </c>
      <c r="K1316" s="9">
        <f>Table1[[#This Row], [NUM OF MEM]]*Table1[[#This Row], [TOTAL TIME TAKEN]]*_xlfn.XLOOKUP(Table1[[#This Row], [EXIT]],Sheet1!$A$70:$A$71,Sheet1!$B$70:$B$71)*(1+_xlfn.XLOOKUP(Table1[[#This Row], [EXIT]],Sheet1!$A$70:$A$71,Sheet1!$C$70:$C$71))</f>
        <v>1684265.6249999993</v>
      </c>
      <c r="L1316" s="13" t="s">
        <v>65</v>
      </c>
      <c r="M1316" s="4">
        <f>IF(Table1[[#This Row], [EQUIPMENT]]="YES",Sheet1!$C$44*(1+Sheet1!$D$44),0)</f>
        <v>307500</v>
      </c>
      <c r="N1316" s="4">
        <f>_xlfn.XLOOKUP(Table1[[#This Row], [ROOM]],Sheet1!$A$47:$A$66,Sheet1!$F$47:$F$66)</f>
        <v>17550000</v>
      </c>
      <c r="O1316" s="9">
        <f>_xlfn.XLOOKUP(_xlfn.CONCAT(Table1[[#This Row], [TEAM]],Table1[[#This Row], [ROOM]]),'ROOM TIME'!$H$2:$H$121,'ROOM TIME'!$J$2:$J$121)</f>
        <v>39.583333333333321</v>
      </c>
      <c r="P1316" s="9">
        <f>(INDEX(Sheet1!$X$48:$Z$67,MATCH(Table1[[#This Row], [ROOM]],Sheet1!$P$48:$P$67,0),MATCH(Table1[[#This Row], [WEAPON]],Sheet1!$X$47:$Z$47,0)))/Table1[[#This Row], [NUM OF MEM]]</f>
        <v>4.166666666666667</v>
      </c>
      <c r="Q1316" s="9">
        <f>Table1[[#This Row], [ROOM TIME]]+Table1[[#This Row], [GUARD TIME]]</f>
        <v>43.749999999999986</v>
      </c>
      <c r="R1316" s="4">
        <f>Sheet1!$K$3*_xlfn.XLOOKUP(Table1[[#This Row], [DISGUISE]],Sheet1!$A$21:$A$23,Sheet1!$D$21:$D$23)</f>
        <v>69</v>
      </c>
      <c r="S1316" s="9">
        <f>Table1[[#This Row], [TOTAL TIME]]-Table1[[#This Row], [TOTAL TIME TAKEN]]</f>
        <v>25.250000000000014</v>
      </c>
      <c r="T1316" t="str">
        <f>IF(Table1[[#This Row], [TIME DIFFERENCE]]&gt;=0,"PASS","FAIL")</f>
        <v>PASS</v>
      </c>
      <c r="U1316" s="9">
        <f>Table1[[#This Row], [TRC]]+Table1[[#This Row], [DRC]]+Table1[[#This Row], [WRC]]+Table1[[#This Row], [ERC]]+Table1[[#This Row], [EQRC]]</f>
        <v>8126915.6249999991</v>
      </c>
      <c r="V1316" s="9">
        <f>Table1[[#This Row], [TOTAL COST]]+_xlfn.XLOOKUP(Table1[[#This Row], [TEAM]],Sheet1!$A$12:$A$17,Sheet1!$I$12:$I$17)</f>
        <v>8426353.125</v>
      </c>
      <c r="W1316" s="9">
        <f>Table1[[#This Row], [LOOT]]-Table1[[#This Row], [TOTAL COST]]</f>
        <v>9423084.375</v>
      </c>
      <c r="X1316" s="9">
        <f>IF(Table1[[#This Row], [PASS/FAIL]]="FAIL",0,Table1[[#This Row], [PROFIT]])</f>
        <v>9423084.375</v>
      </c>
    </row>
    <row r="1317" spans="1:24" ht="19.5" customHeight="1" x14ac:dyDescent="0.45">
      <c r="A1317" t="s">
        <v>9</v>
      </c>
      <c r="B1317" s="14">
        <f>_xlfn.XLOOKUP(Table1[[#This Row], [TEAM]],Sheet1!$A$12:$A$17,Sheet1!$F$12:$F$17)</f>
        <v>3</v>
      </c>
      <c r="C1317" s="14">
        <f>_xlfn.XLOOKUP(Table1[[#This Row], [TEAM]],Sheet1!$A$12:$A$17,Sheet1!$G$12:$G$17)</f>
        <v>6238750</v>
      </c>
      <c r="D1317" t="s">
        <v>22</v>
      </c>
      <c r="E1317" s="4">
        <f>_xlfn.XLOOKUP(Table1[[#This Row], [ROOM]],Sheet1!$A$47:$A$66,Sheet1!$B$47:$B$66)</f>
        <v>235</v>
      </c>
      <c r="F1317" t="s">
        <v>62</v>
      </c>
      <c r="G1317" s="4">
        <f>_xlfn.XLOOKUP(Table1[[#This Row], [DISGUISE]],Sheet1!$A$21:$A$23,Sheet1!$B$21:$B$23)*Table1[[#This Row], [NUM OF MEM]]*(1+_xlfn.XLOOKUP(Table1[[#This Row], [DISGUISE]],Sheet1!$A$21:$A$23,Sheet1!$C$21:$C$23))</f>
        <v>15600</v>
      </c>
      <c r="H1317" s="13" t="s">
        <v>66</v>
      </c>
      <c r="I1317" s="4">
        <f>_xlfn.XLOOKUP(Table1[[#This Row], [WEAPON]],Sheet1!$A$27:$A$29,Sheet1!$B$27:$B$29)*Table1[[#This Row], [NUM OF MEM]]*(1+_xlfn.XLOOKUP(Table1[[#This Row], [WEAPON]],Sheet1!$A$27:$A$29,Sheet1!$C$27:$C$29))</f>
        <v>108000</v>
      </c>
      <c r="J1317" t="s">
        <v>60</v>
      </c>
      <c r="K1317" s="9">
        <f>Table1[[#This Row], [NUM OF MEM]]*Table1[[#This Row], [TOTAL TIME TAKEN]]*_xlfn.XLOOKUP(Table1[[#This Row], [EXIT]],Sheet1!$A$70:$A$71,Sheet1!$B$70:$B$71)*(1+_xlfn.XLOOKUP(Table1[[#This Row], [EXIT]],Sheet1!$A$70:$A$71,Sheet1!$C$70:$C$71))</f>
        <v>1707150.2499999995</v>
      </c>
      <c r="L1317" s="13" t="s">
        <v>65</v>
      </c>
      <c r="M1317" s="4">
        <f>IF(Table1[[#This Row], [EQUIPMENT]]="YES",Sheet1!$C$44*(1+Sheet1!$D$44),0)</f>
        <v>307500</v>
      </c>
      <c r="N1317" s="4">
        <f>_xlfn.XLOOKUP(Table1[[#This Row], [ROOM]],Sheet1!$A$47:$A$66,Sheet1!$F$47:$F$66)</f>
        <v>17800000</v>
      </c>
      <c r="O1317" s="9">
        <f>_xlfn.XLOOKUP(_xlfn.CONCAT(Table1[[#This Row], [TEAM]],Table1[[#This Row], [ROOM]]),'ROOM TIME'!$H$2:$H$121,'ROOM TIME'!$J$2:$J$121)</f>
        <v>39.344444444444434</v>
      </c>
      <c r="P1317" s="4">
        <f>(INDEX(Sheet1!$X$48:$Z$67,MATCH(Table1[[#This Row], [ROOM]],Sheet1!$P$48:$P$67,0),MATCH(Table1[[#This Row], [WEAPON]],Sheet1!$X$47:$Z$47,0)))/Table1[[#This Row], [NUM OF MEM]]</f>
        <v>5</v>
      </c>
      <c r="Q1317" s="9">
        <f>Table1[[#This Row], [ROOM TIME]]+Table1[[#This Row], [GUARD TIME]]</f>
        <v>44.344444444444434</v>
      </c>
      <c r="R1317" s="4">
        <f>Sheet1!$K$3*_xlfn.XLOOKUP(Table1[[#This Row], [DISGUISE]],Sheet1!$A$21:$A$23,Sheet1!$D$21:$D$23)</f>
        <v>66</v>
      </c>
      <c r="S1317" s="9">
        <f>Table1[[#This Row], [TOTAL TIME]]-Table1[[#This Row], [TOTAL TIME TAKEN]]</f>
        <v>21.655555555555566</v>
      </c>
      <c r="T1317" t="str">
        <f>IF(Table1[[#This Row], [TIME DIFFERENCE]]&gt;=0,"PASS","FAIL")</f>
        <v>PASS</v>
      </c>
      <c r="U1317" s="9">
        <f>Table1[[#This Row], [TRC]]+Table1[[#This Row], [DRC]]+Table1[[#This Row], [WRC]]+Table1[[#This Row], [ERC]]+Table1[[#This Row], [EQRC]]</f>
        <v>8377000.25</v>
      </c>
      <c r="V1317" s="9">
        <f>Table1[[#This Row], [TOTAL COST]]+_xlfn.XLOOKUP(Table1[[#This Row], [TEAM]],Sheet1!$A$12:$A$17,Sheet1!$I$12:$I$17)</f>
        <v>8688937.75</v>
      </c>
      <c r="W1317" s="9">
        <f>Table1[[#This Row], [LOOT]]-Table1[[#This Row], [TOTAL COST]]</f>
        <v>9422999.75</v>
      </c>
      <c r="X1317" s="9">
        <f>IF(Table1[[#This Row], [PASS/FAIL]]="FAIL",0,Table1[[#This Row], [PROFIT]])</f>
        <v>9422999.75</v>
      </c>
    </row>
    <row r="1318" spans="1:24" ht="19.5" customHeight="1" x14ac:dyDescent="0.45">
      <c r="A1318" t="s">
        <v>16</v>
      </c>
      <c r="B1318" s="14">
        <f>_xlfn.XLOOKUP(Table1[[#This Row], [TEAM]],Sheet1!$A$12:$A$17,Sheet1!$F$12:$F$17)</f>
        <v>2</v>
      </c>
      <c r="C1318" s="14">
        <f>_xlfn.XLOOKUP(Table1[[#This Row], [TEAM]],Sheet1!$A$12:$A$17,Sheet1!$G$12:$G$17)</f>
        <v>6082800</v>
      </c>
      <c r="D1318" t="s">
        <v>30</v>
      </c>
      <c r="E1318" s="4">
        <f>_xlfn.XLOOKUP(Table1[[#This Row], [ROOM]],Sheet1!$A$47:$A$66,Sheet1!$B$47:$B$66)</f>
        <v>246</v>
      </c>
      <c r="F1318" t="s">
        <v>58</v>
      </c>
      <c r="G1318" s="4">
        <f>_xlfn.XLOOKUP(Table1[[#This Row], [DISGUISE]],Sheet1!$A$21:$A$23,Sheet1!$B$21:$B$23)*Table1[[#This Row], [NUM OF MEM]]*(1+_xlfn.XLOOKUP(Table1[[#This Row], [DISGUISE]],Sheet1!$A$21:$A$23,Sheet1!$C$21:$C$23))</f>
        <v>25600</v>
      </c>
      <c r="H1318" s="13" t="s">
        <v>59</v>
      </c>
      <c r="I1318" s="4">
        <f>_xlfn.XLOOKUP(Table1[[#This Row], [WEAPON]],Sheet1!$A$27:$A$29,Sheet1!$B$27:$B$29)*Table1[[#This Row], [NUM OF MEM]]*(1+_xlfn.XLOOKUP(Table1[[#This Row], [WEAPON]],Sheet1!$A$27:$A$29,Sheet1!$C$27:$C$29))</f>
        <v>91000</v>
      </c>
      <c r="J1318" t="s">
        <v>64</v>
      </c>
      <c r="K1318" s="9">
        <f>Table1[[#This Row], [NUM OF MEM]]*Table1[[#This Row], [TOTAL TIME TAKEN]]*_xlfn.XLOOKUP(Table1[[#This Row], [EXIT]],Sheet1!$A$70:$A$71,Sheet1!$B$70:$B$71)*(1+_xlfn.XLOOKUP(Table1[[#This Row], [EXIT]],Sheet1!$A$70:$A$71,Sheet1!$C$70:$C$71))</f>
        <v>1670284.7999999993</v>
      </c>
      <c r="L1318" s="13" t="s">
        <v>65</v>
      </c>
      <c r="M1318" s="4">
        <f>IF(Table1[[#This Row], [EQUIPMENT]]="YES",Sheet1!$C$44*(1+Sheet1!$D$44),0)</f>
        <v>307500</v>
      </c>
      <c r="N1318" s="4">
        <f>_xlfn.XLOOKUP(Table1[[#This Row], [ROOM]],Sheet1!$A$47:$A$66,Sheet1!$F$47:$F$66)</f>
        <v>17600000</v>
      </c>
      <c r="O1318" s="9">
        <f>_xlfn.XLOOKUP(_xlfn.CONCAT(Table1[[#This Row], [TEAM]],Table1[[#This Row], [ROOM]]),'ROOM TIME'!$H$2:$H$121,'ROOM TIME'!$J$2:$J$121)</f>
        <v>57.539999999999985</v>
      </c>
      <c r="P1318" s="9">
        <f>(INDEX(Sheet1!$X$48:$Z$67,MATCH(Table1[[#This Row], [ROOM]],Sheet1!$P$48:$P$67,0),MATCH(Table1[[#This Row], [WEAPON]],Sheet1!$X$47:$Z$47,0)))/Table1[[#This Row], [NUM OF MEM]]</f>
        <v>6.8999999999999995</v>
      </c>
      <c r="Q1318" s="9">
        <f>Table1[[#This Row], [ROOM TIME]]+Table1[[#This Row], [GUARD TIME]]</f>
        <v>64.439999999999984</v>
      </c>
      <c r="R1318" s="4">
        <f>Sheet1!$K$3*_xlfn.XLOOKUP(Table1[[#This Row], [DISGUISE]],Sheet1!$A$21:$A$23,Sheet1!$D$21:$D$23)</f>
        <v>69</v>
      </c>
      <c r="S1318" s="9">
        <f>Table1[[#This Row], [TOTAL TIME]]-Table1[[#This Row], [TOTAL TIME TAKEN]]</f>
        <v>4.5600000000000165</v>
      </c>
      <c r="T1318" t="str">
        <f>IF(Table1[[#This Row], [TIME DIFFERENCE]]&gt;=0,"PASS","FAIL")</f>
        <v>PASS</v>
      </c>
      <c r="U1318" s="9">
        <f>Table1[[#This Row], [TRC]]+Table1[[#This Row], [DRC]]+Table1[[#This Row], [WRC]]+Table1[[#This Row], [ERC]]+Table1[[#This Row], [EQRC]]</f>
        <v>8177184.7999999989</v>
      </c>
      <c r="V1318" s="9">
        <f>Table1[[#This Row], [TOTAL COST]]+_xlfn.XLOOKUP(Table1[[#This Row], [TEAM]],Sheet1!$A$12:$A$17,Sheet1!$I$12:$I$17)</f>
        <v>8481324.7999999989</v>
      </c>
      <c r="W1318" s="9">
        <f>Table1[[#This Row], [LOOT]]-Table1[[#This Row], [TOTAL COST]]</f>
        <v>9422815.2000000011</v>
      </c>
      <c r="X1318" s="9">
        <f>IF(Table1[[#This Row], [PASS/FAIL]]="FAIL",0,Table1[[#This Row], [PROFIT]])</f>
        <v>9422815.2000000011</v>
      </c>
    </row>
    <row r="1319" spans="1:24" ht="19.5" customHeight="1" x14ac:dyDescent="0.45">
      <c r="A1319" t="s">
        <v>13</v>
      </c>
      <c r="B1319" s="14">
        <f>_xlfn.XLOOKUP(Table1[[#This Row], [TEAM]],Sheet1!$A$12:$A$17,Sheet1!$F$12:$F$17)</f>
        <v>3</v>
      </c>
      <c r="C1319" s="14">
        <f>_xlfn.XLOOKUP(Table1[[#This Row], [TEAM]],Sheet1!$A$12:$A$17,Sheet1!$G$12:$G$17)</f>
        <v>5930000</v>
      </c>
      <c r="D1319" t="s">
        <v>31</v>
      </c>
      <c r="E1319" s="4">
        <f>_xlfn.XLOOKUP(Table1[[#This Row], [ROOM]],Sheet1!$A$47:$A$66,Sheet1!$B$47:$B$66)</f>
        <v>256</v>
      </c>
      <c r="F1319" t="s">
        <v>62</v>
      </c>
      <c r="G1319" s="4">
        <f>_xlfn.XLOOKUP(Table1[[#This Row], [DISGUISE]],Sheet1!$A$21:$A$23,Sheet1!$B$21:$B$23)*Table1[[#This Row], [NUM OF MEM]]*(1+_xlfn.XLOOKUP(Table1[[#This Row], [DISGUISE]],Sheet1!$A$21:$A$23,Sheet1!$C$21:$C$23))</f>
        <v>15600</v>
      </c>
      <c r="H1319" s="13" t="s">
        <v>59</v>
      </c>
      <c r="I1319" s="4">
        <f>_xlfn.XLOOKUP(Table1[[#This Row], [WEAPON]],Sheet1!$A$27:$A$29,Sheet1!$B$27:$B$29)*Table1[[#This Row], [NUM OF MEM]]*(1+_xlfn.XLOOKUP(Table1[[#This Row], [WEAPON]],Sheet1!$A$27:$A$29,Sheet1!$C$27:$C$29))</f>
        <v>136500</v>
      </c>
      <c r="J1319" t="s">
        <v>64</v>
      </c>
      <c r="K1319" s="9">
        <f>Table1[[#This Row], [NUM OF MEM]]*Table1[[#This Row], [TOTAL TIME TAKEN]]*_xlfn.XLOOKUP(Table1[[#This Row], [EXIT]],Sheet1!$A$70:$A$71,Sheet1!$B$70:$B$71)*(1+_xlfn.XLOOKUP(Table1[[#This Row], [EXIT]],Sheet1!$A$70:$A$71,Sheet1!$C$70:$C$71))</f>
        <v>1687953.5999999996</v>
      </c>
      <c r="L1319" s="13" t="s">
        <v>65</v>
      </c>
      <c r="M1319" s="4">
        <f>IF(Table1[[#This Row], [EQUIPMENT]]="YES",Sheet1!$C$44*(1+Sheet1!$D$44),0)</f>
        <v>307500</v>
      </c>
      <c r="N1319" s="4">
        <f>_xlfn.XLOOKUP(Table1[[#This Row], [ROOM]],Sheet1!$A$47:$A$66,Sheet1!$F$47:$F$66)</f>
        <v>17500000</v>
      </c>
      <c r="O1319" s="9">
        <f>_xlfn.XLOOKUP(_xlfn.CONCAT(Table1[[#This Row], [TEAM]],Table1[[#This Row], [ROOM]]),'ROOM TIME'!$H$2:$H$121,'ROOM TIME'!$J$2:$J$121)</f>
        <v>39.197777777777766</v>
      </c>
      <c r="P1319" s="9">
        <f>(INDEX(Sheet1!$X$48:$Z$67,MATCH(Table1[[#This Row], [ROOM]],Sheet1!$P$48:$P$67,0),MATCH(Table1[[#This Row], [WEAPON]],Sheet1!$X$47:$Z$47,0)))/Table1[[#This Row], [NUM OF MEM]]</f>
        <v>4.2166666666666659</v>
      </c>
      <c r="Q1319" s="9">
        <f>Table1[[#This Row], [ROOM TIME]]+Table1[[#This Row], [GUARD TIME]]</f>
        <v>43.414444444444435</v>
      </c>
      <c r="R1319" s="4">
        <f>Sheet1!$K$3*_xlfn.XLOOKUP(Table1[[#This Row], [DISGUISE]],Sheet1!$A$21:$A$23,Sheet1!$D$21:$D$23)</f>
        <v>66</v>
      </c>
      <c r="S1319" s="9">
        <f>Table1[[#This Row], [TOTAL TIME]]-Table1[[#This Row], [TOTAL TIME TAKEN]]</f>
        <v>22.585555555555565</v>
      </c>
      <c r="T1319" t="str">
        <f>IF(Table1[[#This Row], [TIME DIFFERENCE]]&gt;=0,"PASS","FAIL")</f>
        <v>PASS</v>
      </c>
      <c r="U1319" s="9">
        <f>Table1[[#This Row], [TRC]]+Table1[[#This Row], [DRC]]+Table1[[#This Row], [WRC]]+Table1[[#This Row], [ERC]]+Table1[[#This Row], [EQRC]]</f>
        <v>8077553.5999999996</v>
      </c>
      <c r="V1319" s="9">
        <f>Table1[[#This Row], [TOTAL COST]]+_xlfn.XLOOKUP(Table1[[#This Row], [TEAM]],Sheet1!$A$12:$A$17,Sheet1!$I$12:$I$17)</f>
        <v>8374053.5999999996</v>
      </c>
      <c r="W1319" s="9">
        <f>Table1[[#This Row], [LOOT]]-Table1[[#This Row], [TOTAL COST]]</f>
        <v>9422446.4000000004</v>
      </c>
      <c r="X1319" s="9">
        <f>IF(Table1[[#This Row], [PASS/FAIL]]="FAIL",0,Table1[[#This Row], [PROFIT]])</f>
        <v>9422446.4000000004</v>
      </c>
    </row>
    <row r="1320" spans="1:24" ht="19.5" customHeight="1" x14ac:dyDescent="0.45">
      <c r="A1320" t="s">
        <v>9</v>
      </c>
      <c r="B1320" s="14">
        <f>_xlfn.XLOOKUP(Table1[[#This Row], [TEAM]],Sheet1!$A$12:$A$17,Sheet1!$F$12:$F$17)</f>
        <v>3</v>
      </c>
      <c r="C1320" s="14">
        <f>_xlfn.XLOOKUP(Table1[[#This Row], [TEAM]],Sheet1!$A$12:$A$17,Sheet1!$G$12:$G$17)</f>
        <v>6238750</v>
      </c>
      <c r="D1320" t="s">
        <v>10</v>
      </c>
      <c r="E1320" s="4">
        <f>_xlfn.XLOOKUP(Table1[[#This Row], [ROOM]],Sheet1!$A$47:$A$66,Sheet1!$B$47:$B$66)</f>
        <v>123</v>
      </c>
      <c r="F1320" t="s">
        <v>58</v>
      </c>
      <c r="G1320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0" s="13" t="s">
        <v>66</v>
      </c>
      <c r="I1320" s="4">
        <f>_xlfn.XLOOKUP(Table1[[#This Row], [WEAPON]],Sheet1!$A$27:$A$29,Sheet1!$B$27:$B$29)*Table1[[#This Row], [NUM OF MEM]]*(1+_xlfn.XLOOKUP(Table1[[#This Row], [WEAPON]],Sheet1!$A$27:$A$29,Sheet1!$C$27:$C$29))</f>
        <v>108000</v>
      </c>
      <c r="J1320" t="s">
        <v>64</v>
      </c>
      <c r="K1320" s="9">
        <f>Table1[[#This Row], [NUM OF MEM]]*Table1[[#This Row], [TOTAL TIME TAKEN]]*_xlfn.XLOOKUP(Table1[[#This Row], [EXIT]],Sheet1!$A$70:$A$71,Sheet1!$B$70:$B$71)*(1+_xlfn.XLOOKUP(Table1[[#This Row], [EXIT]],Sheet1!$A$70:$A$71,Sheet1!$C$70:$C$71))</f>
        <v>1735451.9999999998</v>
      </c>
      <c r="L1320" s="13" t="s">
        <v>65</v>
      </c>
      <c r="M1320" s="4">
        <f>IF(Table1[[#This Row], [EQUIPMENT]]="YES",Sheet1!$C$44*(1+Sheet1!$D$44),0)</f>
        <v>307500</v>
      </c>
      <c r="N1320" s="4">
        <f>_xlfn.XLOOKUP(Table1[[#This Row], [ROOM]],Sheet1!$A$47:$A$66,Sheet1!$F$47:$F$66)</f>
        <v>17850000</v>
      </c>
      <c r="O1320" s="9">
        <f>_xlfn.XLOOKUP(_xlfn.CONCAT(Table1[[#This Row], [TEAM]],Table1[[#This Row], [ROOM]]),'ROOM TIME'!$H$2:$H$121,'ROOM TIME'!$J$2:$J$121)</f>
        <v>39.636111111111099</v>
      </c>
      <c r="P1320" s="4">
        <f>(INDEX(Sheet1!$X$48:$Z$67,MATCH(Table1[[#This Row], [ROOM]],Sheet1!$P$48:$P$67,0),MATCH(Table1[[#This Row], [WEAPON]],Sheet1!$X$47:$Z$47,0)))/Table1[[#This Row], [NUM OF MEM]]</f>
        <v>5</v>
      </c>
      <c r="Q1320" s="9">
        <f>Table1[[#This Row], [ROOM TIME]]+Table1[[#This Row], [GUARD TIME]]</f>
        <v>44.636111111111099</v>
      </c>
      <c r="R1320" s="4">
        <f>Sheet1!$K$3*_xlfn.XLOOKUP(Table1[[#This Row], [DISGUISE]],Sheet1!$A$21:$A$23,Sheet1!$D$21:$D$23)</f>
        <v>69</v>
      </c>
      <c r="S1320" s="9">
        <f>Table1[[#This Row], [TOTAL TIME]]-Table1[[#This Row], [TOTAL TIME TAKEN]]</f>
        <v>24.363888888888901</v>
      </c>
      <c r="T1320" t="str">
        <f>IF(Table1[[#This Row], [TIME DIFFERENCE]]&gt;=0,"PASS","FAIL")</f>
        <v>PASS</v>
      </c>
      <c r="U1320" s="4">
        <f>Table1[[#This Row], [TRC]]+Table1[[#This Row], [DRC]]+Table1[[#This Row], [WRC]]+Table1[[#This Row], [ERC]]+Table1[[#This Row], [EQRC]]</f>
        <v>8428102</v>
      </c>
      <c r="V1320" s="9">
        <f>Table1[[#This Row], [TOTAL COST]]+_xlfn.XLOOKUP(Table1[[#This Row], [TEAM]],Sheet1!$A$12:$A$17,Sheet1!$I$12:$I$17)</f>
        <v>8740039.5</v>
      </c>
      <c r="W1320" s="4">
        <f>Table1[[#This Row], [LOOT]]-Table1[[#This Row], [TOTAL COST]]</f>
        <v>9421898</v>
      </c>
      <c r="X1320" s="4">
        <f>IF(Table1[[#This Row], [PASS/FAIL]]="FAIL",0,Table1[[#This Row], [PROFIT]])</f>
        <v>9421898</v>
      </c>
    </row>
    <row r="1321" spans="1:24" ht="19.5" customHeight="1" x14ac:dyDescent="0.45">
      <c r="A1321" t="s">
        <v>9</v>
      </c>
      <c r="B1321" s="14">
        <f>_xlfn.XLOOKUP(Table1[[#This Row], [TEAM]],Sheet1!$A$12:$A$17,Sheet1!$F$12:$F$17)</f>
        <v>3</v>
      </c>
      <c r="C1321" s="14">
        <f>_xlfn.XLOOKUP(Table1[[#This Row], [TEAM]],Sheet1!$A$12:$A$17,Sheet1!$G$12:$G$17)</f>
        <v>6238750</v>
      </c>
      <c r="D1321" t="s">
        <v>11</v>
      </c>
      <c r="E1321" s="4">
        <f>_xlfn.XLOOKUP(Table1[[#This Row], [ROOM]],Sheet1!$A$47:$A$66,Sheet1!$B$47:$B$66)</f>
        <v>124</v>
      </c>
      <c r="F1321" t="s">
        <v>58</v>
      </c>
      <c r="G1321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1" s="13" t="s">
        <v>63</v>
      </c>
      <c r="I1321" s="4">
        <f>_xlfn.XLOOKUP(Table1[[#This Row], [WEAPON]],Sheet1!$A$27:$A$29,Sheet1!$B$27:$B$29)*Table1[[#This Row], [NUM OF MEM]]*(1+_xlfn.XLOOKUP(Table1[[#This Row], [WEAPON]],Sheet1!$A$27:$A$29,Sheet1!$C$27:$C$29))</f>
        <v>69000</v>
      </c>
      <c r="J1321" t="s">
        <v>60</v>
      </c>
      <c r="K1321" s="9">
        <f>Table1[[#This Row], [NUM OF MEM]]*Table1[[#This Row], [TOTAL TIME TAKEN]]*_xlfn.XLOOKUP(Table1[[#This Row], [EXIT]],Sheet1!$A$70:$A$71,Sheet1!$B$70:$B$71)*(1+_xlfn.XLOOKUP(Table1[[#This Row], [EXIT]],Sheet1!$A$70:$A$71,Sheet1!$C$70:$C$71))</f>
        <v>1682447.6874999995</v>
      </c>
      <c r="L1321" s="13" t="s">
        <v>61</v>
      </c>
      <c r="M1321" s="4">
        <f>IF(Table1[[#This Row], [EQUIPMENT]]="YES",Sheet1!$C$44*(1+Sheet1!$D$44),0)</f>
        <v>0</v>
      </c>
      <c r="N1321" s="4">
        <f>_xlfn.XLOOKUP(Table1[[#This Row], [ROOM]],Sheet1!$A$47:$A$66,Sheet1!$F$47:$F$66)</f>
        <v>17450000</v>
      </c>
      <c r="O1321" s="9">
        <f>_xlfn.XLOOKUP(_xlfn.CONCAT(Table1[[#This Row], [TEAM]],Table1[[#This Row], [ROOM]]),'ROOM TIME'!$H$2:$H$121,'ROOM TIME'!$J$2:$J$121)</f>
        <v>38.752777777777773</v>
      </c>
      <c r="P1321" s="9">
        <f>(INDEX(Sheet1!$X$48:$Z$67,MATCH(Table1[[#This Row], [ROOM]],Sheet1!$P$48:$P$67,0),MATCH(Table1[[#This Row], [WEAPON]],Sheet1!$X$47:$Z$47,0)))/Table1[[#This Row], [NUM OF MEM]]</f>
        <v>4.95</v>
      </c>
      <c r="Q1321" s="9">
        <f>Table1[[#This Row], [ROOM TIME]]+Table1[[#This Row], [GUARD TIME]]</f>
        <v>43.702777777777776</v>
      </c>
      <c r="R1321" s="4">
        <f>Sheet1!$K$3*_xlfn.XLOOKUP(Table1[[#This Row], [DISGUISE]],Sheet1!$A$21:$A$23,Sheet1!$D$21:$D$23)</f>
        <v>69</v>
      </c>
      <c r="S1321" s="9">
        <f>Table1[[#This Row], [TOTAL TIME]]-Table1[[#This Row], [TOTAL TIME TAKEN]]</f>
        <v>25.297222222222224</v>
      </c>
      <c r="T1321" t="str">
        <f>IF(Table1[[#This Row], [TIME DIFFERENCE]]&gt;=0,"PASS","FAIL")</f>
        <v>PASS</v>
      </c>
      <c r="U1321" s="9">
        <f>Table1[[#This Row], [TRC]]+Table1[[#This Row], [DRC]]+Table1[[#This Row], [WRC]]+Table1[[#This Row], [ERC]]+Table1[[#This Row], [EQRC]]</f>
        <v>8028597.6875</v>
      </c>
      <c r="V1321" s="9">
        <f>Table1[[#This Row], [TOTAL COST]]+_xlfn.XLOOKUP(Table1[[#This Row], [TEAM]],Sheet1!$A$12:$A$17,Sheet1!$I$12:$I$17)</f>
        <v>8340535.1875</v>
      </c>
      <c r="W1321" s="9">
        <f>Table1[[#This Row], [LOOT]]-Table1[[#This Row], [TOTAL COST]]</f>
        <v>9421402.3125</v>
      </c>
      <c r="X1321" s="9">
        <f>IF(Table1[[#This Row], [PASS/FAIL]]="FAIL",0,Table1[[#This Row], [PROFIT]])</f>
        <v>9421402.3125</v>
      </c>
    </row>
    <row r="1322" spans="1:24" ht="19.5" customHeight="1" x14ac:dyDescent="0.45">
      <c r="A1322" t="s">
        <v>9</v>
      </c>
      <c r="B1322" s="14">
        <f>_xlfn.XLOOKUP(Table1[[#This Row], [TEAM]],Sheet1!$A$12:$A$17,Sheet1!$F$12:$F$17)</f>
        <v>3</v>
      </c>
      <c r="C1322" s="14">
        <f>_xlfn.XLOOKUP(Table1[[#This Row], [TEAM]],Sheet1!$A$12:$A$17,Sheet1!$G$12:$G$17)</f>
        <v>6238750</v>
      </c>
      <c r="D1322" t="s">
        <v>11</v>
      </c>
      <c r="E1322" s="4">
        <f>_xlfn.XLOOKUP(Table1[[#This Row], [ROOM]],Sheet1!$A$47:$A$66,Sheet1!$B$47:$B$66)</f>
        <v>124</v>
      </c>
      <c r="F1322" t="s">
        <v>62</v>
      </c>
      <c r="G132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22" s="13" t="s">
        <v>66</v>
      </c>
      <c r="I1322" s="4">
        <f>_xlfn.XLOOKUP(Table1[[#This Row], [WEAPON]],Sheet1!$A$27:$A$29,Sheet1!$B$27:$B$29)*Table1[[#This Row], [NUM OF MEM]]*(1+_xlfn.XLOOKUP(Table1[[#This Row], [WEAPON]],Sheet1!$A$27:$A$29,Sheet1!$C$27:$C$29))</f>
        <v>108000</v>
      </c>
      <c r="J1322" t="s">
        <v>60</v>
      </c>
      <c r="K1322" s="9">
        <f>Table1[[#This Row], [NUM OF MEM]]*Table1[[#This Row], [TOTAL TIME TAKEN]]*_xlfn.XLOOKUP(Table1[[#This Row], [EXIT]],Sheet1!$A$70:$A$71,Sheet1!$B$70:$B$71)*(1+_xlfn.XLOOKUP(Table1[[#This Row], [EXIT]],Sheet1!$A$70:$A$71,Sheet1!$C$70:$C$71))</f>
        <v>1668331.9375</v>
      </c>
      <c r="L1322" s="13" t="s">
        <v>61</v>
      </c>
      <c r="M1322" s="4">
        <f>IF(Table1[[#This Row], [EQUIPMENT]]="YES",Sheet1!$C$44*(1+Sheet1!$D$44),0)</f>
        <v>0</v>
      </c>
      <c r="N1322" s="4">
        <f>_xlfn.XLOOKUP(Table1[[#This Row], [ROOM]],Sheet1!$A$47:$A$66,Sheet1!$F$47:$F$66)</f>
        <v>17450000</v>
      </c>
      <c r="O1322" s="9">
        <f>_xlfn.XLOOKUP(_xlfn.CONCAT(Table1[[#This Row], [TEAM]],Table1[[#This Row], [ROOM]]),'ROOM TIME'!$H$2:$H$121,'ROOM TIME'!$J$2:$J$121)</f>
        <v>38.752777777777773</v>
      </c>
      <c r="P1322" s="9">
        <f>(INDEX(Sheet1!$X$48:$Z$67,MATCH(Table1[[#This Row], [ROOM]],Sheet1!$P$48:$P$67,0),MATCH(Table1[[#This Row], [WEAPON]],Sheet1!$X$47:$Z$47,0)))/Table1[[#This Row], [NUM OF MEM]]</f>
        <v>4.583333333333333</v>
      </c>
      <c r="Q1322" s="9">
        <f>Table1[[#This Row], [ROOM TIME]]+Table1[[#This Row], [GUARD TIME]]</f>
        <v>43.336111111111109</v>
      </c>
      <c r="R1322" s="4">
        <f>Sheet1!$K$3*_xlfn.XLOOKUP(Table1[[#This Row], [DISGUISE]],Sheet1!$A$21:$A$23,Sheet1!$D$21:$D$23)</f>
        <v>66</v>
      </c>
      <c r="S1322" s="9">
        <f>Table1[[#This Row], [TOTAL TIME]]-Table1[[#This Row], [TOTAL TIME TAKEN]]</f>
        <v>22.663888888888891</v>
      </c>
      <c r="T1322" t="str">
        <f>IF(Table1[[#This Row], [TIME DIFFERENCE]]&gt;=0,"PASS","FAIL")</f>
        <v>PASS</v>
      </c>
      <c r="U1322" s="9">
        <f>Table1[[#This Row], [TRC]]+Table1[[#This Row], [DRC]]+Table1[[#This Row], [WRC]]+Table1[[#This Row], [ERC]]+Table1[[#This Row], [EQRC]]</f>
        <v>8030681.9375</v>
      </c>
      <c r="V1322" s="9">
        <f>Table1[[#This Row], [TOTAL COST]]+_xlfn.XLOOKUP(Table1[[#This Row], [TEAM]],Sheet1!$A$12:$A$17,Sheet1!$I$12:$I$17)</f>
        <v>8342619.4375</v>
      </c>
      <c r="W1322" s="9">
        <f>Table1[[#This Row], [LOOT]]-Table1[[#This Row], [TOTAL COST]]</f>
        <v>9419318.0625</v>
      </c>
      <c r="X1322" s="9">
        <f>IF(Table1[[#This Row], [PASS/FAIL]]="FAIL",0,Table1[[#This Row], [PROFIT]])</f>
        <v>9419318.0625</v>
      </c>
    </row>
    <row r="1323" spans="1:24" ht="19.5" customHeight="1" x14ac:dyDescent="0.45">
      <c r="A1323" t="s">
        <v>13</v>
      </c>
      <c r="B1323" s="14">
        <f>_xlfn.XLOOKUP(Table1[[#This Row], [TEAM]],Sheet1!$A$12:$A$17,Sheet1!$F$12:$F$17)</f>
        <v>3</v>
      </c>
      <c r="C1323" s="14">
        <f>_xlfn.XLOOKUP(Table1[[#This Row], [TEAM]],Sheet1!$A$12:$A$17,Sheet1!$G$12:$G$17)</f>
        <v>5930000</v>
      </c>
      <c r="D1323" t="s">
        <v>31</v>
      </c>
      <c r="E1323" s="4">
        <f>_xlfn.XLOOKUP(Table1[[#This Row], [ROOM]],Sheet1!$A$47:$A$66,Sheet1!$B$47:$B$66)</f>
        <v>256</v>
      </c>
      <c r="F1323" t="s">
        <v>58</v>
      </c>
      <c r="G1323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3" s="13" t="s">
        <v>59</v>
      </c>
      <c r="I1323" s="4">
        <f>_xlfn.XLOOKUP(Table1[[#This Row], [WEAPON]],Sheet1!$A$27:$A$29,Sheet1!$B$27:$B$29)*Table1[[#This Row], [NUM OF MEM]]*(1+_xlfn.XLOOKUP(Table1[[#This Row], [WEAPON]],Sheet1!$A$27:$A$29,Sheet1!$C$27:$C$29))</f>
        <v>136500</v>
      </c>
      <c r="J1323" t="s">
        <v>60</v>
      </c>
      <c r="K1323" s="9">
        <f>Table1[[#This Row], [NUM OF MEM]]*Table1[[#This Row], [TOTAL TIME TAKEN]]*_xlfn.XLOOKUP(Table1[[#This Row], [EXIT]],Sheet1!$A$70:$A$71,Sheet1!$B$70:$B$71)*(1+_xlfn.XLOOKUP(Table1[[#This Row], [EXIT]],Sheet1!$A$70:$A$71,Sheet1!$C$70:$C$71))</f>
        <v>1671347.5749999997</v>
      </c>
      <c r="L1323" s="13" t="s">
        <v>65</v>
      </c>
      <c r="M1323" s="4">
        <f>IF(Table1[[#This Row], [EQUIPMENT]]="YES",Sheet1!$C$44*(1+Sheet1!$D$44),0)</f>
        <v>307500</v>
      </c>
      <c r="N1323" s="4">
        <f>_xlfn.XLOOKUP(Table1[[#This Row], [ROOM]],Sheet1!$A$47:$A$66,Sheet1!$F$47:$F$66)</f>
        <v>17500000</v>
      </c>
      <c r="O1323" s="9">
        <f>_xlfn.XLOOKUP(_xlfn.CONCAT(Table1[[#This Row], [TEAM]],Table1[[#This Row], [ROOM]]),'ROOM TIME'!$H$2:$H$121,'ROOM TIME'!$J$2:$J$121)</f>
        <v>39.197777777777766</v>
      </c>
      <c r="P1323" s="9">
        <f>(INDEX(Sheet1!$X$48:$Z$67,MATCH(Table1[[#This Row], [ROOM]],Sheet1!$P$48:$P$67,0),MATCH(Table1[[#This Row], [WEAPON]],Sheet1!$X$47:$Z$47,0)))/Table1[[#This Row], [NUM OF MEM]]</f>
        <v>4.2166666666666659</v>
      </c>
      <c r="Q1323" s="9">
        <f>Table1[[#This Row], [ROOM TIME]]+Table1[[#This Row], [GUARD TIME]]</f>
        <v>43.414444444444435</v>
      </c>
      <c r="R1323" s="4">
        <f>Sheet1!$K$3*_xlfn.XLOOKUP(Table1[[#This Row], [DISGUISE]],Sheet1!$A$21:$A$23,Sheet1!$D$21:$D$23)</f>
        <v>69</v>
      </c>
      <c r="S1323" s="9">
        <f>Table1[[#This Row], [TOTAL TIME]]-Table1[[#This Row], [TOTAL TIME TAKEN]]</f>
        <v>25.585555555555565</v>
      </c>
      <c r="T1323" t="str">
        <f>IF(Table1[[#This Row], [TIME DIFFERENCE]]&gt;=0,"PASS","FAIL")</f>
        <v>PASS</v>
      </c>
      <c r="U1323" s="9">
        <f>Table1[[#This Row], [TRC]]+Table1[[#This Row], [DRC]]+Table1[[#This Row], [WRC]]+Table1[[#This Row], [ERC]]+Table1[[#This Row], [EQRC]]</f>
        <v>8083747.5749999993</v>
      </c>
      <c r="V1323" s="9">
        <f>Table1[[#This Row], [TOTAL COST]]+_xlfn.XLOOKUP(Table1[[#This Row], [TEAM]],Sheet1!$A$12:$A$17,Sheet1!$I$12:$I$17)</f>
        <v>8380247.5749999993</v>
      </c>
      <c r="W1323" s="9">
        <f>Table1[[#This Row], [LOOT]]-Table1[[#This Row], [TOTAL COST]]</f>
        <v>9416252.4250000007</v>
      </c>
      <c r="X1323" s="9">
        <f>IF(Table1[[#This Row], [PASS/FAIL]]="FAIL",0,Table1[[#This Row], [PROFIT]])</f>
        <v>9416252.4250000007</v>
      </c>
    </row>
    <row r="1324" spans="1:24" ht="19.5" customHeight="1" x14ac:dyDescent="0.45">
      <c r="A1324" t="s">
        <v>13</v>
      </c>
      <c r="B1324" s="14">
        <f>_xlfn.XLOOKUP(Table1[[#This Row], [TEAM]],Sheet1!$A$12:$A$17,Sheet1!$F$12:$F$17)</f>
        <v>3</v>
      </c>
      <c r="C1324" s="14">
        <f>_xlfn.XLOOKUP(Table1[[#This Row], [TEAM]],Sheet1!$A$12:$A$17,Sheet1!$G$12:$G$17)</f>
        <v>5930000</v>
      </c>
      <c r="D1324" t="s">
        <v>20</v>
      </c>
      <c r="E1324" s="4">
        <f>_xlfn.XLOOKUP(Table1[[#This Row], [ROOM]],Sheet1!$A$47:$A$66,Sheet1!$B$47:$B$66)</f>
        <v>145</v>
      </c>
      <c r="F1324" t="s">
        <v>58</v>
      </c>
      <c r="G1324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4" s="13" t="s">
        <v>63</v>
      </c>
      <c r="I1324" s="4">
        <f>_xlfn.XLOOKUP(Table1[[#This Row], [WEAPON]],Sheet1!$A$27:$A$29,Sheet1!$B$27:$B$29)*Table1[[#This Row], [NUM OF MEM]]*(1+_xlfn.XLOOKUP(Table1[[#This Row], [WEAPON]],Sheet1!$A$27:$A$29,Sheet1!$C$27:$C$29))</f>
        <v>69000</v>
      </c>
      <c r="J1324" t="s">
        <v>64</v>
      </c>
      <c r="K1324" s="9">
        <f>Table1[[#This Row], [NUM OF MEM]]*Table1[[#This Row], [TOTAL TIME TAKEN]]*_xlfn.XLOOKUP(Table1[[#This Row], [EXIT]],Sheet1!$A$70:$A$71,Sheet1!$B$70:$B$71)*(1+_xlfn.XLOOKUP(Table1[[#This Row], [EXIT]],Sheet1!$A$70:$A$71,Sheet1!$C$70:$C$71))</f>
        <v>1790164.7999999993</v>
      </c>
      <c r="L1324" s="13" t="s">
        <v>65</v>
      </c>
      <c r="M1324" s="4">
        <f>IF(Table1[[#This Row], [EQUIPMENT]]="YES",Sheet1!$C$44*(1+Sheet1!$D$44),0)</f>
        <v>307500</v>
      </c>
      <c r="N1324" s="4">
        <f>_xlfn.XLOOKUP(Table1[[#This Row], [ROOM]],Sheet1!$A$47:$A$66,Sheet1!$F$47:$F$66)</f>
        <v>17550000</v>
      </c>
      <c r="O1324" s="9">
        <f>_xlfn.XLOOKUP(_xlfn.CONCAT(Table1[[#This Row], [TEAM]],Table1[[#This Row], [ROOM]]),'ROOM TIME'!$H$2:$H$121,'ROOM TIME'!$J$2:$J$121)</f>
        <v>41.543333333333322</v>
      </c>
      <c r="P1324" s="9">
        <f>(INDEX(Sheet1!$X$48:$Z$67,MATCH(Table1[[#This Row], [ROOM]],Sheet1!$P$48:$P$67,0),MATCH(Table1[[#This Row], [WEAPON]],Sheet1!$X$47:$Z$47,0)))/Table1[[#This Row], [NUM OF MEM]]</f>
        <v>4.5</v>
      </c>
      <c r="Q1324" s="9">
        <f>Table1[[#This Row], [ROOM TIME]]+Table1[[#This Row], [GUARD TIME]]</f>
        <v>46.043333333333322</v>
      </c>
      <c r="R1324" s="4">
        <f>Sheet1!$K$3*_xlfn.XLOOKUP(Table1[[#This Row], [DISGUISE]],Sheet1!$A$21:$A$23,Sheet1!$D$21:$D$23)</f>
        <v>69</v>
      </c>
      <c r="S1324" s="9">
        <f>Table1[[#This Row], [TOTAL TIME]]-Table1[[#This Row], [TOTAL TIME TAKEN]]</f>
        <v>22.956666666666678</v>
      </c>
      <c r="T1324" t="str">
        <f>IF(Table1[[#This Row], [TIME DIFFERENCE]]&gt;=0,"PASS","FAIL")</f>
        <v>PASS</v>
      </c>
      <c r="U1324" s="9">
        <f>Table1[[#This Row], [TRC]]+Table1[[#This Row], [DRC]]+Table1[[#This Row], [WRC]]+Table1[[#This Row], [ERC]]+Table1[[#This Row], [EQRC]]</f>
        <v>8135064.7999999989</v>
      </c>
      <c r="V1324" s="9">
        <f>Table1[[#This Row], [TOTAL COST]]+_xlfn.XLOOKUP(Table1[[#This Row], [TEAM]],Sheet1!$A$12:$A$17,Sheet1!$I$12:$I$17)</f>
        <v>8431564.7999999989</v>
      </c>
      <c r="W1324" s="9">
        <f>Table1[[#This Row], [LOOT]]-Table1[[#This Row], [TOTAL COST]]</f>
        <v>9414935.2000000011</v>
      </c>
      <c r="X1324" s="9">
        <f>IF(Table1[[#This Row], [PASS/FAIL]]="FAIL",0,Table1[[#This Row], [PROFIT]])</f>
        <v>9414935.2000000011</v>
      </c>
    </row>
    <row r="1325" spans="1:24" ht="19.5" customHeight="1" x14ac:dyDescent="0.45">
      <c r="A1325" t="s">
        <v>16</v>
      </c>
      <c r="B1325" s="14">
        <f>_xlfn.XLOOKUP(Table1[[#This Row], [TEAM]],Sheet1!$A$12:$A$17,Sheet1!$F$12:$F$17)</f>
        <v>2</v>
      </c>
      <c r="C1325" s="14">
        <f>_xlfn.XLOOKUP(Table1[[#This Row], [TEAM]],Sheet1!$A$12:$A$17,Sheet1!$G$12:$G$17)</f>
        <v>6082800</v>
      </c>
      <c r="D1325" t="s">
        <v>25</v>
      </c>
      <c r="E1325" s="4">
        <f>_xlfn.XLOOKUP(Table1[[#This Row], [ROOM]],Sheet1!$A$47:$A$66,Sheet1!$B$47:$B$66)</f>
        <v>126</v>
      </c>
      <c r="F1325" t="s">
        <v>58</v>
      </c>
      <c r="G1325" s="4">
        <f>_xlfn.XLOOKUP(Table1[[#This Row], [DISGUISE]],Sheet1!$A$21:$A$23,Sheet1!$B$21:$B$23)*Table1[[#This Row], [NUM OF MEM]]*(1+_xlfn.XLOOKUP(Table1[[#This Row], [DISGUISE]],Sheet1!$A$21:$A$23,Sheet1!$C$21:$C$23))</f>
        <v>25600</v>
      </c>
      <c r="H1325" s="13" t="s">
        <v>66</v>
      </c>
      <c r="I1325" s="4">
        <f>_xlfn.XLOOKUP(Table1[[#This Row], [WEAPON]],Sheet1!$A$27:$A$29,Sheet1!$B$27:$B$29)*Table1[[#This Row], [NUM OF MEM]]*(1+_xlfn.XLOOKUP(Table1[[#This Row], [WEAPON]],Sheet1!$A$27:$A$29,Sheet1!$C$27:$C$29))</f>
        <v>72000</v>
      </c>
      <c r="J1325" t="s">
        <v>60</v>
      </c>
      <c r="K1325" s="9">
        <f>Table1[[#This Row], [NUM OF MEM]]*Table1[[#This Row], [TOTAL TIME TAKEN]]*_xlfn.XLOOKUP(Table1[[#This Row], [EXIT]],Sheet1!$A$70:$A$71,Sheet1!$B$70:$B$71)*(1+_xlfn.XLOOKUP(Table1[[#This Row], [EXIT]],Sheet1!$A$70:$A$71,Sheet1!$C$70:$C$71))</f>
        <v>1647596.7562499996</v>
      </c>
      <c r="L1325" s="13" t="s">
        <v>65</v>
      </c>
      <c r="M1325" s="4">
        <f>IF(Table1[[#This Row], [EQUIPMENT]]="YES",Sheet1!$C$44*(1+Sheet1!$D$44),0)</f>
        <v>307500</v>
      </c>
      <c r="N1325" s="4">
        <f>_xlfn.XLOOKUP(Table1[[#This Row], [ROOM]],Sheet1!$A$47:$A$66,Sheet1!$F$47:$F$66)</f>
        <v>17550000</v>
      </c>
      <c r="O1325" s="9">
        <f>_xlfn.XLOOKUP(_xlfn.CONCAT(Table1[[#This Row], [TEAM]],Table1[[#This Row], [ROOM]]),'ROOM TIME'!$H$2:$H$121,'ROOM TIME'!$J$2:$J$121)</f>
        <v>57.321249999999985</v>
      </c>
      <c r="P1325" s="9">
        <f>(INDEX(Sheet1!$X$48:$Z$67,MATCH(Table1[[#This Row], [ROOM]],Sheet1!$P$48:$P$67,0),MATCH(Table1[[#This Row], [WEAPON]],Sheet1!$X$47:$Z$47,0)))/Table1[[#This Row], [NUM OF MEM]]</f>
        <v>6.875</v>
      </c>
      <c r="Q1325" s="9">
        <f>Table1[[#This Row], [ROOM TIME]]+Table1[[#This Row], [GUARD TIME]]</f>
        <v>64.196249999999992</v>
      </c>
      <c r="R1325" s="4">
        <f>Sheet1!$K$3*_xlfn.XLOOKUP(Table1[[#This Row], [DISGUISE]],Sheet1!$A$21:$A$23,Sheet1!$D$21:$D$23)</f>
        <v>69</v>
      </c>
      <c r="S1325" s="9">
        <f>Table1[[#This Row], [TOTAL TIME]]-Table1[[#This Row], [TOTAL TIME TAKEN]]</f>
        <v>4.803750000000008</v>
      </c>
      <c r="T1325" t="str">
        <f>IF(Table1[[#This Row], [TIME DIFFERENCE]]&gt;=0,"PASS","FAIL")</f>
        <v>PASS</v>
      </c>
      <c r="U1325" s="9">
        <f>Table1[[#This Row], [TRC]]+Table1[[#This Row], [DRC]]+Table1[[#This Row], [WRC]]+Table1[[#This Row], [ERC]]+Table1[[#This Row], [EQRC]]</f>
        <v>8135496.7562499996</v>
      </c>
      <c r="V1325" s="9">
        <f>Table1[[#This Row], [TOTAL COST]]+_xlfn.XLOOKUP(Table1[[#This Row], [TEAM]],Sheet1!$A$12:$A$17,Sheet1!$I$12:$I$17)</f>
        <v>8439636.7562499996</v>
      </c>
      <c r="W1325" s="9">
        <f>Table1[[#This Row], [LOOT]]-Table1[[#This Row], [TOTAL COST]]</f>
        <v>9414503.2437500004</v>
      </c>
      <c r="X1325" s="9">
        <f>IF(Table1[[#This Row], [PASS/FAIL]]="FAIL",0,Table1[[#This Row], [PROFIT]])</f>
        <v>9414503.2437500004</v>
      </c>
    </row>
    <row r="1326" spans="1:24" ht="19.5" customHeight="1" x14ac:dyDescent="0.45">
      <c r="A1326" t="s">
        <v>12</v>
      </c>
      <c r="B1326" s="14">
        <f>_xlfn.XLOOKUP(Table1[[#This Row], [TEAM]],Sheet1!$A$12:$A$17,Sheet1!$F$12:$F$17)</f>
        <v>3</v>
      </c>
      <c r="C1326" s="14">
        <f>_xlfn.XLOOKUP(Table1[[#This Row], [TEAM]],Sheet1!$A$12:$A$17,Sheet1!$G$12:$G$17)</f>
        <v>5988750</v>
      </c>
      <c r="D1326" t="s">
        <v>31</v>
      </c>
      <c r="E1326" s="4">
        <f>_xlfn.XLOOKUP(Table1[[#This Row], [ROOM]],Sheet1!$A$47:$A$66,Sheet1!$B$47:$B$66)</f>
        <v>256</v>
      </c>
      <c r="F1326" t="s">
        <v>58</v>
      </c>
      <c r="G132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6" s="13" t="s">
        <v>59</v>
      </c>
      <c r="I1326" s="4">
        <f>_xlfn.XLOOKUP(Table1[[#This Row], [WEAPON]],Sheet1!$A$27:$A$29,Sheet1!$B$27:$B$29)*Table1[[#This Row], [NUM OF MEM]]*(1+_xlfn.XLOOKUP(Table1[[#This Row], [WEAPON]],Sheet1!$A$27:$A$29,Sheet1!$C$27:$C$29))</f>
        <v>136500</v>
      </c>
      <c r="J1326" t="s">
        <v>64</v>
      </c>
      <c r="K1326" s="9">
        <f>Table1[[#This Row], [NUM OF MEM]]*Table1[[#This Row], [TOTAL TIME TAKEN]]*_xlfn.XLOOKUP(Table1[[#This Row], [EXIT]],Sheet1!$A$70:$A$71,Sheet1!$B$70:$B$71)*(1+_xlfn.XLOOKUP(Table1[[#This Row], [EXIT]],Sheet1!$A$70:$A$71,Sheet1!$C$70:$C$71))</f>
        <v>1614686.3999999994</v>
      </c>
      <c r="L1326" s="13" t="s">
        <v>65</v>
      </c>
      <c r="M1326" s="4">
        <f>IF(Table1[[#This Row], [EQUIPMENT]]="YES",Sheet1!$C$44*(1+Sheet1!$D$44),0)</f>
        <v>307500</v>
      </c>
      <c r="N1326" s="4">
        <f>_xlfn.XLOOKUP(Table1[[#This Row], [ROOM]],Sheet1!$A$47:$A$66,Sheet1!$F$47:$F$66)</f>
        <v>17500000</v>
      </c>
      <c r="O1326" s="9">
        <f>_xlfn.XLOOKUP(_xlfn.CONCAT(Table1[[#This Row], [TEAM]],Table1[[#This Row], [ROOM]]),'ROOM TIME'!$H$2:$H$121,'ROOM TIME'!$J$2:$J$121)</f>
        <v>37.313333333333318</v>
      </c>
      <c r="P1326" s="9">
        <f>(INDEX(Sheet1!$X$48:$Z$67,MATCH(Table1[[#This Row], [ROOM]],Sheet1!$P$48:$P$67,0),MATCH(Table1[[#This Row], [WEAPON]],Sheet1!$X$47:$Z$47,0)))/Table1[[#This Row], [NUM OF MEM]]</f>
        <v>4.2166666666666659</v>
      </c>
      <c r="Q1326" s="9">
        <f>Table1[[#This Row], [ROOM TIME]]+Table1[[#This Row], [GUARD TIME]]</f>
        <v>41.529999999999987</v>
      </c>
      <c r="R1326" s="4">
        <f>Sheet1!$K$3*_xlfn.XLOOKUP(Table1[[#This Row], [DISGUISE]],Sheet1!$A$21:$A$23,Sheet1!$D$21:$D$23)</f>
        <v>69</v>
      </c>
      <c r="S1326" s="9">
        <f>Table1[[#This Row], [TOTAL TIME]]-Table1[[#This Row], [TOTAL TIME TAKEN]]</f>
        <v>27.470000000000013</v>
      </c>
      <c r="T1326" t="str">
        <f>IF(Table1[[#This Row], [TIME DIFFERENCE]]&gt;=0,"PASS","FAIL")</f>
        <v>PASS</v>
      </c>
      <c r="U1326" s="9">
        <f>Table1[[#This Row], [TRC]]+Table1[[#This Row], [DRC]]+Table1[[#This Row], [WRC]]+Table1[[#This Row], [ERC]]+Table1[[#This Row], [EQRC]]</f>
        <v>8085836.3999999994</v>
      </c>
      <c r="V1326" s="9">
        <f>Table1[[#This Row], [TOTAL COST]]+_xlfn.XLOOKUP(Table1[[#This Row], [TEAM]],Sheet1!$A$12:$A$17,Sheet1!$I$12:$I$17)</f>
        <v>8385273.8999999994</v>
      </c>
      <c r="W1326" s="9">
        <f>Table1[[#This Row], [LOOT]]-Table1[[#This Row], [TOTAL COST]]</f>
        <v>9414163.6000000015</v>
      </c>
      <c r="X1326" s="9">
        <f>IF(Table1[[#This Row], [PASS/FAIL]]="FAIL",0,Table1[[#This Row], [PROFIT]])</f>
        <v>9414163.6000000015</v>
      </c>
    </row>
    <row r="1327" spans="1:24" ht="19.5" customHeight="1" x14ac:dyDescent="0.45">
      <c r="A1327" t="s">
        <v>13</v>
      </c>
      <c r="B1327" s="14">
        <f>_xlfn.XLOOKUP(Table1[[#This Row], [TEAM]],Sheet1!$A$12:$A$17,Sheet1!$F$12:$F$17)</f>
        <v>3</v>
      </c>
      <c r="C1327" s="14">
        <f>_xlfn.XLOOKUP(Table1[[#This Row], [TEAM]],Sheet1!$A$12:$A$17,Sheet1!$G$12:$G$17)</f>
        <v>5930000</v>
      </c>
      <c r="D1327" t="s">
        <v>31</v>
      </c>
      <c r="E1327" s="4">
        <f>_xlfn.XLOOKUP(Table1[[#This Row], [ROOM]],Sheet1!$A$47:$A$66,Sheet1!$B$47:$B$66)</f>
        <v>256</v>
      </c>
      <c r="F1327" t="s">
        <v>58</v>
      </c>
      <c r="G1327" s="4">
        <f>_xlfn.XLOOKUP(Table1[[#This Row], [DISGUISE]],Sheet1!$A$21:$A$23,Sheet1!$B$21:$B$23)*Table1[[#This Row], [NUM OF MEM]]*(1+_xlfn.XLOOKUP(Table1[[#This Row], [DISGUISE]],Sheet1!$A$21:$A$23,Sheet1!$C$21:$C$23))</f>
        <v>38400</v>
      </c>
      <c r="H1327" s="13" t="s">
        <v>66</v>
      </c>
      <c r="I1327" s="4">
        <f>_xlfn.XLOOKUP(Table1[[#This Row], [WEAPON]],Sheet1!$A$27:$A$29,Sheet1!$B$27:$B$29)*Table1[[#This Row], [NUM OF MEM]]*(1+_xlfn.XLOOKUP(Table1[[#This Row], [WEAPON]],Sheet1!$A$27:$A$29,Sheet1!$C$27:$C$29))</f>
        <v>108000</v>
      </c>
      <c r="J1327" t="s">
        <v>64</v>
      </c>
      <c r="K1327" s="9">
        <f>Table1[[#This Row], [NUM OF MEM]]*Table1[[#This Row], [TOTAL TIME TAKEN]]*_xlfn.XLOOKUP(Table1[[#This Row], [EXIT]],Sheet1!$A$70:$A$71,Sheet1!$B$70:$B$71)*(1+_xlfn.XLOOKUP(Table1[[#This Row], [EXIT]],Sheet1!$A$70:$A$71,Sheet1!$C$70:$C$71))</f>
        <v>1702209.5999999996</v>
      </c>
      <c r="L1327" s="13" t="s">
        <v>65</v>
      </c>
      <c r="M1327" s="4">
        <f>IF(Table1[[#This Row], [EQUIPMENT]]="YES",Sheet1!$C$44*(1+Sheet1!$D$44),0)</f>
        <v>307500</v>
      </c>
      <c r="N1327" s="4">
        <f>_xlfn.XLOOKUP(Table1[[#This Row], [ROOM]],Sheet1!$A$47:$A$66,Sheet1!$F$47:$F$66)</f>
        <v>17500000</v>
      </c>
      <c r="O1327" s="9">
        <f>_xlfn.XLOOKUP(_xlfn.CONCAT(Table1[[#This Row], [TEAM]],Table1[[#This Row], [ROOM]]),'ROOM TIME'!$H$2:$H$121,'ROOM TIME'!$J$2:$J$121)</f>
        <v>39.197777777777766</v>
      </c>
      <c r="P1327" s="9">
        <f>(INDEX(Sheet1!$X$48:$Z$67,MATCH(Table1[[#This Row], [ROOM]],Sheet1!$P$48:$P$67,0),MATCH(Table1[[#This Row], [WEAPON]],Sheet1!$X$47:$Z$47,0)))/Table1[[#This Row], [NUM OF MEM]]</f>
        <v>4.583333333333333</v>
      </c>
      <c r="Q1327" s="9">
        <f>Table1[[#This Row], [ROOM TIME]]+Table1[[#This Row], [GUARD TIME]]</f>
        <v>43.781111111111102</v>
      </c>
      <c r="R1327" s="4">
        <f>Sheet1!$K$3*_xlfn.XLOOKUP(Table1[[#This Row], [DISGUISE]],Sheet1!$A$21:$A$23,Sheet1!$D$21:$D$23)</f>
        <v>69</v>
      </c>
      <c r="S1327" s="9">
        <f>Table1[[#This Row], [TOTAL TIME]]-Table1[[#This Row], [TOTAL TIME TAKEN]]</f>
        <v>25.218888888888898</v>
      </c>
      <c r="T1327" t="str">
        <f>IF(Table1[[#This Row], [TIME DIFFERENCE]]&gt;=0,"PASS","FAIL")</f>
        <v>PASS</v>
      </c>
      <c r="U1327" s="9">
        <f>Table1[[#This Row], [TRC]]+Table1[[#This Row], [DRC]]+Table1[[#This Row], [WRC]]+Table1[[#This Row], [ERC]]+Table1[[#This Row], [EQRC]]</f>
        <v>8086109.5999999996</v>
      </c>
      <c r="V1327" s="9">
        <f>Table1[[#This Row], [TOTAL COST]]+_xlfn.XLOOKUP(Table1[[#This Row], [TEAM]],Sheet1!$A$12:$A$17,Sheet1!$I$12:$I$17)</f>
        <v>8382609.5999999996</v>
      </c>
      <c r="W1327" s="9">
        <f>Table1[[#This Row], [LOOT]]-Table1[[#This Row], [TOTAL COST]]</f>
        <v>9413890.4000000004</v>
      </c>
      <c r="X1327" s="9">
        <f>IF(Table1[[#This Row], [PASS/FAIL]]="FAIL",0,Table1[[#This Row], [PROFIT]])</f>
        <v>9413890.4000000004</v>
      </c>
    </row>
    <row r="1328" spans="1:24" ht="19.5" customHeight="1" x14ac:dyDescent="0.45">
      <c r="A1328" t="s">
        <v>12</v>
      </c>
      <c r="B1328" s="14">
        <f>_xlfn.XLOOKUP(Table1[[#This Row], [TEAM]],Sheet1!$A$12:$A$17,Sheet1!$F$12:$F$17)</f>
        <v>3</v>
      </c>
      <c r="C1328" s="14">
        <f>_xlfn.XLOOKUP(Table1[[#This Row], [TEAM]],Sheet1!$A$12:$A$17,Sheet1!$G$12:$G$17)</f>
        <v>5988750</v>
      </c>
      <c r="D1328" t="s">
        <v>20</v>
      </c>
      <c r="E1328" s="4">
        <f>_xlfn.XLOOKUP(Table1[[#This Row], [ROOM]],Sheet1!$A$47:$A$66,Sheet1!$B$47:$B$66)</f>
        <v>145</v>
      </c>
      <c r="F1328" t="s">
        <v>62</v>
      </c>
      <c r="G1328" s="4">
        <f>_xlfn.XLOOKUP(Table1[[#This Row], [DISGUISE]],Sheet1!$A$21:$A$23,Sheet1!$B$21:$B$23)*Table1[[#This Row], [NUM OF MEM]]*(1+_xlfn.XLOOKUP(Table1[[#This Row], [DISGUISE]],Sheet1!$A$21:$A$23,Sheet1!$C$21:$C$23))</f>
        <v>15600</v>
      </c>
      <c r="H1328" s="13" t="s">
        <v>59</v>
      </c>
      <c r="I1328" s="4">
        <f>_xlfn.XLOOKUP(Table1[[#This Row], [WEAPON]],Sheet1!$A$27:$A$29,Sheet1!$B$27:$B$29)*Table1[[#This Row], [NUM OF MEM]]*(1+_xlfn.XLOOKUP(Table1[[#This Row], [WEAPON]],Sheet1!$A$27:$A$29,Sheet1!$C$27:$C$29))</f>
        <v>136500</v>
      </c>
      <c r="J1328" t="s">
        <v>64</v>
      </c>
      <c r="K1328" s="9">
        <f>Table1[[#This Row], [NUM OF MEM]]*Table1[[#This Row], [TOTAL TIME TAKEN]]*_xlfn.XLOOKUP(Table1[[#This Row], [EXIT]],Sheet1!$A$70:$A$71,Sheet1!$B$70:$B$71)*(1+_xlfn.XLOOKUP(Table1[[#This Row], [EXIT]],Sheet1!$A$70:$A$71,Sheet1!$C$70:$C$71))</f>
        <v>1688039.9999999998</v>
      </c>
      <c r="L1328" s="13" t="s">
        <v>65</v>
      </c>
      <c r="M1328" s="4">
        <f>IF(Table1[[#This Row], [EQUIPMENT]]="YES",Sheet1!$C$44*(1+Sheet1!$D$44),0)</f>
        <v>307500</v>
      </c>
      <c r="N1328" s="4">
        <f>_xlfn.XLOOKUP(Table1[[#This Row], [ROOM]],Sheet1!$A$47:$A$66,Sheet1!$F$47:$F$66)</f>
        <v>17550000</v>
      </c>
      <c r="O1328" s="9">
        <f>_xlfn.XLOOKUP(_xlfn.CONCAT(Table1[[#This Row], [TEAM]],Table1[[#This Row], [ROOM]]),'ROOM TIME'!$H$2:$H$121,'ROOM TIME'!$J$2:$J$121)</f>
        <v>39.583333333333321</v>
      </c>
      <c r="P1328" s="9">
        <f>(INDEX(Sheet1!$X$48:$Z$67,MATCH(Table1[[#This Row], [ROOM]],Sheet1!$P$48:$P$67,0),MATCH(Table1[[#This Row], [WEAPON]],Sheet1!$X$47:$Z$47,0)))/Table1[[#This Row], [NUM OF MEM]]</f>
        <v>3.8333333333333335</v>
      </c>
      <c r="Q1328" s="9">
        <f>Table1[[#This Row], [ROOM TIME]]+Table1[[#This Row], [GUARD TIME]]</f>
        <v>43.416666666666657</v>
      </c>
      <c r="R1328" s="4">
        <f>Sheet1!$K$3*_xlfn.XLOOKUP(Table1[[#This Row], [DISGUISE]],Sheet1!$A$21:$A$23,Sheet1!$D$21:$D$23)</f>
        <v>66</v>
      </c>
      <c r="S1328" s="9">
        <f>Table1[[#This Row], [TOTAL TIME]]-Table1[[#This Row], [TOTAL TIME TAKEN]]</f>
        <v>22.583333333333343</v>
      </c>
      <c r="T1328" t="str">
        <f>IF(Table1[[#This Row], [TIME DIFFERENCE]]&gt;=0,"PASS","FAIL")</f>
        <v>PASS</v>
      </c>
      <c r="U1328" s="4">
        <f>Table1[[#This Row], [TRC]]+Table1[[#This Row], [DRC]]+Table1[[#This Row], [WRC]]+Table1[[#This Row], [ERC]]+Table1[[#This Row], [EQRC]]</f>
        <v>8136390</v>
      </c>
      <c r="V1328" s="9">
        <f>Table1[[#This Row], [TOTAL COST]]+_xlfn.XLOOKUP(Table1[[#This Row], [TEAM]],Sheet1!$A$12:$A$17,Sheet1!$I$12:$I$17)</f>
        <v>8435827.5</v>
      </c>
      <c r="W1328" s="4">
        <f>Table1[[#This Row], [LOOT]]-Table1[[#This Row], [TOTAL COST]]</f>
        <v>9413610</v>
      </c>
      <c r="X1328" s="4">
        <f>IF(Table1[[#This Row], [PASS/FAIL]]="FAIL",0,Table1[[#This Row], [PROFIT]])</f>
        <v>9413610</v>
      </c>
    </row>
    <row r="1329" spans="1:24" ht="19.5" customHeight="1" x14ac:dyDescent="0.45">
      <c r="A1329" t="s">
        <v>13</v>
      </c>
      <c r="B1329" s="14">
        <f>_xlfn.XLOOKUP(Table1[[#This Row], [TEAM]],Sheet1!$A$12:$A$17,Sheet1!$F$12:$F$17)</f>
        <v>3</v>
      </c>
      <c r="C1329" s="14">
        <f>_xlfn.XLOOKUP(Table1[[#This Row], [TEAM]],Sheet1!$A$12:$A$17,Sheet1!$G$12:$G$17)</f>
        <v>5930000</v>
      </c>
      <c r="D1329" t="s">
        <v>20</v>
      </c>
      <c r="E1329" s="4">
        <f>_xlfn.XLOOKUP(Table1[[#This Row], [ROOM]],Sheet1!$A$47:$A$66,Sheet1!$B$47:$B$66)</f>
        <v>145</v>
      </c>
      <c r="F1329" t="s">
        <v>62</v>
      </c>
      <c r="G1329" s="4">
        <f>_xlfn.XLOOKUP(Table1[[#This Row], [DISGUISE]],Sheet1!$A$21:$A$23,Sheet1!$B$21:$B$23)*Table1[[#This Row], [NUM OF MEM]]*(1+_xlfn.XLOOKUP(Table1[[#This Row], [DISGUISE]],Sheet1!$A$21:$A$23,Sheet1!$C$21:$C$23))</f>
        <v>15600</v>
      </c>
      <c r="H1329" s="13" t="s">
        <v>59</v>
      </c>
      <c r="I1329" s="4">
        <f>_xlfn.XLOOKUP(Table1[[#This Row], [WEAPON]],Sheet1!$A$27:$A$29,Sheet1!$B$27:$B$29)*Table1[[#This Row], [NUM OF MEM]]*(1+_xlfn.XLOOKUP(Table1[[#This Row], [WEAPON]],Sheet1!$A$27:$A$29,Sheet1!$C$27:$C$29))</f>
        <v>136500</v>
      </c>
      <c r="J1329" t="s">
        <v>60</v>
      </c>
      <c r="K1329" s="9">
        <f>Table1[[#This Row], [NUM OF MEM]]*Table1[[#This Row], [TOTAL TIME TAKEN]]*_xlfn.XLOOKUP(Table1[[#This Row], [EXIT]],Sheet1!$A$70:$A$71,Sheet1!$B$70:$B$71)*(1+_xlfn.XLOOKUP(Table1[[#This Row], [EXIT]],Sheet1!$A$70:$A$71,Sheet1!$C$70:$C$71))</f>
        <v>1746888.2249999996</v>
      </c>
      <c r="L1329" s="13" t="s">
        <v>65</v>
      </c>
      <c r="M1329" s="4">
        <f>IF(Table1[[#This Row], [EQUIPMENT]]="YES",Sheet1!$C$44*(1+Sheet1!$D$44),0)</f>
        <v>307500</v>
      </c>
      <c r="N1329" s="4">
        <f>_xlfn.XLOOKUP(Table1[[#This Row], [ROOM]],Sheet1!$A$47:$A$66,Sheet1!$F$47:$F$66)</f>
        <v>17550000</v>
      </c>
      <c r="O1329" s="9">
        <f>_xlfn.XLOOKUP(_xlfn.CONCAT(Table1[[#This Row], [TEAM]],Table1[[#This Row], [ROOM]]),'ROOM TIME'!$H$2:$H$121,'ROOM TIME'!$J$2:$J$121)</f>
        <v>41.543333333333322</v>
      </c>
      <c r="P1329" s="9">
        <f>(INDEX(Sheet1!$X$48:$Z$67,MATCH(Table1[[#This Row], [ROOM]],Sheet1!$P$48:$P$67,0),MATCH(Table1[[#This Row], [WEAPON]],Sheet1!$X$47:$Z$47,0)))/Table1[[#This Row], [NUM OF MEM]]</f>
        <v>3.8333333333333335</v>
      </c>
      <c r="Q1329" s="9">
        <f>Table1[[#This Row], [ROOM TIME]]+Table1[[#This Row], [GUARD TIME]]</f>
        <v>45.376666666666658</v>
      </c>
      <c r="R1329" s="4">
        <f>Sheet1!$K$3*_xlfn.XLOOKUP(Table1[[#This Row], [DISGUISE]],Sheet1!$A$21:$A$23,Sheet1!$D$21:$D$23)</f>
        <v>66</v>
      </c>
      <c r="S1329" s="9">
        <f>Table1[[#This Row], [TOTAL TIME]]-Table1[[#This Row], [TOTAL TIME TAKEN]]</f>
        <v>20.623333333333342</v>
      </c>
      <c r="T1329" t="str">
        <f>IF(Table1[[#This Row], [TIME DIFFERENCE]]&gt;=0,"PASS","FAIL")</f>
        <v>PASS</v>
      </c>
      <c r="U1329" s="9">
        <f>Table1[[#This Row], [TRC]]+Table1[[#This Row], [DRC]]+Table1[[#This Row], [WRC]]+Table1[[#This Row], [ERC]]+Table1[[#This Row], [EQRC]]</f>
        <v>8136488.2249999996</v>
      </c>
      <c r="V1329" s="9">
        <f>Table1[[#This Row], [TOTAL COST]]+_xlfn.XLOOKUP(Table1[[#This Row], [TEAM]],Sheet1!$A$12:$A$17,Sheet1!$I$12:$I$17)</f>
        <v>8432988.2249999996</v>
      </c>
      <c r="W1329" s="9">
        <f>Table1[[#This Row], [LOOT]]-Table1[[#This Row], [TOTAL COST]]</f>
        <v>9413511.7750000004</v>
      </c>
      <c r="X1329" s="9">
        <f>IF(Table1[[#This Row], [PASS/FAIL]]="FAIL",0,Table1[[#This Row], [PROFIT]])</f>
        <v>9413511.7750000004</v>
      </c>
    </row>
    <row r="1330" spans="1:24" ht="19.5" customHeight="1" x14ac:dyDescent="0.45">
      <c r="A1330" t="s">
        <v>16</v>
      </c>
      <c r="B1330" s="14">
        <f>_xlfn.XLOOKUP(Table1[[#This Row], [TEAM]],Sheet1!$A$12:$A$17,Sheet1!$F$12:$F$17)</f>
        <v>2</v>
      </c>
      <c r="C1330" s="14">
        <f>_xlfn.XLOOKUP(Table1[[#This Row], [TEAM]],Sheet1!$A$12:$A$17,Sheet1!$G$12:$G$17)</f>
        <v>6082800</v>
      </c>
      <c r="D1330" t="s">
        <v>25</v>
      </c>
      <c r="E1330" s="4">
        <f>_xlfn.XLOOKUP(Table1[[#This Row], [ROOM]],Sheet1!$A$47:$A$66,Sheet1!$B$47:$B$66)</f>
        <v>126</v>
      </c>
      <c r="F1330" t="s">
        <v>62</v>
      </c>
      <c r="G1330" s="4">
        <f>_xlfn.XLOOKUP(Table1[[#This Row], [DISGUISE]],Sheet1!$A$21:$A$23,Sheet1!$B$21:$B$23)*Table1[[#This Row], [NUM OF MEM]]*(1+_xlfn.XLOOKUP(Table1[[#This Row], [DISGUISE]],Sheet1!$A$21:$A$23,Sheet1!$C$21:$C$23))</f>
        <v>10400</v>
      </c>
      <c r="H1330" s="13" t="s">
        <v>66</v>
      </c>
      <c r="I1330" s="4">
        <f>_xlfn.XLOOKUP(Table1[[#This Row], [WEAPON]],Sheet1!$A$27:$A$29,Sheet1!$B$27:$B$29)*Table1[[#This Row], [NUM OF MEM]]*(1+_xlfn.XLOOKUP(Table1[[#This Row], [WEAPON]],Sheet1!$A$27:$A$29,Sheet1!$C$27:$C$29))</f>
        <v>72000</v>
      </c>
      <c r="J1330" t="s">
        <v>64</v>
      </c>
      <c r="K1330" s="9">
        <f>Table1[[#This Row], [NUM OF MEM]]*Table1[[#This Row], [TOTAL TIME TAKEN]]*_xlfn.XLOOKUP(Table1[[#This Row], [EXIT]],Sheet1!$A$70:$A$71,Sheet1!$B$70:$B$71)*(1+_xlfn.XLOOKUP(Table1[[#This Row], [EXIT]],Sheet1!$A$70:$A$71,Sheet1!$C$70:$C$71))</f>
        <v>1663966.7999999996</v>
      </c>
      <c r="L1330" s="13" t="s">
        <v>65</v>
      </c>
      <c r="M1330" s="4">
        <f>IF(Table1[[#This Row], [EQUIPMENT]]="YES",Sheet1!$C$44*(1+Sheet1!$D$44),0)</f>
        <v>307500</v>
      </c>
      <c r="N1330" s="4">
        <f>_xlfn.XLOOKUP(Table1[[#This Row], [ROOM]],Sheet1!$A$47:$A$66,Sheet1!$F$47:$F$66)</f>
        <v>17550000</v>
      </c>
      <c r="O1330" s="9">
        <f>_xlfn.XLOOKUP(_xlfn.CONCAT(Table1[[#This Row], [TEAM]],Table1[[#This Row], [ROOM]]),'ROOM TIME'!$H$2:$H$121,'ROOM TIME'!$J$2:$J$121)</f>
        <v>57.321249999999985</v>
      </c>
      <c r="P1330" s="9">
        <f>(INDEX(Sheet1!$X$48:$Z$67,MATCH(Table1[[#This Row], [ROOM]],Sheet1!$P$48:$P$67,0),MATCH(Table1[[#This Row], [WEAPON]],Sheet1!$X$47:$Z$47,0)))/Table1[[#This Row], [NUM OF MEM]]</f>
        <v>6.875</v>
      </c>
      <c r="Q1330" s="9">
        <f>Table1[[#This Row], [ROOM TIME]]+Table1[[#This Row], [GUARD TIME]]</f>
        <v>64.196249999999992</v>
      </c>
      <c r="R1330" s="4">
        <f>Sheet1!$K$3*_xlfn.XLOOKUP(Table1[[#This Row], [DISGUISE]],Sheet1!$A$21:$A$23,Sheet1!$D$21:$D$23)</f>
        <v>66</v>
      </c>
      <c r="S1330" s="9">
        <f>Table1[[#This Row], [TOTAL TIME]]-Table1[[#This Row], [TOTAL TIME TAKEN]]</f>
        <v>1.803750000000008</v>
      </c>
      <c r="T1330" t="str">
        <f>IF(Table1[[#This Row], [TIME DIFFERENCE]]&gt;=0,"PASS","FAIL")</f>
        <v>PASS</v>
      </c>
      <c r="U1330" s="9">
        <f>Table1[[#This Row], [TRC]]+Table1[[#This Row], [DRC]]+Table1[[#This Row], [WRC]]+Table1[[#This Row], [ERC]]+Table1[[#This Row], [EQRC]]</f>
        <v>8136666.7999999998</v>
      </c>
      <c r="V1330" s="9">
        <f>Table1[[#This Row], [TOTAL COST]]+_xlfn.XLOOKUP(Table1[[#This Row], [TEAM]],Sheet1!$A$12:$A$17,Sheet1!$I$12:$I$17)</f>
        <v>8440806.8000000007</v>
      </c>
      <c r="W1330" s="9">
        <f>Table1[[#This Row], [LOOT]]-Table1[[#This Row], [TOTAL COST]]</f>
        <v>9413333.1999999993</v>
      </c>
      <c r="X1330" s="9">
        <f>IF(Table1[[#This Row], [PASS/FAIL]]="FAIL",0,Table1[[#This Row], [PROFIT]])</f>
        <v>9413333.1999999993</v>
      </c>
    </row>
    <row r="1331" spans="1:24" ht="19.5" customHeight="1" x14ac:dyDescent="0.45">
      <c r="A1331" t="s">
        <v>13</v>
      </c>
      <c r="B1331" s="14">
        <f>_xlfn.XLOOKUP(Table1[[#This Row], [TEAM]],Sheet1!$A$12:$A$17,Sheet1!$F$12:$F$17)</f>
        <v>3</v>
      </c>
      <c r="C1331" s="14">
        <f>_xlfn.XLOOKUP(Table1[[#This Row], [TEAM]],Sheet1!$A$12:$A$17,Sheet1!$G$12:$G$17)</f>
        <v>5930000</v>
      </c>
      <c r="D1331" t="s">
        <v>20</v>
      </c>
      <c r="E1331" s="4">
        <f>_xlfn.XLOOKUP(Table1[[#This Row], [ROOM]],Sheet1!$A$47:$A$66,Sheet1!$B$47:$B$66)</f>
        <v>145</v>
      </c>
      <c r="F1331" t="s">
        <v>62</v>
      </c>
      <c r="G1331" s="4">
        <f>_xlfn.XLOOKUP(Table1[[#This Row], [DISGUISE]],Sheet1!$A$21:$A$23,Sheet1!$B$21:$B$23)*Table1[[#This Row], [NUM OF MEM]]*(1+_xlfn.XLOOKUP(Table1[[#This Row], [DISGUISE]],Sheet1!$A$21:$A$23,Sheet1!$C$21:$C$23))</f>
        <v>15600</v>
      </c>
      <c r="H1331" s="13" t="s">
        <v>66</v>
      </c>
      <c r="I1331" s="4">
        <f>_xlfn.XLOOKUP(Table1[[#This Row], [WEAPON]],Sheet1!$A$27:$A$29,Sheet1!$B$27:$B$29)*Table1[[#This Row], [NUM OF MEM]]*(1+_xlfn.XLOOKUP(Table1[[#This Row], [WEAPON]],Sheet1!$A$27:$A$29,Sheet1!$C$27:$C$29))</f>
        <v>108000</v>
      </c>
      <c r="J1331" t="s">
        <v>64</v>
      </c>
      <c r="K1331" s="9">
        <f>Table1[[#This Row], [NUM OF MEM]]*Table1[[#This Row], [TOTAL TIME TAKEN]]*_xlfn.XLOOKUP(Table1[[#This Row], [EXIT]],Sheet1!$A$70:$A$71,Sheet1!$B$70:$B$71)*(1+_xlfn.XLOOKUP(Table1[[#This Row], [EXIT]],Sheet1!$A$70:$A$71,Sheet1!$C$70:$C$71))</f>
        <v>1777204.7999999993</v>
      </c>
      <c r="L1331" s="13" t="s">
        <v>65</v>
      </c>
      <c r="M1331" s="4">
        <f>IF(Table1[[#This Row], [EQUIPMENT]]="YES",Sheet1!$C$44*(1+Sheet1!$D$44),0)</f>
        <v>307500</v>
      </c>
      <c r="N1331" s="4">
        <f>_xlfn.XLOOKUP(Table1[[#This Row], [ROOM]],Sheet1!$A$47:$A$66,Sheet1!$F$47:$F$66)</f>
        <v>17550000</v>
      </c>
      <c r="O1331" s="9">
        <f>_xlfn.XLOOKUP(_xlfn.CONCAT(Table1[[#This Row], [TEAM]],Table1[[#This Row], [ROOM]]),'ROOM TIME'!$H$2:$H$121,'ROOM TIME'!$J$2:$J$121)</f>
        <v>41.543333333333322</v>
      </c>
      <c r="P1331" s="9">
        <f>(INDEX(Sheet1!$X$48:$Z$67,MATCH(Table1[[#This Row], [ROOM]],Sheet1!$P$48:$P$67,0),MATCH(Table1[[#This Row], [WEAPON]],Sheet1!$X$47:$Z$47,0)))/Table1[[#This Row], [NUM OF MEM]]</f>
        <v>4.166666666666667</v>
      </c>
      <c r="Q1331" s="9">
        <f>Table1[[#This Row], [ROOM TIME]]+Table1[[#This Row], [GUARD TIME]]</f>
        <v>45.709999999999987</v>
      </c>
      <c r="R1331" s="4">
        <f>Sheet1!$K$3*_xlfn.XLOOKUP(Table1[[#This Row], [DISGUISE]],Sheet1!$A$21:$A$23,Sheet1!$D$21:$D$23)</f>
        <v>66</v>
      </c>
      <c r="S1331" s="9">
        <f>Table1[[#This Row], [TOTAL TIME]]-Table1[[#This Row], [TOTAL TIME TAKEN]]</f>
        <v>20.290000000000013</v>
      </c>
      <c r="T1331" t="str">
        <f>IF(Table1[[#This Row], [TIME DIFFERENCE]]&gt;=0,"PASS","FAIL")</f>
        <v>PASS</v>
      </c>
      <c r="U1331" s="9">
        <f>Table1[[#This Row], [TRC]]+Table1[[#This Row], [DRC]]+Table1[[#This Row], [WRC]]+Table1[[#This Row], [ERC]]+Table1[[#This Row], [EQRC]]</f>
        <v>8138304.7999999989</v>
      </c>
      <c r="V1331" s="9">
        <f>Table1[[#This Row], [TOTAL COST]]+_xlfn.XLOOKUP(Table1[[#This Row], [TEAM]],Sheet1!$A$12:$A$17,Sheet1!$I$12:$I$17)</f>
        <v>8434804.7999999989</v>
      </c>
      <c r="W1331" s="9">
        <f>Table1[[#This Row], [LOOT]]-Table1[[#This Row], [TOTAL COST]]</f>
        <v>9411695.2000000011</v>
      </c>
      <c r="X1331" s="9">
        <f>IF(Table1[[#This Row], [PASS/FAIL]]="FAIL",0,Table1[[#This Row], [PROFIT]])</f>
        <v>9411695.2000000011</v>
      </c>
    </row>
    <row r="1332" spans="1:24" ht="19.5" customHeight="1" x14ac:dyDescent="0.45">
      <c r="A1332" t="s">
        <v>9</v>
      </c>
      <c r="B1332" s="14">
        <f>_xlfn.XLOOKUP(Table1[[#This Row], [TEAM]],Sheet1!$A$12:$A$17,Sheet1!$F$12:$F$17)</f>
        <v>3</v>
      </c>
      <c r="C1332" s="14">
        <f>_xlfn.XLOOKUP(Table1[[#This Row], [TEAM]],Sheet1!$A$12:$A$17,Sheet1!$G$12:$G$17)</f>
        <v>6238750</v>
      </c>
      <c r="D1332" t="s">
        <v>28</v>
      </c>
      <c r="E1332" s="4">
        <f>_xlfn.XLOOKUP(Table1[[#This Row], [ROOM]],Sheet1!$A$47:$A$66,Sheet1!$B$47:$B$66)</f>
        <v>156</v>
      </c>
      <c r="F1332" t="s">
        <v>58</v>
      </c>
      <c r="G1332" s="4">
        <f>_xlfn.XLOOKUP(Table1[[#This Row], [DISGUISE]],Sheet1!$A$21:$A$23,Sheet1!$B$21:$B$23)*Table1[[#This Row], [NUM OF MEM]]*(1+_xlfn.XLOOKUP(Table1[[#This Row], [DISGUISE]],Sheet1!$A$21:$A$23,Sheet1!$C$21:$C$23))</f>
        <v>38400</v>
      </c>
      <c r="H1332" s="13" t="s">
        <v>59</v>
      </c>
      <c r="I1332" s="4">
        <f>_xlfn.XLOOKUP(Table1[[#This Row], [WEAPON]],Sheet1!$A$27:$A$29,Sheet1!$B$27:$B$29)*Table1[[#This Row], [NUM OF MEM]]*(1+_xlfn.XLOOKUP(Table1[[#This Row], [WEAPON]],Sheet1!$A$27:$A$29,Sheet1!$C$27:$C$29))</f>
        <v>136500</v>
      </c>
      <c r="J1332" t="s">
        <v>64</v>
      </c>
      <c r="K1332" s="9">
        <f>Table1[[#This Row], [NUM OF MEM]]*Table1[[#This Row], [TOTAL TIME TAKEN]]*_xlfn.XLOOKUP(Table1[[#This Row], [EXIT]],Sheet1!$A$70:$A$71,Sheet1!$B$70:$B$71)*(1+_xlfn.XLOOKUP(Table1[[#This Row], [EXIT]],Sheet1!$A$70:$A$71,Sheet1!$C$70:$C$71))</f>
        <v>1517810.3999999997</v>
      </c>
      <c r="L1332" s="13" t="s">
        <v>65</v>
      </c>
      <c r="M1332" s="4">
        <f>IF(Table1[[#This Row], [EQUIPMENT]]="YES",Sheet1!$C$44*(1+Sheet1!$D$44),0)</f>
        <v>307500</v>
      </c>
      <c r="N1332" s="4">
        <f>_xlfn.XLOOKUP(Table1[[#This Row], [ROOM]],Sheet1!$A$47:$A$66,Sheet1!$F$47:$F$66)</f>
        <v>17650000</v>
      </c>
      <c r="O1332" s="9">
        <f>_xlfn.XLOOKUP(_xlfn.CONCAT(Table1[[#This Row], [TEAM]],Table1[[#This Row], [ROOM]]),'ROOM TIME'!$H$2:$H$121,'ROOM TIME'!$J$2:$J$121)</f>
        <v>35.204999999999991</v>
      </c>
      <c r="P1332" s="9">
        <f>(INDEX(Sheet1!$X$48:$Z$67,MATCH(Table1[[#This Row], [ROOM]],Sheet1!$P$48:$P$67,0),MATCH(Table1[[#This Row], [WEAPON]],Sheet1!$X$47:$Z$47,0)))/Table1[[#This Row], [NUM OF MEM]]</f>
        <v>3.8333333333333335</v>
      </c>
      <c r="Q1332" s="9">
        <f>Table1[[#This Row], [ROOM TIME]]+Table1[[#This Row], [GUARD TIME]]</f>
        <v>39.038333333333327</v>
      </c>
      <c r="R1332" s="4">
        <f>Sheet1!$K$3*_xlfn.XLOOKUP(Table1[[#This Row], [DISGUISE]],Sheet1!$A$21:$A$23,Sheet1!$D$21:$D$23)</f>
        <v>69</v>
      </c>
      <c r="S1332" s="9">
        <f>Table1[[#This Row], [TOTAL TIME]]-Table1[[#This Row], [TOTAL TIME TAKEN]]</f>
        <v>29.961666666666673</v>
      </c>
      <c r="T1332" t="str">
        <f>IF(Table1[[#This Row], [TIME DIFFERENCE]]&gt;=0,"PASS","FAIL")</f>
        <v>PASS</v>
      </c>
      <c r="U1332" s="9">
        <f>Table1[[#This Row], [TRC]]+Table1[[#This Row], [DRC]]+Table1[[#This Row], [WRC]]+Table1[[#This Row], [ERC]]+Table1[[#This Row], [EQRC]]</f>
        <v>8238960.3999999994</v>
      </c>
      <c r="V1332" s="9">
        <f>Table1[[#This Row], [TOTAL COST]]+_xlfn.XLOOKUP(Table1[[#This Row], [TEAM]],Sheet1!$A$12:$A$17,Sheet1!$I$12:$I$17)</f>
        <v>8550897.8999999985</v>
      </c>
      <c r="W1332" s="9">
        <f>Table1[[#This Row], [LOOT]]-Table1[[#This Row], [TOTAL COST]]</f>
        <v>9411039.6000000015</v>
      </c>
      <c r="X1332" s="9">
        <f>IF(Table1[[#This Row], [PASS/FAIL]]="FAIL",0,Table1[[#This Row], [PROFIT]])</f>
        <v>9411039.6000000015</v>
      </c>
    </row>
    <row r="1333" spans="1:24" ht="19.5" customHeight="1" x14ac:dyDescent="0.45">
      <c r="A1333" t="s">
        <v>9</v>
      </c>
      <c r="B1333" s="14">
        <f>_xlfn.XLOOKUP(Table1[[#This Row], [TEAM]],Sheet1!$A$12:$A$17,Sheet1!$F$12:$F$17)</f>
        <v>3</v>
      </c>
      <c r="C1333" s="14">
        <f>_xlfn.XLOOKUP(Table1[[#This Row], [TEAM]],Sheet1!$A$12:$A$17,Sheet1!$G$12:$G$17)</f>
        <v>6238750</v>
      </c>
      <c r="D1333" t="s">
        <v>22</v>
      </c>
      <c r="E1333" s="4">
        <f>_xlfn.XLOOKUP(Table1[[#This Row], [ROOM]],Sheet1!$A$47:$A$66,Sheet1!$B$47:$B$66)</f>
        <v>235</v>
      </c>
      <c r="F1333" t="s">
        <v>62</v>
      </c>
      <c r="G1333" s="4">
        <f>_xlfn.XLOOKUP(Table1[[#This Row], [DISGUISE]],Sheet1!$A$21:$A$23,Sheet1!$B$21:$B$23)*Table1[[#This Row], [NUM OF MEM]]*(1+_xlfn.XLOOKUP(Table1[[#This Row], [DISGUISE]],Sheet1!$A$21:$A$23,Sheet1!$C$21:$C$23))</f>
        <v>15600</v>
      </c>
      <c r="H1333" s="13" t="s">
        <v>59</v>
      </c>
      <c r="I1333" s="4">
        <f>_xlfn.XLOOKUP(Table1[[#This Row], [WEAPON]],Sheet1!$A$27:$A$29,Sheet1!$B$27:$B$29)*Table1[[#This Row], [NUM OF MEM]]*(1+_xlfn.XLOOKUP(Table1[[#This Row], [WEAPON]],Sheet1!$A$27:$A$29,Sheet1!$C$27:$C$29))</f>
        <v>136500</v>
      </c>
      <c r="J1333" t="s">
        <v>60</v>
      </c>
      <c r="K1333" s="9">
        <f>Table1[[#This Row], [NUM OF MEM]]*Table1[[#This Row], [TOTAL TIME TAKEN]]*_xlfn.XLOOKUP(Table1[[#This Row], [EXIT]],Sheet1!$A$70:$A$71,Sheet1!$B$70:$B$71)*(1+_xlfn.XLOOKUP(Table1[[#This Row], [EXIT]],Sheet1!$A$70:$A$71,Sheet1!$C$70:$C$71))</f>
        <v>1691751.2499999995</v>
      </c>
      <c r="L1333" s="13" t="s">
        <v>65</v>
      </c>
      <c r="M1333" s="4">
        <f>IF(Table1[[#This Row], [EQUIPMENT]]="YES",Sheet1!$C$44*(1+Sheet1!$D$44),0)</f>
        <v>307500</v>
      </c>
      <c r="N1333" s="4">
        <f>_xlfn.XLOOKUP(Table1[[#This Row], [ROOM]],Sheet1!$A$47:$A$66,Sheet1!$F$47:$F$66)</f>
        <v>17800000</v>
      </c>
      <c r="O1333" s="9">
        <f>_xlfn.XLOOKUP(_xlfn.CONCAT(Table1[[#This Row], [TEAM]],Table1[[#This Row], [ROOM]]),'ROOM TIME'!$H$2:$H$121,'ROOM TIME'!$J$2:$J$121)</f>
        <v>39.344444444444434</v>
      </c>
      <c r="P1333" s="9">
        <f>(INDEX(Sheet1!$X$48:$Z$67,MATCH(Table1[[#This Row], [ROOM]],Sheet1!$P$48:$P$67,0),MATCH(Table1[[#This Row], [WEAPON]],Sheet1!$X$47:$Z$47,0)))/Table1[[#This Row], [NUM OF MEM]]</f>
        <v>4.5999999999999996</v>
      </c>
      <c r="Q1333" s="9">
        <f>Table1[[#This Row], [ROOM TIME]]+Table1[[#This Row], [GUARD TIME]]</f>
        <v>43.944444444444436</v>
      </c>
      <c r="R1333" s="4">
        <f>Sheet1!$K$3*_xlfn.XLOOKUP(Table1[[#This Row], [DISGUISE]],Sheet1!$A$21:$A$23,Sheet1!$D$21:$D$23)</f>
        <v>66</v>
      </c>
      <c r="S1333" s="9">
        <f>Table1[[#This Row], [TOTAL TIME]]-Table1[[#This Row], [TOTAL TIME TAKEN]]</f>
        <v>22.055555555555564</v>
      </c>
      <c r="T1333" t="str">
        <f>IF(Table1[[#This Row], [TIME DIFFERENCE]]&gt;=0,"PASS","FAIL")</f>
        <v>PASS</v>
      </c>
      <c r="U1333" s="9">
        <f>Table1[[#This Row], [TRC]]+Table1[[#This Row], [DRC]]+Table1[[#This Row], [WRC]]+Table1[[#This Row], [ERC]]+Table1[[#This Row], [EQRC]]</f>
        <v>8390101.25</v>
      </c>
      <c r="V1333" s="9">
        <f>Table1[[#This Row], [TOTAL COST]]+_xlfn.XLOOKUP(Table1[[#This Row], [TEAM]],Sheet1!$A$12:$A$17,Sheet1!$I$12:$I$17)</f>
        <v>8702038.75</v>
      </c>
      <c r="W1333" s="9">
        <f>Table1[[#This Row], [LOOT]]-Table1[[#This Row], [TOTAL COST]]</f>
        <v>9409898.75</v>
      </c>
      <c r="X1333" s="9">
        <f>IF(Table1[[#This Row], [PASS/FAIL]]="FAIL",0,Table1[[#This Row], [PROFIT]])</f>
        <v>9409898.75</v>
      </c>
    </row>
    <row r="1334" spans="1:24" ht="19.5" customHeight="1" x14ac:dyDescent="0.45">
      <c r="A1334" t="s">
        <v>16</v>
      </c>
      <c r="B1334" s="14">
        <f>_xlfn.XLOOKUP(Table1[[#This Row], [TEAM]],Sheet1!$A$12:$A$17,Sheet1!$F$12:$F$17)</f>
        <v>2</v>
      </c>
      <c r="C1334" s="14">
        <f>_xlfn.XLOOKUP(Table1[[#This Row], [TEAM]],Sheet1!$A$12:$A$17,Sheet1!$G$12:$G$17)</f>
        <v>6082800</v>
      </c>
      <c r="D1334" t="s">
        <v>25</v>
      </c>
      <c r="E1334" s="4">
        <f>_xlfn.XLOOKUP(Table1[[#This Row], [ROOM]],Sheet1!$A$47:$A$66,Sheet1!$B$47:$B$66)</f>
        <v>126</v>
      </c>
      <c r="F1334" t="s">
        <v>58</v>
      </c>
      <c r="G133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34" s="13" t="s">
        <v>63</v>
      </c>
      <c r="I1334" s="4">
        <f>_xlfn.XLOOKUP(Table1[[#This Row], [WEAPON]],Sheet1!$A$27:$A$29,Sheet1!$B$27:$B$29)*Table1[[#This Row], [NUM OF MEM]]*(1+_xlfn.XLOOKUP(Table1[[#This Row], [WEAPON]],Sheet1!$A$27:$A$29,Sheet1!$C$27:$C$29))</f>
        <v>46000</v>
      </c>
      <c r="J1334" t="s">
        <v>64</v>
      </c>
      <c r="K1334" s="9">
        <f>Table1[[#This Row], [NUM OF MEM]]*Table1[[#This Row], [TOTAL TIME TAKEN]]*_xlfn.XLOOKUP(Table1[[#This Row], [EXIT]],Sheet1!$A$70:$A$71,Sheet1!$B$70:$B$71)*(1+_xlfn.XLOOKUP(Table1[[#This Row], [EXIT]],Sheet1!$A$70:$A$71,Sheet1!$C$70:$C$71))</f>
        <v>1678222.7999999996</v>
      </c>
      <c r="L1334" s="13" t="s">
        <v>65</v>
      </c>
      <c r="M1334" s="4">
        <f>IF(Table1[[#This Row], [EQUIPMENT]]="YES",Sheet1!$C$44*(1+Sheet1!$D$44),0)</f>
        <v>307500</v>
      </c>
      <c r="N1334" s="4">
        <f>_xlfn.XLOOKUP(Table1[[#This Row], [ROOM]],Sheet1!$A$47:$A$66,Sheet1!$F$47:$F$66)</f>
        <v>17550000</v>
      </c>
      <c r="O1334" s="9">
        <f>_xlfn.XLOOKUP(_xlfn.CONCAT(Table1[[#This Row], [TEAM]],Table1[[#This Row], [ROOM]]),'ROOM TIME'!$H$2:$H$121,'ROOM TIME'!$J$2:$J$121)</f>
        <v>57.321249999999985</v>
      </c>
      <c r="P1334" s="9">
        <f>(INDEX(Sheet1!$X$48:$Z$67,MATCH(Table1[[#This Row], [ROOM]],Sheet1!$P$48:$P$67,0),MATCH(Table1[[#This Row], [WEAPON]],Sheet1!$X$47:$Z$47,0)))/Table1[[#This Row], [NUM OF MEM]]</f>
        <v>7.4250000000000007</v>
      </c>
      <c r="Q1334" s="9">
        <f>Table1[[#This Row], [ROOM TIME]]+Table1[[#This Row], [GUARD TIME]]</f>
        <v>64.746249999999989</v>
      </c>
      <c r="R1334" s="4">
        <f>Sheet1!$K$3*_xlfn.XLOOKUP(Table1[[#This Row], [DISGUISE]],Sheet1!$A$21:$A$23,Sheet1!$D$21:$D$23)</f>
        <v>69</v>
      </c>
      <c r="S1334" s="9">
        <f>Table1[[#This Row], [TOTAL TIME]]-Table1[[#This Row], [TOTAL TIME TAKEN]]</f>
        <v>4.2537500000000108</v>
      </c>
      <c r="T1334" t="str">
        <f>IF(Table1[[#This Row], [TIME DIFFERENCE]]&gt;=0,"PASS","FAIL")</f>
        <v>PASS</v>
      </c>
      <c r="U1334" s="9">
        <f>Table1[[#This Row], [TRC]]+Table1[[#This Row], [DRC]]+Table1[[#This Row], [WRC]]+Table1[[#This Row], [ERC]]+Table1[[#This Row], [EQRC]]</f>
        <v>8140122.7999999998</v>
      </c>
      <c r="V1334" s="9">
        <f>Table1[[#This Row], [TOTAL COST]]+_xlfn.XLOOKUP(Table1[[#This Row], [TEAM]],Sheet1!$A$12:$A$17,Sheet1!$I$12:$I$17)</f>
        <v>8444262.8000000007</v>
      </c>
      <c r="W1334" s="9">
        <f>Table1[[#This Row], [LOOT]]-Table1[[#This Row], [TOTAL COST]]</f>
        <v>9409877.1999999993</v>
      </c>
      <c r="X1334" s="9">
        <f>IF(Table1[[#This Row], [PASS/FAIL]]="FAIL",0,Table1[[#This Row], [PROFIT]])</f>
        <v>9409877.1999999993</v>
      </c>
    </row>
    <row r="1335" spans="1:24" ht="19.5" customHeight="1" x14ac:dyDescent="0.45">
      <c r="A1335" t="s">
        <v>16</v>
      </c>
      <c r="B1335" s="14">
        <f>_xlfn.XLOOKUP(Table1[[#This Row], [TEAM]],Sheet1!$A$12:$A$17,Sheet1!$F$12:$F$17)</f>
        <v>2</v>
      </c>
      <c r="C1335" s="14">
        <f>_xlfn.XLOOKUP(Table1[[#This Row], [TEAM]],Sheet1!$A$12:$A$17,Sheet1!$G$12:$G$17)</f>
        <v>6082800</v>
      </c>
      <c r="D1335" t="s">
        <v>25</v>
      </c>
      <c r="E1335" s="4">
        <f>_xlfn.XLOOKUP(Table1[[#This Row], [ROOM]],Sheet1!$A$47:$A$66,Sheet1!$B$47:$B$66)</f>
        <v>126</v>
      </c>
      <c r="F1335" t="s">
        <v>58</v>
      </c>
      <c r="G1335" s="4">
        <f>_xlfn.XLOOKUP(Table1[[#This Row], [DISGUISE]],Sheet1!$A$21:$A$23,Sheet1!$B$21:$B$23)*Table1[[#This Row], [NUM OF MEM]]*(1+_xlfn.XLOOKUP(Table1[[#This Row], [DISGUISE]],Sheet1!$A$21:$A$23,Sheet1!$C$21:$C$23))</f>
        <v>25600</v>
      </c>
      <c r="H1335" s="13" t="s">
        <v>59</v>
      </c>
      <c r="I1335" s="4">
        <f>_xlfn.XLOOKUP(Table1[[#This Row], [WEAPON]],Sheet1!$A$27:$A$29,Sheet1!$B$27:$B$29)*Table1[[#This Row], [NUM OF MEM]]*(1+_xlfn.XLOOKUP(Table1[[#This Row], [WEAPON]],Sheet1!$A$27:$A$29,Sheet1!$C$27:$C$29))</f>
        <v>91000</v>
      </c>
      <c r="J1335" t="s">
        <v>60</v>
      </c>
      <c r="K1335" s="9">
        <f>Table1[[#This Row], [NUM OF MEM]]*Table1[[#This Row], [TOTAL TIME TAKEN]]*_xlfn.XLOOKUP(Table1[[#This Row], [EXIT]],Sheet1!$A$70:$A$71,Sheet1!$B$70:$B$71)*(1+_xlfn.XLOOKUP(Table1[[#This Row], [EXIT]],Sheet1!$A$70:$A$71,Sheet1!$C$70:$C$71))</f>
        <v>1633481.0062499996</v>
      </c>
      <c r="L1335" s="13" t="s">
        <v>65</v>
      </c>
      <c r="M1335" s="4">
        <f>IF(Table1[[#This Row], [EQUIPMENT]]="YES",Sheet1!$C$44*(1+Sheet1!$D$44),0)</f>
        <v>307500</v>
      </c>
      <c r="N1335" s="4">
        <f>_xlfn.XLOOKUP(Table1[[#This Row], [ROOM]],Sheet1!$A$47:$A$66,Sheet1!$F$47:$F$66)</f>
        <v>17550000</v>
      </c>
      <c r="O1335" s="9">
        <f>_xlfn.XLOOKUP(_xlfn.CONCAT(Table1[[#This Row], [TEAM]],Table1[[#This Row], [ROOM]]),'ROOM TIME'!$H$2:$H$121,'ROOM TIME'!$J$2:$J$121)</f>
        <v>57.321249999999985</v>
      </c>
      <c r="P1335" s="9">
        <f>(INDEX(Sheet1!$X$48:$Z$67,MATCH(Table1[[#This Row], [ROOM]],Sheet1!$P$48:$P$67,0),MATCH(Table1[[#This Row], [WEAPON]],Sheet1!$X$47:$Z$47,0)))/Table1[[#This Row], [NUM OF MEM]]</f>
        <v>6.3249999999999993</v>
      </c>
      <c r="Q1335" s="9">
        <f>Table1[[#This Row], [ROOM TIME]]+Table1[[#This Row], [GUARD TIME]]</f>
        <v>63.646249999999981</v>
      </c>
      <c r="R1335" s="4">
        <f>Sheet1!$K$3*_xlfn.XLOOKUP(Table1[[#This Row], [DISGUISE]],Sheet1!$A$21:$A$23,Sheet1!$D$21:$D$23)</f>
        <v>69</v>
      </c>
      <c r="S1335" s="9">
        <f>Table1[[#This Row], [TOTAL TIME]]-Table1[[#This Row], [TOTAL TIME TAKEN]]</f>
        <v>5.3537500000000193</v>
      </c>
      <c r="T1335" t="str">
        <f>IF(Table1[[#This Row], [TIME DIFFERENCE]]&gt;=0,"PASS","FAIL")</f>
        <v>PASS</v>
      </c>
      <c r="U1335" s="9">
        <f>Table1[[#This Row], [TRC]]+Table1[[#This Row], [DRC]]+Table1[[#This Row], [WRC]]+Table1[[#This Row], [ERC]]+Table1[[#This Row], [EQRC]]</f>
        <v>8140381.0062499996</v>
      </c>
      <c r="V1335" s="9">
        <f>Table1[[#This Row], [TOTAL COST]]+_xlfn.XLOOKUP(Table1[[#This Row], [TEAM]],Sheet1!$A$12:$A$17,Sheet1!$I$12:$I$17)</f>
        <v>8444521.0062499996</v>
      </c>
      <c r="W1335" s="9">
        <f>Table1[[#This Row], [LOOT]]-Table1[[#This Row], [TOTAL COST]]</f>
        <v>9409618.9937500004</v>
      </c>
      <c r="X1335" s="9">
        <f>IF(Table1[[#This Row], [PASS/FAIL]]="FAIL",0,Table1[[#This Row], [PROFIT]])</f>
        <v>9409618.9937500004</v>
      </c>
    </row>
    <row r="1336" spans="1:24" ht="19.5" customHeight="1" x14ac:dyDescent="0.45">
      <c r="A1336" t="s">
        <v>9</v>
      </c>
      <c r="B1336" s="14">
        <f>_xlfn.XLOOKUP(Table1[[#This Row], [TEAM]],Sheet1!$A$12:$A$17,Sheet1!$F$12:$F$17)</f>
        <v>3</v>
      </c>
      <c r="C1336" s="14">
        <f>_xlfn.XLOOKUP(Table1[[#This Row], [TEAM]],Sheet1!$A$12:$A$17,Sheet1!$G$12:$G$17)</f>
        <v>6238750</v>
      </c>
      <c r="D1336" t="s">
        <v>10</v>
      </c>
      <c r="E1336" s="4">
        <f>_xlfn.XLOOKUP(Table1[[#This Row], [ROOM]],Sheet1!$A$47:$A$66,Sheet1!$B$47:$B$66)</f>
        <v>123</v>
      </c>
      <c r="F1336" t="s">
        <v>58</v>
      </c>
      <c r="G133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36" s="13" t="s">
        <v>59</v>
      </c>
      <c r="I1336" s="4">
        <f>_xlfn.XLOOKUP(Table1[[#This Row], [WEAPON]],Sheet1!$A$27:$A$29,Sheet1!$B$27:$B$29)*Table1[[#This Row], [NUM OF MEM]]*(1+_xlfn.XLOOKUP(Table1[[#This Row], [WEAPON]],Sheet1!$A$27:$A$29,Sheet1!$C$27:$C$29))</f>
        <v>136500</v>
      </c>
      <c r="J1336" t="s">
        <v>64</v>
      </c>
      <c r="K1336" s="9">
        <f>Table1[[#This Row], [NUM OF MEM]]*Table1[[#This Row], [TOTAL TIME TAKEN]]*_xlfn.XLOOKUP(Table1[[#This Row], [EXIT]],Sheet1!$A$70:$A$71,Sheet1!$B$70:$B$71)*(1+_xlfn.XLOOKUP(Table1[[#This Row], [EXIT]],Sheet1!$A$70:$A$71,Sheet1!$C$70:$C$71))</f>
        <v>1719899.9999999998</v>
      </c>
      <c r="L1336" s="13" t="s">
        <v>65</v>
      </c>
      <c r="M1336" s="4">
        <f>IF(Table1[[#This Row], [EQUIPMENT]]="YES",Sheet1!$C$44*(1+Sheet1!$D$44),0)</f>
        <v>307500</v>
      </c>
      <c r="N1336" s="4">
        <f>_xlfn.XLOOKUP(Table1[[#This Row], [ROOM]],Sheet1!$A$47:$A$66,Sheet1!$F$47:$F$66)</f>
        <v>17850000</v>
      </c>
      <c r="O1336" s="9">
        <f>_xlfn.XLOOKUP(_xlfn.CONCAT(Table1[[#This Row], [TEAM]],Table1[[#This Row], [ROOM]]),'ROOM TIME'!$H$2:$H$121,'ROOM TIME'!$J$2:$J$121)</f>
        <v>39.636111111111099</v>
      </c>
      <c r="P1336" s="9">
        <f>(INDEX(Sheet1!$X$48:$Z$67,MATCH(Table1[[#This Row], [ROOM]],Sheet1!$P$48:$P$67,0),MATCH(Table1[[#This Row], [WEAPON]],Sheet1!$X$47:$Z$47,0)))/Table1[[#This Row], [NUM OF MEM]]</f>
        <v>4.5999999999999996</v>
      </c>
      <c r="Q1336" s="9">
        <f>Table1[[#This Row], [ROOM TIME]]+Table1[[#This Row], [GUARD TIME]]</f>
        <v>44.2361111111111</v>
      </c>
      <c r="R1336" s="4">
        <f>Sheet1!$K$3*_xlfn.XLOOKUP(Table1[[#This Row], [DISGUISE]],Sheet1!$A$21:$A$23,Sheet1!$D$21:$D$23)</f>
        <v>69</v>
      </c>
      <c r="S1336" s="9">
        <f>Table1[[#This Row], [TOTAL TIME]]-Table1[[#This Row], [TOTAL TIME TAKEN]]</f>
        <v>24.7638888888889</v>
      </c>
      <c r="T1336" t="str">
        <f>IF(Table1[[#This Row], [TIME DIFFERENCE]]&gt;=0,"PASS","FAIL")</f>
        <v>PASS</v>
      </c>
      <c r="U1336" s="4">
        <f>Table1[[#This Row], [TRC]]+Table1[[#This Row], [DRC]]+Table1[[#This Row], [WRC]]+Table1[[#This Row], [ERC]]+Table1[[#This Row], [EQRC]]</f>
        <v>8441050</v>
      </c>
      <c r="V1336" s="9">
        <f>Table1[[#This Row], [TOTAL COST]]+_xlfn.XLOOKUP(Table1[[#This Row], [TEAM]],Sheet1!$A$12:$A$17,Sheet1!$I$12:$I$17)</f>
        <v>8752987.5</v>
      </c>
      <c r="W1336" s="4">
        <f>Table1[[#This Row], [LOOT]]-Table1[[#This Row], [TOTAL COST]]</f>
        <v>9408950</v>
      </c>
      <c r="X1336" s="4">
        <f>IF(Table1[[#This Row], [PASS/FAIL]]="FAIL",0,Table1[[#This Row], [PROFIT]])</f>
        <v>9408950</v>
      </c>
    </row>
    <row r="1337" spans="1:24" ht="19.5" customHeight="1" x14ac:dyDescent="0.45">
      <c r="A1337" t="s">
        <v>16</v>
      </c>
      <c r="B1337" s="14">
        <f>_xlfn.XLOOKUP(Table1[[#This Row], [TEAM]],Sheet1!$A$12:$A$17,Sheet1!$F$12:$F$17)</f>
        <v>2</v>
      </c>
      <c r="C1337" s="14">
        <f>_xlfn.XLOOKUP(Table1[[#This Row], [TEAM]],Sheet1!$A$12:$A$17,Sheet1!$G$12:$G$17)</f>
        <v>6082800</v>
      </c>
      <c r="D1337" t="s">
        <v>25</v>
      </c>
      <c r="E1337" s="4">
        <f>_xlfn.XLOOKUP(Table1[[#This Row], [ROOM]],Sheet1!$A$47:$A$66,Sheet1!$B$47:$B$66)</f>
        <v>126</v>
      </c>
      <c r="F1337" t="s">
        <v>62</v>
      </c>
      <c r="G1337" s="4">
        <f>_xlfn.XLOOKUP(Table1[[#This Row], [DISGUISE]],Sheet1!$A$21:$A$23,Sheet1!$B$21:$B$23)*Table1[[#This Row], [NUM OF MEM]]*(1+_xlfn.XLOOKUP(Table1[[#This Row], [DISGUISE]],Sheet1!$A$21:$A$23,Sheet1!$C$21:$C$23))</f>
        <v>10400</v>
      </c>
      <c r="H1337" s="13" t="s">
        <v>59</v>
      </c>
      <c r="I1337" s="4">
        <f>_xlfn.XLOOKUP(Table1[[#This Row], [WEAPON]],Sheet1!$A$27:$A$29,Sheet1!$B$27:$B$29)*Table1[[#This Row], [NUM OF MEM]]*(1+_xlfn.XLOOKUP(Table1[[#This Row], [WEAPON]],Sheet1!$A$27:$A$29,Sheet1!$C$27:$C$29))</f>
        <v>91000</v>
      </c>
      <c r="J1337" t="s">
        <v>64</v>
      </c>
      <c r="K1337" s="9">
        <f>Table1[[#This Row], [NUM OF MEM]]*Table1[[#This Row], [TOTAL TIME TAKEN]]*_xlfn.XLOOKUP(Table1[[#This Row], [EXIT]],Sheet1!$A$70:$A$71,Sheet1!$B$70:$B$71)*(1+_xlfn.XLOOKUP(Table1[[#This Row], [EXIT]],Sheet1!$A$70:$A$71,Sheet1!$C$70:$C$71))</f>
        <v>1649710.7999999993</v>
      </c>
      <c r="L1337" s="13" t="s">
        <v>65</v>
      </c>
      <c r="M1337" s="4">
        <f>IF(Table1[[#This Row], [EQUIPMENT]]="YES",Sheet1!$C$44*(1+Sheet1!$D$44),0)</f>
        <v>307500</v>
      </c>
      <c r="N1337" s="4">
        <f>_xlfn.XLOOKUP(Table1[[#This Row], [ROOM]],Sheet1!$A$47:$A$66,Sheet1!$F$47:$F$66)</f>
        <v>17550000</v>
      </c>
      <c r="O1337" s="9">
        <f>_xlfn.XLOOKUP(_xlfn.CONCAT(Table1[[#This Row], [TEAM]],Table1[[#This Row], [ROOM]]),'ROOM TIME'!$H$2:$H$121,'ROOM TIME'!$J$2:$J$121)</f>
        <v>57.321249999999985</v>
      </c>
      <c r="P1337" s="9">
        <f>(INDEX(Sheet1!$X$48:$Z$67,MATCH(Table1[[#This Row], [ROOM]],Sheet1!$P$48:$P$67,0),MATCH(Table1[[#This Row], [WEAPON]],Sheet1!$X$47:$Z$47,0)))/Table1[[#This Row], [NUM OF MEM]]</f>
        <v>6.3249999999999993</v>
      </c>
      <c r="Q1337" s="9">
        <f>Table1[[#This Row], [ROOM TIME]]+Table1[[#This Row], [GUARD TIME]]</f>
        <v>63.646249999999981</v>
      </c>
      <c r="R1337" s="4">
        <f>Sheet1!$K$3*_xlfn.XLOOKUP(Table1[[#This Row], [DISGUISE]],Sheet1!$A$21:$A$23,Sheet1!$D$21:$D$23)</f>
        <v>66</v>
      </c>
      <c r="S1337" s="9">
        <f>Table1[[#This Row], [TOTAL TIME]]-Table1[[#This Row], [TOTAL TIME TAKEN]]</f>
        <v>2.3537500000000193</v>
      </c>
      <c r="T1337" t="str">
        <f>IF(Table1[[#This Row], [TIME DIFFERENCE]]&gt;=0,"PASS","FAIL")</f>
        <v>PASS</v>
      </c>
      <c r="U1337" s="9">
        <f>Table1[[#This Row], [TRC]]+Table1[[#This Row], [DRC]]+Table1[[#This Row], [WRC]]+Table1[[#This Row], [ERC]]+Table1[[#This Row], [EQRC]]</f>
        <v>8141410.7999999989</v>
      </c>
      <c r="V1337" s="9">
        <f>Table1[[#This Row], [TOTAL COST]]+_xlfn.XLOOKUP(Table1[[#This Row], [TEAM]],Sheet1!$A$12:$A$17,Sheet1!$I$12:$I$17)</f>
        <v>8445550.7999999989</v>
      </c>
      <c r="W1337" s="9">
        <f>Table1[[#This Row], [LOOT]]-Table1[[#This Row], [TOTAL COST]]</f>
        <v>9408589.2000000011</v>
      </c>
      <c r="X1337" s="9">
        <f>IF(Table1[[#This Row], [PASS/FAIL]]="FAIL",0,Table1[[#This Row], [PROFIT]])</f>
        <v>9408589.2000000011</v>
      </c>
    </row>
    <row r="1338" spans="1:24" ht="19.5" customHeight="1" x14ac:dyDescent="0.45">
      <c r="A1338" t="s">
        <v>12</v>
      </c>
      <c r="B1338" s="14">
        <f>_xlfn.XLOOKUP(Table1[[#This Row], [TEAM]],Sheet1!$A$12:$A$17,Sheet1!$F$12:$F$17)</f>
        <v>3</v>
      </c>
      <c r="C1338" s="14">
        <f>_xlfn.XLOOKUP(Table1[[#This Row], [TEAM]],Sheet1!$A$12:$A$17,Sheet1!$G$12:$G$17)</f>
        <v>5988750</v>
      </c>
      <c r="D1338" t="s">
        <v>20</v>
      </c>
      <c r="E1338" s="4">
        <f>_xlfn.XLOOKUP(Table1[[#This Row], [ROOM]],Sheet1!$A$47:$A$66,Sheet1!$B$47:$B$66)</f>
        <v>145</v>
      </c>
      <c r="F1338" t="s">
        <v>58</v>
      </c>
      <c r="G1338" s="4">
        <f>_xlfn.XLOOKUP(Table1[[#This Row], [DISGUISE]],Sheet1!$A$21:$A$23,Sheet1!$B$21:$B$23)*Table1[[#This Row], [NUM OF MEM]]*(1+_xlfn.XLOOKUP(Table1[[#This Row], [DISGUISE]],Sheet1!$A$21:$A$23,Sheet1!$C$21:$C$23))</f>
        <v>38400</v>
      </c>
      <c r="H1338" s="13" t="s">
        <v>59</v>
      </c>
      <c r="I1338" s="4">
        <f>_xlfn.XLOOKUP(Table1[[#This Row], [WEAPON]],Sheet1!$A$27:$A$29,Sheet1!$B$27:$B$29)*Table1[[#This Row], [NUM OF MEM]]*(1+_xlfn.XLOOKUP(Table1[[#This Row], [WEAPON]],Sheet1!$A$27:$A$29,Sheet1!$C$27:$C$29))</f>
        <v>136500</v>
      </c>
      <c r="J1338" t="s">
        <v>60</v>
      </c>
      <c r="K1338" s="9">
        <f>Table1[[#This Row], [NUM OF MEM]]*Table1[[#This Row], [TOTAL TIME TAKEN]]*_xlfn.XLOOKUP(Table1[[#This Row], [EXIT]],Sheet1!$A$70:$A$71,Sheet1!$B$70:$B$71)*(1+_xlfn.XLOOKUP(Table1[[#This Row], [EXIT]],Sheet1!$A$70:$A$71,Sheet1!$C$70:$C$71))</f>
        <v>1671433.1249999995</v>
      </c>
      <c r="L1338" s="13" t="s">
        <v>65</v>
      </c>
      <c r="M1338" s="4">
        <f>IF(Table1[[#This Row], [EQUIPMENT]]="YES",Sheet1!$C$44*(1+Sheet1!$D$44),0)</f>
        <v>307500</v>
      </c>
      <c r="N1338" s="4">
        <f>_xlfn.XLOOKUP(Table1[[#This Row], [ROOM]],Sheet1!$A$47:$A$66,Sheet1!$F$47:$F$66)</f>
        <v>17550000</v>
      </c>
      <c r="O1338" s="9">
        <f>_xlfn.XLOOKUP(_xlfn.CONCAT(Table1[[#This Row], [TEAM]],Table1[[#This Row], [ROOM]]),'ROOM TIME'!$H$2:$H$121,'ROOM TIME'!$J$2:$J$121)</f>
        <v>39.583333333333321</v>
      </c>
      <c r="P1338" s="9">
        <f>(INDEX(Sheet1!$X$48:$Z$67,MATCH(Table1[[#This Row], [ROOM]],Sheet1!$P$48:$P$67,0),MATCH(Table1[[#This Row], [WEAPON]],Sheet1!$X$47:$Z$47,0)))/Table1[[#This Row], [NUM OF MEM]]</f>
        <v>3.8333333333333335</v>
      </c>
      <c r="Q1338" s="9">
        <f>Table1[[#This Row], [ROOM TIME]]+Table1[[#This Row], [GUARD TIME]]</f>
        <v>43.416666666666657</v>
      </c>
      <c r="R1338" s="4">
        <f>Sheet1!$K$3*_xlfn.XLOOKUP(Table1[[#This Row], [DISGUISE]],Sheet1!$A$21:$A$23,Sheet1!$D$21:$D$23)</f>
        <v>69</v>
      </c>
      <c r="S1338" s="9">
        <f>Table1[[#This Row], [TOTAL TIME]]-Table1[[#This Row], [TOTAL TIME TAKEN]]</f>
        <v>25.583333333333343</v>
      </c>
      <c r="T1338" t="str">
        <f>IF(Table1[[#This Row], [TIME DIFFERENCE]]&gt;=0,"PASS","FAIL")</f>
        <v>PASS</v>
      </c>
      <c r="U1338" s="9">
        <f>Table1[[#This Row], [TRC]]+Table1[[#This Row], [DRC]]+Table1[[#This Row], [WRC]]+Table1[[#This Row], [ERC]]+Table1[[#This Row], [EQRC]]</f>
        <v>8142583.125</v>
      </c>
      <c r="V1338" s="9">
        <f>Table1[[#This Row], [TOTAL COST]]+_xlfn.XLOOKUP(Table1[[#This Row], [TEAM]],Sheet1!$A$12:$A$17,Sheet1!$I$12:$I$17)</f>
        <v>8442020.625</v>
      </c>
      <c r="W1338" s="9">
        <f>Table1[[#This Row], [LOOT]]-Table1[[#This Row], [TOTAL COST]]</f>
        <v>9407416.875</v>
      </c>
      <c r="X1338" s="9">
        <f>IF(Table1[[#This Row], [PASS/FAIL]]="FAIL",0,Table1[[#This Row], [PROFIT]])</f>
        <v>9407416.875</v>
      </c>
    </row>
    <row r="1339" spans="1:24" ht="19.5" customHeight="1" x14ac:dyDescent="0.45">
      <c r="A1339" t="s">
        <v>9</v>
      </c>
      <c r="B1339" s="14">
        <f>_xlfn.XLOOKUP(Table1[[#This Row], [TEAM]],Sheet1!$A$12:$A$17,Sheet1!$F$12:$F$17)</f>
        <v>3</v>
      </c>
      <c r="C1339" s="14">
        <f>_xlfn.XLOOKUP(Table1[[#This Row], [TEAM]],Sheet1!$A$12:$A$17,Sheet1!$G$12:$G$17)</f>
        <v>6238750</v>
      </c>
      <c r="D1339" t="s">
        <v>22</v>
      </c>
      <c r="E1339" s="4">
        <f>_xlfn.XLOOKUP(Table1[[#This Row], [ROOM]],Sheet1!$A$47:$A$66,Sheet1!$B$47:$B$66)</f>
        <v>235</v>
      </c>
      <c r="F1339" t="s">
        <v>58</v>
      </c>
      <c r="G1339" s="4">
        <f>_xlfn.XLOOKUP(Table1[[#This Row], [DISGUISE]],Sheet1!$A$21:$A$23,Sheet1!$B$21:$B$23)*Table1[[#This Row], [NUM OF MEM]]*(1+_xlfn.XLOOKUP(Table1[[#This Row], [DISGUISE]],Sheet1!$A$21:$A$23,Sheet1!$C$21:$C$23))</f>
        <v>38400</v>
      </c>
      <c r="H1339" s="13" t="s">
        <v>63</v>
      </c>
      <c r="I1339" s="4">
        <f>_xlfn.XLOOKUP(Table1[[#This Row], [WEAPON]],Sheet1!$A$27:$A$29,Sheet1!$B$27:$B$29)*Table1[[#This Row], [NUM OF MEM]]*(1+_xlfn.XLOOKUP(Table1[[#This Row], [WEAPON]],Sheet1!$A$27:$A$29,Sheet1!$C$27:$C$29))</f>
        <v>69000</v>
      </c>
      <c r="J1339" t="s">
        <v>64</v>
      </c>
      <c r="K1339" s="9">
        <f>Table1[[#This Row], [NUM OF MEM]]*Table1[[#This Row], [TOTAL TIME TAKEN]]*_xlfn.XLOOKUP(Table1[[#This Row], [EXIT]],Sheet1!$A$70:$A$71,Sheet1!$B$70:$B$71)*(1+_xlfn.XLOOKUP(Table1[[#This Row], [EXIT]],Sheet1!$A$70:$A$71,Sheet1!$C$70:$C$71))</f>
        <v>1739663.9999999993</v>
      </c>
      <c r="L1339" s="13" t="s">
        <v>65</v>
      </c>
      <c r="M1339" s="4">
        <f>IF(Table1[[#This Row], [EQUIPMENT]]="YES",Sheet1!$C$44*(1+Sheet1!$D$44),0)</f>
        <v>307500</v>
      </c>
      <c r="N1339" s="4">
        <f>_xlfn.XLOOKUP(Table1[[#This Row], [ROOM]],Sheet1!$A$47:$A$66,Sheet1!$F$47:$F$66)</f>
        <v>17800000</v>
      </c>
      <c r="O1339" s="9">
        <f>_xlfn.XLOOKUP(_xlfn.CONCAT(Table1[[#This Row], [TEAM]],Table1[[#This Row], [ROOM]]),'ROOM TIME'!$H$2:$H$121,'ROOM TIME'!$J$2:$J$121)</f>
        <v>39.344444444444434</v>
      </c>
      <c r="P1339" s="9">
        <f>(INDEX(Sheet1!$X$48:$Z$67,MATCH(Table1[[#This Row], [ROOM]],Sheet1!$P$48:$P$67,0),MATCH(Table1[[#This Row], [WEAPON]],Sheet1!$X$47:$Z$47,0)))/Table1[[#This Row], [NUM OF MEM]]</f>
        <v>5.4000000000000012</v>
      </c>
      <c r="Q1339" s="9">
        <f>Table1[[#This Row], [ROOM TIME]]+Table1[[#This Row], [GUARD TIME]]</f>
        <v>44.744444444444433</v>
      </c>
      <c r="R1339" s="4">
        <f>Sheet1!$K$3*_xlfn.XLOOKUP(Table1[[#This Row], [DISGUISE]],Sheet1!$A$21:$A$23,Sheet1!$D$21:$D$23)</f>
        <v>69</v>
      </c>
      <c r="S1339" s="9">
        <f>Table1[[#This Row], [TOTAL TIME]]-Table1[[#This Row], [TOTAL TIME TAKEN]]</f>
        <v>24.255555555555567</v>
      </c>
      <c r="T1339" t="str">
        <f>IF(Table1[[#This Row], [TIME DIFFERENCE]]&gt;=0,"PASS","FAIL")</f>
        <v>PASS</v>
      </c>
      <c r="U1339" s="4">
        <f>Table1[[#This Row], [TRC]]+Table1[[#This Row], [DRC]]+Table1[[#This Row], [WRC]]+Table1[[#This Row], [ERC]]+Table1[[#This Row], [EQRC]]</f>
        <v>8393314</v>
      </c>
      <c r="V1339" s="9">
        <f>Table1[[#This Row], [TOTAL COST]]+_xlfn.XLOOKUP(Table1[[#This Row], [TEAM]],Sheet1!$A$12:$A$17,Sheet1!$I$12:$I$17)</f>
        <v>8705251.5</v>
      </c>
      <c r="W1339" s="4">
        <f>Table1[[#This Row], [LOOT]]-Table1[[#This Row], [TOTAL COST]]</f>
        <v>9406686</v>
      </c>
      <c r="X1339" s="4">
        <f>IF(Table1[[#This Row], [PASS/FAIL]]="FAIL",0,Table1[[#This Row], [PROFIT]])</f>
        <v>9406686</v>
      </c>
    </row>
    <row r="1340" spans="1:24" ht="19.5" customHeight="1" x14ac:dyDescent="0.45">
      <c r="A1340" t="s">
        <v>13</v>
      </c>
      <c r="B1340" s="14">
        <f>_xlfn.XLOOKUP(Table1[[#This Row], [TEAM]],Sheet1!$A$12:$A$17,Sheet1!$F$12:$F$17)</f>
        <v>3</v>
      </c>
      <c r="C1340" s="14">
        <f>_xlfn.XLOOKUP(Table1[[#This Row], [TEAM]],Sheet1!$A$12:$A$17,Sheet1!$G$12:$G$17)</f>
        <v>5930000</v>
      </c>
      <c r="D1340" t="s">
        <v>20</v>
      </c>
      <c r="E1340" s="4">
        <f>_xlfn.XLOOKUP(Table1[[#This Row], [ROOM]],Sheet1!$A$47:$A$66,Sheet1!$B$47:$B$66)</f>
        <v>145</v>
      </c>
      <c r="F1340" t="s">
        <v>58</v>
      </c>
      <c r="G1340" s="4">
        <f>_xlfn.XLOOKUP(Table1[[#This Row], [DISGUISE]],Sheet1!$A$21:$A$23,Sheet1!$B$21:$B$23)*Table1[[#This Row], [NUM OF MEM]]*(1+_xlfn.XLOOKUP(Table1[[#This Row], [DISGUISE]],Sheet1!$A$21:$A$23,Sheet1!$C$21:$C$23))</f>
        <v>38400</v>
      </c>
      <c r="H1340" s="13" t="s">
        <v>66</v>
      </c>
      <c r="I1340" s="4">
        <f>_xlfn.XLOOKUP(Table1[[#This Row], [WEAPON]],Sheet1!$A$27:$A$29,Sheet1!$B$27:$B$29)*Table1[[#This Row], [NUM OF MEM]]*(1+_xlfn.XLOOKUP(Table1[[#This Row], [WEAPON]],Sheet1!$A$27:$A$29,Sheet1!$C$27:$C$29))</f>
        <v>108000</v>
      </c>
      <c r="J1340" t="s">
        <v>60</v>
      </c>
      <c r="K1340" s="9">
        <f>Table1[[#This Row], [NUM OF MEM]]*Table1[[#This Row], [TOTAL TIME TAKEN]]*_xlfn.XLOOKUP(Table1[[#This Row], [EXIT]],Sheet1!$A$70:$A$71,Sheet1!$B$70:$B$71)*(1+_xlfn.XLOOKUP(Table1[[#This Row], [EXIT]],Sheet1!$A$70:$A$71,Sheet1!$C$70:$C$71))</f>
        <v>1759720.7249999996</v>
      </c>
      <c r="L1340" s="13" t="s">
        <v>65</v>
      </c>
      <c r="M1340" s="4">
        <f>IF(Table1[[#This Row], [EQUIPMENT]]="YES",Sheet1!$C$44*(1+Sheet1!$D$44),0)</f>
        <v>307500</v>
      </c>
      <c r="N1340" s="4">
        <f>_xlfn.XLOOKUP(Table1[[#This Row], [ROOM]],Sheet1!$A$47:$A$66,Sheet1!$F$47:$F$66)</f>
        <v>17550000</v>
      </c>
      <c r="O1340" s="9">
        <f>_xlfn.XLOOKUP(_xlfn.CONCAT(Table1[[#This Row], [TEAM]],Table1[[#This Row], [ROOM]]),'ROOM TIME'!$H$2:$H$121,'ROOM TIME'!$J$2:$J$121)</f>
        <v>41.543333333333322</v>
      </c>
      <c r="P1340" s="9">
        <f>(INDEX(Sheet1!$X$48:$Z$67,MATCH(Table1[[#This Row], [ROOM]],Sheet1!$P$48:$P$67,0),MATCH(Table1[[#This Row], [WEAPON]],Sheet1!$X$47:$Z$47,0)))/Table1[[#This Row], [NUM OF MEM]]</f>
        <v>4.166666666666667</v>
      </c>
      <c r="Q1340" s="9">
        <f>Table1[[#This Row], [ROOM TIME]]+Table1[[#This Row], [GUARD TIME]]</f>
        <v>45.709999999999987</v>
      </c>
      <c r="R1340" s="4">
        <f>Sheet1!$K$3*_xlfn.XLOOKUP(Table1[[#This Row], [DISGUISE]],Sheet1!$A$21:$A$23,Sheet1!$D$21:$D$23)</f>
        <v>69</v>
      </c>
      <c r="S1340" s="9">
        <f>Table1[[#This Row], [TOTAL TIME]]-Table1[[#This Row], [TOTAL TIME TAKEN]]</f>
        <v>23.290000000000013</v>
      </c>
      <c r="T1340" t="str">
        <f>IF(Table1[[#This Row], [TIME DIFFERENCE]]&gt;=0,"PASS","FAIL")</f>
        <v>PASS</v>
      </c>
      <c r="U1340" s="9">
        <f>Table1[[#This Row], [TRC]]+Table1[[#This Row], [DRC]]+Table1[[#This Row], [WRC]]+Table1[[#This Row], [ERC]]+Table1[[#This Row], [EQRC]]</f>
        <v>8143620.7249999996</v>
      </c>
      <c r="V1340" s="9">
        <f>Table1[[#This Row], [TOTAL COST]]+_xlfn.XLOOKUP(Table1[[#This Row], [TEAM]],Sheet1!$A$12:$A$17,Sheet1!$I$12:$I$17)</f>
        <v>8440120.7249999996</v>
      </c>
      <c r="W1340" s="9">
        <f>Table1[[#This Row], [LOOT]]-Table1[[#This Row], [TOTAL COST]]</f>
        <v>9406379.2750000004</v>
      </c>
      <c r="X1340" s="9">
        <f>IF(Table1[[#This Row], [PASS/FAIL]]="FAIL",0,Table1[[#This Row], [PROFIT]])</f>
        <v>9406379.2750000004</v>
      </c>
    </row>
    <row r="1341" spans="1:24" ht="19.5" customHeight="1" x14ac:dyDescent="0.45">
      <c r="A1341" t="s">
        <v>12</v>
      </c>
      <c r="B1341" s="14">
        <f>_xlfn.XLOOKUP(Table1[[#This Row], [TEAM]],Sheet1!$A$12:$A$17,Sheet1!$F$12:$F$17)</f>
        <v>3</v>
      </c>
      <c r="C1341" s="14">
        <f>_xlfn.XLOOKUP(Table1[[#This Row], [TEAM]],Sheet1!$A$12:$A$17,Sheet1!$G$12:$G$17)</f>
        <v>5988750</v>
      </c>
      <c r="D1341" t="s">
        <v>20</v>
      </c>
      <c r="E1341" s="4">
        <f>_xlfn.XLOOKUP(Table1[[#This Row], [ROOM]],Sheet1!$A$47:$A$66,Sheet1!$B$47:$B$66)</f>
        <v>145</v>
      </c>
      <c r="F1341" t="s">
        <v>58</v>
      </c>
      <c r="G1341" s="4">
        <f>_xlfn.XLOOKUP(Table1[[#This Row], [DISGUISE]],Sheet1!$A$21:$A$23,Sheet1!$B$21:$B$23)*Table1[[#This Row], [NUM OF MEM]]*(1+_xlfn.XLOOKUP(Table1[[#This Row], [DISGUISE]],Sheet1!$A$21:$A$23,Sheet1!$C$21:$C$23))</f>
        <v>38400</v>
      </c>
      <c r="H1341" s="13" t="s">
        <v>66</v>
      </c>
      <c r="I1341" s="4">
        <f>_xlfn.XLOOKUP(Table1[[#This Row], [WEAPON]],Sheet1!$A$27:$A$29,Sheet1!$B$27:$B$29)*Table1[[#This Row], [NUM OF MEM]]*(1+_xlfn.XLOOKUP(Table1[[#This Row], [WEAPON]],Sheet1!$A$27:$A$29,Sheet1!$C$27:$C$29))</f>
        <v>108000</v>
      </c>
      <c r="J1341" t="s">
        <v>64</v>
      </c>
      <c r="K1341" s="9">
        <f>Table1[[#This Row], [NUM OF MEM]]*Table1[[#This Row], [TOTAL TIME TAKEN]]*_xlfn.XLOOKUP(Table1[[#This Row], [EXIT]],Sheet1!$A$70:$A$71,Sheet1!$B$70:$B$71)*(1+_xlfn.XLOOKUP(Table1[[#This Row], [EXIT]],Sheet1!$A$70:$A$71,Sheet1!$C$70:$C$71))</f>
        <v>1700999.9999999991</v>
      </c>
      <c r="L1341" s="13" t="s">
        <v>65</v>
      </c>
      <c r="M1341" s="4">
        <f>IF(Table1[[#This Row], [EQUIPMENT]]="YES",Sheet1!$C$44*(1+Sheet1!$D$44),0)</f>
        <v>307500</v>
      </c>
      <c r="N1341" s="4">
        <f>_xlfn.XLOOKUP(Table1[[#This Row], [ROOM]],Sheet1!$A$47:$A$66,Sheet1!$F$47:$F$66)</f>
        <v>17550000</v>
      </c>
      <c r="O1341" s="9">
        <f>_xlfn.XLOOKUP(_xlfn.CONCAT(Table1[[#This Row], [TEAM]],Table1[[#This Row], [ROOM]]),'ROOM TIME'!$H$2:$H$121,'ROOM TIME'!$J$2:$J$121)</f>
        <v>39.583333333333321</v>
      </c>
      <c r="P1341" s="9">
        <f>(INDEX(Sheet1!$X$48:$Z$67,MATCH(Table1[[#This Row], [ROOM]],Sheet1!$P$48:$P$67,0),MATCH(Table1[[#This Row], [WEAPON]],Sheet1!$X$47:$Z$47,0)))/Table1[[#This Row], [NUM OF MEM]]</f>
        <v>4.166666666666667</v>
      </c>
      <c r="Q1341" s="9">
        <f>Table1[[#This Row], [ROOM TIME]]+Table1[[#This Row], [GUARD TIME]]</f>
        <v>43.749999999999986</v>
      </c>
      <c r="R1341" s="4">
        <f>Sheet1!$K$3*_xlfn.XLOOKUP(Table1[[#This Row], [DISGUISE]],Sheet1!$A$21:$A$23,Sheet1!$D$21:$D$23)</f>
        <v>69</v>
      </c>
      <c r="S1341" s="9">
        <f>Table1[[#This Row], [TOTAL TIME]]-Table1[[#This Row], [TOTAL TIME TAKEN]]</f>
        <v>25.250000000000014</v>
      </c>
      <c r="T1341" t="str">
        <f>IF(Table1[[#This Row], [TIME DIFFERENCE]]&gt;=0,"PASS","FAIL")</f>
        <v>PASS</v>
      </c>
      <c r="U1341" s="9">
        <f>Table1[[#This Row], [TRC]]+Table1[[#This Row], [DRC]]+Table1[[#This Row], [WRC]]+Table1[[#This Row], [ERC]]+Table1[[#This Row], [EQRC]]</f>
        <v>8143649.9999999991</v>
      </c>
      <c r="V1341" s="9">
        <f>Table1[[#This Row], [TOTAL COST]]+_xlfn.XLOOKUP(Table1[[#This Row], [TEAM]],Sheet1!$A$12:$A$17,Sheet1!$I$12:$I$17)</f>
        <v>8443087.5</v>
      </c>
      <c r="W1341" s="4">
        <f>Table1[[#This Row], [LOOT]]-Table1[[#This Row], [TOTAL COST]]</f>
        <v>9406350</v>
      </c>
      <c r="X1341" s="4">
        <f>IF(Table1[[#This Row], [PASS/FAIL]]="FAIL",0,Table1[[#This Row], [PROFIT]])</f>
        <v>9406350</v>
      </c>
    </row>
    <row r="1342" spans="1:24" ht="19.5" customHeight="1" x14ac:dyDescent="0.45">
      <c r="A1342" t="s">
        <v>9</v>
      </c>
      <c r="B1342" s="14">
        <f>_xlfn.XLOOKUP(Table1[[#This Row], [TEAM]],Sheet1!$A$12:$A$17,Sheet1!$F$12:$F$17)</f>
        <v>3</v>
      </c>
      <c r="C1342" s="14">
        <f>_xlfn.XLOOKUP(Table1[[#This Row], [TEAM]],Sheet1!$A$12:$A$17,Sheet1!$G$12:$G$17)</f>
        <v>6238750</v>
      </c>
      <c r="D1342" t="s">
        <v>22</v>
      </c>
      <c r="E1342" s="4">
        <f>_xlfn.XLOOKUP(Table1[[#This Row], [ROOM]],Sheet1!$A$47:$A$66,Sheet1!$B$47:$B$66)</f>
        <v>235</v>
      </c>
      <c r="F1342" t="s">
        <v>62</v>
      </c>
      <c r="G134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42" s="13" t="s">
        <v>66</v>
      </c>
      <c r="I1342" s="4">
        <f>_xlfn.XLOOKUP(Table1[[#This Row], [WEAPON]],Sheet1!$A$27:$A$29,Sheet1!$B$27:$B$29)*Table1[[#This Row], [NUM OF MEM]]*(1+_xlfn.XLOOKUP(Table1[[#This Row], [WEAPON]],Sheet1!$A$27:$A$29,Sheet1!$C$27:$C$29))</f>
        <v>108000</v>
      </c>
      <c r="J1342" t="s">
        <v>64</v>
      </c>
      <c r="K1342" s="9">
        <f>Table1[[#This Row], [NUM OF MEM]]*Table1[[#This Row], [TOTAL TIME TAKEN]]*_xlfn.XLOOKUP(Table1[[#This Row], [EXIT]],Sheet1!$A$70:$A$71,Sheet1!$B$70:$B$71)*(1+_xlfn.XLOOKUP(Table1[[#This Row], [EXIT]],Sheet1!$A$70:$A$71,Sheet1!$C$70:$C$71))</f>
        <v>1724111.9999999998</v>
      </c>
      <c r="L1342" s="13" t="s">
        <v>65</v>
      </c>
      <c r="M1342" s="4">
        <f>IF(Table1[[#This Row], [EQUIPMENT]]="YES",Sheet1!$C$44*(1+Sheet1!$D$44),0)</f>
        <v>307500</v>
      </c>
      <c r="N1342" s="4">
        <f>_xlfn.XLOOKUP(Table1[[#This Row], [ROOM]],Sheet1!$A$47:$A$66,Sheet1!$F$47:$F$66)</f>
        <v>17800000</v>
      </c>
      <c r="O1342" s="9">
        <f>_xlfn.XLOOKUP(_xlfn.CONCAT(Table1[[#This Row], [TEAM]],Table1[[#This Row], [ROOM]]),'ROOM TIME'!$H$2:$H$121,'ROOM TIME'!$J$2:$J$121)</f>
        <v>39.344444444444434</v>
      </c>
      <c r="P1342" s="4">
        <f>(INDEX(Sheet1!$X$48:$Z$67,MATCH(Table1[[#This Row], [ROOM]],Sheet1!$P$48:$P$67,0),MATCH(Table1[[#This Row], [WEAPON]],Sheet1!$X$47:$Z$47,0)))/Table1[[#This Row], [NUM OF MEM]]</f>
        <v>5</v>
      </c>
      <c r="Q1342" s="9">
        <f>Table1[[#This Row], [ROOM TIME]]+Table1[[#This Row], [GUARD TIME]]</f>
        <v>44.344444444444434</v>
      </c>
      <c r="R1342" s="4">
        <f>Sheet1!$K$3*_xlfn.XLOOKUP(Table1[[#This Row], [DISGUISE]],Sheet1!$A$21:$A$23,Sheet1!$D$21:$D$23)</f>
        <v>66</v>
      </c>
      <c r="S1342" s="9">
        <f>Table1[[#This Row], [TOTAL TIME]]-Table1[[#This Row], [TOTAL TIME TAKEN]]</f>
        <v>21.655555555555566</v>
      </c>
      <c r="T1342" t="str">
        <f>IF(Table1[[#This Row], [TIME DIFFERENCE]]&gt;=0,"PASS","FAIL")</f>
        <v>PASS</v>
      </c>
      <c r="U1342" s="4">
        <f>Table1[[#This Row], [TRC]]+Table1[[#This Row], [DRC]]+Table1[[#This Row], [WRC]]+Table1[[#This Row], [ERC]]+Table1[[#This Row], [EQRC]]</f>
        <v>8393962</v>
      </c>
      <c r="V1342" s="9">
        <f>Table1[[#This Row], [TOTAL COST]]+_xlfn.XLOOKUP(Table1[[#This Row], [TEAM]],Sheet1!$A$12:$A$17,Sheet1!$I$12:$I$17)</f>
        <v>8705899.5</v>
      </c>
      <c r="W1342" s="4">
        <f>Table1[[#This Row], [LOOT]]-Table1[[#This Row], [TOTAL COST]]</f>
        <v>9406038</v>
      </c>
      <c r="X1342" s="4">
        <f>IF(Table1[[#This Row], [PASS/FAIL]]="FAIL",0,Table1[[#This Row], [PROFIT]])</f>
        <v>9406038</v>
      </c>
    </row>
    <row r="1343" spans="1:24" ht="19.5" customHeight="1" x14ac:dyDescent="0.45">
      <c r="A1343" t="s">
        <v>16</v>
      </c>
      <c r="B1343" s="14">
        <f>_xlfn.XLOOKUP(Table1[[#This Row], [TEAM]],Sheet1!$A$12:$A$17,Sheet1!$F$12:$F$17)</f>
        <v>2</v>
      </c>
      <c r="C1343" s="14">
        <f>_xlfn.XLOOKUP(Table1[[#This Row], [TEAM]],Sheet1!$A$12:$A$17,Sheet1!$G$12:$G$17)</f>
        <v>6082800</v>
      </c>
      <c r="D1343" t="s">
        <v>31</v>
      </c>
      <c r="E1343" s="4">
        <f>_xlfn.XLOOKUP(Table1[[#This Row], [ROOM]],Sheet1!$A$47:$A$66,Sheet1!$B$47:$B$66)</f>
        <v>256</v>
      </c>
      <c r="F1343" t="s">
        <v>62</v>
      </c>
      <c r="G1343" s="4">
        <f>_xlfn.XLOOKUP(Table1[[#This Row], [DISGUISE]],Sheet1!$A$21:$A$23,Sheet1!$B$21:$B$23)*Table1[[#This Row], [NUM OF MEM]]*(1+_xlfn.XLOOKUP(Table1[[#This Row], [DISGUISE]],Sheet1!$A$21:$A$23,Sheet1!$C$21:$C$23))</f>
        <v>10400</v>
      </c>
      <c r="H1343" s="13" t="s">
        <v>63</v>
      </c>
      <c r="I1343" s="4">
        <f>_xlfn.XLOOKUP(Table1[[#This Row], [WEAPON]],Sheet1!$A$27:$A$29,Sheet1!$B$27:$B$29)*Table1[[#This Row], [NUM OF MEM]]*(1+_xlfn.XLOOKUP(Table1[[#This Row], [WEAPON]],Sheet1!$A$27:$A$29,Sheet1!$C$27:$C$29))</f>
        <v>46000</v>
      </c>
      <c r="J1343" t="s">
        <v>60</v>
      </c>
      <c r="K1343" s="9">
        <f>Table1[[#This Row], [NUM OF MEM]]*Table1[[#This Row], [TOTAL TIME TAKEN]]*_xlfn.XLOOKUP(Table1[[#This Row], [EXIT]],Sheet1!$A$70:$A$71,Sheet1!$B$70:$B$71)*(1+_xlfn.XLOOKUP(Table1[[#This Row], [EXIT]],Sheet1!$A$70:$A$71,Sheet1!$C$70:$C$71))</f>
        <v>1647308.0249999997</v>
      </c>
      <c r="L1343" s="13" t="s">
        <v>65</v>
      </c>
      <c r="M1343" s="4">
        <f>IF(Table1[[#This Row], [EQUIPMENT]]="YES",Sheet1!$C$44*(1+Sheet1!$D$44),0)</f>
        <v>307500</v>
      </c>
      <c r="N1343" s="4">
        <f>_xlfn.XLOOKUP(Table1[[#This Row], [ROOM]],Sheet1!$A$47:$A$66,Sheet1!$F$47:$F$66)</f>
        <v>17500000</v>
      </c>
      <c r="O1343" s="9">
        <f>_xlfn.XLOOKUP(_xlfn.CONCAT(Table1[[#This Row], [TEAM]],Table1[[#This Row], [ROOM]]),'ROOM TIME'!$H$2:$H$121,'ROOM TIME'!$J$2:$J$121)</f>
        <v>56.759999999999984</v>
      </c>
      <c r="P1343" s="9">
        <f>(INDEX(Sheet1!$X$48:$Z$67,MATCH(Table1[[#This Row], [ROOM]],Sheet1!$P$48:$P$67,0),MATCH(Table1[[#This Row], [WEAPON]],Sheet1!$X$47:$Z$47,0)))/Table1[[#This Row], [NUM OF MEM]]</f>
        <v>7.4250000000000007</v>
      </c>
      <c r="Q1343" s="9">
        <f>Table1[[#This Row], [ROOM TIME]]+Table1[[#This Row], [GUARD TIME]]</f>
        <v>64.184999999999988</v>
      </c>
      <c r="R1343" s="4">
        <f>Sheet1!$K$3*_xlfn.XLOOKUP(Table1[[#This Row], [DISGUISE]],Sheet1!$A$21:$A$23,Sheet1!$D$21:$D$23)</f>
        <v>66</v>
      </c>
      <c r="S1343" s="9">
        <f>Table1[[#This Row], [TOTAL TIME]]-Table1[[#This Row], [TOTAL TIME TAKEN]]</f>
        <v>1.8150000000000119</v>
      </c>
      <c r="T1343" t="str">
        <f>IF(Table1[[#This Row], [TIME DIFFERENCE]]&gt;=0,"PASS","FAIL")</f>
        <v>PASS</v>
      </c>
      <c r="U1343" s="9">
        <f>Table1[[#This Row], [TRC]]+Table1[[#This Row], [DRC]]+Table1[[#This Row], [WRC]]+Table1[[#This Row], [ERC]]+Table1[[#This Row], [EQRC]]</f>
        <v>8094008.0249999994</v>
      </c>
      <c r="V1343" s="9">
        <f>Table1[[#This Row], [TOTAL COST]]+_xlfn.XLOOKUP(Table1[[#This Row], [TEAM]],Sheet1!$A$12:$A$17,Sheet1!$I$12:$I$17)</f>
        <v>8398148.0249999985</v>
      </c>
      <c r="W1343" s="9">
        <f>Table1[[#This Row], [LOOT]]-Table1[[#This Row], [TOTAL COST]]</f>
        <v>9405991.9750000015</v>
      </c>
      <c r="X1343" s="9">
        <f>IF(Table1[[#This Row], [PASS/FAIL]]="FAIL",0,Table1[[#This Row], [PROFIT]])</f>
        <v>9405991.9750000015</v>
      </c>
    </row>
    <row r="1344" spans="1:24" ht="19.5" customHeight="1" x14ac:dyDescent="0.45">
      <c r="A1344" t="s">
        <v>9</v>
      </c>
      <c r="B1344" s="14">
        <f>_xlfn.XLOOKUP(Table1[[#This Row], [TEAM]],Sheet1!$A$12:$A$17,Sheet1!$F$12:$F$17)</f>
        <v>3</v>
      </c>
      <c r="C1344" s="14">
        <f>_xlfn.XLOOKUP(Table1[[#This Row], [TEAM]],Sheet1!$A$12:$A$17,Sheet1!$G$12:$G$17)</f>
        <v>6238750</v>
      </c>
      <c r="D1344" t="s">
        <v>23</v>
      </c>
      <c r="E1344" s="4">
        <f>_xlfn.XLOOKUP(Table1[[#This Row], [ROOM]],Sheet1!$A$47:$A$66,Sheet1!$B$47:$B$66)</f>
        <v>245</v>
      </c>
      <c r="F1344" t="s">
        <v>62</v>
      </c>
      <c r="G1344" s="4">
        <f>_xlfn.XLOOKUP(Table1[[#This Row], [DISGUISE]],Sheet1!$A$21:$A$23,Sheet1!$B$21:$B$23)*Table1[[#This Row], [NUM OF MEM]]*(1+_xlfn.XLOOKUP(Table1[[#This Row], [DISGUISE]],Sheet1!$A$21:$A$23,Sheet1!$C$21:$C$23))</f>
        <v>15600</v>
      </c>
      <c r="H1344" s="13" t="s">
        <v>63</v>
      </c>
      <c r="I1344" s="4">
        <f>_xlfn.XLOOKUP(Table1[[#This Row], [WEAPON]],Sheet1!$A$27:$A$29,Sheet1!$B$27:$B$29)*Table1[[#This Row], [NUM OF MEM]]*(1+_xlfn.XLOOKUP(Table1[[#This Row], [WEAPON]],Sheet1!$A$27:$A$29,Sheet1!$C$27:$C$29))</f>
        <v>69000</v>
      </c>
      <c r="J1344" t="s">
        <v>60</v>
      </c>
      <c r="K1344" s="9">
        <f>Table1[[#This Row], [NUM OF MEM]]*Table1[[#This Row], [TOTAL TIME TAKEN]]*_xlfn.XLOOKUP(Table1[[#This Row], [EXIT]],Sheet1!$A$70:$A$71,Sheet1!$B$70:$B$71)*(1+_xlfn.XLOOKUP(Table1[[#This Row], [EXIT]],Sheet1!$A$70:$A$71,Sheet1!$C$70:$C$71))</f>
        <v>1671219.2499999995</v>
      </c>
      <c r="L1344" s="13" t="s">
        <v>61</v>
      </c>
      <c r="M1344" s="4">
        <f>IF(Table1[[#This Row], [EQUIPMENT]]="YES",Sheet1!$C$44*(1+Sheet1!$D$44),0)</f>
        <v>0</v>
      </c>
      <c r="N1344" s="4">
        <f>_xlfn.XLOOKUP(Table1[[#This Row], [ROOM]],Sheet1!$A$47:$A$66,Sheet1!$F$47:$F$66)</f>
        <v>17400000</v>
      </c>
      <c r="O1344" s="9">
        <f>_xlfn.XLOOKUP(_xlfn.CONCAT(Table1[[#This Row], [TEAM]],Table1[[#This Row], [ROOM]]),'ROOM TIME'!$H$2:$H$121,'ROOM TIME'!$J$2:$J$121)</f>
        <v>38.461111111111101</v>
      </c>
      <c r="P1344" s="9">
        <f>(INDEX(Sheet1!$X$48:$Z$67,MATCH(Table1[[#This Row], [ROOM]],Sheet1!$P$48:$P$67,0),MATCH(Table1[[#This Row], [WEAPON]],Sheet1!$X$47:$Z$47,0)))/Table1[[#This Row], [NUM OF MEM]]</f>
        <v>4.95</v>
      </c>
      <c r="Q1344" s="9">
        <f>Table1[[#This Row], [ROOM TIME]]+Table1[[#This Row], [GUARD TIME]]</f>
        <v>43.411111111111104</v>
      </c>
      <c r="R1344" s="4">
        <f>Sheet1!$K$3*_xlfn.XLOOKUP(Table1[[#This Row], [DISGUISE]],Sheet1!$A$21:$A$23,Sheet1!$D$21:$D$23)</f>
        <v>66</v>
      </c>
      <c r="S1344" s="9">
        <f>Table1[[#This Row], [TOTAL TIME]]-Table1[[#This Row], [TOTAL TIME TAKEN]]</f>
        <v>22.588888888888896</v>
      </c>
      <c r="T1344" t="str">
        <f>IF(Table1[[#This Row], [TIME DIFFERENCE]]&gt;=0,"PASS","FAIL")</f>
        <v>PASS</v>
      </c>
      <c r="U1344" s="9">
        <f>Table1[[#This Row], [TRC]]+Table1[[#This Row], [DRC]]+Table1[[#This Row], [WRC]]+Table1[[#This Row], [ERC]]+Table1[[#This Row], [EQRC]]</f>
        <v>7994569.25</v>
      </c>
      <c r="V1344" s="9">
        <f>Table1[[#This Row], [TOTAL COST]]+_xlfn.XLOOKUP(Table1[[#This Row], [TEAM]],Sheet1!$A$12:$A$17,Sheet1!$I$12:$I$17)</f>
        <v>8306506.75</v>
      </c>
      <c r="W1344" s="9">
        <f>Table1[[#This Row], [LOOT]]-Table1[[#This Row], [TOTAL COST]]</f>
        <v>9405430.75</v>
      </c>
      <c r="X1344" s="9">
        <f>IF(Table1[[#This Row], [PASS/FAIL]]="FAIL",0,Table1[[#This Row], [PROFIT]])</f>
        <v>9405430.75</v>
      </c>
    </row>
    <row r="1345" spans="1:24" ht="19.5" customHeight="1" x14ac:dyDescent="0.45">
      <c r="A1345" t="s">
        <v>9</v>
      </c>
      <c r="B1345" s="14">
        <f>_xlfn.XLOOKUP(Table1[[#This Row], [TEAM]],Sheet1!$A$12:$A$17,Sheet1!$F$12:$F$17)</f>
        <v>3</v>
      </c>
      <c r="C1345" s="14">
        <f>_xlfn.XLOOKUP(Table1[[#This Row], [TEAM]],Sheet1!$A$12:$A$17,Sheet1!$G$12:$G$17)</f>
        <v>6238750</v>
      </c>
      <c r="D1345" t="s">
        <v>11</v>
      </c>
      <c r="E1345" s="4">
        <f>_xlfn.XLOOKUP(Table1[[#This Row], [ROOM]],Sheet1!$A$47:$A$66,Sheet1!$B$47:$B$66)</f>
        <v>124</v>
      </c>
      <c r="F1345" t="s">
        <v>62</v>
      </c>
      <c r="G1345" s="4">
        <f>_xlfn.XLOOKUP(Table1[[#This Row], [DISGUISE]],Sheet1!$A$21:$A$23,Sheet1!$B$21:$B$23)*Table1[[#This Row], [NUM OF MEM]]*(1+_xlfn.XLOOKUP(Table1[[#This Row], [DISGUISE]],Sheet1!$A$21:$A$23,Sheet1!$C$21:$C$23))</f>
        <v>15600</v>
      </c>
      <c r="H1345" s="13" t="s">
        <v>59</v>
      </c>
      <c r="I1345" s="4">
        <f>_xlfn.XLOOKUP(Table1[[#This Row], [WEAPON]],Sheet1!$A$27:$A$29,Sheet1!$B$27:$B$29)*Table1[[#This Row], [NUM OF MEM]]*(1+_xlfn.XLOOKUP(Table1[[#This Row], [WEAPON]],Sheet1!$A$27:$A$29,Sheet1!$C$27:$C$29))</f>
        <v>136500</v>
      </c>
      <c r="J1345" t="s">
        <v>60</v>
      </c>
      <c r="K1345" s="9">
        <f>Table1[[#This Row], [NUM OF MEM]]*Table1[[#This Row], [TOTAL TIME TAKEN]]*_xlfn.XLOOKUP(Table1[[#This Row], [EXIT]],Sheet1!$A$70:$A$71,Sheet1!$B$70:$B$71)*(1+_xlfn.XLOOKUP(Table1[[#This Row], [EXIT]],Sheet1!$A$70:$A$71,Sheet1!$C$70:$C$71))</f>
        <v>1654216.1875</v>
      </c>
      <c r="L1345" s="13" t="s">
        <v>61</v>
      </c>
      <c r="M1345" s="4">
        <f>IF(Table1[[#This Row], [EQUIPMENT]]="YES",Sheet1!$C$44*(1+Sheet1!$D$44),0)</f>
        <v>0</v>
      </c>
      <c r="N1345" s="4">
        <f>_xlfn.XLOOKUP(Table1[[#This Row], [ROOM]],Sheet1!$A$47:$A$66,Sheet1!$F$47:$F$66)</f>
        <v>17450000</v>
      </c>
      <c r="O1345" s="9">
        <f>_xlfn.XLOOKUP(_xlfn.CONCAT(Table1[[#This Row], [TEAM]],Table1[[#This Row], [ROOM]]),'ROOM TIME'!$H$2:$H$121,'ROOM TIME'!$J$2:$J$121)</f>
        <v>38.752777777777773</v>
      </c>
      <c r="P1345" s="9">
        <f>(INDEX(Sheet1!$X$48:$Z$67,MATCH(Table1[[#This Row], [ROOM]],Sheet1!$P$48:$P$67,0),MATCH(Table1[[#This Row], [WEAPON]],Sheet1!$X$47:$Z$47,0)))/Table1[[#This Row], [NUM OF MEM]]</f>
        <v>4.2166666666666659</v>
      </c>
      <c r="Q1345" s="9">
        <f>Table1[[#This Row], [ROOM TIME]]+Table1[[#This Row], [GUARD TIME]]</f>
        <v>42.969444444444441</v>
      </c>
      <c r="R1345" s="4">
        <f>Sheet1!$K$3*_xlfn.XLOOKUP(Table1[[#This Row], [DISGUISE]],Sheet1!$A$21:$A$23,Sheet1!$D$21:$D$23)</f>
        <v>66</v>
      </c>
      <c r="S1345" s="9">
        <f>Table1[[#This Row], [TOTAL TIME]]-Table1[[#This Row], [TOTAL TIME TAKEN]]</f>
        <v>23.030555555555559</v>
      </c>
      <c r="T1345" t="str">
        <f>IF(Table1[[#This Row], [TIME DIFFERENCE]]&gt;=0,"PASS","FAIL")</f>
        <v>PASS</v>
      </c>
      <c r="U1345" s="9">
        <f>Table1[[#This Row], [TRC]]+Table1[[#This Row], [DRC]]+Table1[[#This Row], [WRC]]+Table1[[#This Row], [ERC]]+Table1[[#This Row], [EQRC]]</f>
        <v>8045066.1875</v>
      </c>
      <c r="V1345" s="9">
        <f>Table1[[#This Row], [TOTAL COST]]+_xlfn.XLOOKUP(Table1[[#This Row], [TEAM]],Sheet1!$A$12:$A$17,Sheet1!$I$12:$I$17)</f>
        <v>8357003.6875</v>
      </c>
      <c r="W1345" s="9">
        <f>Table1[[#This Row], [LOOT]]-Table1[[#This Row], [TOTAL COST]]</f>
        <v>9404933.8125</v>
      </c>
      <c r="X1345" s="9">
        <f>IF(Table1[[#This Row], [PASS/FAIL]]="FAIL",0,Table1[[#This Row], [PROFIT]])</f>
        <v>9404933.8125</v>
      </c>
    </row>
    <row r="1346" spans="1:24" ht="19.5" customHeight="1" x14ac:dyDescent="0.45">
      <c r="A1346" t="s">
        <v>9</v>
      </c>
      <c r="B1346" s="14">
        <f>_xlfn.XLOOKUP(Table1[[#This Row], [TEAM]],Sheet1!$A$12:$A$17,Sheet1!$F$12:$F$17)</f>
        <v>3</v>
      </c>
      <c r="C1346" s="14">
        <f>_xlfn.XLOOKUP(Table1[[#This Row], [TEAM]],Sheet1!$A$12:$A$17,Sheet1!$G$12:$G$17)</f>
        <v>6238750</v>
      </c>
      <c r="D1346" t="s">
        <v>11</v>
      </c>
      <c r="E1346" s="4">
        <f>_xlfn.XLOOKUP(Table1[[#This Row], [ROOM]],Sheet1!$A$47:$A$66,Sheet1!$B$47:$B$66)</f>
        <v>124</v>
      </c>
      <c r="F1346" t="s">
        <v>58</v>
      </c>
      <c r="G134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46" s="13" t="s">
        <v>63</v>
      </c>
      <c r="I1346" s="4">
        <f>_xlfn.XLOOKUP(Table1[[#This Row], [WEAPON]],Sheet1!$A$27:$A$29,Sheet1!$B$27:$B$29)*Table1[[#This Row], [NUM OF MEM]]*(1+_xlfn.XLOOKUP(Table1[[#This Row], [WEAPON]],Sheet1!$A$27:$A$29,Sheet1!$C$27:$C$29))</f>
        <v>69000</v>
      </c>
      <c r="J1346" t="s">
        <v>64</v>
      </c>
      <c r="K1346" s="9">
        <f>Table1[[#This Row], [NUM OF MEM]]*Table1[[#This Row], [TOTAL TIME TAKEN]]*_xlfn.XLOOKUP(Table1[[#This Row], [EXIT]],Sheet1!$A$70:$A$71,Sheet1!$B$70:$B$71)*(1+_xlfn.XLOOKUP(Table1[[#This Row], [EXIT]],Sheet1!$A$70:$A$71,Sheet1!$C$70:$C$71))</f>
        <v>1699163.9999999998</v>
      </c>
      <c r="L1346" s="13" t="s">
        <v>61</v>
      </c>
      <c r="M1346" s="4">
        <f>IF(Table1[[#This Row], [EQUIPMENT]]="YES",Sheet1!$C$44*(1+Sheet1!$D$44),0)</f>
        <v>0</v>
      </c>
      <c r="N1346" s="4">
        <f>_xlfn.XLOOKUP(Table1[[#This Row], [ROOM]],Sheet1!$A$47:$A$66,Sheet1!$F$47:$F$66)</f>
        <v>17450000</v>
      </c>
      <c r="O1346" s="9">
        <f>_xlfn.XLOOKUP(_xlfn.CONCAT(Table1[[#This Row], [TEAM]],Table1[[#This Row], [ROOM]]),'ROOM TIME'!$H$2:$H$121,'ROOM TIME'!$J$2:$J$121)</f>
        <v>38.752777777777773</v>
      </c>
      <c r="P1346" s="9">
        <f>(INDEX(Sheet1!$X$48:$Z$67,MATCH(Table1[[#This Row], [ROOM]],Sheet1!$P$48:$P$67,0),MATCH(Table1[[#This Row], [WEAPON]],Sheet1!$X$47:$Z$47,0)))/Table1[[#This Row], [NUM OF MEM]]</f>
        <v>4.95</v>
      </c>
      <c r="Q1346" s="9">
        <f>Table1[[#This Row], [ROOM TIME]]+Table1[[#This Row], [GUARD TIME]]</f>
        <v>43.702777777777776</v>
      </c>
      <c r="R1346" s="4">
        <f>Sheet1!$K$3*_xlfn.XLOOKUP(Table1[[#This Row], [DISGUISE]],Sheet1!$A$21:$A$23,Sheet1!$D$21:$D$23)</f>
        <v>69</v>
      </c>
      <c r="S1346" s="9">
        <f>Table1[[#This Row], [TOTAL TIME]]-Table1[[#This Row], [TOTAL TIME TAKEN]]</f>
        <v>25.297222222222224</v>
      </c>
      <c r="T1346" t="str">
        <f>IF(Table1[[#This Row], [TIME DIFFERENCE]]&gt;=0,"PASS","FAIL")</f>
        <v>PASS</v>
      </c>
      <c r="U1346" s="4">
        <f>Table1[[#This Row], [TRC]]+Table1[[#This Row], [DRC]]+Table1[[#This Row], [WRC]]+Table1[[#This Row], [ERC]]+Table1[[#This Row], [EQRC]]</f>
        <v>8045314</v>
      </c>
      <c r="V1346" s="9">
        <f>Table1[[#This Row], [TOTAL COST]]+_xlfn.XLOOKUP(Table1[[#This Row], [TEAM]],Sheet1!$A$12:$A$17,Sheet1!$I$12:$I$17)</f>
        <v>8357251.5</v>
      </c>
      <c r="W1346" s="4">
        <f>Table1[[#This Row], [LOOT]]-Table1[[#This Row], [TOTAL COST]]</f>
        <v>9404686</v>
      </c>
      <c r="X1346" s="4">
        <f>IF(Table1[[#This Row], [PASS/FAIL]]="FAIL",0,Table1[[#This Row], [PROFIT]])</f>
        <v>9404686</v>
      </c>
    </row>
    <row r="1347" spans="1:24" ht="19.5" customHeight="1" x14ac:dyDescent="0.45">
      <c r="A1347" t="s">
        <v>9</v>
      </c>
      <c r="B1347" s="14">
        <f>_xlfn.XLOOKUP(Table1[[#This Row], [TEAM]],Sheet1!$A$12:$A$17,Sheet1!$F$12:$F$17)</f>
        <v>3</v>
      </c>
      <c r="C1347" s="14">
        <f>_xlfn.XLOOKUP(Table1[[#This Row], [TEAM]],Sheet1!$A$12:$A$17,Sheet1!$G$12:$G$17)</f>
        <v>6238750</v>
      </c>
      <c r="D1347" t="s">
        <v>11</v>
      </c>
      <c r="E1347" s="4">
        <f>_xlfn.XLOOKUP(Table1[[#This Row], [ROOM]],Sheet1!$A$47:$A$66,Sheet1!$B$47:$B$66)</f>
        <v>124</v>
      </c>
      <c r="F1347" t="s">
        <v>62</v>
      </c>
      <c r="G1347" s="4">
        <f>_xlfn.XLOOKUP(Table1[[#This Row], [DISGUISE]],Sheet1!$A$21:$A$23,Sheet1!$B$21:$B$23)*Table1[[#This Row], [NUM OF MEM]]*(1+_xlfn.XLOOKUP(Table1[[#This Row], [DISGUISE]],Sheet1!$A$21:$A$23,Sheet1!$C$21:$C$23))</f>
        <v>15600</v>
      </c>
      <c r="H1347" s="13" t="s">
        <v>66</v>
      </c>
      <c r="I1347" s="4">
        <f>_xlfn.XLOOKUP(Table1[[#This Row], [WEAPON]],Sheet1!$A$27:$A$29,Sheet1!$B$27:$B$29)*Table1[[#This Row], [NUM OF MEM]]*(1+_xlfn.XLOOKUP(Table1[[#This Row], [WEAPON]],Sheet1!$A$27:$A$29,Sheet1!$C$27:$C$29))</f>
        <v>108000</v>
      </c>
      <c r="J1347" t="s">
        <v>64</v>
      </c>
      <c r="K1347" s="4">
        <f>Table1[[#This Row], [NUM OF MEM]]*Table1[[#This Row], [TOTAL TIME TAKEN]]*_xlfn.XLOOKUP(Table1[[#This Row], [EXIT]],Sheet1!$A$70:$A$71,Sheet1!$B$70:$B$71)*(1+_xlfn.XLOOKUP(Table1[[#This Row], [EXIT]],Sheet1!$A$70:$A$71,Sheet1!$C$70:$C$71))</f>
        <v>1684908</v>
      </c>
      <c r="L1347" s="13" t="s">
        <v>61</v>
      </c>
      <c r="M1347" s="4">
        <f>IF(Table1[[#This Row], [EQUIPMENT]]="YES",Sheet1!$C$44*(1+Sheet1!$D$44),0)</f>
        <v>0</v>
      </c>
      <c r="N1347" s="4">
        <f>_xlfn.XLOOKUP(Table1[[#This Row], [ROOM]],Sheet1!$A$47:$A$66,Sheet1!$F$47:$F$66)</f>
        <v>17450000</v>
      </c>
      <c r="O1347" s="9">
        <f>_xlfn.XLOOKUP(_xlfn.CONCAT(Table1[[#This Row], [TEAM]],Table1[[#This Row], [ROOM]]),'ROOM TIME'!$H$2:$H$121,'ROOM TIME'!$J$2:$J$121)</f>
        <v>38.752777777777773</v>
      </c>
      <c r="P1347" s="9">
        <f>(INDEX(Sheet1!$X$48:$Z$67,MATCH(Table1[[#This Row], [ROOM]],Sheet1!$P$48:$P$67,0),MATCH(Table1[[#This Row], [WEAPON]],Sheet1!$X$47:$Z$47,0)))/Table1[[#This Row], [NUM OF MEM]]</f>
        <v>4.583333333333333</v>
      </c>
      <c r="Q1347" s="9">
        <f>Table1[[#This Row], [ROOM TIME]]+Table1[[#This Row], [GUARD TIME]]</f>
        <v>43.336111111111109</v>
      </c>
      <c r="R1347" s="4">
        <f>Sheet1!$K$3*_xlfn.XLOOKUP(Table1[[#This Row], [DISGUISE]],Sheet1!$A$21:$A$23,Sheet1!$D$21:$D$23)</f>
        <v>66</v>
      </c>
      <c r="S1347" s="9">
        <f>Table1[[#This Row], [TOTAL TIME]]-Table1[[#This Row], [TOTAL TIME TAKEN]]</f>
        <v>22.663888888888891</v>
      </c>
      <c r="T1347" t="str">
        <f>IF(Table1[[#This Row], [TIME DIFFERENCE]]&gt;=0,"PASS","FAIL")</f>
        <v>PASS</v>
      </c>
      <c r="U1347" s="4">
        <f>Table1[[#This Row], [TRC]]+Table1[[#This Row], [DRC]]+Table1[[#This Row], [WRC]]+Table1[[#This Row], [ERC]]+Table1[[#This Row], [EQRC]]</f>
        <v>8047258</v>
      </c>
      <c r="V1347" s="9">
        <f>Table1[[#This Row], [TOTAL COST]]+_xlfn.XLOOKUP(Table1[[#This Row], [TEAM]],Sheet1!$A$12:$A$17,Sheet1!$I$12:$I$17)</f>
        <v>8359195.5</v>
      </c>
      <c r="W1347" s="4">
        <f>Table1[[#This Row], [LOOT]]-Table1[[#This Row], [TOTAL COST]]</f>
        <v>9402742</v>
      </c>
      <c r="X1347" s="4">
        <f>IF(Table1[[#This Row], [PASS/FAIL]]="FAIL",0,Table1[[#This Row], [PROFIT]])</f>
        <v>9402742</v>
      </c>
    </row>
    <row r="1348" spans="1:24" ht="19.5" customHeight="1" x14ac:dyDescent="0.45">
      <c r="A1348" t="s">
        <v>9</v>
      </c>
      <c r="B1348" s="14">
        <f>_xlfn.XLOOKUP(Table1[[#This Row], [TEAM]],Sheet1!$A$12:$A$17,Sheet1!$F$12:$F$17)</f>
        <v>3</v>
      </c>
      <c r="C1348" s="14">
        <f>_xlfn.XLOOKUP(Table1[[#This Row], [TEAM]],Sheet1!$A$12:$A$17,Sheet1!$G$12:$G$17)</f>
        <v>6238750</v>
      </c>
      <c r="D1348" t="s">
        <v>22</v>
      </c>
      <c r="E1348" s="4">
        <f>_xlfn.XLOOKUP(Table1[[#This Row], [ROOM]],Sheet1!$A$47:$A$66,Sheet1!$B$47:$B$66)</f>
        <v>235</v>
      </c>
      <c r="F1348" t="s">
        <v>58</v>
      </c>
      <c r="G1348" s="4">
        <f>_xlfn.XLOOKUP(Table1[[#This Row], [DISGUISE]],Sheet1!$A$21:$A$23,Sheet1!$B$21:$B$23)*Table1[[#This Row], [NUM OF MEM]]*(1+_xlfn.XLOOKUP(Table1[[#This Row], [DISGUISE]],Sheet1!$A$21:$A$23,Sheet1!$C$21:$C$23))</f>
        <v>38400</v>
      </c>
      <c r="H1348" s="13" t="s">
        <v>66</v>
      </c>
      <c r="I1348" s="4">
        <f>_xlfn.XLOOKUP(Table1[[#This Row], [WEAPON]],Sheet1!$A$27:$A$29,Sheet1!$B$27:$B$29)*Table1[[#This Row], [NUM OF MEM]]*(1+_xlfn.XLOOKUP(Table1[[#This Row], [WEAPON]],Sheet1!$A$27:$A$29,Sheet1!$C$27:$C$29))</f>
        <v>108000</v>
      </c>
      <c r="J1348" t="s">
        <v>60</v>
      </c>
      <c r="K1348" s="9">
        <f>Table1[[#This Row], [NUM OF MEM]]*Table1[[#This Row], [TOTAL TIME TAKEN]]*_xlfn.XLOOKUP(Table1[[#This Row], [EXIT]],Sheet1!$A$70:$A$71,Sheet1!$B$70:$B$71)*(1+_xlfn.XLOOKUP(Table1[[#This Row], [EXIT]],Sheet1!$A$70:$A$71,Sheet1!$C$70:$C$71))</f>
        <v>1707150.2499999995</v>
      </c>
      <c r="L1348" s="13" t="s">
        <v>65</v>
      </c>
      <c r="M1348" s="4">
        <f>IF(Table1[[#This Row], [EQUIPMENT]]="YES",Sheet1!$C$44*(1+Sheet1!$D$44),0)</f>
        <v>307500</v>
      </c>
      <c r="N1348" s="4">
        <f>_xlfn.XLOOKUP(Table1[[#This Row], [ROOM]],Sheet1!$A$47:$A$66,Sheet1!$F$47:$F$66)</f>
        <v>17800000</v>
      </c>
      <c r="O1348" s="9">
        <f>_xlfn.XLOOKUP(_xlfn.CONCAT(Table1[[#This Row], [TEAM]],Table1[[#This Row], [ROOM]]),'ROOM TIME'!$H$2:$H$121,'ROOM TIME'!$J$2:$J$121)</f>
        <v>39.344444444444434</v>
      </c>
      <c r="P1348" s="4">
        <f>(INDEX(Sheet1!$X$48:$Z$67,MATCH(Table1[[#This Row], [ROOM]],Sheet1!$P$48:$P$67,0),MATCH(Table1[[#This Row], [WEAPON]],Sheet1!$X$47:$Z$47,0)))/Table1[[#This Row], [NUM OF MEM]]</f>
        <v>5</v>
      </c>
      <c r="Q1348" s="9">
        <f>Table1[[#This Row], [ROOM TIME]]+Table1[[#This Row], [GUARD TIME]]</f>
        <v>44.344444444444434</v>
      </c>
      <c r="R1348" s="4">
        <f>Sheet1!$K$3*_xlfn.XLOOKUP(Table1[[#This Row], [DISGUISE]],Sheet1!$A$21:$A$23,Sheet1!$D$21:$D$23)</f>
        <v>69</v>
      </c>
      <c r="S1348" s="9">
        <f>Table1[[#This Row], [TOTAL TIME]]-Table1[[#This Row], [TOTAL TIME TAKEN]]</f>
        <v>24.655555555555566</v>
      </c>
      <c r="T1348" t="str">
        <f>IF(Table1[[#This Row], [TIME DIFFERENCE]]&gt;=0,"PASS","FAIL")</f>
        <v>PASS</v>
      </c>
      <c r="U1348" s="9">
        <f>Table1[[#This Row], [TRC]]+Table1[[#This Row], [DRC]]+Table1[[#This Row], [WRC]]+Table1[[#This Row], [ERC]]+Table1[[#This Row], [EQRC]]</f>
        <v>8399800.25</v>
      </c>
      <c r="V1348" s="9">
        <f>Table1[[#This Row], [TOTAL COST]]+_xlfn.XLOOKUP(Table1[[#This Row], [TEAM]],Sheet1!$A$12:$A$17,Sheet1!$I$12:$I$17)</f>
        <v>8711737.75</v>
      </c>
      <c r="W1348" s="9">
        <f>Table1[[#This Row], [LOOT]]-Table1[[#This Row], [TOTAL COST]]</f>
        <v>9400199.75</v>
      </c>
      <c r="X1348" s="9">
        <f>IF(Table1[[#This Row], [PASS/FAIL]]="FAIL",0,Table1[[#This Row], [PROFIT]])</f>
        <v>9400199.75</v>
      </c>
    </row>
    <row r="1349" spans="1:24" ht="19.5" customHeight="1" x14ac:dyDescent="0.45">
      <c r="A1349" t="s">
        <v>13</v>
      </c>
      <c r="B1349" s="14">
        <f>_xlfn.XLOOKUP(Table1[[#This Row], [TEAM]],Sheet1!$A$12:$A$17,Sheet1!$F$12:$F$17)</f>
        <v>3</v>
      </c>
      <c r="C1349" s="14">
        <f>_xlfn.XLOOKUP(Table1[[#This Row], [TEAM]],Sheet1!$A$12:$A$17,Sheet1!$G$12:$G$17)</f>
        <v>5930000</v>
      </c>
      <c r="D1349" t="s">
        <v>31</v>
      </c>
      <c r="E1349" s="4">
        <f>_xlfn.XLOOKUP(Table1[[#This Row], [ROOM]],Sheet1!$A$47:$A$66,Sheet1!$B$47:$B$66)</f>
        <v>256</v>
      </c>
      <c r="F1349" t="s">
        <v>58</v>
      </c>
      <c r="G1349" s="4">
        <f>_xlfn.XLOOKUP(Table1[[#This Row], [DISGUISE]],Sheet1!$A$21:$A$23,Sheet1!$B$21:$B$23)*Table1[[#This Row], [NUM OF MEM]]*(1+_xlfn.XLOOKUP(Table1[[#This Row], [DISGUISE]],Sheet1!$A$21:$A$23,Sheet1!$C$21:$C$23))</f>
        <v>38400</v>
      </c>
      <c r="H1349" s="13" t="s">
        <v>59</v>
      </c>
      <c r="I1349" s="4">
        <f>_xlfn.XLOOKUP(Table1[[#This Row], [WEAPON]],Sheet1!$A$27:$A$29,Sheet1!$B$27:$B$29)*Table1[[#This Row], [NUM OF MEM]]*(1+_xlfn.XLOOKUP(Table1[[#This Row], [WEAPON]],Sheet1!$A$27:$A$29,Sheet1!$C$27:$C$29))</f>
        <v>136500</v>
      </c>
      <c r="J1349" t="s">
        <v>64</v>
      </c>
      <c r="K1349" s="9">
        <f>Table1[[#This Row], [NUM OF MEM]]*Table1[[#This Row], [TOTAL TIME TAKEN]]*_xlfn.XLOOKUP(Table1[[#This Row], [EXIT]],Sheet1!$A$70:$A$71,Sheet1!$B$70:$B$71)*(1+_xlfn.XLOOKUP(Table1[[#This Row], [EXIT]],Sheet1!$A$70:$A$71,Sheet1!$C$70:$C$71))</f>
        <v>1687953.5999999996</v>
      </c>
      <c r="L1349" s="13" t="s">
        <v>65</v>
      </c>
      <c r="M1349" s="4">
        <f>IF(Table1[[#This Row], [EQUIPMENT]]="YES",Sheet1!$C$44*(1+Sheet1!$D$44),0)</f>
        <v>307500</v>
      </c>
      <c r="N1349" s="4">
        <f>_xlfn.XLOOKUP(Table1[[#This Row], [ROOM]],Sheet1!$A$47:$A$66,Sheet1!$F$47:$F$66)</f>
        <v>17500000</v>
      </c>
      <c r="O1349" s="9">
        <f>_xlfn.XLOOKUP(_xlfn.CONCAT(Table1[[#This Row], [TEAM]],Table1[[#This Row], [ROOM]]),'ROOM TIME'!$H$2:$H$121,'ROOM TIME'!$J$2:$J$121)</f>
        <v>39.197777777777766</v>
      </c>
      <c r="P1349" s="9">
        <f>(INDEX(Sheet1!$X$48:$Z$67,MATCH(Table1[[#This Row], [ROOM]],Sheet1!$P$48:$P$67,0),MATCH(Table1[[#This Row], [WEAPON]],Sheet1!$X$47:$Z$47,0)))/Table1[[#This Row], [NUM OF MEM]]</f>
        <v>4.2166666666666659</v>
      </c>
      <c r="Q1349" s="9">
        <f>Table1[[#This Row], [ROOM TIME]]+Table1[[#This Row], [GUARD TIME]]</f>
        <v>43.414444444444435</v>
      </c>
      <c r="R1349" s="4">
        <f>Sheet1!$K$3*_xlfn.XLOOKUP(Table1[[#This Row], [DISGUISE]],Sheet1!$A$21:$A$23,Sheet1!$D$21:$D$23)</f>
        <v>69</v>
      </c>
      <c r="S1349" s="9">
        <f>Table1[[#This Row], [TOTAL TIME]]-Table1[[#This Row], [TOTAL TIME TAKEN]]</f>
        <v>25.585555555555565</v>
      </c>
      <c r="T1349" t="str">
        <f>IF(Table1[[#This Row], [TIME DIFFERENCE]]&gt;=0,"PASS","FAIL")</f>
        <v>PASS</v>
      </c>
      <c r="U1349" s="9">
        <f>Table1[[#This Row], [TRC]]+Table1[[#This Row], [DRC]]+Table1[[#This Row], [WRC]]+Table1[[#This Row], [ERC]]+Table1[[#This Row], [EQRC]]</f>
        <v>8100353.5999999996</v>
      </c>
      <c r="V1349" s="9">
        <f>Table1[[#This Row], [TOTAL COST]]+_xlfn.XLOOKUP(Table1[[#This Row], [TEAM]],Sheet1!$A$12:$A$17,Sheet1!$I$12:$I$17)</f>
        <v>8396853.5999999996</v>
      </c>
      <c r="W1349" s="9">
        <f>Table1[[#This Row], [LOOT]]-Table1[[#This Row], [TOTAL COST]]</f>
        <v>9399646.4000000004</v>
      </c>
      <c r="X1349" s="9">
        <f>IF(Table1[[#This Row], [PASS/FAIL]]="FAIL",0,Table1[[#This Row], [PROFIT]])</f>
        <v>9399646.4000000004</v>
      </c>
    </row>
    <row r="1350" spans="1:24" ht="19.5" customHeight="1" x14ac:dyDescent="0.45">
      <c r="A1350" t="s">
        <v>16</v>
      </c>
      <c r="B1350" s="14">
        <f>_xlfn.XLOOKUP(Table1[[#This Row], [TEAM]],Sheet1!$A$12:$A$17,Sheet1!$F$12:$F$17)</f>
        <v>2</v>
      </c>
      <c r="C1350" s="14">
        <f>_xlfn.XLOOKUP(Table1[[#This Row], [TEAM]],Sheet1!$A$12:$A$17,Sheet1!$G$12:$G$17)</f>
        <v>6082800</v>
      </c>
      <c r="D1350" t="s">
        <v>25</v>
      </c>
      <c r="E1350" s="4">
        <f>_xlfn.XLOOKUP(Table1[[#This Row], [ROOM]],Sheet1!$A$47:$A$66,Sheet1!$B$47:$B$66)</f>
        <v>126</v>
      </c>
      <c r="F1350" t="s">
        <v>58</v>
      </c>
      <c r="G1350" s="4">
        <f>_xlfn.XLOOKUP(Table1[[#This Row], [DISGUISE]],Sheet1!$A$21:$A$23,Sheet1!$B$21:$B$23)*Table1[[#This Row], [NUM OF MEM]]*(1+_xlfn.XLOOKUP(Table1[[#This Row], [DISGUISE]],Sheet1!$A$21:$A$23,Sheet1!$C$21:$C$23))</f>
        <v>25600</v>
      </c>
      <c r="H1350" s="13" t="s">
        <v>66</v>
      </c>
      <c r="I1350" s="4">
        <f>_xlfn.XLOOKUP(Table1[[#This Row], [WEAPON]],Sheet1!$A$27:$A$29,Sheet1!$B$27:$B$29)*Table1[[#This Row], [NUM OF MEM]]*(1+_xlfn.XLOOKUP(Table1[[#This Row], [WEAPON]],Sheet1!$A$27:$A$29,Sheet1!$C$27:$C$29))</f>
        <v>72000</v>
      </c>
      <c r="J1350" t="s">
        <v>64</v>
      </c>
      <c r="K1350" s="9">
        <f>Table1[[#This Row], [NUM OF MEM]]*Table1[[#This Row], [TOTAL TIME TAKEN]]*_xlfn.XLOOKUP(Table1[[#This Row], [EXIT]],Sheet1!$A$70:$A$71,Sheet1!$B$70:$B$71)*(1+_xlfn.XLOOKUP(Table1[[#This Row], [EXIT]],Sheet1!$A$70:$A$71,Sheet1!$C$70:$C$71))</f>
        <v>1663966.7999999996</v>
      </c>
      <c r="L1350" s="13" t="s">
        <v>65</v>
      </c>
      <c r="M1350" s="4">
        <f>IF(Table1[[#This Row], [EQUIPMENT]]="YES",Sheet1!$C$44*(1+Sheet1!$D$44),0)</f>
        <v>307500</v>
      </c>
      <c r="N1350" s="4">
        <f>_xlfn.XLOOKUP(Table1[[#This Row], [ROOM]],Sheet1!$A$47:$A$66,Sheet1!$F$47:$F$66)</f>
        <v>17550000</v>
      </c>
      <c r="O1350" s="9">
        <f>_xlfn.XLOOKUP(_xlfn.CONCAT(Table1[[#This Row], [TEAM]],Table1[[#This Row], [ROOM]]),'ROOM TIME'!$H$2:$H$121,'ROOM TIME'!$J$2:$J$121)</f>
        <v>57.321249999999985</v>
      </c>
      <c r="P1350" s="9">
        <f>(INDEX(Sheet1!$X$48:$Z$67,MATCH(Table1[[#This Row], [ROOM]],Sheet1!$P$48:$P$67,0),MATCH(Table1[[#This Row], [WEAPON]],Sheet1!$X$47:$Z$47,0)))/Table1[[#This Row], [NUM OF MEM]]</f>
        <v>6.875</v>
      </c>
      <c r="Q1350" s="9">
        <f>Table1[[#This Row], [ROOM TIME]]+Table1[[#This Row], [GUARD TIME]]</f>
        <v>64.196249999999992</v>
      </c>
      <c r="R1350" s="4">
        <f>Sheet1!$K$3*_xlfn.XLOOKUP(Table1[[#This Row], [DISGUISE]],Sheet1!$A$21:$A$23,Sheet1!$D$21:$D$23)</f>
        <v>69</v>
      </c>
      <c r="S1350" s="9">
        <f>Table1[[#This Row], [TOTAL TIME]]-Table1[[#This Row], [TOTAL TIME TAKEN]]</f>
        <v>4.803750000000008</v>
      </c>
      <c r="T1350" t="str">
        <f>IF(Table1[[#This Row], [TIME DIFFERENCE]]&gt;=0,"PASS","FAIL")</f>
        <v>PASS</v>
      </c>
      <c r="U1350" s="9">
        <f>Table1[[#This Row], [TRC]]+Table1[[#This Row], [DRC]]+Table1[[#This Row], [WRC]]+Table1[[#This Row], [ERC]]+Table1[[#This Row], [EQRC]]</f>
        <v>8151866.7999999998</v>
      </c>
      <c r="V1350" s="9">
        <f>Table1[[#This Row], [TOTAL COST]]+_xlfn.XLOOKUP(Table1[[#This Row], [TEAM]],Sheet1!$A$12:$A$17,Sheet1!$I$12:$I$17)</f>
        <v>8456006.8000000007</v>
      </c>
      <c r="W1350" s="9">
        <f>Table1[[#This Row], [LOOT]]-Table1[[#This Row], [TOTAL COST]]</f>
        <v>9398133.1999999993</v>
      </c>
      <c r="X1350" s="9">
        <f>IF(Table1[[#This Row], [PASS/FAIL]]="FAIL",0,Table1[[#This Row], [PROFIT]])</f>
        <v>9398133.1999999993</v>
      </c>
    </row>
    <row r="1351" spans="1:24" ht="19.5" customHeight="1" x14ac:dyDescent="0.45">
      <c r="A1351" t="s">
        <v>9</v>
      </c>
      <c r="B1351" s="14">
        <f>_xlfn.XLOOKUP(Table1[[#This Row], [TEAM]],Sheet1!$A$12:$A$17,Sheet1!$F$12:$F$17)</f>
        <v>3</v>
      </c>
      <c r="C1351" s="14">
        <f>_xlfn.XLOOKUP(Table1[[#This Row], [TEAM]],Sheet1!$A$12:$A$17,Sheet1!$G$12:$G$17)</f>
        <v>6238750</v>
      </c>
      <c r="D1351" t="s">
        <v>11</v>
      </c>
      <c r="E1351" s="4">
        <f>_xlfn.XLOOKUP(Table1[[#This Row], [ROOM]],Sheet1!$A$47:$A$66,Sheet1!$B$47:$B$66)</f>
        <v>124</v>
      </c>
      <c r="F1351" t="s">
        <v>58</v>
      </c>
      <c r="G1351" s="4">
        <f>_xlfn.XLOOKUP(Table1[[#This Row], [DISGUISE]],Sheet1!$A$21:$A$23,Sheet1!$B$21:$B$23)*Table1[[#This Row], [NUM OF MEM]]*(1+_xlfn.XLOOKUP(Table1[[#This Row], [DISGUISE]],Sheet1!$A$21:$A$23,Sheet1!$C$21:$C$23))</f>
        <v>38400</v>
      </c>
      <c r="H1351" s="13" t="s">
        <v>66</v>
      </c>
      <c r="I1351" s="4">
        <f>_xlfn.XLOOKUP(Table1[[#This Row], [WEAPON]],Sheet1!$A$27:$A$29,Sheet1!$B$27:$B$29)*Table1[[#This Row], [NUM OF MEM]]*(1+_xlfn.XLOOKUP(Table1[[#This Row], [WEAPON]],Sheet1!$A$27:$A$29,Sheet1!$C$27:$C$29))</f>
        <v>108000</v>
      </c>
      <c r="J1351" t="s">
        <v>60</v>
      </c>
      <c r="K1351" s="9">
        <f>Table1[[#This Row], [NUM OF MEM]]*Table1[[#This Row], [TOTAL TIME TAKEN]]*_xlfn.XLOOKUP(Table1[[#This Row], [EXIT]],Sheet1!$A$70:$A$71,Sheet1!$B$70:$B$71)*(1+_xlfn.XLOOKUP(Table1[[#This Row], [EXIT]],Sheet1!$A$70:$A$71,Sheet1!$C$70:$C$71))</f>
        <v>1668331.9375</v>
      </c>
      <c r="L1351" s="13" t="s">
        <v>61</v>
      </c>
      <c r="M1351" s="4">
        <f>IF(Table1[[#This Row], [EQUIPMENT]]="YES",Sheet1!$C$44*(1+Sheet1!$D$44),0)</f>
        <v>0</v>
      </c>
      <c r="N1351" s="4">
        <f>_xlfn.XLOOKUP(Table1[[#This Row], [ROOM]],Sheet1!$A$47:$A$66,Sheet1!$F$47:$F$66)</f>
        <v>17450000</v>
      </c>
      <c r="O1351" s="9">
        <f>_xlfn.XLOOKUP(_xlfn.CONCAT(Table1[[#This Row], [TEAM]],Table1[[#This Row], [ROOM]]),'ROOM TIME'!$H$2:$H$121,'ROOM TIME'!$J$2:$J$121)</f>
        <v>38.752777777777773</v>
      </c>
      <c r="P1351" s="9">
        <f>(INDEX(Sheet1!$X$48:$Z$67,MATCH(Table1[[#This Row], [ROOM]],Sheet1!$P$48:$P$67,0),MATCH(Table1[[#This Row], [WEAPON]],Sheet1!$X$47:$Z$47,0)))/Table1[[#This Row], [NUM OF MEM]]</f>
        <v>4.583333333333333</v>
      </c>
      <c r="Q1351" s="9">
        <f>Table1[[#This Row], [ROOM TIME]]+Table1[[#This Row], [GUARD TIME]]</f>
        <v>43.336111111111109</v>
      </c>
      <c r="R1351" s="4">
        <f>Sheet1!$K$3*_xlfn.XLOOKUP(Table1[[#This Row], [DISGUISE]],Sheet1!$A$21:$A$23,Sheet1!$D$21:$D$23)</f>
        <v>69</v>
      </c>
      <c r="S1351" s="9">
        <f>Table1[[#This Row], [TOTAL TIME]]-Table1[[#This Row], [TOTAL TIME TAKEN]]</f>
        <v>25.663888888888891</v>
      </c>
      <c r="T1351" t="str">
        <f>IF(Table1[[#This Row], [TIME DIFFERENCE]]&gt;=0,"PASS","FAIL")</f>
        <v>PASS</v>
      </c>
      <c r="U1351" s="9">
        <f>Table1[[#This Row], [TRC]]+Table1[[#This Row], [DRC]]+Table1[[#This Row], [WRC]]+Table1[[#This Row], [ERC]]+Table1[[#This Row], [EQRC]]</f>
        <v>8053481.9375</v>
      </c>
      <c r="V1351" s="9">
        <f>Table1[[#This Row], [TOTAL COST]]+_xlfn.XLOOKUP(Table1[[#This Row], [TEAM]],Sheet1!$A$12:$A$17,Sheet1!$I$12:$I$17)</f>
        <v>8365419.4375</v>
      </c>
      <c r="W1351" s="9">
        <f>Table1[[#This Row], [LOOT]]-Table1[[#This Row], [TOTAL COST]]</f>
        <v>9396518.0625</v>
      </c>
      <c r="X1351" s="9">
        <f>IF(Table1[[#This Row], [PASS/FAIL]]="FAIL",0,Table1[[#This Row], [PROFIT]])</f>
        <v>9396518.0625</v>
      </c>
    </row>
    <row r="1352" spans="1:24" ht="19.5" customHeight="1" x14ac:dyDescent="0.45">
      <c r="A1352" t="s">
        <v>13</v>
      </c>
      <c r="B1352" s="14">
        <f>_xlfn.XLOOKUP(Table1[[#This Row], [TEAM]],Sheet1!$A$12:$A$17,Sheet1!$F$12:$F$17)</f>
        <v>3</v>
      </c>
      <c r="C1352" s="14">
        <f>_xlfn.XLOOKUP(Table1[[#This Row], [TEAM]],Sheet1!$A$12:$A$17,Sheet1!$G$12:$G$17)</f>
        <v>5930000</v>
      </c>
      <c r="D1352" t="s">
        <v>20</v>
      </c>
      <c r="E1352" s="4">
        <f>_xlfn.XLOOKUP(Table1[[#This Row], [ROOM]],Sheet1!$A$47:$A$66,Sheet1!$B$47:$B$66)</f>
        <v>145</v>
      </c>
      <c r="F1352" t="s">
        <v>62</v>
      </c>
      <c r="G135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52" s="13" t="s">
        <v>59</v>
      </c>
      <c r="I1352" s="4">
        <f>_xlfn.XLOOKUP(Table1[[#This Row], [WEAPON]],Sheet1!$A$27:$A$29,Sheet1!$B$27:$B$29)*Table1[[#This Row], [NUM OF MEM]]*(1+_xlfn.XLOOKUP(Table1[[#This Row], [WEAPON]],Sheet1!$A$27:$A$29,Sheet1!$C$27:$C$29))</f>
        <v>136500</v>
      </c>
      <c r="J1352" t="s">
        <v>64</v>
      </c>
      <c r="K1352" s="9">
        <f>Table1[[#This Row], [NUM OF MEM]]*Table1[[#This Row], [TOTAL TIME TAKEN]]*_xlfn.XLOOKUP(Table1[[#This Row], [EXIT]],Sheet1!$A$70:$A$71,Sheet1!$B$70:$B$71)*(1+_xlfn.XLOOKUP(Table1[[#This Row], [EXIT]],Sheet1!$A$70:$A$71,Sheet1!$C$70:$C$71))</f>
        <v>1764244.7999999993</v>
      </c>
      <c r="L1352" s="13" t="s">
        <v>65</v>
      </c>
      <c r="M1352" s="4">
        <f>IF(Table1[[#This Row], [EQUIPMENT]]="YES",Sheet1!$C$44*(1+Sheet1!$D$44),0)</f>
        <v>307500</v>
      </c>
      <c r="N1352" s="4">
        <f>_xlfn.XLOOKUP(Table1[[#This Row], [ROOM]],Sheet1!$A$47:$A$66,Sheet1!$F$47:$F$66)</f>
        <v>17550000</v>
      </c>
      <c r="O1352" s="9">
        <f>_xlfn.XLOOKUP(_xlfn.CONCAT(Table1[[#This Row], [TEAM]],Table1[[#This Row], [ROOM]]),'ROOM TIME'!$H$2:$H$121,'ROOM TIME'!$J$2:$J$121)</f>
        <v>41.543333333333322</v>
      </c>
      <c r="P1352" s="9">
        <f>(INDEX(Sheet1!$X$48:$Z$67,MATCH(Table1[[#This Row], [ROOM]],Sheet1!$P$48:$P$67,0),MATCH(Table1[[#This Row], [WEAPON]],Sheet1!$X$47:$Z$47,0)))/Table1[[#This Row], [NUM OF MEM]]</f>
        <v>3.8333333333333335</v>
      </c>
      <c r="Q1352" s="9">
        <f>Table1[[#This Row], [ROOM TIME]]+Table1[[#This Row], [GUARD TIME]]</f>
        <v>45.376666666666658</v>
      </c>
      <c r="R1352" s="4">
        <f>Sheet1!$K$3*_xlfn.XLOOKUP(Table1[[#This Row], [DISGUISE]],Sheet1!$A$21:$A$23,Sheet1!$D$21:$D$23)</f>
        <v>66</v>
      </c>
      <c r="S1352" s="9">
        <f>Table1[[#This Row], [TOTAL TIME]]-Table1[[#This Row], [TOTAL TIME TAKEN]]</f>
        <v>20.623333333333342</v>
      </c>
      <c r="T1352" t="str">
        <f>IF(Table1[[#This Row], [TIME DIFFERENCE]]&gt;=0,"PASS","FAIL")</f>
        <v>PASS</v>
      </c>
      <c r="U1352" s="9">
        <f>Table1[[#This Row], [TRC]]+Table1[[#This Row], [DRC]]+Table1[[#This Row], [WRC]]+Table1[[#This Row], [ERC]]+Table1[[#This Row], [EQRC]]</f>
        <v>8153844.7999999989</v>
      </c>
      <c r="V1352" s="9">
        <f>Table1[[#This Row], [TOTAL COST]]+_xlfn.XLOOKUP(Table1[[#This Row], [TEAM]],Sheet1!$A$12:$A$17,Sheet1!$I$12:$I$17)</f>
        <v>8450344.7999999989</v>
      </c>
      <c r="W1352" s="9">
        <f>Table1[[#This Row], [LOOT]]-Table1[[#This Row], [TOTAL COST]]</f>
        <v>9396155.2000000011</v>
      </c>
      <c r="X1352" s="9">
        <f>IF(Table1[[#This Row], [PASS/FAIL]]="FAIL",0,Table1[[#This Row], [PROFIT]])</f>
        <v>9396155.2000000011</v>
      </c>
    </row>
    <row r="1353" spans="1:24" ht="19.5" customHeight="1" x14ac:dyDescent="0.45">
      <c r="A1353" t="s">
        <v>16</v>
      </c>
      <c r="B1353" s="14">
        <f>_xlfn.XLOOKUP(Table1[[#This Row], [TEAM]],Sheet1!$A$12:$A$17,Sheet1!$F$12:$F$17)</f>
        <v>2</v>
      </c>
      <c r="C1353" s="14">
        <f>_xlfn.XLOOKUP(Table1[[#This Row], [TEAM]],Sheet1!$A$12:$A$17,Sheet1!$G$12:$G$17)</f>
        <v>6082800</v>
      </c>
      <c r="D1353" t="s">
        <v>31</v>
      </c>
      <c r="E1353" s="4">
        <f>_xlfn.XLOOKUP(Table1[[#This Row], [ROOM]],Sheet1!$A$47:$A$66,Sheet1!$B$47:$B$66)</f>
        <v>256</v>
      </c>
      <c r="F1353" t="s">
        <v>62</v>
      </c>
      <c r="G1353" s="4">
        <f>_xlfn.XLOOKUP(Table1[[#This Row], [DISGUISE]],Sheet1!$A$21:$A$23,Sheet1!$B$21:$B$23)*Table1[[#This Row], [NUM OF MEM]]*(1+_xlfn.XLOOKUP(Table1[[#This Row], [DISGUISE]],Sheet1!$A$21:$A$23,Sheet1!$C$21:$C$23))</f>
        <v>10400</v>
      </c>
      <c r="H1353" s="13" t="s">
        <v>66</v>
      </c>
      <c r="I1353" s="4">
        <f>_xlfn.XLOOKUP(Table1[[#This Row], [WEAPON]],Sheet1!$A$27:$A$29,Sheet1!$B$27:$B$29)*Table1[[#This Row], [NUM OF MEM]]*(1+_xlfn.XLOOKUP(Table1[[#This Row], [WEAPON]],Sheet1!$A$27:$A$29,Sheet1!$C$27:$C$29))</f>
        <v>72000</v>
      </c>
      <c r="J1353" t="s">
        <v>60</v>
      </c>
      <c r="K1353" s="9">
        <f>Table1[[#This Row], [NUM OF MEM]]*Table1[[#This Row], [TOTAL TIME TAKEN]]*_xlfn.XLOOKUP(Table1[[#This Row], [EXIT]],Sheet1!$A$70:$A$71,Sheet1!$B$70:$B$71)*(1+_xlfn.XLOOKUP(Table1[[#This Row], [EXIT]],Sheet1!$A$70:$A$71,Sheet1!$C$70:$C$71))</f>
        <v>1633192.2749999997</v>
      </c>
      <c r="L1353" s="13" t="s">
        <v>65</v>
      </c>
      <c r="M1353" s="4">
        <f>IF(Table1[[#This Row], [EQUIPMENT]]="YES",Sheet1!$C$44*(1+Sheet1!$D$44),0)</f>
        <v>307500</v>
      </c>
      <c r="N1353" s="4">
        <f>_xlfn.XLOOKUP(Table1[[#This Row], [ROOM]],Sheet1!$A$47:$A$66,Sheet1!$F$47:$F$66)</f>
        <v>17500000</v>
      </c>
      <c r="O1353" s="9">
        <f>_xlfn.XLOOKUP(_xlfn.CONCAT(Table1[[#This Row], [TEAM]],Table1[[#This Row], [ROOM]]),'ROOM TIME'!$H$2:$H$121,'ROOM TIME'!$J$2:$J$121)</f>
        <v>56.759999999999984</v>
      </c>
      <c r="P1353" s="9">
        <f>(INDEX(Sheet1!$X$48:$Z$67,MATCH(Table1[[#This Row], [ROOM]],Sheet1!$P$48:$P$67,0),MATCH(Table1[[#This Row], [WEAPON]],Sheet1!$X$47:$Z$47,0)))/Table1[[#This Row], [NUM OF MEM]]</f>
        <v>6.875</v>
      </c>
      <c r="Q1353" s="9">
        <f>Table1[[#This Row], [ROOM TIME]]+Table1[[#This Row], [GUARD TIME]]</f>
        <v>63.634999999999984</v>
      </c>
      <c r="R1353" s="4">
        <f>Sheet1!$K$3*_xlfn.XLOOKUP(Table1[[#This Row], [DISGUISE]],Sheet1!$A$21:$A$23,Sheet1!$D$21:$D$23)</f>
        <v>66</v>
      </c>
      <c r="S1353" s="9">
        <f>Table1[[#This Row], [TOTAL TIME]]-Table1[[#This Row], [TOTAL TIME TAKEN]]</f>
        <v>2.3650000000000162</v>
      </c>
      <c r="T1353" t="str">
        <f>IF(Table1[[#This Row], [TIME DIFFERENCE]]&gt;=0,"PASS","FAIL")</f>
        <v>PASS</v>
      </c>
      <c r="U1353" s="9">
        <f>Table1[[#This Row], [TRC]]+Table1[[#This Row], [DRC]]+Table1[[#This Row], [WRC]]+Table1[[#This Row], [ERC]]+Table1[[#This Row], [EQRC]]</f>
        <v>8105892.2749999994</v>
      </c>
      <c r="V1353" s="9">
        <f>Table1[[#This Row], [TOTAL COST]]+_xlfn.XLOOKUP(Table1[[#This Row], [TEAM]],Sheet1!$A$12:$A$17,Sheet1!$I$12:$I$17)</f>
        <v>8410032.2749999985</v>
      </c>
      <c r="W1353" s="9">
        <f>Table1[[#This Row], [LOOT]]-Table1[[#This Row], [TOTAL COST]]</f>
        <v>9394107.7250000015</v>
      </c>
      <c r="X1353" s="9">
        <f>IF(Table1[[#This Row], [PASS/FAIL]]="FAIL",0,Table1[[#This Row], [PROFIT]])</f>
        <v>9394107.7250000015</v>
      </c>
    </row>
    <row r="1354" spans="1:24" ht="19.5" customHeight="1" x14ac:dyDescent="0.45">
      <c r="A1354" t="s">
        <v>16</v>
      </c>
      <c r="B1354" s="14">
        <f>_xlfn.XLOOKUP(Table1[[#This Row], [TEAM]],Sheet1!$A$12:$A$17,Sheet1!$F$12:$F$17)</f>
        <v>2</v>
      </c>
      <c r="C1354" s="14">
        <f>_xlfn.XLOOKUP(Table1[[#This Row], [TEAM]],Sheet1!$A$12:$A$17,Sheet1!$G$12:$G$17)</f>
        <v>6082800</v>
      </c>
      <c r="D1354" t="s">
        <v>25</v>
      </c>
      <c r="E1354" s="4">
        <f>_xlfn.XLOOKUP(Table1[[#This Row], [ROOM]],Sheet1!$A$47:$A$66,Sheet1!$B$47:$B$66)</f>
        <v>126</v>
      </c>
      <c r="F1354" t="s">
        <v>58</v>
      </c>
      <c r="G135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54" s="13" t="s">
        <v>59</v>
      </c>
      <c r="I1354" s="4">
        <f>_xlfn.XLOOKUP(Table1[[#This Row], [WEAPON]],Sheet1!$A$27:$A$29,Sheet1!$B$27:$B$29)*Table1[[#This Row], [NUM OF MEM]]*(1+_xlfn.XLOOKUP(Table1[[#This Row], [WEAPON]],Sheet1!$A$27:$A$29,Sheet1!$C$27:$C$29))</f>
        <v>91000</v>
      </c>
      <c r="J1354" t="s">
        <v>64</v>
      </c>
      <c r="K1354" s="9">
        <f>Table1[[#This Row], [NUM OF MEM]]*Table1[[#This Row], [TOTAL TIME TAKEN]]*_xlfn.XLOOKUP(Table1[[#This Row], [EXIT]],Sheet1!$A$70:$A$71,Sheet1!$B$70:$B$71)*(1+_xlfn.XLOOKUP(Table1[[#This Row], [EXIT]],Sheet1!$A$70:$A$71,Sheet1!$C$70:$C$71))</f>
        <v>1649710.7999999993</v>
      </c>
      <c r="L1354" s="13" t="s">
        <v>65</v>
      </c>
      <c r="M1354" s="4">
        <f>IF(Table1[[#This Row], [EQUIPMENT]]="YES",Sheet1!$C$44*(1+Sheet1!$D$44),0)</f>
        <v>307500</v>
      </c>
      <c r="N1354" s="4">
        <f>_xlfn.XLOOKUP(Table1[[#This Row], [ROOM]],Sheet1!$A$47:$A$66,Sheet1!$F$47:$F$66)</f>
        <v>17550000</v>
      </c>
      <c r="O1354" s="9">
        <f>_xlfn.XLOOKUP(_xlfn.CONCAT(Table1[[#This Row], [TEAM]],Table1[[#This Row], [ROOM]]),'ROOM TIME'!$H$2:$H$121,'ROOM TIME'!$J$2:$J$121)</f>
        <v>57.321249999999985</v>
      </c>
      <c r="P1354" s="9">
        <f>(INDEX(Sheet1!$X$48:$Z$67,MATCH(Table1[[#This Row], [ROOM]],Sheet1!$P$48:$P$67,0),MATCH(Table1[[#This Row], [WEAPON]],Sheet1!$X$47:$Z$47,0)))/Table1[[#This Row], [NUM OF MEM]]</f>
        <v>6.3249999999999993</v>
      </c>
      <c r="Q1354" s="9">
        <f>Table1[[#This Row], [ROOM TIME]]+Table1[[#This Row], [GUARD TIME]]</f>
        <v>63.646249999999981</v>
      </c>
      <c r="R1354" s="4">
        <f>Sheet1!$K$3*_xlfn.XLOOKUP(Table1[[#This Row], [DISGUISE]],Sheet1!$A$21:$A$23,Sheet1!$D$21:$D$23)</f>
        <v>69</v>
      </c>
      <c r="S1354" s="9">
        <f>Table1[[#This Row], [TOTAL TIME]]-Table1[[#This Row], [TOTAL TIME TAKEN]]</f>
        <v>5.3537500000000193</v>
      </c>
      <c r="T1354" t="str">
        <f>IF(Table1[[#This Row], [TIME DIFFERENCE]]&gt;=0,"PASS","FAIL")</f>
        <v>PASS</v>
      </c>
      <c r="U1354" s="9">
        <f>Table1[[#This Row], [TRC]]+Table1[[#This Row], [DRC]]+Table1[[#This Row], [WRC]]+Table1[[#This Row], [ERC]]+Table1[[#This Row], [EQRC]]</f>
        <v>8156610.7999999989</v>
      </c>
      <c r="V1354" s="9">
        <f>Table1[[#This Row], [TOTAL COST]]+_xlfn.XLOOKUP(Table1[[#This Row], [TEAM]],Sheet1!$A$12:$A$17,Sheet1!$I$12:$I$17)</f>
        <v>8460750.7999999989</v>
      </c>
      <c r="W1354" s="9">
        <f>Table1[[#This Row], [LOOT]]-Table1[[#This Row], [TOTAL COST]]</f>
        <v>9393389.2000000011</v>
      </c>
      <c r="X1354" s="9">
        <f>IF(Table1[[#This Row], [PASS/FAIL]]="FAIL",0,Table1[[#This Row], [PROFIT]])</f>
        <v>9393389.2000000011</v>
      </c>
    </row>
    <row r="1355" spans="1:24" ht="19.5" customHeight="1" x14ac:dyDescent="0.45">
      <c r="A1355" t="s">
        <v>9</v>
      </c>
      <c r="B1355" s="14">
        <f>_xlfn.XLOOKUP(Table1[[#This Row], [TEAM]],Sheet1!$A$12:$A$17,Sheet1!$F$12:$F$17)</f>
        <v>3</v>
      </c>
      <c r="C1355" s="14">
        <f>_xlfn.XLOOKUP(Table1[[#This Row], [TEAM]],Sheet1!$A$12:$A$17,Sheet1!$G$12:$G$17)</f>
        <v>6238750</v>
      </c>
      <c r="D1355" t="s">
        <v>22</v>
      </c>
      <c r="E1355" s="4">
        <f>_xlfn.XLOOKUP(Table1[[#This Row], [ROOM]],Sheet1!$A$47:$A$66,Sheet1!$B$47:$B$66)</f>
        <v>235</v>
      </c>
      <c r="F1355" t="s">
        <v>62</v>
      </c>
      <c r="G1355" s="4">
        <f>_xlfn.XLOOKUP(Table1[[#This Row], [DISGUISE]],Sheet1!$A$21:$A$23,Sheet1!$B$21:$B$23)*Table1[[#This Row], [NUM OF MEM]]*(1+_xlfn.XLOOKUP(Table1[[#This Row], [DISGUISE]],Sheet1!$A$21:$A$23,Sheet1!$C$21:$C$23))</f>
        <v>15600</v>
      </c>
      <c r="H1355" s="13" t="s">
        <v>59</v>
      </c>
      <c r="I1355" s="4">
        <f>_xlfn.XLOOKUP(Table1[[#This Row], [WEAPON]],Sheet1!$A$27:$A$29,Sheet1!$B$27:$B$29)*Table1[[#This Row], [NUM OF MEM]]*(1+_xlfn.XLOOKUP(Table1[[#This Row], [WEAPON]],Sheet1!$A$27:$A$29,Sheet1!$C$27:$C$29))</f>
        <v>136500</v>
      </c>
      <c r="J1355" t="s">
        <v>64</v>
      </c>
      <c r="K1355" s="9">
        <f>Table1[[#This Row], [NUM OF MEM]]*Table1[[#This Row], [TOTAL TIME TAKEN]]*_xlfn.XLOOKUP(Table1[[#This Row], [EXIT]],Sheet1!$A$70:$A$71,Sheet1!$B$70:$B$71)*(1+_xlfn.XLOOKUP(Table1[[#This Row], [EXIT]],Sheet1!$A$70:$A$71,Sheet1!$C$70:$C$71))</f>
        <v>1708559.9999999998</v>
      </c>
      <c r="L1355" s="13" t="s">
        <v>65</v>
      </c>
      <c r="M1355" s="4">
        <f>IF(Table1[[#This Row], [EQUIPMENT]]="YES",Sheet1!$C$44*(1+Sheet1!$D$44),0)</f>
        <v>307500</v>
      </c>
      <c r="N1355" s="4">
        <f>_xlfn.XLOOKUP(Table1[[#This Row], [ROOM]],Sheet1!$A$47:$A$66,Sheet1!$F$47:$F$66)</f>
        <v>17800000</v>
      </c>
      <c r="O1355" s="9">
        <f>_xlfn.XLOOKUP(_xlfn.CONCAT(Table1[[#This Row], [TEAM]],Table1[[#This Row], [ROOM]]),'ROOM TIME'!$H$2:$H$121,'ROOM TIME'!$J$2:$J$121)</f>
        <v>39.344444444444434</v>
      </c>
      <c r="P1355" s="9">
        <f>(INDEX(Sheet1!$X$48:$Z$67,MATCH(Table1[[#This Row], [ROOM]],Sheet1!$P$48:$P$67,0),MATCH(Table1[[#This Row], [WEAPON]],Sheet1!$X$47:$Z$47,0)))/Table1[[#This Row], [NUM OF MEM]]</f>
        <v>4.5999999999999996</v>
      </c>
      <c r="Q1355" s="9">
        <f>Table1[[#This Row], [ROOM TIME]]+Table1[[#This Row], [GUARD TIME]]</f>
        <v>43.944444444444436</v>
      </c>
      <c r="R1355" s="4">
        <f>Sheet1!$K$3*_xlfn.XLOOKUP(Table1[[#This Row], [DISGUISE]],Sheet1!$A$21:$A$23,Sheet1!$D$21:$D$23)</f>
        <v>66</v>
      </c>
      <c r="S1355" s="9">
        <f>Table1[[#This Row], [TOTAL TIME]]-Table1[[#This Row], [TOTAL TIME TAKEN]]</f>
        <v>22.055555555555564</v>
      </c>
      <c r="T1355" t="str">
        <f>IF(Table1[[#This Row], [TIME DIFFERENCE]]&gt;=0,"PASS","FAIL")</f>
        <v>PASS</v>
      </c>
      <c r="U1355" s="4">
        <f>Table1[[#This Row], [TRC]]+Table1[[#This Row], [DRC]]+Table1[[#This Row], [WRC]]+Table1[[#This Row], [ERC]]+Table1[[#This Row], [EQRC]]</f>
        <v>8406910</v>
      </c>
      <c r="V1355" s="9">
        <f>Table1[[#This Row], [TOTAL COST]]+_xlfn.XLOOKUP(Table1[[#This Row], [TEAM]],Sheet1!$A$12:$A$17,Sheet1!$I$12:$I$17)</f>
        <v>8718847.5</v>
      </c>
      <c r="W1355" s="4">
        <f>Table1[[#This Row], [LOOT]]-Table1[[#This Row], [TOTAL COST]]</f>
        <v>9393090</v>
      </c>
      <c r="X1355" s="4">
        <f>IF(Table1[[#This Row], [PASS/FAIL]]="FAIL",0,Table1[[#This Row], [PROFIT]])</f>
        <v>9393090</v>
      </c>
    </row>
    <row r="1356" spans="1:24" ht="19.5" customHeight="1" x14ac:dyDescent="0.45">
      <c r="A1356" t="s">
        <v>12</v>
      </c>
      <c r="B1356" s="14">
        <f>_xlfn.XLOOKUP(Table1[[#This Row], [TEAM]],Sheet1!$A$12:$A$17,Sheet1!$F$12:$F$17)</f>
        <v>3</v>
      </c>
      <c r="C1356" s="14">
        <f>_xlfn.XLOOKUP(Table1[[#This Row], [TEAM]],Sheet1!$A$12:$A$17,Sheet1!$G$12:$G$17)</f>
        <v>5988750</v>
      </c>
      <c r="D1356" t="s">
        <v>20</v>
      </c>
      <c r="E1356" s="4">
        <f>_xlfn.XLOOKUP(Table1[[#This Row], [ROOM]],Sheet1!$A$47:$A$66,Sheet1!$B$47:$B$66)</f>
        <v>145</v>
      </c>
      <c r="F1356" t="s">
        <v>58</v>
      </c>
      <c r="G13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56" s="13" t="s">
        <v>59</v>
      </c>
      <c r="I1356" s="4">
        <f>_xlfn.XLOOKUP(Table1[[#This Row], [WEAPON]],Sheet1!$A$27:$A$29,Sheet1!$B$27:$B$29)*Table1[[#This Row], [NUM OF MEM]]*(1+_xlfn.XLOOKUP(Table1[[#This Row], [WEAPON]],Sheet1!$A$27:$A$29,Sheet1!$C$27:$C$29))</f>
        <v>136500</v>
      </c>
      <c r="J1356" t="s">
        <v>64</v>
      </c>
      <c r="K1356" s="9">
        <f>Table1[[#This Row], [NUM OF MEM]]*Table1[[#This Row], [TOTAL TIME TAKEN]]*_xlfn.XLOOKUP(Table1[[#This Row], [EXIT]],Sheet1!$A$70:$A$71,Sheet1!$B$70:$B$71)*(1+_xlfn.XLOOKUP(Table1[[#This Row], [EXIT]],Sheet1!$A$70:$A$71,Sheet1!$C$70:$C$71))</f>
        <v>1688039.9999999998</v>
      </c>
      <c r="L1356" s="13" t="s">
        <v>65</v>
      </c>
      <c r="M1356" s="4">
        <f>IF(Table1[[#This Row], [EQUIPMENT]]="YES",Sheet1!$C$44*(1+Sheet1!$D$44),0)</f>
        <v>307500</v>
      </c>
      <c r="N1356" s="4">
        <f>_xlfn.XLOOKUP(Table1[[#This Row], [ROOM]],Sheet1!$A$47:$A$66,Sheet1!$F$47:$F$66)</f>
        <v>17550000</v>
      </c>
      <c r="O1356" s="9">
        <f>_xlfn.XLOOKUP(_xlfn.CONCAT(Table1[[#This Row], [TEAM]],Table1[[#This Row], [ROOM]]),'ROOM TIME'!$H$2:$H$121,'ROOM TIME'!$J$2:$J$121)</f>
        <v>39.583333333333321</v>
      </c>
      <c r="P1356" s="9">
        <f>(INDEX(Sheet1!$X$48:$Z$67,MATCH(Table1[[#This Row], [ROOM]],Sheet1!$P$48:$P$67,0),MATCH(Table1[[#This Row], [WEAPON]],Sheet1!$X$47:$Z$47,0)))/Table1[[#This Row], [NUM OF MEM]]</f>
        <v>3.8333333333333335</v>
      </c>
      <c r="Q1356" s="9">
        <f>Table1[[#This Row], [ROOM TIME]]+Table1[[#This Row], [GUARD TIME]]</f>
        <v>43.416666666666657</v>
      </c>
      <c r="R1356" s="4">
        <f>Sheet1!$K$3*_xlfn.XLOOKUP(Table1[[#This Row], [DISGUISE]],Sheet1!$A$21:$A$23,Sheet1!$D$21:$D$23)</f>
        <v>69</v>
      </c>
      <c r="S1356" s="9">
        <f>Table1[[#This Row], [TOTAL TIME]]-Table1[[#This Row], [TOTAL TIME TAKEN]]</f>
        <v>25.583333333333343</v>
      </c>
      <c r="T1356" t="str">
        <f>IF(Table1[[#This Row], [TIME DIFFERENCE]]&gt;=0,"PASS","FAIL")</f>
        <v>PASS</v>
      </c>
      <c r="U1356" s="4">
        <f>Table1[[#This Row], [TRC]]+Table1[[#This Row], [DRC]]+Table1[[#This Row], [WRC]]+Table1[[#This Row], [ERC]]+Table1[[#This Row], [EQRC]]</f>
        <v>8159190</v>
      </c>
      <c r="V1356" s="9">
        <f>Table1[[#This Row], [TOTAL COST]]+_xlfn.XLOOKUP(Table1[[#This Row], [TEAM]],Sheet1!$A$12:$A$17,Sheet1!$I$12:$I$17)</f>
        <v>8458627.5</v>
      </c>
      <c r="W1356" s="4">
        <f>Table1[[#This Row], [LOOT]]-Table1[[#This Row], [TOTAL COST]]</f>
        <v>9390810</v>
      </c>
      <c r="X1356" s="4">
        <f>IF(Table1[[#This Row], [PASS/FAIL]]="FAIL",0,Table1[[#This Row], [PROFIT]])</f>
        <v>9390810</v>
      </c>
    </row>
    <row r="1357" spans="1:24" ht="19.5" customHeight="1" x14ac:dyDescent="0.45">
      <c r="A1357" t="s">
        <v>16</v>
      </c>
      <c r="B1357" s="14">
        <f>_xlfn.XLOOKUP(Table1[[#This Row], [TEAM]],Sheet1!$A$12:$A$17,Sheet1!$F$12:$F$17)</f>
        <v>2</v>
      </c>
      <c r="C1357" s="14">
        <f>_xlfn.XLOOKUP(Table1[[#This Row], [TEAM]],Sheet1!$A$12:$A$17,Sheet1!$G$12:$G$17)</f>
        <v>6082800</v>
      </c>
      <c r="D1357" t="s">
        <v>31</v>
      </c>
      <c r="E1357" s="4">
        <f>_xlfn.XLOOKUP(Table1[[#This Row], [ROOM]],Sheet1!$A$47:$A$66,Sheet1!$B$47:$B$66)</f>
        <v>256</v>
      </c>
      <c r="F1357" t="s">
        <v>58</v>
      </c>
      <c r="G1357" s="4">
        <f>_xlfn.XLOOKUP(Table1[[#This Row], [DISGUISE]],Sheet1!$A$21:$A$23,Sheet1!$B$21:$B$23)*Table1[[#This Row], [NUM OF MEM]]*(1+_xlfn.XLOOKUP(Table1[[#This Row], [DISGUISE]],Sheet1!$A$21:$A$23,Sheet1!$C$21:$C$23))</f>
        <v>25600</v>
      </c>
      <c r="H1357" s="13" t="s">
        <v>63</v>
      </c>
      <c r="I1357" s="4">
        <f>_xlfn.XLOOKUP(Table1[[#This Row], [WEAPON]],Sheet1!$A$27:$A$29,Sheet1!$B$27:$B$29)*Table1[[#This Row], [NUM OF MEM]]*(1+_xlfn.XLOOKUP(Table1[[#This Row], [WEAPON]],Sheet1!$A$27:$A$29,Sheet1!$C$27:$C$29))</f>
        <v>46000</v>
      </c>
      <c r="J1357" t="s">
        <v>60</v>
      </c>
      <c r="K1357" s="9">
        <f>Table1[[#This Row], [NUM OF MEM]]*Table1[[#This Row], [TOTAL TIME TAKEN]]*_xlfn.XLOOKUP(Table1[[#This Row], [EXIT]],Sheet1!$A$70:$A$71,Sheet1!$B$70:$B$71)*(1+_xlfn.XLOOKUP(Table1[[#This Row], [EXIT]],Sheet1!$A$70:$A$71,Sheet1!$C$70:$C$71))</f>
        <v>1647308.0249999997</v>
      </c>
      <c r="L1357" s="13" t="s">
        <v>65</v>
      </c>
      <c r="M1357" s="4">
        <f>IF(Table1[[#This Row], [EQUIPMENT]]="YES",Sheet1!$C$44*(1+Sheet1!$D$44),0)</f>
        <v>307500</v>
      </c>
      <c r="N1357" s="4">
        <f>_xlfn.XLOOKUP(Table1[[#This Row], [ROOM]],Sheet1!$A$47:$A$66,Sheet1!$F$47:$F$66)</f>
        <v>17500000</v>
      </c>
      <c r="O1357" s="9">
        <f>_xlfn.XLOOKUP(_xlfn.CONCAT(Table1[[#This Row], [TEAM]],Table1[[#This Row], [ROOM]]),'ROOM TIME'!$H$2:$H$121,'ROOM TIME'!$J$2:$J$121)</f>
        <v>56.759999999999984</v>
      </c>
      <c r="P1357" s="9">
        <f>(INDEX(Sheet1!$X$48:$Z$67,MATCH(Table1[[#This Row], [ROOM]],Sheet1!$P$48:$P$67,0),MATCH(Table1[[#This Row], [WEAPON]],Sheet1!$X$47:$Z$47,0)))/Table1[[#This Row], [NUM OF MEM]]</f>
        <v>7.4250000000000007</v>
      </c>
      <c r="Q1357" s="9">
        <f>Table1[[#This Row], [ROOM TIME]]+Table1[[#This Row], [GUARD TIME]]</f>
        <v>64.184999999999988</v>
      </c>
      <c r="R1357" s="4">
        <f>Sheet1!$K$3*_xlfn.XLOOKUP(Table1[[#This Row], [DISGUISE]],Sheet1!$A$21:$A$23,Sheet1!$D$21:$D$23)</f>
        <v>69</v>
      </c>
      <c r="S1357" s="9">
        <f>Table1[[#This Row], [TOTAL TIME]]-Table1[[#This Row], [TOTAL TIME TAKEN]]</f>
        <v>4.8150000000000119</v>
      </c>
      <c r="T1357" t="str">
        <f>IF(Table1[[#This Row], [TIME DIFFERENCE]]&gt;=0,"PASS","FAIL")</f>
        <v>PASS</v>
      </c>
      <c r="U1357" s="9">
        <f>Table1[[#This Row], [TRC]]+Table1[[#This Row], [DRC]]+Table1[[#This Row], [WRC]]+Table1[[#This Row], [ERC]]+Table1[[#This Row], [EQRC]]</f>
        <v>8109208.0249999994</v>
      </c>
      <c r="V1357" s="9">
        <f>Table1[[#This Row], [TOTAL COST]]+_xlfn.XLOOKUP(Table1[[#This Row], [TEAM]],Sheet1!$A$12:$A$17,Sheet1!$I$12:$I$17)</f>
        <v>8413348.0249999985</v>
      </c>
      <c r="W1357" s="9">
        <f>Table1[[#This Row], [LOOT]]-Table1[[#This Row], [TOTAL COST]]</f>
        <v>9390791.9750000015</v>
      </c>
      <c r="X1357" s="9">
        <f>IF(Table1[[#This Row], [PASS/FAIL]]="FAIL",0,Table1[[#This Row], [PROFIT]])</f>
        <v>9390791.9750000015</v>
      </c>
    </row>
    <row r="1358" spans="1:24" ht="19.5" customHeight="1" x14ac:dyDescent="0.45">
      <c r="A1358" t="s">
        <v>13</v>
      </c>
      <c r="B1358" s="14">
        <f>_xlfn.XLOOKUP(Table1[[#This Row], [TEAM]],Sheet1!$A$12:$A$17,Sheet1!$F$12:$F$17)</f>
        <v>3</v>
      </c>
      <c r="C1358" s="14">
        <f>_xlfn.XLOOKUP(Table1[[#This Row], [TEAM]],Sheet1!$A$12:$A$17,Sheet1!$G$12:$G$17)</f>
        <v>5930000</v>
      </c>
      <c r="D1358" t="s">
        <v>20</v>
      </c>
      <c r="E1358" s="4">
        <f>_xlfn.XLOOKUP(Table1[[#This Row], [ROOM]],Sheet1!$A$47:$A$66,Sheet1!$B$47:$B$66)</f>
        <v>145</v>
      </c>
      <c r="F1358" t="s">
        <v>58</v>
      </c>
      <c r="G1358" s="4">
        <f>_xlfn.XLOOKUP(Table1[[#This Row], [DISGUISE]],Sheet1!$A$21:$A$23,Sheet1!$B$21:$B$23)*Table1[[#This Row], [NUM OF MEM]]*(1+_xlfn.XLOOKUP(Table1[[#This Row], [DISGUISE]],Sheet1!$A$21:$A$23,Sheet1!$C$21:$C$23))</f>
        <v>38400</v>
      </c>
      <c r="H1358" s="13" t="s">
        <v>59</v>
      </c>
      <c r="I1358" s="4">
        <f>_xlfn.XLOOKUP(Table1[[#This Row], [WEAPON]],Sheet1!$A$27:$A$29,Sheet1!$B$27:$B$29)*Table1[[#This Row], [NUM OF MEM]]*(1+_xlfn.XLOOKUP(Table1[[#This Row], [WEAPON]],Sheet1!$A$27:$A$29,Sheet1!$C$27:$C$29))</f>
        <v>136500</v>
      </c>
      <c r="J1358" t="s">
        <v>60</v>
      </c>
      <c r="K1358" s="9">
        <f>Table1[[#This Row], [NUM OF MEM]]*Table1[[#This Row], [TOTAL TIME TAKEN]]*_xlfn.XLOOKUP(Table1[[#This Row], [EXIT]],Sheet1!$A$70:$A$71,Sheet1!$B$70:$B$71)*(1+_xlfn.XLOOKUP(Table1[[#This Row], [EXIT]],Sheet1!$A$70:$A$71,Sheet1!$C$70:$C$71))</f>
        <v>1746888.2249999996</v>
      </c>
      <c r="L1358" s="13" t="s">
        <v>65</v>
      </c>
      <c r="M1358" s="4">
        <f>IF(Table1[[#This Row], [EQUIPMENT]]="YES",Sheet1!$C$44*(1+Sheet1!$D$44),0)</f>
        <v>307500</v>
      </c>
      <c r="N1358" s="4">
        <f>_xlfn.XLOOKUP(Table1[[#This Row], [ROOM]],Sheet1!$A$47:$A$66,Sheet1!$F$47:$F$66)</f>
        <v>17550000</v>
      </c>
      <c r="O1358" s="9">
        <f>_xlfn.XLOOKUP(_xlfn.CONCAT(Table1[[#This Row], [TEAM]],Table1[[#This Row], [ROOM]]),'ROOM TIME'!$H$2:$H$121,'ROOM TIME'!$J$2:$J$121)</f>
        <v>41.543333333333322</v>
      </c>
      <c r="P1358" s="9">
        <f>(INDEX(Sheet1!$X$48:$Z$67,MATCH(Table1[[#This Row], [ROOM]],Sheet1!$P$48:$P$67,0),MATCH(Table1[[#This Row], [WEAPON]],Sheet1!$X$47:$Z$47,0)))/Table1[[#This Row], [NUM OF MEM]]</f>
        <v>3.8333333333333335</v>
      </c>
      <c r="Q1358" s="9">
        <f>Table1[[#This Row], [ROOM TIME]]+Table1[[#This Row], [GUARD TIME]]</f>
        <v>45.376666666666658</v>
      </c>
      <c r="R1358" s="4">
        <f>Sheet1!$K$3*_xlfn.XLOOKUP(Table1[[#This Row], [DISGUISE]],Sheet1!$A$21:$A$23,Sheet1!$D$21:$D$23)</f>
        <v>69</v>
      </c>
      <c r="S1358" s="9">
        <f>Table1[[#This Row], [TOTAL TIME]]-Table1[[#This Row], [TOTAL TIME TAKEN]]</f>
        <v>23.623333333333342</v>
      </c>
      <c r="T1358" t="str">
        <f>IF(Table1[[#This Row], [TIME DIFFERENCE]]&gt;=0,"PASS","FAIL")</f>
        <v>PASS</v>
      </c>
      <c r="U1358" s="9">
        <f>Table1[[#This Row], [TRC]]+Table1[[#This Row], [DRC]]+Table1[[#This Row], [WRC]]+Table1[[#This Row], [ERC]]+Table1[[#This Row], [EQRC]]</f>
        <v>8159288.2249999996</v>
      </c>
      <c r="V1358" s="9">
        <f>Table1[[#This Row], [TOTAL COST]]+_xlfn.XLOOKUP(Table1[[#This Row], [TEAM]],Sheet1!$A$12:$A$17,Sheet1!$I$12:$I$17)</f>
        <v>8455788.2249999996</v>
      </c>
      <c r="W1358" s="9">
        <f>Table1[[#This Row], [LOOT]]-Table1[[#This Row], [TOTAL COST]]</f>
        <v>9390711.7750000004</v>
      </c>
      <c r="X1358" s="9">
        <f>IF(Table1[[#This Row], [PASS/FAIL]]="FAIL",0,Table1[[#This Row], [PROFIT]])</f>
        <v>9390711.7750000004</v>
      </c>
    </row>
    <row r="1359" spans="1:24" ht="19.5" customHeight="1" x14ac:dyDescent="0.45">
      <c r="A1359" t="s">
        <v>16</v>
      </c>
      <c r="B1359" s="14">
        <f>_xlfn.XLOOKUP(Table1[[#This Row], [TEAM]],Sheet1!$A$12:$A$17,Sheet1!$F$12:$F$17)</f>
        <v>2</v>
      </c>
      <c r="C1359" s="14">
        <f>_xlfn.XLOOKUP(Table1[[#This Row], [TEAM]],Sheet1!$A$12:$A$17,Sheet1!$G$12:$G$17)</f>
        <v>6082800</v>
      </c>
      <c r="D1359" t="s">
        <v>31</v>
      </c>
      <c r="E1359" s="4">
        <f>_xlfn.XLOOKUP(Table1[[#This Row], [ROOM]],Sheet1!$A$47:$A$66,Sheet1!$B$47:$B$66)</f>
        <v>256</v>
      </c>
      <c r="F1359" t="s">
        <v>62</v>
      </c>
      <c r="G1359" s="4">
        <f>_xlfn.XLOOKUP(Table1[[#This Row], [DISGUISE]],Sheet1!$A$21:$A$23,Sheet1!$B$21:$B$23)*Table1[[#This Row], [NUM OF MEM]]*(1+_xlfn.XLOOKUP(Table1[[#This Row], [DISGUISE]],Sheet1!$A$21:$A$23,Sheet1!$C$21:$C$23))</f>
        <v>10400</v>
      </c>
      <c r="H1359" s="13" t="s">
        <v>63</v>
      </c>
      <c r="I1359" s="4">
        <f>_xlfn.XLOOKUP(Table1[[#This Row], [WEAPON]],Sheet1!$A$27:$A$29,Sheet1!$B$27:$B$29)*Table1[[#This Row], [NUM OF MEM]]*(1+_xlfn.XLOOKUP(Table1[[#This Row], [WEAPON]],Sheet1!$A$27:$A$29,Sheet1!$C$27:$C$29))</f>
        <v>46000</v>
      </c>
      <c r="J1359" t="s">
        <v>64</v>
      </c>
      <c r="K1359" s="9">
        <f>Table1[[#This Row], [NUM OF MEM]]*Table1[[#This Row], [TOTAL TIME TAKEN]]*_xlfn.XLOOKUP(Table1[[#This Row], [EXIT]],Sheet1!$A$70:$A$71,Sheet1!$B$70:$B$71)*(1+_xlfn.XLOOKUP(Table1[[#This Row], [EXIT]],Sheet1!$A$70:$A$71,Sheet1!$C$70:$C$71))</f>
        <v>1663675.1999999997</v>
      </c>
      <c r="L1359" s="13" t="s">
        <v>65</v>
      </c>
      <c r="M1359" s="4">
        <f>IF(Table1[[#This Row], [EQUIPMENT]]="YES",Sheet1!$C$44*(1+Sheet1!$D$44),0)</f>
        <v>307500</v>
      </c>
      <c r="N1359" s="4">
        <f>_xlfn.XLOOKUP(Table1[[#This Row], [ROOM]],Sheet1!$A$47:$A$66,Sheet1!$F$47:$F$66)</f>
        <v>17500000</v>
      </c>
      <c r="O1359" s="9">
        <f>_xlfn.XLOOKUP(_xlfn.CONCAT(Table1[[#This Row], [TEAM]],Table1[[#This Row], [ROOM]]),'ROOM TIME'!$H$2:$H$121,'ROOM TIME'!$J$2:$J$121)</f>
        <v>56.759999999999984</v>
      </c>
      <c r="P1359" s="9">
        <f>(INDEX(Sheet1!$X$48:$Z$67,MATCH(Table1[[#This Row], [ROOM]],Sheet1!$P$48:$P$67,0),MATCH(Table1[[#This Row], [WEAPON]],Sheet1!$X$47:$Z$47,0)))/Table1[[#This Row], [NUM OF MEM]]</f>
        <v>7.4250000000000007</v>
      </c>
      <c r="Q1359" s="9">
        <f>Table1[[#This Row], [ROOM TIME]]+Table1[[#This Row], [GUARD TIME]]</f>
        <v>64.184999999999988</v>
      </c>
      <c r="R1359" s="4">
        <f>Sheet1!$K$3*_xlfn.XLOOKUP(Table1[[#This Row], [DISGUISE]],Sheet1!$A$21:$A$23,Sheet1!$D$21:$D$23)</f>
        <v>66</v>
      </c>
      <c r="S1359" s="9">
        <f>Table1[[#This Row], [TOTAL TIME]]-Table1[[#This Row], [TOTAL TIME TAKEN]]</f>
        <v>1.8150000000000119</v>
      </c>
      <c r="T1359" t="str">
        <f>IF(Table1[[#This Row], [TIME DIFFERENCE]]&gt;=0,"PASS","FAIL")</f>
        <v>PASS</v>
      </c>
      <c r="U1359" s="9">
        <f>Table1[[#This Row], [TRC]]+Table1[[#This Row], [DRC]]+Table1[[#This Row], [WRC]]+Table1[[#This Row], [ERC]]+Table1[[#This Row], [EQRC]]</f>
        <v>8110375.1999999993</v>
      </c>
      <c r="V1359" s="9">
        <f>Table1[[#This Row], [TOTAL COST]]+_xlfn.XLOOKUP(Table1[[#This Row], [TEAM]],Sheet1!$A$12:$A$17,Sheet1!$I$12:$I$17)</f>
        <v>8414515.1999999993</v>
      </c>
      <c r="W1359" s="9">
        <f>Table1[[#This Row], [LOOT]]-Table1[[#This Row], [TOTAL COST]]</f>
        <v>9389624.8000000007</v>
      </c>
      <c r="X1359" s="9">
        <f>IF(Table1[[#This Row], [PASS/FAIL]]="FAIL",0,Table1[[#This Row], [PROFIT]])</f>
        <v>9389624.8000000007</v>
      </c>
    </row>
    <row r="1360" spans="1:24" ht="19.5" customHeight="1" x14ac:dyDescent="0.45">
      <c r="A1360" t="s">
        <v>16</v>
      </c>
      <c r="B1360" s="14">
        <f>_xlfn.XLOOKUP(Table1[[#This Row], [TEAM]],Sheet1!$A$12:$A$17,Sheet1!$F$12:$F$17)</f>
        <v>2</v>
      </c>
      <c r="C1360" s="14">
        <f>_xlfn.XLOOKUP(Table1[[#This Row], [TEAM]],Sheet1!$A$12:$A$17,Sheet1!$G$12:$G$17)</f>
        <v>6082800</v>
      </c>
      <c r="D1360" t="s">
        <v>31</v>
      </c>
      <c r="E1360" s="4">
        <f>_xlfn.XLOOKUP(Table1[[#This Row], [ROOM]],Sheet1!$A$47:$A$66,Sheet1!$B$47:$B$66)</f>
        <v>256</v>
      </c>
      <c r="F1360" t="s">
        <v>62</v>
      </c>
      <c r="G1360" s="4">
        <f>_xlfn.XLOOKUP(Table1[[#This Row], [DISGUISE]],Sheet1!$A$21:$A$23,Sheet1!$B$21:$B$23)*Table1[[#This Row], [NUM OF MEM]]*(1+_xlfn.XLOOKUP(Table1[[#This Row], [DISGUISE]],Sheet1!$A$21:$A$23,Sheet1!$C$21:$C$23))</f>
        <v>10400</v>
      </c>
      <c r="H1360" s="13" t="s">
        <v>59</v>
      </c>
      <c r="I1360" s="4">
        <f>_xlfn.XLOOKUP(Table1[[#This Row], [WEAPON]],Sheet1!$A$27:$A$29,Sheet1!$B$27:$B$29)*Table1[[#This Row], [NUM OF MEM]]*(1+_xlfn.XLOOKUP(Table1[[#This Row], [WEAPON]],Sheet1!$A$27:$A$29,Sheet1!$C$27:$C$29))</f>
        <v>91000</v>
      </c>
      <c r="J1360" t="s">
        <v>60</v>
      </c>
      <c r="K1360" s="9">
        <f>Table1[[#This Row], [NUM OF MEM]]*Table1[[#This Row], [TOTAL TIME TAKEN]]*_xlfn.XLOOKUP(Table1[[#This Row], [EXIT]],Sheet1!$A$70:$A$71,Sheet1!$B$70:$B$71)*(1+_xlfn.XLOOKUP(Table1[[#This Row], [EXIT]],Sheet1!$A$70:$A$71,Sheet1!$C$70:$C$71))</f>
        <v>1619076.5249999992</v>
      </c>
      <c r="L1360" s="13" t="s">
        <v>65</v>
      </c>
      <c r="M1360" s="4">
        <f>IF(Table1[[#This Row], [EQUIPMENT]]="YES",Sheet1!$C$44*(1+Sheet1!$D$44),0)</f>
        <v>307500</v>
      </c>
      <c r="N1360" s="4">
        <f>_xlfn.XLOOKUP(Table1[[#This Row], [ROOM]],Sheet1!$A$47:$A$66,Sheet1!$F$47:$F$66)</f>
        <v>17500000</v>
      </c>
      <c r="O1360" s="9">
        <f>_xlfn.XLOOKUP(_xlfn.CONCAT(Table1[[#This Row], [TEAM]],Table1[[#This Row], [ROOM]]),'ROOM TIME'!$H$2:$H$121,'ROOM TIME'!$J$2:$J$121)</f>
        <v>56.759999999999984</v>
      </c>
      <c r="P1360" s="9">
        <f>(INDEX(Sheet1!$X$48:$Z$67,MATCH(Table1[[#This Row], [ROOM]],Sheet1!$P$48:$P$67,0),MATCH(Table1[[#This Row], [WEAPON]],Sheet1!$X$47:$Z$47,0)))/Table1[[#This Row], [NUM OF MEM]]</f>
        <v>6.3249999999999993</v>
      </c>
      <c r="Q1360" s="9">
        <f>Table1[[#This Row], [ROOM TIME]]+Table1[[#This Row], [GUARD TIME]]</f>
        <v>63.08499999999998</v>
      </c>
      <c r="R1360" s="4">
        <f>Sheet1!$K$3*_xlfn.XLOOKUP(Table1[[#This Row], [DISGUISE]],Sheet1!$A$21:$A$23,Sheet1!$D$21:$D$23)</f>
        <v>66</v>
      </c>
      <c r="S1360" s="9">
        <f>Table1[[#This Row], [TOTAL TIME]]-Table1[[#This Row], [TOTAL TIME TAKEN]]</f>
        <v>2.9150000000000205</v>
      </c>
      <c r="T1360" t="str">
        <f>IF(Table1[[#This Row], [TIME DIFFERENCE]]&gt;=0,"PASS","FAIL")</f>
        <v>PASS</v>
      </c>
      <c r="U1360" s="9">
        <f>Table1[[#This Row], [TRC]]+Table1[[#This Row], [DRC]]+Table1[[#This Row], [WRC]]+Table1[[#This Row], [ERC]]+Table1[[#This Row], [EQRC]]</f>
        <v>8110776.5249999994</v>
      </c>
      <c r="V1360" s="9">
        <f>Table1[[#This Row], [TOTAL COST]]+_xlfn.XLOOKUP(Table1[[#This Row], [TEAM]],Sheet1!$A$12:$A$17,Sheet1!$I$12:$I$17)</f>
        <v>8414916.5249999985</v>
      </c>
      <c r="W1360" s="9">
        <f>Table1[[#This Row], [LOOT]]-Table1[[#This Row], [TOTAL COST]]</f>
        <v>9389223.4750000015</v>
      </c>
      <c r="X1360" s="9">
        <f>IF(Table1[[#This Row], [PASS/FAIL]]="FAIL",0,Table1[[#This Row], [PROFIT]])</f>
        <v>9389223.4750000015</v>
      </c>
    </row>
    <row r="1361" spans="1:24" ht="19.5" customHeight="1" x14ac:dyDescent="0.45">
      <c r="A1361" t="s">
        <v>13</v>
      </c>
      <c r="B1361" s="14">
        <f>_xlfn.XLOOKUP(Table1[[#This Row], [TEAM]],Sheet1!$A$12:$A$17,Sheet1!$F$12:$F$17)</f>
        <v>3</v>
      </c>
      <c r="C1361" s="14">
        <f>_xlfn.XLOOKUP(Table1[[#This Row], [TEAM]],Sheet1!$A$12:$A$17,Sheet1!$G$12:$G$17)</f>
        <v>5930000</v>
      </c>
      <c r="D1361" t="s">
        <v>20</v>
      </c>
      <c r="E1361" s="4">
        <f>_xlfn.XLOOKUP(Table1[[#This Row], [ROOM]],Sheet1!$A$47:$A$66,Sheet1!$B$47:$B$66)</f>
        <v>145</v>
      </c>
      <c r="F1361" t="s">
        <v>58</v>
      </c>
      <c r="G1361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1" s="13" t="s">
        <v>66</v>
      </c>
      <c r="I1361" s="4">
        <f>_xlfn.XLOOKUP(Table1[[#This Row], [WEAPON]],Sheet1!$A$27:$A$29,Sheet1!$B$27:$B$29)*Table1[[#This Row], [NUM OF MEM]]*(1+_xlfn.XLOOKUP(Table1[[#This Row], [WEAPON]],Sheet1!$A$27:$A$29,Sheet1!$C$27:$C$29))</f>
        <v>108000</v>
      </c>
      <c r="J1361" t="s">
        <v>64</v>
      </c>
      <c r="K1361" s="9">
        <f>Table1[[#This Row], [NUM OF MEM]]*Table1[[#This Row], [TOTAL TIME TAKEN]]*_xlfn.XLOOKUP(Table1[[#This Row], [EXIT]],Sheet1!$A$70:$A$71,Sheet1!$B$70:$B$71)*(1+_xlfn.XLOOKUP(Table1[[#This Row], [EXIT]],Sheet1!$A$70:$A$71,Sheet1!$C$70:$C$71))</f>
        <v>1777204.7999999993</v>
      </c>
      <c r="L1361" s="13" t="s">
        <v>65</v>
      </c>
      <c r="M1361" s="4">
        <f>IF(Table1[[#This Row], [EQUIPMENT]]="YES",Sheet1!$C$44*(1+Sheet1!$D$44),0)</f>
        <v>307500</v>
      </c>
      <c r="N1361" s="4">
        <f>_xlfn.XLOOKUP(Table1[[#This Row], [ROOM]],Sheet1!$A$47:$A$66,Sheet1!$F$47:$F$66)</f>
        <v>17550000</v>
      </c>
      <c r="O1361" s="9">
        <f>_xlfn.XLOOKUP(_xlfn.CONCAT(Table1[[#This Row], [TEAM]],Table1[[#This Row], [ROOM]]),'ROOM TIME'!$H$2:$H$121,'ROOM TIME'!$J$2:$J$121)</f>
        <v>41.543333333333322</v>
      </c>
      <c r="P1361" s="9">
        <f>(INDEX(Sheet1!$X$48:$Z$67,MATCH(Table1[[#This Row], [ROOM]],Sheet1!$P$48:$P$67,0),MATCH(Table1[[#This Row], [WEAPON]],Sheet1!$X$47:$Z$47,0)))/Table1[[#This Row], [NUM OF MEM]]</f>
        <v>4.166666666666667</v>
      </c>
      <c r="Q1361" s="9">
        <f>Table1[[#This Row], [ROOM TIME]]+Table1[[#This Row], [GUARD TIME]]</f>
        <v>45.709999999999987</v>
      </c>
      <c r="R1361" s="4">
        <f>Sheet1!$K$3*_xlfn.XLOOKUP(Table1[[#This Row], [DISGUISE]],Sheet1!$A$21:$A$23,Sheet1!$D$21:$D$23)</f>
        <v>69</v>
      </c>
      <c r="S1361" s="9">
        <f>Table1[[#This Row], [TOTAL TIME]]-Table1[[#This Row], [TOTAL TIME TAKEN]]</f>
        <v>23.290000000000013</v>
      </c>
      <c r="T1361" t="str">
        <f>IF(Table1[[#This Row], [TIME DIFFERENCE]]&gt;=0,"PASS","FAIL")</f>
        <v>PASS</v>
      </c>
      <c r="U1361" s="9">
        <f>Table1[[#This Row], [TRC]]+Table1[[#This Row], [DRC]]+Table1[[#This Row], [WRC]]+Table1[[#This Row], [ERC]]+Table1[[#This Row], [EQRC]]</f>
        <v>8161104.7999999989</v>
      </c>
      <c r="V1361" s="9">
        <f>Table1[[#This Row], [TOTAL COST]]+_xlfn.XLOOKUP(Table1[[#This Row], [TEAM]],Sheet1!$A$12:$A$17,Sheet1!$I$12:$I$17)</f>
        <v>8457604.7999999989</v>
      </c>
      <c r="W1361" s="9">
        <f>Table1[[#This Row], [LOOT]]-Table1[[#This Row], [TOTAL COST]]</f>
        <v>9388895.2000000011</v>
      </c>
      <c r="X1361" s="9">
        <f>IF(Table1[[#This Row], [PASS/FAIL]]="FAIL",0,Table1[[#This Row], [PROFIT]])</f>
        <v>9388895.2000000011</v>
      </c>
    </row>
    <row r="1362" spans="1:24" ht="19.5" customHeight="1" x14ac:dyDescent="0.45">
      <c r="A1362" t="s">
        <v>9</v>
      </c>
      <c r="B1362" s="14">
        <f>_xlfn.XLOOKUP(Table1[[#This Row], [TEAM]],Sheet1!$A$12:$A$17,Sheet1!$F$12:$F$17)</f>
        <v>3</v>
      </c>
      <c r="C1362" s="14">
        <f>_xlfn.XLOOKUP(Table1[[#This Row], [TEAM]],Sheet1!$A$12:$A$17,Sheet1!$G$12:$G$17)</f>
        <v>6238750</v>
      </c>
      <c r="D1362" t="s">
        <v>23</v>
      </c>
      <c r="E1362" s="4">
        <f>_xlfn.XLOOKUP(Table1[[#This Row], [ROOM]],Sheet1!$A$47:$A$66,Sheet1!$B$47:$B$66)</f>
        <v>245</v>
      </c>
      <c r="F1362" t="s">
        <v>62</v>
      </c>
      <c r="G136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62" s="13" t="s">
        <v>63</v>
      </c>
      <c r="I1362" s="4">
        <f>_xlfn.XLOOKUP(Table1[[#This Row], [WEAPON]],Sheet1!$A$27:$A$29,Sheet1!$B$27:$B$29)*Table1[[#This Row], [NUM OF MEM]]*(1+_xlfn.XLOOKUP(Table1[[#This Row], [WEAPON]],Sheet1!$A$27:$A$29,Sheet1!$C$27:$C$29))</f>
        <v>69000</v>
      </c>
      <c r="J1362" t="s">
        <v>64</v>
      </c>
      <c r="K1362" s="9">
        <f>Table1[[#This Row], [NUM OF MEM]]*Table1[[#This Row], [TOTAL TIME TAKEN]]*_xlfn.XLOOKUP(Table1[[#This Row], [EXIT]],Sheet1!$A$70:$A$71,Sheet1!$B$70:$B$71)*(1+_xlfn.XLOOKUP(Table1[[#This Row], [EXIT]],Sheet1!$A$70:$A$71,Sheet1!$C$70:$C$71))</f>
        <v>1687823.9999999998</v>
      </c>
      <c r="L1362" s="13" t="s">
        <v>61</v>
      </c>
      <c r="M1362" s="4">
        <f>IF(Table1[[#This Row], [EQUIPMENT]]="YES",Sheet1!$C$44*(1+Sheet1!$D$44),0)</f>
        <v>0</v>
      </c>
      <c r="N1362" s="4">
        <f>_xlfn.XLOOKUP(Table1[[#This Row], [ROOM]],Sheet1!$A$47:$A$66,Sheet1!$F$47:$F$66)</f>
        <v>17400000</v>
      </c>
      <c r="O1362" s="9">
        <f>_xlfn.XLOOKUP(_xlfn.CONCAT(Table1[[#This Row], [TEAM]],Table1[[#This Row], [ROOM]]),'ROOM TIME'!$H$2:$H$121,'ROOM TIME'!$J$2:$J$121)</f>
        <v>38.461111111111101</v>
      </c>
      <c r="P1362" s="9">
        <f>(INDEX(Sheet1!$X$48:$Z$67,MATCH(Table1[[#This Row], [ROOM]],Sheet1!$P$48:$P$67,0),MATCH(Table1[[#This Row], [WEAPON]],Sheet1!$X$47:$Z$47,0)))/Table1[[#This Row], [NUM OF MEM]]</f>
        <v>4.95</v>
      </c>
      <c r="Q1362" s="9">
        <f>Table1[[#This Row], [ROOM TIME]]+Table1[[#This Row], [GUARD TIME]]</f>
        <v>43.411111111111104</v>
      </c>
      <c r="R1362" s="4">
        <f>Sheet1!$K$3*_xlfn.XLOOKUP(Table1[[#This Row], [DISGUISE]],Sheet1!$A$21:$A$23,Sheet1!$D$21:$D$23)</f>
        <v>66</v>
      </c>
      <c r="S1362" s="9">
        <f>Table1[[#This Row], [TOTAL TIME]]-Table1[[#This Row], [TOTAL TIME TAKEN]]</f>
        <v>22.588888888888896</v>
      </c>
      <c r="T1362" t="str">
        <f>IF(Table1[[#This Row], [TIME DIFFERENCE]]&gt;=0,"PASS","FAIL")</f>
        <v>PASS</v>
      </c>
      <c r="U1362" s="4">
        <f>Table1[[#This Row], [TRC]]+Table1[[#This Row], [DRC]]+Table1[[#This Row], [WRC]]+Table1[[#This Row], [ERC]]+Table1[[#This Row], [EQRC]]</f>
        <v>8011174</v>
      </c>
      <c r="V1362" s="9">
        <f>Table1[[#This Row], [TOTAL COST]]+_xlfn.XLOOKUP(Table1[[#This Row], [TEAM]],Sheet1!$A$12:$A$17,Sheet1!$I$12:$I$17)</f>
        <v>8323111.5</v>
      </c>
      <c r="W1362" s="4">
        <f>Table1[[#This Row], [LOOT]]-Table1[[#This Row], [TOTAL COST]]</f>
        <v>9388826</v>
      </c>
      <c r="X1362" s="4">
        <f>IF(Table1[[#This Row], [PASS/FAIL]]="FAIL",0,Table1[[#This Row], [PROFIT]])</f>
        <v>9388826</v>
      </c>
    </row>
    <row r="1363" spans="1:24" ht="19.5" customHeight="1" x14ac:dyDescent="0.45">
      <c r="A1363" t="s">
        <v>9</v>
      </c>
      <c r="B1363" s="14">
        <f>_xlfn.XLOOKUP(Table1[[#This Row], [TEAM]],Sheet1!$A$12:$A$17,Sheet1!$F$12:$F$17)</f>
        <v>3</v>
      </c>
      <c r="C1363" s="14">
        <f>_xlfn.XLOOKUP(Table1[[#This Row], [TEAM]],Sheet1!$A$12:$A$17,Sheet1!$G$12:$G$17)</f>
        <v>6238750</v>
      </c>
      <c r="D1363" t="s">
        <v>11</v>
      </c>
      <c r="E1363" s="4">
        <f>_xlfn.XLOOKUP(Table1[[#This Row], [ROOM]],Sheet1!$A$47:$A$66,Sheet1!$B$47:$B$66)</f>
        <v>124</v>
      </c>
      <c r="F1363" t="s">
        <v>62</v>
      </c>
      <c r="G1363" s="4">
        <f>_xlfn.XLOOKUP(Table1[[#This Row], [DISGUISE]],Sheet1!$A$21:$A$23,Sheet1!$B$21:$B$23)*Table1[[#This Row], [NUM OF MEM]]*(1+_xlfn.XLOOKUP(Table1[[#This Row], [DISGUISE]],Sheet1!$A$21:$A$23,Sheet1!$C$21:$C$23))</f>
        <v>15600</v>
      </c>
      <c r="H1363" s="13" t="s">
        <v>59</v>
      </c>
      <c r="I1363" s="4">
        <f>_xlfn.XLOOKUP(Table1[[#This Row], [WEAPON]],Sheet1!$A$27:$A$29,Sheet1!$B$27:$B$29)*Table1[[#This Row], [NUM OF MEM]]*(1+_xlfn.XLOOKUP(Table1[[#This Row], [WEAPON]],Sheet1!$A$27:$A$29,Sheet1!$C$27:$C$29))</f>
        <v>136500</v>
      </c>
      <c r="J1363" t="s">
        <v>64</v>
      </c>
      <c r="K1363" s="4">
        <f>Table1[[#This Row], [NUM OF MEM]]*Table1[[#This Row], [TOTAL TIME TAKEN]]*_xlfn.XLOOKUP(Table1[[#This Row], [EXIT]],Sheet1!$A$70:$A$71,Sheet1!$B$70:$B$71)*(1+_xlfn.XLOOKUP(Table1[[#This Row], [EXIT]],Sheet1!$A$70:$A$71,Sheet1!$C$70:$C$71))</f>
        <v>1670652</v>
      </c>
      <c r="L1363" s="13" t="s">
        <v>61</v>
      </c>
      <c r="M1363" s="4">
        <f>IF(Table1[[#This Row], [EQUIPMENT]]="YES",Sheet1!$C$44*(1+Sheet1!$D$44),0)</f>
        <v>0</v>
      </c>
      <c r="N1363" s="4">
        <f>_xlfn.XLOOKUP(Table1[[#This Row], [ROOM]],Sheet1!$A$47:$A$66,Sheet1!$F$47:$F$66)</f>
        <v>17450000</v>
      </c>
      <c r="O1363" s="9">
        <f>_xlfn.XLOOKUP(_xlfn.CONCAT(Table1[[#This Row], [TEAM]],Table1[[#This Row], [ROOM]]),'ROOM TIME'!$H$2:$H$121,'ROOM TIME'!$J$2:$J$121)</f>
        <v>38.752777777777773</v>
      </c>
      <c r="P1363" s="9">
        <f>(INDEX(Sheet1!$X$48:$Z$67,MATCH(Table1[[#This Row], [ROOM]],Sheet1!$P$48:$P$67,0),MATCH(Table1[[#This Row], [WEAPON]],Sheet1!$X$47:$Z$47,0)))/Table1[[#This Row], [NUM OF MEM]]</f>
        <v>4.2166666666666659</v>
      </c>
      <c r="Q1363" s="9">
        <f>Table1[[#This Row], [ROOM TIME]]+Table1[[#This Row], [GUARD TIME]]</f>
        <v>42.969444444444441</v>
      </c>
      <c r="R1363" s="4">
        <f>Sheet1!$K$3*_xlfn.XLOOKUP(Table1[[#This Row], [DISGUISE]],Sheet1!$A$21:$A$23,Sheet1!$D$21:$D$23)</f>
        <v>66</v>
      </c>
      <c r="S1363" s="9">
        <f>Table1[[#This Row], [TOTAL TIME]]-Table1[[#This Row], [TOTAL TIME TAKEN]]</f>
        <v>23.030555555555559</v>
      </c>
      <c r="T1363" t="str">
        <f>IF(Table1[[#This Row], [TIME DIFFERENCE]]&gt;=0,"PASS","FAIL")</f>
        <v>PASS</v>
      </c>
      <c r="U1363" s="4">
        <f>Table1[[#This Row], [TRC]]+Table1[[#This Row], [DRC]]+Table1[[#This Row], [WRC]]+Table1[[#This Row], [ERC]]+Table1[[#This Row], [EQRC]]</f>
        <v>8061502</v>
      </c>
      <c r="V1363" s="9">
        <f>Table1[[#This Row], [TOTAL COST]]+_xlfn.XLOOKUP(Table1[[#This Row], [TEAM]],Sheet1!$A$12:$A$17,Sheet1!$I$12:$I$17)</f>
        <v>8373439.5</v>
      </c>
      <c r="W1363" s="4">
        <f>Table1[[#This Row], [LOOT]]-Table1[[#This Row], [TOTAL COST]]</f>
        <v>9388498</v>
      </c>
      <c r="X1363" s="4">
        <f>IF(Table1[[#This Row], [PASS/FAIL]]="FAIL",0,Table1[[#This Row], [PROFIT]])</f>
        <v>9388498</v>
      </c>
    </row>
    <row r="1364" spans="1:24" ht="19.5" customHeight="1" x14ac:dyDescent="0.45">
      <c r="A1364" t="s">
        <v>9</v>
      </c>
      <c r="B1364" s="14">
        <f>_xlfn.XLOOKUP(Table1[[#This Row], [TEAM]],Sheet1!$A$12:$A$17,Sheet1!$F$12:$F$17)</f>
        <v>3</v>
      </c>
      <c r="C1364" s="14">
        <f>_xlfn.XLOOKUP(Table1[[#This Row], [TEAM]],Sheet1!$A$12:$A$17,Sheet1!$G$12:$G$17)</f>
        <v>6238750</v>
      </c>
      <c r="D1364" t="s">
        <v>22</v>
      </c>
      <c r="E1364" s="4">
        <f>_xlfn.XLOOKUP(Table1[[#This Row], [ROOM]],Sheet1!$A$47:$A$66,Sheet1!$B$47:$B$66)</f>
        <v>235</v>
      </c>
      <c r="F1364" t="s">
        <v>58</v>
      </c>
      <c r="G1364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4" s="13" t="s">
        <v>59</v>
      </c>
      <c r="I1364" s="4">
        <f>_xlfn.XLOOKUP(Table1[[#This Row], [WEAPON]],Sheet1!$A$27:$A$29,Sheet1!$B$27:$B$29)*Table1[[#This Row], [NUM OF MEM]]*(1+_xlfn.XLOOKUP(Table1[[#This Row], [WEAPON]],Sheet1!$A$27:$A$29,Sheet1!$C$27:$C$29))</f>
        <v>136500</v>
      </c>
      <c r="J1364" t="s">
        <v>60</v>
      </c>
      <c r="K1364" s="9">
        <f>Table1[[#This Row], [NUM OF MEM]]*Table1[[#This Row], [TOTAL TIME TAKEN]]*_xlfn.XLOOKUP(Table1[[#This Row], [EXIT]],Sheet1!$A$70:$A$71,Sheet1!$B$70:$B$71)*(1+_xlfn.XLOOKUP(Table1[[#This Row], [EXIT]],Sheet1!$A$70:$A$71,Sheet1!$C$70:$C$71))</f>
        <v>1691751.2499999995</v>
      </c>
      <c r="L1364" s="13" t="s">
        <v>65</v>
      </c>
      <c r="M1364" s="4">
        <f>IF(Table1[[#This Row], [EQUIPMENT]]="YES",Sheet1!$C$44*(1+Sheet1!$D$44),0)</f>
        <v>307500</v>
      </c>
      <c r="N1364" s="4">
        <f>_xlfn.XLOOKUP(Table1[[#This Row], [ROOM]],Sheet1!$A$47:$A$66,Sheet1!$F$47:$F$66)</f>
        <v>17800000</v>
      </c>
      <c r="O1364" s="9">
        <f>_xlfn.XLOOKUP(_xlfn.CONCAT(Table1[[#This Row], [TEAM]],Table1[[#This Row], [ROOM]]),'ROOM TIME'!$H$2:$H$121,'ROOM TIME'!$J$2:$J$121)</f>
        <v>39.344444444444434</v>
      </c>
      <c r="P1364" s="9">
        <f>(INDEX(Sheet1!$X$48:$Z$67,MATCH(Table1[[#This Row], [ROOM]],Sheet1!$P$48:$P$67,0),MATCH(Table1[[#This Row], [WEAPON]],Sheet1!$X$47:$Z$47,0)))/Table1[[#This Row], [NUM OF MEM]]</f>
        <v>4.5999999999999996</v>
      </c>
      <c r="Q1364" s="9">
        <f>Table1[[#This Row], [ROOM TIME]]+Table1[[#This Row], [GUARD TIME]]</f>
        <v>43.944444444444436</v>
      </c>
      <c r="R1364" s="4">
        <f>Sheet1!$K$3*_xlfn.XLOOKUP(Table1[[#This Row], [DISGUISE]],Sheet1!$A$21:$A$23,Sheet1!$D$21:$D$23)</f>
        <v>69</v>
      </c>
      <c r="S1364" s="9">
        <f>Table1[[#This Row], [TOTAL TIME]]-Table1[[#This Row], [TOTAL TIME TAKEN]]</f>
        <v>25.055555555555564</v>
      </c>
      <c r="T1364" t="str">
        <f>IF(Table1[[#This Row], [TIME DIFFERENCE]]&gt;=0,"PASS","FAIL")</f>
        <v>PASS</v>
      </c>
      <c r="U1364" s="9">
        <f>Table1[[#This Row], [TRC]]+Table1[[#This Row], [DRC]]+Table1[[#This Row], [WRC]]+Table1[[#This Row], [ERC]]+Table1[[#This Row], [EQRC]]</f>
        <v>8412901.25</v>
      </c>
      <c r="V1364" s="9">
        <f>Table1[[#This Row], [TOTAL COST]]+_xlfn.XLOOKUP(Table1[[#This Row], [TEAM]],Sheet1!$A$12:$A$17,Sheet1!$I$12:$I$17)</f>
        <v>8724838.75</v>
      </c>
      <c r="W1364" s="9">
        <f>Table1[[#This Row], [LOOT]]-Table1[[#This Row], [TOTAL COST]]</f>
        <v>9387098.75</v>
      </c>
      <c r="X1364" s="9">
        <f>IF(Table1[[#This Row], [PASS/FAIL]]="FAIL",0,Table1[[#This Row], [PROFIT]])</f>
        <v>9387098.75</v>
      </c>
    </row>
    <row r="1365" spans="1:24" ht="19.5" customHeight="1" x14ac:dyDescent="0.45">
      <c r="A1365" t="s">
        <v>9</v>
      </c>
      <c r="B1365" s="14">
        <f>_xlfn.XLOOKUP(Table1[[#This Row], [TEAM]],Sheet1!$A$12:$A$17,Sheet1!$F$12:$F$17)</f>
        <v>3</v>
      </c>
      <c r="C1365" s="14">
        <f>_xlfn.XLOOKUP(Table1[[#This Row], [TEAM]],Sheet1!$A$12:$A$17,Sheet1!$G$12:$G$17)</f>
        <v>6238750</v>
      </c>
      <c r="D1365" t="s">
        <v>22</v>
      </c>
      <c r="E1365" s="4">
        <f>_xlfn.XLOOKUP(Table1[[#This Row], [ROOM]],Sheet1!$A$47:$A$66,Sheet1!$B$47:$B$66)</f>
        <v>235</v>
      </c>
      <c r="F1365" t="s">
        <v>58</v>
      </c>
      <c r="G1365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5" s="13" t="s">
        <v>66</v>
      </c>
      <c r="I1365" s="4">
        <f>_xlfn.XLOOKUP(Table1[[#This Row], [WEAPON]],Sheet1!$A$27:$A$29,Sheet1!$B$27:$B$29)*Table1[[#This Row], [NUM OF MEM]]*(1+_xlfn.XLOOKUP(Table1[[#This Row], [WEAPON]],Sheet1!$A$27:$A$29,Sheet1!$C$27:$C$29))</f>
        <v>108000</v>
      </c>
      <c r="J1365" t="s">
        <v>64</v>
      </c>
      <c r="K1365" s="9">
        <f>Table1[[#This Row], [NUM OF MEM]]*Table1[[#This Row], [TOTAL TIME TAKEN]]*_xlfn.XLOOKUP(Table1[[#This Row], [EXIT]],Sheet1!$A$70:$A$71,Sheet1!$B$70:$B$71)*(1+_xlfn.XLOOKUP(Table1[[#This Row], [EXIT]],Sheet1!$A$70:$A$71,Sheet1!$C$70:$C$71))</f>
        <v>1724111.9999999998</v>
      </c>
      <c r="L1365" s="13" t="s">
        <v>65</v>
      </c>
      <c r="M1365" s="4">
        <f>IF(Table1[[#This Row], [EQUIPMENT]]="YES",Sheet1!$C$44*(1+Sheet1!$D$44),0)</f>
        <v>307500</v>
      </c>
      <c r="N1365" s="4">
        <f>_xlfn.XLOOKUP(Table1[[#This Row], [ROOM]],Sheet1!$A$47:$A$66,Sheet1!$F$47:$F$66)</f>
        <v>17800000</v>
      </c>
      <c r="O1365" s="9">
        <f>_xlfn.XLOOKUP(_xlfn.CONCAT(Table1[[#This Row], [TEAM]],Table1[[#This Row], [ROOM]]),'ROOM TIME'!$H$2:$H$121,'ROOM TIME'!$J$2:$J$121)</f>
        <v>39.344444444444434</v>
      </c>
      <c r="P1365" s="4">
        <f>(INDEX(Sheet1!$X$48:$Z$67,MATCH(Table1[[#This Row], [ROOM]],Sheet1!$P$48:$P$67,0),MATCH(Table1[[#This Row], [WEAPON]],Sheet1!$X$47:$Z$47,0)))/Table1[[#This Row], [NUM OF MEM]]</f>
        <v>5</v>
      </c>
      <c r="Q1365" s="9">
        <f>Table1[[#This Row], [ROOM TIME]]+Table1[[#This Row], [GUARD TIME]]</f>
        <v>44.344444444444434</v>
      </c>
      <c r="R1365" s="4">
        <f>Sheet1!$K$3*_xlfn.XLOOKUP(Table1[[#This Row], [DISGUISE]],Sheet1!$A$21:$A$23,Sheet1!$D$21:$D$23)</f>
        <v>69</v>
      </c>
      <c r="S1365" s="9">
        <f>Table1[[#This Row], [TOTAL TIME]]-Table1[[#This Row], [TOTAL TIME TAKEN]]</f>
        <v>24.655555555555566</v>
      </c>
      <c r="T1365" t="str">
        <f>IF(Table1[[#This Row], [TIME DIFFERENCE]]&gt;=0,"PASS","FAIL")</f>
        <v>PASS</v>
      </c>
      <c r="U1365" s="4">
        <f>Table1[[#This Row], [TRC]]+Table1[[#This Row], [DRC]]+Table1[[#This Row], [WRC]]+Table1[[#This Row], [ERC]]+Table1[[#This Row], [EQRC]]</f>
        <v>8416762</v>
      </c>
      <c r="V1365" s="9">
        <f>Table1[[#This Row], [TOTAL COST]]+_xlfn.XLOOKUP(Table1[[#This Row], [TEAM]],Sheet1!$A$12:$A$17,Sheet1!$I$12:$I$17)</f>
        <v>8728699.5</v>
      </c>
      <c r="W1365" s="4">
        <f>Table1[[#This Row], [LOOT]]-Table1[[#This Row], [TOTAL COST]]</f>
        <v>9383238</v>
      </c>
      <c r="X1365" s="4">
        <f>IF(Table1[[#This Row], [PASS/FAIL]]="FAIL",0,Table1[[#This Row], [PROFIT]])</f>
        <v>9383238</v>
      </c>
    </row>
    <row r="1366" spans="1:24" ht="19.5" customHeight="1" x14ac:dyDescent="0.45">
      <c r="A1366" t="s">
        <v>9</v>
      </c>
      <c r="B1366" s="14">
        <f>_xlfn.XLOOKUP(Table1[[#This Row], [TEAM]],Sheet1!$A$12:$A$17,Sheet1!$F$12:$F$17)</f>
        <v>3</v>
      </c>
      <c r="C1366" s="14">
        <f>_xlfn.XLOOKUP(Table1[[#This Row], [TEAM]],Sheet1!$A$12:$A$17,Sheet1!$G$12:$G$17)</f>
        <v>6238750</v>
      </c>
      <c r="D1366" t="s">
        <v>23</v>
      </c>
      <c r="E1366" s="4">
        <f>_xlfn.XLOOKUP(Table1[[#This Row], [ROOM]],Sheet1!$A$47:$A$66,Sheet1!$B$47:$B$66)</f>
        <v>245</v>
      </c>
      <c r="F1366" t="s">
        <v>58</v>
      </c>
      <c r="G1366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6" s="13" t="s">
        <v>63</v>
      </c>
      <c r="I1366" s="4">
        <f>_xlfn.XLOOKUP(Table1[[#This Row], [WEAPON]],Sheet1!$A$27:$A$29,Sheet1!$B$27:$B$29)*Table1[[#This Row], [NUM OF MEM]]*(1+_xlfn.XLOOKUP(Table1[[#This Row], [WEAPON]],Sheet1!$A$27:$A$29,Sheet1!$C$27:$C$29))</f>
        <v>69000</v>
      </c>
      <c r="J1366" t="s">
        <v>60</v>
      </c>
      <c r="K1366" s="9">
        <f>Table1[[#This Row], [NUM OF MEM]]*Table1[[#This Row], [TOTAL TIME TAKEN]]*_xlfn.XLOOKUP(Table1[[#This Row], [EXIT]],Sheet1!$A$70:$A$71,Sheet1!$B$70:$B$71)*(1+_xlfn.XLOOKUP(Table1[[#This Row], [EXIT]],Sheet1!$A$70:$A$71,Sheet1!$C$70:$C$71))</f>
        <v>1671219.2499999995</v>
      </c>
      <c r="L1366" s="13" t="s">
        <v>61</v>
      </c>
      <c r="M1366" s="4">
        <f>IF(Table1[[#This Row], [EQUIPMENT]]="YES",Sheet1!$C$44*(1+Sheet1!$D$44),0)</f>
        <v>0</v>
      </c>
      <c r="N1366" s="4">
        <f>_xlfn.XLOOKUP(Table1[[#This Row], [ROOM]],Sheet1!$A$47:$A$66,Sheet1!$F$47:$F$66)</f>
        <v>17400000</v>
      </c>
      <c r="O1366" s="9">
        <f>_xlfn.XLOOKUP(_xlfn.CONCAT(Table1[[#This Row], [TEAM]],Table1[[#This Row], [ROOM]]),'ROOM TIME'!$H$2:$H$121,'ROOM TIME'!$J$2:$J$121)</f>
        <v>38.461111111111101</v>
      </c>
      <c r="P1366" s="9">
        <f>(INDEX(Sheet1!$X$48:$Z$67,MATCH(Table1[[#This Row], [ROOM]],Sheet1!$P$48:$P$67,0),MATCH(Table1[[#This Row], [WEAPON]],Sheet1!$X$47:$Z$47,0)))/Table1[[#This Row], [NUM OF MEM]]</f>
        <v>4.95</v>
      </c>
      <c r="Q1366" s="9">
        <f>Table1[[#This Row], [ROOM TIME]]+Table1[[#This Row], [GUARD TIME]]</f>
        <v>43.411111111111104</v>
      </c>
      <c r="R1366" s="4">
        <f>Sheet1!$K$3*_xlfn.XLOOKUP(Table1[[#This Row], [DISGUISE]],Sheet1!$A$21:$A$23,Sheet1!$D$21:$D$23)</f>
        <v>69</v>
      </c>
      <c r="S1366" s="9">
        <f>Table1[[#This Row], [TOTAL TIME]]-Table1[[#This Row], [TOTAL TIME TAKEN]]</f>
        <v>25.588888888888896</v>
      </c>
      <c r="T1366" t="str">
        <f>IF(Table1[[#This Row], [TIME DIFFERENCE]]&gt;=0,"PASS","FAIL")</f>
        <v>PASS</v>
      </c>
      <c r="U1366" s="9">
        <f>Table1[[#This Row], [TRC]]+Table1[[#This Row], [DRC]]+Table1[[#This Row], [WRC]]+Table1[[#This Row], [ERC]]+Table1[[#This Row], [EQRC]]</f>
        <v>8017369.25</v>
      </c>
      <c r="V1366" s="9">
        <f>Table1[[#This Row], [TOTAL COST]]+_xlfn.XLOOKUP(Table1[[#This Row], [TEAM]],Sheet1!$A$12:$A$17,Sheet1!$I$12:$I$17)</f>
        <v>8329306.75</v>
      </c>
      <c r="W1366" s="9">
        <f>Table1[[#This Row], [LOOT]]-Table1[[#This Row], [TOTAL COST]]</f>
        <v>9382630.75</v>
      </c>
      <c r="X1366" s="9">
        <f>IF(Table1[[#This Row], [PASS/FAIL]]="FAIL",0,Table1[[#This Row], [PROFIT]])</f>
        <v>9382630.75</v>
      </c>
    </row>
    <row r="1367" spans="1:24" ht="19.5" customHeight="1" x14ac:dyDescent="0.45">
      <c r="A1367" t="s">
        <v>9</v>
      </c>
      <c r="B1367" s="14">
        <f>_xlfn.XLOOKUP(Table1[[#This Row], [TEAM]],Sheet1!$A$12:$A$17,Sheet1!$F$12:$F$17)</f>
        <v>3</v>
      </c>
      <c r="C1367" s="14">
        <f>_xlfn.XLOOKUP(Table1[[#This Row], [TEAM]],Sheet1!$A$12:$A$17,Sheet1!$G$12:$G$17)</f>
        <v>6238750</v>
      </c>
      <c r="D1367" t="s">
        <v>11</v>
      </c>
      <c r="E1367" s="4">
        <f>_xlfn.XLOOKUP(Table1[[#This Row], [ROOM]],Sheet1!$A$47:$A$66,Sheet1!$B$47:$B$66)</f>
        <v>124</v>
      </c>
      <c r="F1367" t="s">
        <v>58</v>
      </c>
      <c r="G1367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7" s="13" t="s">
        <v>59</v>
      </c>
      <c r="I1367" s="4">
        <f>_xlfn.XLOOKUP(Table1[[#This Row], [WEAPON]],Sheet1!$A$27:$A$29,Sheet1!$B$27:$B$29)*Table1[[#This Row], [NUM OF MEM]]*(1+_xlfn.XLOOKUP(Table1[[#This Row], [WEAPON]],Sheet1!$A$27:$A$29,Sheet1!$C$27:$C$29))</f>
        <v>136500</v>
      </c>
      <c r="J1367" t="s">
        <v>60</v>
      </c>
      <c r="K1367" s="9">
        <f>Table1[[#This Row], [NUM OF MEM]]*Table1[[#This Row], [TOTAL TIME TAKEN]]*_xlfn.XLOOKUP(Table1[[#This Row], [EXIT]],Sheet1!$A$70:$A$71,Sheet1!$B$70:$B$71)*(1+_xlfn.XLOOKUP(Table1[[#This Row], [EXIT]],Sheet1!$A$70:$A$71,Sheet1!$C$70:$C$71))</f>
        <v>1654216.1875</v>
      </c>
      <c r="L1367" s="13" t="s">
        <v>61</v>
      </c>
      <c r="M1367" s="4">
        <f>IF(Table1[[#This Row], [EQUIPMENT]]="YES",Sheet1!$C$44*(1+Sheet1!$D$44),0)</f>
        <v>0</v>
      </c>
      <c r="N1367" s="4">
        <f>_xlfn.XLOOKUP(Table1[[#This Row], [ROOM]],Sheet1!$A$47:$A$66,Sheet1!$F$47:$F$66)</f>
        <v>17450000</v>
      </c>
      <c r="O1367" s="9">
        <f>_xlfn.XLOOKUP(_xlfn.CONCAT(Table1[[#This Row], [TEAM]],Table1[[#This Row], [ROOM]]),'ROOM TIME'!$H$2:$H$121,'ROOM TIME'!$J$2:$J$121)</f>
        <v>38.752777777777773</v>
      </c>
      <c r="P1367" s="9">
        <f>(INDEX(Sheet1!$X$48:$Z$67,MATCH(Table1[[#This Row], [ROOM]],Sheet1!$P$48:$P$67,0),MATCH(Table1[[#This Row], [WEAPON]],Sheet1!$X$47:$Z$47,0)))/Table1[[#This Row], [NUM OF MEM]]</f>
        <v>4.2166666666666659</v>
      </c>
      <c r="Q1367" s="9">
        <f>Table1[[#This Row], [ROOM TIME]]+Table1[[#This Row], [GUARD TIME]]</f>
        <v>42.969444444444441</v>
      </c>
      <c r="R1367" s="4">
        <f>Sheet1!$K$3*_xlfn.XLOOKUP(Table1[[#This Row], [DISGUISE]],Sheet1!$A$21:$A$23,Sheet1!$D$21:$D$23)</f>
        <v>69</v>
      </c>
      <c r="S1367" s="9">
        <f>Table1[[#This Row], [TOTAL TIME]]-Table1[[#This Row], [TOTAL TIME TAKEN]]</f>
        <v>26.030555555555559</v>
      </c>
      <c r="T1367" t="str">
        <f>IF(Table1[[#This Row], [TIME DIFFERENCE]]&gt;=0,"PASS","FAIL")</f>
        <v>PASS</v>
      </c>
      <c r="U1367" s="9">
        <f>Table1[[#This Row], [TRC]]+Table1[[#This Row], [DRC]]+Table1[[#This Row], [WRC]]+Table1[[#This Row], [ERC]]+Table1[[#This Row], [EQRC]]</f>
        <v>8067866.1875</v>
      </c>
      <c r="V1367" s="9">
        <f>Table1[[#This Row], [TOTAL COST]]+_xlfn.XLOOKUP(Table1[[#This Row], [TEAM]],Sheet1!$A$12:$A$17,Sheet1!$I$12:$I$17)</f>
        <v>8379803.6875</v>
      </c>
      <c r="W1367" s="9">
        <f>Table1[[#This Row], [LOOT]]-Table1[[#This Row], [TOTAL COST]]</f>
        <v>9382133.8125</v>
      </c>
      <c r="X1367" s="9">
        <f>IF(Table1[[#This Row], [PASS/FAIL]]="FAIL",0,Table1[[#This Row], [PROFIT]])</f>
        <v>9382133.8125</v>
      </c>
    </row>
    <row r="1368" spans="1:24" ht="19.5" customHeight="1" x14ac:dyDescent="0.45">
      <c r="A1368" t="s">
        <v>9</v>
      </c>
      <c r="B1368" s="14">
        <f>_xlfn.XLOOKUP(Table1[[#This Row], [TEAM]],Sheet1!$A$12:$A$17,Sheet1!$F$12:$F$17)</f>
        <v>3</v>
      </c>
      <c r="C1368" s="14">
        <f>_xlfn.XLOOKUP(Table1[[#This Row], [TEAM]],Sheet1!$A$12:$A$17,Sheet1!$G$12:$G$17)</f>
        <v>6238750</v>
      </c>
      <c r="D1368" t="s">
        <v>23</v>
      </c>
      <c r="E1368" s="4">
        <f>_xlfn.XLOOKUP(Table1[[#This Row], [ROOM]],Sheet1!$A$47:$A$66,Sheet1!$B$47:$B$66)</f>
        <v>245</v>
      </c>
      <c r="F1368" t="s">
        <v>62</v>
      </c>
      <c r="G1368" s="4">
        <f>_xlfn.XLOOKUP(Table1[[#This Row], [DISGUISE]],Sheet1!$A$21:$A$23,Sheet1!$B$21:$B$23)*Table1[[#This Row], [NUM OF MEM]]*(1+_xlfn.XLOOKUP(Table1[[#This Row], [DISGUISE]],Sheet1!$A$21:$A$23,Sheet1!$C$21:$C$23))</f>
        <v>15600</v>
      </c>
      <c r="H1368" s="13" t="s">
        <v>66</v>
      </c>
      <c r="I1368" s="4">
        <f>_xlfn.XLOOKUP(Table1[[#This Row], [WEAPON]],Sheet1!$A$27:$A$29,Sheet1!$B$27:$B$29)*Table1[[#This Row], [NUM OF MEM]]*(1+_xlfn.XLOOKUP(Table1[[#This Row], [WEAPON]],Sheet1!$A$27:$A$29,Sheet1!$C$27:$C$29))</f>
        <v>108000</v>
      </c>
      <c r="J1368" t="s">
        <v>60</v>
      </c>
      <c r="K1368" s="9">
        <f>Table1[[#This Row], [NUM OF MEM]]*Table1[[#This Row], [TOTAL TIME TAKEN]]*_xlfn.XLOOKUP(Table1[[#This Row], [EXIT]],Sheet1!$A$70:$A$71,Sheet1!$B$70:$B$71)*(1+_xlfn.XLOOKUP(Table1[[#This Row], [EXIT]],Sheet1!$A$70:$A$71,Sheet1!$C$70:$C$71))</f>
        <v>1657103.5</v>
      </c>
      <c r="L1368" s="13" t="s">
        <v>61</v>
      </c>
      <c r="M1368" s="4">
        <f>IF(Table1[[#This Row], [EQUIPMENT]]="YES",Sheet1!$C$44*(1+Sheet1!$D$44),0)</f>
        <v>0</v>
      </c>
      <c r="N1368" s="4">
        <f>_xlfn.XLOOKUP(Table1[[#This Row], [ROOM]],Sheet1!$A$47:$A$66,Sheet1!$F$47:$F$66)</f>
        <v>17400000</v>
      </c>
      <c r="O1368" s="9">
        <f>_xlfn.XLOOKUP(_xlfn.CONCAT(Table1[[#This Row], [TEAM]],Table1[[#This Row], [ROOM]]),'ROOM TIME'!$H$2:$H$121,'ROOM TIME'!$J$2:$J$121)</f>
        <v>38.461111111111101</v>
      </c>
      <c r="P1368" s="9">
        <f>(INDEX(Sheet1!$X$48:$Z$67,MATCH(Table1[[#This Row], [ROOM]],Sheet1!$P$48:$P$67,0),MATCH(Table1[[#This Row], [WEAPON]],Sheet1!$X$47:$Z$47,0)))/Table1[[#This Row], [NUM OF MEM]]</f>
        <v>4.583333333333333</v>
      </c>
      <c r="Q1368" s="9">
        <f>Table1[[#This Row], [ROOM TIME]]+Table1[[#This Row], [GUARD TIME]]</f>
        <v>43.044444444444437</v>
      </c>
      <c r="R1368" s="4">
        <f>Sheet1!$K$3*_xlfn.XLOOKUP(Table1[[#This Row], [DISGUISE]],Sheet1!$A$21:$A$23,Sheet1!$D$21:$D$23)</f>
        <v>66</v>
      </c>
      <c r="S1368" s="9">
        <f>Table1[[#This Row], [TOTAL TIME]]-Table1[[#This Row], [TOTAL TIME TAKEN]]</f>
        <v>22.955555555555563</v>
      </c>
      <c r="T1368" t="str">
        <f>IF(Table1[[#This Row], [TIME DIFFERENCE]]&gt;=0,"PASS","FAIL")</f>
        <v>PASS</v>
      </c>
      <c r="U1368" s="9">
        <f>Table1[[#This Row], [TRC]]+Table1[[#This Row], [DRC]]+Table1[[#This Row], [WRC]]+Table1[[#This Row], [ERC]]+Table1[[#This Row], [EQRC]]</f>
        <v>8019453.5</v>
      </c>
      <c r="V1368" s="4">
        <f>Table1[[#This Row], [TOTAL COST]]+_xlfn.XLOOKUP(Table1[[#This Row], [TEAM]],Sheet1!$A$12:$A$17,Sheet1!$I$12:$I$17)</f>
        <v>8331391</v>
      </c>
      <c r="W1368" s="9">
        <f>Table1[[#This Row], [LOOT]]-Table1[[#This Row], [TOTAL COST]]</f>
        <v>9380546.5</v>
      </c>
      <c r="X1368" s="9">
        <f>IF(Table1[[#This Row], [PASS/FAIL]]="FAIL",0,Table1[[#This Row], [PROFIT]])</f>
        <v>9380546.5</v>
      </c>
    </row>
    <row r="1369" spans="1:24" ht="19.5" customHeight="1" x14ac:dyDescent="0.45">
      <c r="A1369" t="s">
        <v>9</v>
      </c>
      <c r="B1369" s="14">
        <f>_xlfn.XLOOKUP(Table1[[#This Row], [TEAM]],Sheet1!$A$12:$A$17,Sheet1!$F$12:$F$17)</f>
        <v>3</v>
      </c>
      <c r="C1369" s="14">
        <f>_xlfn.XLOOKUP(Table1[[#This Row], [TEAM]],Sheet1!$A$12:$A$17,Sheet1!$G$12:$G$17)</f>
        <v>6238750</v>
      </c>
      <c r="D1369" t="s">
        <v>11</v>
      </c>
      <c r="E1369" s="4">
        <f>_xlfn.XLOOKUP(Table1[[#This Row], [ROOM]],Sheet1!$A$47:$A$66,Sheet1!$B$47:$B$66)</f>
        <v>124</v>
      </c>
      <c r="F1369" t="s">
        <v>58</v>
      </c>
      <c r="G1369" s="4">
        <f>_xlfn.XLOOKUP(Table1[[#This Row], [DISGUISE]],Sheet1!$A$21:$A$23,Sheet1!$B$21:$B$23)*Table1[[#This Row], [NUM OF MEM]]*(1+_xlfn.XLOOKUP(Table1[[#This Row], [DISGUISE]],Sheet1!$A$21:$A$23,Sheet1!$C$21:$C$23))</f>
        <v>38400</v>
      </c>
      <c r="H1369" s="13" t="s">
        <v>66</v>
      </c>
      <c r="I1369" s="4">
        <f>_xlfn.XLOOKUP(Table1[[#This Row], [WEAPON]],Sheet1!$A$27:$A$29,Sheet1!$B$27:$B$29)*Table1[[#This Row], [NUM OF MEM]]*(1+_xlfn.XLOOKUP(Table1[[#This Row], [WEAPON]],Sheet1!$A$27:$A$29,Sheet1!$C$27:$C$29))</f>
        <v>108000</v>
      </c>
      <c r="J1369" t="s">
        <v>64</v>
      </c>
      <c r="K1369" s="4">
        <f>Table1[[#This Row], [NUM OF MEM]]*Table1[[#This Row], [TOTAL TIME TAKEN]]*_xlfn.XLOOKUP(Table1[[#This Row], [EXIT]],Sheet1!$A$70:$A$71,Sheet1!$B$70:$B$71)*(1+_xlfn.XLOOKUP(Table1[[#This Row], [EXIT]],Sheet1!$A$70:$A$71,Sheet1!$C$70:$C$71))</f>
        <v>1684908</v>
      </c>
      <c r="L1369" s="13" t="s">
        <v>61</v>
      </c>
      <c r="M1369" s="4">
        <f>IF(Table1[[#This Row], [EQUIPMENT]]="YES",Sheet1!$C$44*(1+Sheet1!$D$44),0)</f>
        <v>0</v>
      </c>
      <c r="N1369" s="4">
        <f>_xlfn.XLOOKUP(Table1[[#This Row], [ROOM]],Sheet1!$A$47:$A$66,Sheet1!$F$47:$F$66)</f>
        <v>17450000</v>
      </c>
      <c r="O1369" s="9">
        <f>_xlfn.XLOOKUP(_xlfn.CONCAT(Table1[[#This Row], [TEAM]],Table1[[#This Row], [ROOM]]),'ROOM TIME'!$H$2:$H$121,'ROOM TIME'!$J$2:$J$121)</f>
        <v>38.752777777777773</v>
      </c>
      <c r="P1369" s="9">
        <f>(INDEX(Sheet1!$X$48:$Z$67,MATCH(Table1[[#This Row], [ROOM]],Sheet1!$P$48:$P$67,0),MATCH(Table1[[#This Row], [WEAPON]],Sheet1!$X$47:$Z$47,0)))/Table1[[#This Row], [NUM OF MEM]]</f>
        <v>4.583333333333333</v>
      </c>
      <c r="Q1369" s="9">
        <f>Table1[[#This Row], [ROOM TIME]]+Table1[[#This Row], [GUARD TIME]]</f>
        <v>43.336111111111109</v>
      </c>
      <c r="R1369" s="4">
        <f>Sheet1!$K$3*_xlfn.XLOOKUP(Table1[[#This Row], [DISGUISE]],Sheet1!$A$21:$A$23,Sheet1!$D$21:$D$23)</f>
        <v>69</v>
      </c>
      <c r="S1369" s="9">
        <f>Table1[[#This Row], [TOTAL TIME]]-Table1[[#This Row], [TOTAL TIME TAKEN]]</f>
        <v>25.663888888888891</v>
      </c>
      <c r="T1369" t="str">
        <f>IF(Table1[[#This Row], [TIME DIFFERENCE]]&gt;=0,"PASS","FAIL")</f>
        <v>PASS</v>
      </c>
      <c r="U1369" s="4">
        <f>Table1[[#This Row], [TRC]]+Table1[[#This Row], [DRC]]+Table1[[#This Row], [WRC]]+Table1[[#This Row], [ERC]]+Table1[[#This Row], [EQRC]]</f>
        <v>8070058</v>
      </c>
      <c r="V1369" s="9">
        <f>Table1[[#This Row], [TOTAL COST]]+_xlfn.XLOOKUP(Table1[[#This Row], [TEAM]],Sheet1!$A$12:$A$17,Sheet1!$I$12:$I$17)</f>
        <v>8381995.5</v>
      </c>
      <c r="W1369" s="4">
        <f>Table1[[#This Row], [LOOT]]-Table1[[#This Row], [TOTAL COST]]</f>
        <v>9379942</v>
      </c>
      <c r="X1369" s="4">
        <f>IF(Table1[[#This Row], [PASS/FAIL]]="FAIL",0,Table1[[#This Row], [PROFIT]])</f>
        <v>9379942</v>
      </c>
    </row>
    <row r="1370" spans="1:24" ht="19.5" customHeight="1" x14ac:dyDescent="0.45">
      <c r="A1370" t="s">
        <v>16</v>
      </c>
      <c r="B1370" s="14">
        <f>_xlfn.XLOOKUP(Table1[[#This Row], [TEAM]],Sheet1!$A$12:$A$17,Sheet1!$F$12:$F$17)</f>
        <v>2</v>
      </c>
      <c r="C1370" s="14">
        <f>_xlfn.XLOOKUP(Table1[[#This Row], [TEAM]],Sheet1!$A$12:$A$17,Sheet1!$G$12:$G$17)</f>
        <v>6082800</v>
      </c>
      <c r="D1370" t="s">
        <v>31</v>
      </c>
      <c r="E1370" s="4">
        <f>_xlfn.XLOOKUP(Table1[[#This Row], [ROOM]],Sheet1!$A$47:$A$66,Sheet1!$B$47:$B$66)</f>
        <v>256</v>
      </c>
      <c r="F1370" t="s">
        <v>58</v>
      </c>
      <c r="G1370" s="4">
        <f>_xlfn.XLOOKUP(Table1[[#This Row], [DISGUISE]],Sheet1!$A$21:$A$23,Sheet1!$B$21:$B$23)*Table1[[#This Row], [NUM OF MEM]]*(1+_xlfn.XLOOKUP(Table1[[#This Row], [DISGUISE]],Sheet1!$A$21:$A$23,Sheet1!$C$21:$C$23))</f>
        <v>25600</v>
      </c>
      <c r="H1370" s="13" t="s">
        <v>66</v>
      </c>
      <c r="I1370" s="4">
        <f>_xlfn.XLOOKUP(Table1[[#This Row], [WEAPON]],Sheet1!$A$27:$A$29,Sheet1!$B$27:$B$29)*Table1[[#This Row], [NUM OF MEM]]*(1+_xlfn.XLOOKUP(Table1[[#This Row], [WEAPON]],Sheet1!$A$27:$A$29,Sheet1!$C$27:$C$29))</f>
        <v>72000</v>
      </c>
      <c r="J1370" t="s">
        <v>60</v>
      </c>
      <c r="K1370" s="9">
        <f>Table1[[#This Row], [NUM OF MEM]]*Table1[[#This Row], [TOTAL TIME TAKEN]]*_xlfn.XLOOKUP(Table1[[#This Row], [EXIT]],Sheet1!$A$70:$A$71,Sheet1!$B$70:$B$71)*(1+_xlfn.XLOOKUP(Table1[[#This Row], [EXIT]],Sheet1!$A$70:$A$71,Sheet1!$C$70:$C$71))</f>
        <v>1633192.2749999997</v>
      </c>
      <c r="L1370" s="13" t="s">
        <v>65</v>
      </c>
      <c r="M1370" s="4">
        <f>IF(Table1[[#This Row], [EQUIPMENT]]="YES",Sheet1!$C$44*(1+Sheet1!$D$44),0)</f>
        <v>307500</v>
      </c>
      <c r="N1370" s="4">
        <f>_xlfn.XLOOKUP(Table1[[#This Row], [ROOM]],Sheet1!$A$47:$A$66,Sheet1!$F$47:$F$66)</f>
        <v>17500000</v>
      </c>
      <c r="O1370" s="9">
        <f>_xlfn.XLOOKUP(_xlfn.CONCAT(Table1[[#This Row], [TEAM]],Table1[[#This Row], [ROOM]]),'ROOM TIME'!$H$2:$H$121,'ROOM TIME'!$J$2:$J$121)</f>
        <v>56.759999999999984</v>
      </c>
      <c r="P1370" s="9">
        <f>(INDEX(Sheet1!$X$48:$Z$67,MATCH(Table1[[#This Row], [ROOM]],Sheet1!$P$48:$P$67,0),MATCH(Table1[[#This Row], [WEAPON]],Sheet1!$X$47:$Z$47,0)))/Table1[[#This Row], [NUM OF MEM]]</f>
        <v>6.875</v>
      </c>
      <c r="Q1370" s="9">
        <f>Table1[[#This Row], [ROOM TIME]]+Table1[[#This Row], [GUARD TIME]]</f>
        <v>63.634999999999984</v>
      </c>
      <c r="R1370" s="4">
        <f>Sheet1!$K$3*_xlfn.XLOOKUP(Table1[[#This Row], [DISGUISE]],Sheet1!$A$21:$A$23,Sheet1!$D$21:$D$23)</f>
        <v>69</v>
      </c>
      <c r="S1370" s="9">
        <f>Table1[[#This Row], [TOTAL TIME]]-Table1[[#This Row], [TOTAL TIME TAKEN]]</f>
        <v>5.3650000000000162</v>
      </c>
      <c r="T1370" t="str">
        <f>IF(Table1[[#This Row], [TIME DIFFERENCE]]&gt;=0,"PASS","FAIL")</f>
        <v>PASS</v>
      </c>
      <c r="U1370" s="9">
        <f>Table1[[#This Row], [TRC]]+Table1[[#This Row], [DRC]]+Table1[[#This Row], [WRC]]+Table1[[#This Row], [ERC]]+Table1[[#This Row], [EQRC]]</f>
        <v>8121092.2749999994</v>
      </c>
      <c r="V1370" s="9">
        <f>Table1[[#This Row], [TOTAL COST]]+_xlfn.XLOOKUP(Table1[[#This Row], [TEAM]],Sheet1!$A$12:$A$17,Sheet1!$I$12:$I$17)</f>
        <v>8425232.2749999985</v>
      </c>
      <c r="W1370" s="9">
        <f>Table1[[#This Row], [LOOT]]-Table1[[#This Row], [TOTAL COST]]</f>
        <v>9378907.7250000015</v>
      </c>
      <c r="X1370" s="9">
        <f>IF(Table1[[#This Row], [PASS/FAIL]]="FAIL",0,Table1[[#This Row], [PROFIT]])</f>
        <v>9378907.7250000015</v>
      </c>
    </row>
    <row r="1371" spans="1:24" ht="19.5" customHeight="1" x14ac:dyDescent="0.45">
      <c r="A1371" t="s">
        <v>16</v>
      </c>
      <c r="B1371" s="14">
        <f>_xlfn.XLOOKUP(Table1[[#This Row], [TEAM]],Sheet1!$A$12:$A$17,Sheet1!$F$12:$F$17)</f>
        <v>2</v>
      </c>
      <c r="C1371" s="14">
        <f>_xlfn.XLOOKUP(Table1[[#This Row], [TEAM]],Sheet1!$A$12:$A$17,Sheet1!$G$12:$G$17)</f>
        <v>6082800</v>
      </c>
      <c r="D1371" t="s">
        <v>31</v>
      </c>
      <c r="E1371" s="4">
        <f>_xlfn.XLOOKUP(Table1[[#This Row], [ROOM]],Sheet1!$A$47:$A$66,Sheet1!$B$47:$B$66)</f>
        <v>256</v>
      </c>
      <c r="F1371" t="s">
        <v>62</v>
      </c>
      <c r="G1371" s="4">
        <f>_xlfn.XLOOKUP(Table1[[#This Row], [DISGUISE]],Sheet1!$A$21:$A$23,Sheet1!$B$21:$B$23)*Table1[[#This Row], [NUM OF MEM]]*(1+_xlfn.XLOOKUP(Table1[[#This Row], [DISGUISE]],Sheet1!$A$21:$A$23,Sheet1!$C$21:$C$23))</f>
        <v>10400</v>
      </c>
      <c r="H1371" s="13" t="s">
        <v>66</v>
      </c>
      <c r="I1371" s="4">
        <f>_xlfn.XLOOKUP(Table1[[#This Row], [WEAPON]],Sheet1!$A$27:$A$29,Sheet1!$B$27:$B$29)*Table1[[#This Row], [NUM OF MEM]]*(1+_xlfn.XLOOKUP(Table1[[#This Row], [WEAPON]],Sheet1!$A$27:$A$29,Sheet1!$C$27:$C$29))</f>
        <v>72000</v>
      </c>
      <c r="J1371" t="s">
        <v>64</v>
      </c>
      <c r="K1371" s="9">
        <f>Table1[[#This Row], [NUM OF MEM]]*Table1[[#This Row], [TOTAL TIME TAKEN]]*_xlfn.XLOOKUP(Table1[[#This Row], [EXIT]],Sheet1!$A$70:$A$71,Sheet1!$B$70:$B$71)*(1+_xlfn.XLOOKUP(Table1[[#This Row], [EXIT]],Sheet1!$A$70:$A$71,Sheet1!$C$70:$C$71))</f>
        <v>1649419.1999999995</v>
      </c>
      <c r="L1371" s="13" t="s">
        <v>65</v>
      </c>
      <c r="M1371" s="4">
        <f>IF(Table1[[#This Row], [EQUIPMENT]]="YES",Sheet1!$C$44*(1+Sheet1!$D$44),0)</f>
        <v>307500</v>
      </c>
      <c r="N1371" s="4">
        <f>_xlfn.XLOOKUP(Table1[[#This Row], [ROOM]],Sheet1!$A$47:$A$66,Sheet1!$F$47:$F$66)</f>
        <v>17500000</v>
      </c>
      <c r="O1371" s="9">
        <f>_xlfn.XLOOKUP(_xlfn.CONCAT(Table1[[#This Row], [TEAM]],Table1[[#This Row], [ROOM]]),'ROOM TIME'!$H$2:$H$121,'ROOM TIME'!$J$2:$J$121)</f>
        <v>56.759999999999984</v>
      </c>
      <c r="P1371" s="9">
        <f>(INDEX(Sheet1!$X$48:$Z$67,MATCH(Table1[[#This Row], [ROOM]],Sheet1!$P$48:$P$67,0),MATCH(Table1[[#This Row], [WEAPON]],Sheet1!$X$47:$Z$47,0)))/Table1[[#This Row], [NUM OF MEM]]</f>
        <v>6.875</v>
      </c>
      <c r="Q1371" s="9">
        <f>Table1[[#This Row], [ROOM TIME]]+Table1[[#This Row], [GUARD TIME]]</f>
        <v>63.634999999999984</v>
      </c>
      <c r="R1371" s="4">
        <f>Sheet1!$K$3*_xlfn.XLOOKUP(Table1[[#This Row], [DISGUISE]],Sheet1!$A$21:$A$23,Sheet1!$D$21:$D$23)</f>
        <v>66</v>
      </c>
      <c r="S1371" s="9">
        <f>Table1[[#This Row], [TOTAL TIME]]-Table1[[#This Row], [TOTAL TIME TAKEN]]</f>
        <v>2.3650000000000162</v>
      </c>
      <c r="T1371" t="str">
        <f>IF(Table1[[#This Row], [TIME DIFFERENCE]]&gt;=0,"PASS","FAIL")</f>
        <v>PASS</v>
      </c>
      <c r="U1371" s="9">
        <f>Table1[[#This Row], [TRC]]+Table1[[#This Row], [DRC]]+Table1[[#This Row], [WRC]]+Table1[[#This Row], [ERC]]+Table1[[#This Row], [EQRC]]</f>
        <v>8122119.1999999993</v>
      </c>
      <c r="V1371" s="9">
        <f>Table1[[#This Row], [TOTAL COST]]+_xlfn.XLOOKUP(Table1[[#This Row], [TEAM]],Sheet1!$A$12:$A$17,Sheet1!$I$12:$I$17)</f>
        <v>8426259.1999999993</v>
      </c>
      <c r="W1371" s="9">
        <f>Table1[[#This Row], [LOOT]]-Table1[[#This Row], [TOTAL COST]]</f>
        <v>9377880.8000000007</v>
      </c>
      <c r="X1371" s="9">
        <f>IF(Table1[[#This Row], [PASS/FAIL]]="FAIL",0,Table1[[#This Row], [PROFIT]])</f>
        <v>9377880.8000000007</v>
      </c>
    </row>
    <row r="1372" spans="1:24" ht="19.5" customHeight="1" x14ac:dyDescent="0.45">
      <c r="A1372" t="s">
        <v>16</v>
      </c>
      <c r="B1372" s="14">
        <f>_xlfn.XLOOKUP(Table1[[#This Row], [TEAM]],Sheet1!$A$12:$A$17,Sheet1!$F$12:$F$17)</f>
        <v>2</v>
      </c>
      <c r="C1372" s="14">
        <f>_xlfn.XLOOKUP(Table1[[#This Row], [TEAM]],Sheet1!$A$12:$A$17,Sheet1!$G$12:$G$17)</f>
        <v>6082800</v>
      </c>
      <c r="D1372" t="s">
        <v>20</v>
      </c>
      <c r="E1372" s="4">
        <f>_xlfn.XLOOKUP(Table1[[#This Row], [ROOM]],Sheet1!$A$47:$A$66,Sheet1!$B$47:$B$66)</f>
        <v>145</v>
      </c>
      <c r="F1372" t="s">
        <v>58</v>
      </c>
      <c r="G1372" s="4">
        <f>_xlfn.XLOOKUP(Table1[[#This Row], [DISGUISE]],Sheet1!$A$21:$A$23,Sheet1!$B$21:$B$23)*Table1[[#This Row], [NUM OF MEM]]*(1+_xlfn.XLOOKUP(Table1[[#This Row], [DISGUISE]],Sheet1!$A$21:$A$23,Sheet1!$C$21:$C$23))</f>
        <v>25600</v>
      </c>
      <c r="H1372" s="13" t="s">
        <v>63</v>
      </c>
      <c r="I1372" s="4">
        <f>_xlfn.XLOOKUP(Table1[[#This Row], [WEAPON]],Sheet1!$A$27:$A$29,Sheet1!$B$27:$B$29)*Table1[[#This Row], [NUM OF MEM]]*(1+_xlfn.XLOOKUP(Table1[[#This Row], [WEAPON]],Sheet1!$A$27:$A$29,Sheet1!$C$27:$C$29))</f>
        <v>46000</v>
      </c>
      <c r="J1372" t="s">
        <v>60</v>
      </c>
      <c r="K1372" s="9">
        <f>Table1[[#This Row], [NUM OF MEM]]*Table1[[#This Row], [TOTAL TIME TAKEN]]*_xlfn.XLOOKUP(Table1[[#This Row], [EXIT]],Sheet1!$A$70:$A$71,Sheet1!$B$70:$B$71)*(1+_xlfn.XLOOKUP(Table1[[#This Row], [EXIT]],Sheet1!$A$70:$A$71,Sheet1!$C$70:$C$71))</f>
        <v>1710604.3312499993</v>
      </c>
      <c r="L1372" s="13" t="s">
        <v>65</v>
      </c>
      <c r="M1372" s="4">
        <f>IF(Table1[[#This Row], [EQUIPMENT]]="YES",Sheet1!$C$44*(1+Sheet1!$D$44),0)</f>
        <v>307500</v>
      </c>
      <c r="N1372" s="4">
        <f>_xlfn.XLOOKUP(Table1[[#This Row], [ROOM]],Sheet1!$A$47:$A$66,Sheet1!$F$47:$F$66)</f>
        <v>17550000</v>
      </c>
      <c r="O1372" s="9">
        <f>_xlfn.XLOOKUP(_xlfn.CONCAT(Table1[[#This Row], [TEAM]],Table1[[#This Row], [ROOM]]),'ROOM TIME'!$H$2:$H$121,'ROOM TIME'!$J$2:$J$121)</f>
        <v>59.901249999999983</v>
      </c>
      <c r="P1372" s="9">
        <f>(INDEX(Sheet1!$X$48:$Z$67,MATCH(Table1[[#This Row], [ROOM]],Sheet1!$P$48:$P$67,0),MATCH(Table1[[#This Row], [WEAPON]],Sheet1!$X$47:$Z$47,0)))/Table1[[#This Row], [NUM OF MEM]]</f>
        <v>6.75</v>
      </c>
      <c r="Q1372" s="9">
        <f>Table1[[#This Row], [ROOM TIME]]+Table1[[#This Row], [GUARD TIME]]</f>
        <v>66.651249999999976</v>
      </c>
      <c r="R1372" s="4">
        <f>Sheet1!$K$3*_xlfn.XLOOKUP(Table1[[#This Row], [DISGUISE]],Sheet1!$A$21:$A$23,Sheet1!$D$21:$D$23)</f>
        <v>69</v>
      </c>
      <c r="S1372" s="9">
        <f>Table1[[#This Row], [TOTAL TIME]]-Table1[[#This Row], [TOTAL TIME TAKEN]]</f>
        <v>2.3487500000000239</v>
      </c>
      <c r="T1372" t="str">
        <f>IF(Table1[[#This Row], [TIME DIFFERENCE]]&gt;=0,"PASS","FAIL")</f>
        <v>PASS</v>
      </c>
      <c r="U1372" s="9">
        <f>Table1[[#This Row], [TRC]]+Table1[[#This Row], [DRC]]+Table1[[#This Row], [WRC]]+Table1[[#This Row], [ERC]]+Table1[[#This Row], [EQRC]]</f>
        <v>8172504.3312499989</v>
      </c>
      <c r="V1372" s="9">
        <f>Table1[[#This Row], [TOTAL COST]]+_xlfn.XLOOKUP(Table1[[#This Row], [TEAM]],Sheet1!$A$12:$A$17,Sheet1!$I$12:$I$17)</f>
        <v>8476644.3312499989</v>
      </c>
      <c r="W1372" s="9">
        <f>Table1[[#This Row], [LOOT]]-Table1[[#This Row], [TOTAL COST]]</f>
        <v>9377495.6687500011</v>
      </c>
      <c r="X1372" s="9">
        <f>IF(Table1[[#This Row], [PASS/FAIL]]="FAIL",0,Table1[[#This Row], [PROFIT]])</f>
        <v>9377495.6687500011</v>
      </c>
    </row>
    <row r="1373" spans="1:24" ht="19.5" customHeight="1" x14ac:dyDescent="0.45">
      <c r="A1373" t="s">
        <v>9</v>
      </c>
      <c r="B1373" s="14">
        <f>_xlfn.XLOOKUP(Table1[[#This Row], [TEAM]],Sheet1!$A$12:$A$17,Sheet1!$F$12:$F$17)</f>
        <v>3</v>
      </c>
      <c r="C1373" s="14">
        <f>_xlfn.XLOOKUP(Table1[[#This Row], [TEAM]],Sheet1!$A$12:$A$17,Sheet1!$G$12:$G$17)</f>
        <v>6238750</v>
      </c>
      <c r="D1373" t="s">
        <v>17</v>
      </c>
      <c r="E1373" s="4">
        <f>_xlfn.XLOOKUP(Table1[[#This Row], [ROOM]],Sheet1!$A$47:$A$66,Sheet1!$B$47:$B$66)</f>
        <v>125</v>
      </c>
      <c r="F1373" t="s">
        <v>62</v>
      </c>
      <c r="G1373" s="4">
        <f>_xlfn.XLOOKUP(Table1[[#This Row], [DISGUISE]],Sheet1!$A$21:$A$23,Sheet1!$B$21:$B$23)*Table1[[#This Row], [NUM OF MEM]]*(1+_xlfn.XLOOKUP(Table1[[#This Row], [DISGUISE]],Sheet1!$A$21:$A$23,Sheet1!$C$21:$C$23))</f>
        <v>15600</v>
      </c>
      <c r="H1373" s="13" t="s">
        <v>63</v>
      </c>
      <c r="I1373" s="4">
        <f>_xlfn.XLOOKUP(Table1[[#This Row], [WEAPON]],Sheet1!$A$27:$A$29,Sheet1!$B$27:$B$29)*Table1[[#This Row], [NUM OF MEM]]*(1+_xlfn.XLOOKUP(Table1[[#This Row], [WEAPON]],Sheet1!$A$27:$A$29,Sheet1!$C$27:$C$29))</f>
        <v>69000</v>
      </c>
      <c r="J1373" t="s">
        <v>60</v>
      </c>
      <c r="K1373" s="9">
        <f>Table1[[#This Row], [NUM OF MEM]]*Table1[[#This Row], [TOTAL TIME TAKEN]]*_xlfn.XLOOKUP(Table1[[#This Row], [EXIT]],Sheet1!$A$70:$A$71,Sheet1!$B$70:$B$71)*(1+_xlfn.XLOOKUP(Table1[[#This Row], [EXIT]],Sheet1!$A$70:$A$71,Sheet1!$C$70:$C$71))</f>
        <v>1651478.5874999999</v>
      </c>
      <c r="L1373" s="13" t="s">
        <v>61</v>
      </c>
      <c r="M1373" s="4">
        <f>IF(Table1[[#This Row], [EQUIPMENT]]="YES",Sheet1!$C$44*(1+Sheet1!$D$44),0)</f>
        <v>0</v>
      </c>
      <c r="N1373" s="4">
        <f>_xlfn.XLOOKUP(Table1[[#This Row], [ROOM]],Sheet1!$A$47:$A$66,Sheet1!$F$47:$F$66)</f>
        <v>17350000</v>
      </c>
      <c r="O1373" s="9">
        <f>_xlfn.XLOOKUP(_xlfn.CONCAT(Table1[[#This Row], [TEAM]],Table1[[#This Row], [ROOM]]),'ROOM TIME'!$H$2:$H$121,'ROOM TIME'!$J$2:$J$121)</f>
        <v>38.398333333333326</v>
      </c>
      <c r="P1373" s="9">
        <f>(INDEX(Sheet1!$X$48:$Z$67,MATCH(Table1[[#This Row], [ROOM]],Sheet1!$P$48:$P$67,0),MATCH(Table1[[#This Row], [WEAPON]],Sheet1!$X$47:$Z$47,0)))/Table1[[#This Row], [NUM OF MEM]]</f>
        <v>4.5</v>
      </c>
      <c r="Q1373" s="9">
        <f>Table1[[#This Row], [ROOM TIME]]+Table1[[#This Row], [GUARD TIME]]</f>
        <v>42.898333333333326</v>
      </c>
      <c r="R1373" s="4">
        <f>Sheet1!$K$3*_xlfn.XLOOKUP(Table1[[#This Row], [DISGUISE]],Sheet1!$A$21:$A$23,Sheet1!$D$21:$D$23)</f>
        <v>66</v>
      </c>
      <c r="S1373" s="9">
        <f>Table1[[#This Row], [TOTAL TIME]]-Table1[[#This Row], [TOTAL TIME TAKEN]]</f>
        <v>23.101666666666674</v>
      </c>
      <c r="T1373" t="str">
        <f>IF(Table1[[#This Row], [TIME DIFFERENCE]]&gt;=0,"PASS","FAIL")</f>
        <v>PASS</v>
      </c>
      <c r="U1373" s="9">
        <f>Table1[[#This Row], [TRC]]+Table1[[#This Row], [DRC]]+Table1[[#This Row], [WRC]]+Table1[[#This Row], [ERC]]+Table1[[#This Row], [EQRC]]</f>
        <v>7974828.5875000004</v>
      </c>
      <c r="V1373" s="9">
        <f>Table1[[#This Row], [TOTAL COST]]+_xlfn.XLOOKUP(Table1[[#This Row], [TEAM]],Sheet1!$A$12:$A$17,Sheet1!$I$12:$I$17)</f>
        <v>8286766.0875000004</v>
      </c>
      <c r="W1373" s="9">
        <f>Table1[[#This Row], [LOOT]]-Table1[[#This Row], [TOTAL COST]]</f>
        <v>9375171.4124999996</v>
      </c>
      <c r="X1373" s="9">
        <f>IF(Table1[[#This Row], [PASS/FAIL]]="FAIL",0,Table1[[#This Row], [PROFIT]])</f>
        <v>9375171.4124999996</v>
      </c>
    </row>
    <row r="1374" spans="1:24" ht="19.5" customHeight="1" x14ac:dyDescent="0.45">
      <c r="A1374" t="s">
        <v>15</v>
      </c>
      <c r="B1374" s="14">
        <f>_xlfn.XLOOKUP(Table1[[#This Row], [TEAM]],Sheet1!$A$12:$A$17,Sheet1!$F$12:$F$17)</f>
        <v>2</v>
      </c>
      <c r="C1374" s="14">
        <f>_xlfn.XLOOKUP(Table1[[#This Row], [TEAM]],Sheet1!$A$12:$A$17,Sheet1!$G$12:$G$17)</f>
        <v>5932950</v>
      </c>
      <c r="D1374" t="s">
        <v>11</v>
      </c>
      <c r="E1374" s="4">
        <f>_xlfn.XLOOKUP(Table1[[#This Row], [ROOM]],Sheet1!$A$47:$A$66,Sheet1!$B$47:$B$66)</f>
        <v>124</v>
      </c>
      <c r="F1374" t="s">
        <v>58</v>
      </c>
      <c r="G137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74" s="13" t="s">
        <v>63</v>
      </c>
      <c r="I1374" s="4">
        <f>_xlfn.XLOOKUP(Table1[[#This Row], [WEAPON]],Sheet1!$A$27:$A$29,Sheet1!$B$27:$B$29)*Table1[[#This Row], [NUM OF MEM]]*(1+_xlfn.XLOOKUP(Table1[[#This Row], [WEAPON]],Sheet1!$A$27:$A$29,Sheet1!$C$27:$C$29))</f>
        <v>46000</v>
      </c>
      <c r="J1374" t="s">
        <v>60</v>
      </c>
      <c r="K1374" s="9">
        <f>Table1[[#This Row], [NUM OF MEM]]*Table1[[#This Row], [TOTAL TIME TAKEN]]*_xlfn.XLOOKUP(Table1[[#This Row], [EXIT]],Sheet1!$A$70:$A$71,Sheet1!$B$70:$B$71)*(1+_xlfn.XLOOKUP(Table1[[#This Row], [EXIT]],Sheet1!$A$70:$A$71,Sheet1!$C$70:$C$71))</f>
        <v>1763089.2562499992</v>
      </c>
      <c r="L1374" s="13" t="s">
        <v>65</v>
      </c>
      <c r="M1374" s="4">
        <f>IF(Table1[[#This Row], [EQUIPMENT]]="YES",Sheet1!$C$44*(1+Sheet1!$D$44),0)</f>
        <v>307500</v>
      </c>
      <c r="N1374" s="4">
        <f>_xlfn.XLOOKUP(Table1[[#This Row], [ROOM]],Sheet1!$A$47:$A$66,Sheet1!$F$47:$F$66)</f>
        <v>17450000</v>
      </c>
      <c r="O1374" s="9">
        <f>_xlfn.XLOOKUP(_xlfn.CONCAT(Table1[[#This Row], [TEAM]],Table1[[#This Row], [ROOM]]),'ROOM TIME'!$H$2:$H$121,'ROOM TIME'!$J$2:$J$121)</f>
        <v>61.271249999999981</v>
      </c>
      <c r="P1374" s="9">
        <f>(INDEX(Sheet1!$X$48:$Z$67,MATCH(Table1[[#This Row], [ROOM]],Sheet1!$P$48:$P$67,0),MATCH(Table1[[#This Row], [WEAPON]],Sheet1!$X$47:$Z$47,0)))/Table1[[#This Row], [NUM OF MEM]]</f>
        <v>7.4250000000000007</v>
      </c>
      <c r="Q1374" s="9">
        <f>Table1[[#This Row], [ROOM TIME]]+Table1[[#This Row], [GUARD TIME]]</f>
        <v>68.696249999999978</v>
      </c>
      <c r="R1374" s="4">
        <f>Sheet1!$K$3*_xlfn.XLOOKUP(Table1[[#This Row], [DISGUISE]],Sheet1!$A$21:$A$23,Sheet1!$D$21:$D$23)</f>
        <v>69</v>
      </c>
      <c r="S1374" s="9">
        <f>Table1[[#This Row], [TOTAL TIME]]-Table1[[#This Row], [TOTAL TIME TAKEN]]</f>
        <v>0.30375000000002217</v>
      </c>
      <c r="T1374" t="str">
        <f>IF(Table1[[#This Row], [TIME DIFFERENCE]]&gt;=0,"PASS","FAIL")</f>
        <v>PASS</v>
      </c>
      <c r="U1374" s="9">
        <f>Table1[[#This Row], [TRC]]+Table1[[#This Row], [DRC]]+Table1[[#This Row], [WRC]]+Table1[[#This Row], [ERC]]+Table1[[#This Row], [EQRC]]</f>
        <v>8075139.2562499996</v>
      </c>
      <c r="V1374" s="9">
        <f>Table1[[#This Row], [TOTAL COST]]+_xlfn.XLOOKUP(Table1[[#This Row], [TEAM]],Sheet1!$A$12:$A$17,Sheet1!$I$12:$I$17)</f>
        <v>8371786.7562499996</v>
      </c>
      <c r="W1374" s="9">
        <f>Table1[[#This Row], [LOOT]]-Table1[[#This Row], [TOTAL COST]]</f>
        <v>9374860.7437500004</v>
      </c>
      <c r="X1374" s="9">
        <f>IF(Table1[[#This Row], [PASS/FAIL]]="FAIL",0,Table1[[#This Row], [PROFIT]])</f>
        <v>9374860.7437500004</v>
      </c>
    </row>
    <row r="1375" spans="1:24" ht="19.5" customHeight="1" x14ac:dyDescent="0.45">
      <c r="A1375" t="s">
        <v>16</v>
      </c>
      <c r="B1375" s="14">
        <f>_xlfn.XLOOKUP(Table1[[#This Row], [TEAM]],Sheet1!$A$12:$A$17,Sheet1!$F$12:$F$17)</f>
        <v>2</v>
      </c>
      <c r="C1375" s="14">
        <f>_xlfn.XLOOKUP(Table1[[#This Row], [TEAM]],Sheet1!$A$12:$A$17,Sheet1!$G$12:$G$17)</f>
        <v>6082800</v>
      </c>
      <c r="D1375" t="s">
        <v>31</v>
      </c>
      <c r="E1375" s="4">
        <f>_xlfn.XLOOKUP(Table1[[#This Row], [ROOM]],Sheet1!$A$47:$A$66,Sheet1!$B$47:$B$66)</f>
        <v>256</v>
      </c>
      <c r="F1375" t="s">
        <v>58</v>
      </c>
      <c r="G1375" s="4">
        <f>_xlfn.XLOOKUP(Table1[[#This Row], [DISGUISE]],Sheet1!$A$21:$A$23,Sheet1!$B$21:$B$23)*Table1[[#This Row], [NUM OF MEM]]*(1+_xlfn.XLOOKUP(Table1[[#This Row], [DISGUISE]],Sheet1!$A$21:$A$23,Sheet1!$C$21:$C$23))</f>
        <v>25600</v>
      </c>
      <c r="H1375" s="13" t="s">
        <v>63</v>
      </c>
      <c r="I1375" s="4">
        <f>_xlfn.XLOOKUP(Table1[[#This Row], [WEAPON]],Sheet1!$A$27:$A$29,Sheet1!$B$27:$B$29)*Table1[[#This Row], [NUM OF MEM]]*(1+_xlfn.XLOOKUP(Table1[[#This Row], [WEAPON]],Sheet1!$A$27:$A$29,Sheet1!$C$27:$C$29))</f>
        <v>46000</v>
      </c>
      <c r="J1375" t="s">
        <v>64</v>
      </c>
      <c r="K1375" s="9">
        <f>Table1[[#This Row], [NUM OF MEM]]*Table1[[#This Row], [TOTAL TIME TAKEN]]*_xlfn.XLOOKUP(Table1[[#This Row], [EXIT]],Sheet1!$A$70:$A$71,Sheet1!$B$70:$B$71)*(1+_xlfn.XLOOKUP(Table1[[#This Row], [EXIT]],Sheet1!$A$70:$A$71,Sheet1!$C$70:$C$71))</f>
        <v>1663675.1999999997</v>
      </c>
      <c r="L1375" s="13" t="s">
        <v>65</v>
      </c>
      <c r="M1375" s="4">
        <f>IF(Table1[[#This Row], [EQUIPMENT]]="YES",Sheet1!$C$44*(1+Sheet1!$D$44),0)</f>
        <v>307500</v>
      </c>
      <c r="N1375" s="4">
        <f>_xlfn.XLOOKUP(Table1[[#This Row], [ROOM]],Sheet1!$A$47:$A$66,Sheet1!$F$47:$F$66)</f>
        <v>17500000</v>
      </c>
      <c r="O1375" s="9">
        <f>_xlfn.XLOOKUP(_xlfn.CONCAT(Table1[[#This Row], [TEAM]],Table1[[#This Row], [ROOM]]),'ROOM TIME'!$H$2:$H$121,'ROOM TIME'!$J$2:$J$121)</f>
        <v>56.759999999999984</v>
      </c>
      <c r="P1375" s="9">
        <f>(INDEX(Sheet1!$X$48:$Z$67,MATCH(Table1[[#This Row], [ROOM]],Sheet1!$P$48:$P$67,0),MATCH(Table1[[#This Row], [WEAPON]],Sheet1!$X$47:$Z$47,0)))/Table1[[#This Row], [NUM OF MEM]]</f>
        <v>7.4250000000000007</v>
      </c>
      <c r="Q1375" s="9">
        <f>Table1[[#This Row], [ROOM TIME]]+Table1[[#This Row], [GUARD TIME]]</f>
        <v>64.184999999999988</v>
      </c>
      <c r="R1375" s="4">
        <f>Sheet1!$K$3*_xlfn.XLOOKUP(Table1[[#This Row], [DISGUISE]],Sheet1!$A$21:$A$23,Sheet1!$D$21:$D$23)</f>
        <v>69</v>
      </c>
      <c r="S1375" s="9">
        <f>Table1[[#This Row], [TOTAL TIME]]-Table1[[#This Row], [TOTAL TIME TAKEN]]</f>
        <v>4.8150000000000119</v>
      </c>
      <c r="T1375" t="str">
        <f>IF(Table1[[#This Row], [TIME DIFFERENCE]]&gt;=0,"PASS","FAIL")</f>
        <v>PASS</v>
      </c>
      <c r="U1375" s="9">
        <f>Table1[[#This Row], [TRC]]+Table1[[#This Row], [DRC]]+Table1[[#This Row], [WRC]]+Table1[[#This Row], [ERC]]+Table1[[#This Row], [EQRC]]</f>
        <v>8125575.1999999993</v>
      </c>
      <c r="V1375" s="9">
        <f>Table1[[#This Row], [TOTAL COST]]+_xlfn.XLOOKUP(Table1[[#This Row], [TEAM]],Sheet1!$A$12:$A$17,Sheet1!$I$12:$I$17)</f>
        <v>8429715.1999999993</v>
      </c>
      <c r="W1375" s="9">
        <f>Table1[[#This Row], [LOOT]]-Table1[[#This Row], [TOTAL COST]]</f>
        <v>9374424.8000000007</v>
      </c>
      <c r="X1375" s="9">
        <f>IF(Table1[[#This Row], [PASS/FAIL]]="FAIL",0,Table1[[#This Row], [PROFIT]])</f>
        <v>9374424.8000000007</v>
      </c>
    </row>
    <row r="1376" spans="1:24" ht="19.5" customHeight="1" x14ac:dyDescent="0.45">
      <c r="A1376" t="s">
        <v>16</v>
      </c>
      <c r="B1376" s="14">
        <f>_xlfn.XLOOKUP(Table1[[#This Row], [TEAM]],Sheet1!$A$12:$A$17,Sheet1!$F$12:$F$17)</f>
        <v>2</v>
      </c>
      <c r="C1376" s="14">
        <f>_xlfn.XLOOKUP(Table1[[#This Row], [TEAM]],Sheet1!$A$12:$A$17,Sheet1!$G$12:$G$17)</f>
        <v>6082800</v>
      </c>
      <c r="D1376" t="s">
        <v>31</v>
      </c>
      <c r="E1376" s="4">
        <f>_xlfn.XLOOKUP(Table1[[#This Row], [ROOM]],Sheet1!$A$47:$A$66,Sheet1!$B$47:$B$66)</f>
        <v>256</v>
      </c>
      <c r="F1376" t="s">
        <v>58</v>
      </c>
      <c r="G1376" s="4">
        <f>_xlfn.XLOOKUP(Table1[[#This Row], [DISGUISE]],Sheet1!$A$21:$A$23,Sheet1!$B$21:$B$23)*Table1[[#This Row], [NUM OF MEM]]*(1+_xlfn.XLOOKUP(Table1[[#This Row], [DISGUISE]],Sheet1!$A$21:$A$23,Sheet1!$C$21:$C$23))</f>
        <v>25600</v>
      </c>
      <c r="H1376" s="13" t="s">
        <v>59</v>
      </c>
      <c r="I1376" s="4">
        <f>_xlfn.XLOOKUP(Table1[[#This Row], [WEAPON]],Sheet1!$A$27:$A$29,Sheet1!$B$27:$B$29)*Table1[[#This Row], [NUM OF MEM]]*(1+_xlfn.XLOOKUP(Table1[[#This Row], [WEAPON]],Sheet1!$A$27:$A$29,Sheet1!$C$27:$C$29))</f>
        <v>91000</v>
      </c>
      <c r="J1376" t="s">
        <v>60</v>
      </c>
      <c r="K1376" s="9">
        <f>Table1[[#This Row], [NUM OF MEM]]*Table1[[#This Row], [TOTAL TIME TAKEN]]*_xlfn.XLOOKUP(Table1[[#This Row], [EXIT]],Sheet1!$A$70:$A$71,Sheet1!$B$70:$B$71)*(1+_xlfn.XLOOKUP(Table1[[#This Row], [EXIT]],Sheet1!$A$70:$A$71,Sheet1!$C$70:$C$71))</f>
        <v>1619076.5249999992</v>
      </c>
      <c r="L1376" s="13" t="s">
        <v>65</v>
      </c>
      <c r="M1376" s="4">
        <f>IF(Table1[[#This Row], [EQUIPMENT]]="YES",Sheet1!$C$44*(1+Sheet1!$D$44),0)</f>
        <v>307500</v>
      </c>
      <c r="N1376" s="4">
        <f>_xlfn.XLOOKUP(Table1[[#This Row], [ROOM]],Sheet1!$A$47:$A$66,Sheet1!$F$47:$F$66)</f>
        <v>17500000</v>
      </c>
      <c r="O1376" s="9">
        <f>_xlfn.XLOOKUP(_xlfn.CONCAT(Table1[[#This Row], [TEAM]],Table1[[#This Row], [ROOM]]),'ROOM TIME'!$H$2:$H$121,'ROOM TIME'!$J$2:$J$121)</f>
        <v>56.759999999999984</v>
      </c>
      <c r="P1376" s="9">
        <f>(INDEX(Sheet1!$X$48:$Z$67,MATCH(Table1[[#This Row], [ROOM]],Sheet1!$P$48:$P$67,0),MATCH(Table1[[#This Row], [WEAPON]],Sheet1!$X$47:$Z$47,0)))/Table1[[#This Row], [NUM OF MEM]]</f>
        <v>6.3249999999999993</v>
      </c>
      <c r="Q1376" s="9">
        <f>Table1[[#This Row], [ROOM TIME]]+Table1[[#This Row], [GUARD TIME]]</f>
        <v>63.08499999999998</v>
      </c>
      <c r="R1376" s="4">
        <f>Sheet1!$K$3*_xlfn.XLOOKUP(Table1[[#This Row], [DISGUISE]],Sheet1!$A$21:$A$23,Sheet1!$D$21:$D$23)</f>
        <v>69</v>
      </c>
      <c r="S1376" s="9">
        <f>Table1[[#This Row], [TOTAL TIME]]-Table1[[#This Row], [TOTAL TIME TAKEN]]</f>
        <v>5.9150000000000205</v>
      </c>
      <c r="T1376" t="str">
        <f>IF(Table1[[#This Row], [TIME DIFFERENCE]]&gt;=0,"PASS","FAIL")</f>
        <v>PASS</v>
      </c>
      <c r="U1376" s="9">
        <f>Table1[[#This Row], [TRC]]+Table1[[#This Row], [DRC]]+Table1[[#This Row], [WRC]]+Table1[[#This Row], [ERC]]+Table1[[#This Row], [EQRC]]</f>
        <v>8125976.5249999994</v>
      </c>
      <c r="V1376" s="9">
        <f>Table1[[#This Row], [TOTAL COST]]+_xlfn.XLOOKUP(Table1[[#This Row], [TEAM]],Sheet1!$A$12:$A$17,Sheet1!$I$12:$I$17)</f>
        <v>8430116.5249999985</v>
      </c>
      <c r="W1376" s="9">
        <f>Table1[[#This Row], [LOOT]]-Table1[[#This Row], [TOTAL COST]]</f>
        <v>9374023.4750000015</v>
      </c>
      <c r="X1376" s="9">
        <f>IF(Table1[[#This Row], [PASS/FAIL]]="FAIL",0,Table1[[#This Row], [PROFIT]])</f>
        <v>9374023.4750000015</v>
      </c>
    </row>
    <row r="1377" spans="1:24" ht="19.5" customHeight="1" x14ac:dyDescent="0.45">
      <c r="A1377" t="s">
        <v>16</v>
      </c>
      <c r="B1377" s="14">
        <f>_xlfn.XLOOKUP(Table1[[#This Row], [TEAM]],Sheet1!$A$12:$A$17,Sheet1!$F$12:$F$17)</f>
        <v>2</v>
      </c>
      <c r="C1377" s="14">
        <f>_xlfn.XLOOKUP(Table1[[#This Row], [TEAM]],Sheet1!$A$12:$A$17,Sheet1!$G$12:$G$17)</f>
        <v>6082800</v>
      </c>
      <c r="D1377" t="s">
        <v>20</v>
      </c>
      <c r="E1377" s="4">
        <f>_xlfn.XLOOKUP(Table1[[#This Row], [ROOM]],Sheet1!$A$47:$A$66,Sheet1!$B$47:$B$66)</f>
        <v>145</v>
      </c>
      <c r="F1377" t="s">
        <v>62</v>
      </c>
      <c r="G1377" s="4">
        <f>_xlfn.XLOOKUP(Table1[[#This Row], [DISGUISE]],Sheet1!$A$21:$A$23,Sheet1!$B$21:$B$23)*Table1[[#This Row], [NUM OF MEM]]*(1+_xlfn.XLOOKUP(Table1[[#This Row], [DISGUISE]],Sheet1!$A$21:$A$23,Sheet1!$C$21:$C$23))</f>
        <v>10400</v>
      </c>
      <c r="H1377" s="13" t="s">
        <v>59</v>
      </c>
      <c r="I1377" s="4">
        <f>_xlfn.XLOOKUP(Table1[[#This Row], [WEAPON]],Sheet1!$A$27:$A$29,Sheet1!$B$27:$B$29)*Table1[[#This Row], [NUM OF MEM]]*(1+_xlfn.XLOOKUP(Table1[[#This Row], [WEAPON]],Sheet1!$A$27:$A$29,Sheet1!$C$27:$C$29))</f>
        <v>91000</v>
      </c>
      <c r="J1377" t="s">
        <v>60</v>
      </c>
      <c r="K1377" s="9">
        <f>Table1[[#This Row], [NUM OF MEM]]*Table1[[#This Row], [TOTAL TIME TAKEN]]*_xlfn.XLOOKUP(Table1[[#This Row], [EXIT]],Sheet1!$A$70:$A$71,Sheet1!$B$70:$B$71)*(1+_xlfn.XLOOKUP(Table1[[#This Row], [EXIT]],Sheet1!$A$70:$A$71,Sheet1!$C$70:$C$71))</f>
        <v>1684939.3312499993</v>
      </c>
      <c r="L1377" s="13" t="s">
        <v>65</v>
      </c>
      <c r="M1377" s="4">
        <f>IF(Table1[[#This Row], [EQUIPMENT]]="YES",Sheet1!$C$44*(1+Sheet1!$D$44),0)</f>
        <v>307500</v>
      </c>
      <c r="N1377" s="4">
        <f>_xlfn.XLOOKUP(Table1[[#This Row], [ROOM]],Sheet1!$A$47:$A$66,Sheet1!$F$47:$F$66)</f>
        <v>17550000</v>
      </c>
      <c r="O1377" s="9">
        <f>_xlfn.XLOOKUP(_xlfn.CONCAT(Table1[[#This Row], [TEAM]],Table1[[#This Row], [ROOM]]),'ROOM TIME'!$H$2:$H$121,'ROOM TIME'!$J$2:$J$121)</f>
        <v>59.901249999999983</v>
      </c>
      <c r="P1377" s="9">
        <f>(INDEX(Sheet1!$X$48:$Z$67,MATCH(Table1[[#This Row], [ROOM]],Sheet1!$P$48:$P$67,0),MATCH(Table1[[#This Row], [WEAPON]],Sheet1!$X$47:$Z$47,0)))/Table1[[#This Row], [NUM OF MEM]]</f>
        <v>5.75</v>
      </c>
      <c r="Q1377" s="9">
        <f>Table1[[#This Row], [ROOM TIME]]+Table1[[#This Row], [GUARD TIME]]</f>
        <v>65.651249999999976</v>
      </c>
      <c r="R1377" s="4">
        <f>Sheet1!$K$3*_xlfn.XLOOKUP(Table1[[#This Row], [DISGUISE]],Sheet1!$A$21:$A$23,Sheet1!$D$21:$D$23)</f>
        <v>66</v>
      </c>
      <c r="S1377" s="9">
        <f>Table1[[#This Row], [TOTAL TIME]]-Table1[[#This Row], [TOTAL TIME TAKEN]]</f>
        <v>0.34875000000002387</v>
      </c>
      <c r="T1377" t="str">
        <f>IF(Table1[[#This Row], [TIME DIFFERENCE]]&gt;=0,"PASS","FAIL")</f>
        <v>PASS</v>
      </c>
      <c r="U1377" s="9">
        <f>Table1[[#This Row], [TRC]]+Table1[[#This Row], [DRC]]+Table1[[#This Row], [WRC]]+Table1[[#This Row], [ERC]]+Table1[[#This Row], [EQRC]]</f>
        <v>8176639.3312499989</v>
      </c>
      <c r="V1377" s="9">
        <f>Table1[[#This Row], [TOTAL COST]]+_xlfn.XLOOKUP(Table1[[#This Row], [TEAM]],Sheet1!$A$12:$A$17,Sheet1!$I$12:$I$17)</f>
        <v>8480779.3312499989</v>
      </c>
      <c r="W1377" s="9">
        <f>Table1[[#This Row], [LOOT]]-Table1[[#This Row], [TOTAL COST]]</f>
        <v>9373360.6687500011</v>
      </c>
      <c r="X1377" s="9">
        <f>IF(Table1[[#This Row], [PASS/FAIL]]="FAIL",0,Table1[[#This Row], [PROFIT]])</f>
        <v>9373360.6687500011</v>
      </c>
    </row>
    <row r="1378" spans="1:24" ht="19.5" customHeight="1" x14ac:dyDescent="0.45">
      <c r="A1378" t="s">
        <v>13</v>
      </c>
      <c r="B1378" s="14">
        <f>_xlfn.XLOOKUP(Table1[[#This Row], [TEAM]],Sheet1!$A$12:$A$17,Sheet1!$F$12:$F$17)</f>
        <v>3</v>
      </c>
      <c r="C1378" s="14">
        <f>_xlfn.XLOOKUP(Table1[[#This Row], [TEAM]],Sheet1!$A$12:$A$17,Sheet1!$G$12:$G$17)</f>
        <v>5930000</v>
      </c>
      <c r="D1378" t="s">
        <v>20</v>
      </c>
      <c r="E1378" s="4">
        <f>_xlfn.XLOOKUP(Table1[[#This Row], [ROOM]],Sheet1!$A$47:$A$66,Sheet1!$B$47:$B$66)</f>
        <v>145</v>
      </c>
      <c r="F1378" t="s">
        <v>58</v>
      </c>
      <c r="G1378" s="4">
        <f>_xlfn.XLOOKUP(Table1[[#This Row], [DISGUISE]],Sheet1!$A$21:$A$23,Sheet1!$B$21:$B$23)*Table1[[#This Row], [NUM OF MEM]]*(1+_xlfn.XLOOKUP(Table1[[#This Row], [DISGUISE]],Sheet1!$A$21:$A$23,Sheet1!$C$21:$C$23))</f>
        <v>38400</v>
      </c>
      <c r="H1378" s="13" t="s">
        <v>59</v>
      </c>
      <c r="I1378" s="4">
        <f>_xlfn.XLOOKUP(Table1[[#This Row], [WEAPON]],Sheet1!$A$27:$A$29,Sheet1!$B$27:$B$29)*Table1[[#This Row], [NUM OF MEM]]*(1+_xlfn.XLOOKUP(Table1[[#This Row], [WEAPON]],Sheet1!$A$27:$A$29,Sheet1!$C$27:$C$29))</f>
        <v>136500</v>
      </c>
      <c r="J1378" t="s">
        <v>64</v>
      </c>
      <c r="K1378" s="9">
        <f>Table1[[#This Row], [NUM OF MEM]]*Table1[[#This Row], [TOTAL TIME TAKEN]]*_xlfn.XLOOKUP(Table1[[#This Row], [EXIT]],Sheet1!$A$70:$A$71,Sheet1!$B$70:$B$71)*(1+_xlfn.XLOOKUP(Table1[[#This Row], [EXIT]],Sheet1!$A$70:$A$71,Sheet1!$C$70:$C$71))</f>
        <v>1764244.7999999993</v>
      </c>
      <c r="L1378" s="13" t="s">
        <v>65</v>
      </c>
      <c r="M1378" s="4">
        <f>IF(Table1[[#This Row], [EQUIPMENT]]="YES",Sheet1!$C$44*(1+Sheet1!$D$44),0)</f>
        <v>307500</v>
      </c>
      <c r="N1378" s="4">
        <f>_xlfn.XLOOKUP(Table1[[#This Row], [ROOM]],Sheet1!$A$47:$A$66,Sheet1!$F$47:$F$66)</f>
        <v>17550000</v>
      </c>
      <c r="O1378" s="9">
        <f>_xlfn.XLOOKUP(_xlfn.CONCAT(Table1[[#This Row], [TEAM]],Table1[[#This Row], [ROOM]]),'ROOM TIME'!$H$2:$H$121,'ROOM TIME'!$J$2:$J$121)</f>
        <v>41.543333333333322</v>
      </c>
      <c r="P1378" s="9">
        <f>(INDEX(Sheet1!$X$48:$Z$67,MATCH(Table1[[#This Row], [ROOM]],Sheet1!$P$48:$P$67,0),MATCH(Table1[[#This Row], [WEAPON]],Sheet1!$X$47:$Z$47,0)))/Table1[[#This Row], [NUM OF MEM]]</f>
        <v>3.8333333333333335</v>
      </c>
      <c r="Q1378" s="9">
        <f>Table1[[#This Row], [ROOM TIME]]+Table1[[#This Row], [GUARD TIME]]</f>
        <v>45.376666666666658</v>
      </c>
      <c r="R1378" s="4">
        <f>Sheet1!$K$3*_xlfn.XLOOKUP(Table1[[#This Row], [DISGUISE]],Sheet1!$A$21:$A$23,Sheet1!$D$21:$D$23)</f>
        <v>69</v>
      </c>
      <c r="S1378" s="9">
        <f>Table1[[#This Row], [TOTAL TIME]]-Table1[[#This Row], [TOTAL TIME TAKEN]]</f>
        <v>23.623333333333342</v>
      </c>
      <c r="T1378" t="str">
        <f>IF(Table1[[#This Row], [TIME DIFFERENCE]]&gt;=0,"PASS","FAIL")</f>
        <v>PASS</v>
      </c>
      <c r="U1378" s="9">
        <f>Table1[[#This Row], [TRC]]+Table1[[#This Row], [DRC]]+Table1[[#This Row], [WRC]]+Table1[[#This Row], [ERC]]+Table1[[#This Row], [EQRC]]</f>
        <v>8176644.7999999989</v>
      </c>
      <c r="V1378" s="9">
        <f>Table1[[#This Row], [TOTAL COST]]+_xlfn.XLOOKUP(Table1[[#This Row], [TEAM]],Sheet1!$A$12:$A$17,Sheet1!$I$12:$I$17)</f>
        <v>8473144.7999999989</v>
      </c>
      <c r="W1378" s="9">
        <f>Table1[[#This Row], [LOOT]]-Table1[[#This Row], [TOTAL COST]]</f>
        <v>9373355.2000000011</v>
      </c>
      <c r="X1378" s="9">
        <f>IF(Table1[[#This Row], [PASS/FAIL]]="FAIL",0,Table1[[#This Row], [PROFIT]])</f>
        <v>9373355.2000000011</v>
      </c>
    </row>
    <row r="1379" spans="1:24" ht="19.5" customHeight="1" x14ac:dyDescent="0.45">
      <c r="A1379" t="s">
        <v>16</v>
      </c>
      <c r="B1379" s="14">
        <f>_xlfn.XLOOKUP(Table1[[#This Row], [TEAM]],Sheet1!$A$12:$A$17,Sheet1!$F$12:$F$17)</f>
        <v>2</v>
      </c>
      <c r="C1379" s="14">
        <f>_xlfn.XLOOKUP(Table1[[#This Row], [TEAM]],Sheet1!$A$12:$A$17,Sheet1!$G$12:$G$17)</f>
        <v>6082800</v>
      </c>
      <c r="D1379" t="s">
        <v>31</v>
      </c>
      <c r="E1379" s="4">
        <f>_xlfn.XLOOKUP(Table1[[#This Row], [ROOM]],Sheet1!$A$47:$A$66,Sheet1!$B$47:$B$66)</f>
        <v>256</v>
      </c>
      <c r="F1379" t="s">
        <v>62</v>
      </c>
      <c r="G1379" s="4">
        <f>_xlfn.XLOOKUP(Table1[[#This Row], [DISGUISE]],Sheet1!$A$21:$A$23,Sheet1!$B$21:$B$23)*Table1[[#This Row], [NUM OF MEM]]*(1+_xlfn.XLOOKUP(Table1[[#This Row], [DISGUISE]],Sheet1!$A$21:$A$23,Sheet1!$C$21:$C$23))</f>
        <v>10400</v>
      </c>
      <c r="H1379" s="13" t="s">
        <v>59</v>
      </c>
      <c r="I1379" s="4">
        <f>_xlfn.XLOOKUP(Table1[[#This Row], [WEAPON]],Sheet1!$A$27:$A$29,Sheet1!$B$27:$B$29)*Table1[[#This Row], [NUM OF MEM]]*(1+_xlfn.XLOOKUP(Table1[[#This Row], [WEAPON]],Sheet1!$A$27:$A$29,Sheet1!$C$27:$C$29))</f>
        <v>91000</v>
      </c>
      <c r="J1379" t="s">
        <v>64</v>
      </c>
      <c r="K1379" s="9">
        <f>Table1[[#This Row], [NUM OF MEM]]*Table1[[#This Row], [TOTAL TIME TAKEN]]*_xlfn.XLOOKUP(Table1[[#This Row], [EXIT]],Sheet1!$A$70:$A$71,Sheet1!$B$70:$B$71)*(1+_xlfn.XLOOKUP(Table1[[#This Row], [EXIT]],Sheet1!$A$70:$A$71,Sheet1!$C$70:$C$71))</f>
        <v>1635163.1999999995</v>
      </c>
      <c r="L1379" s="13" t="s">
        <v>65</v>
      </c>
      <c r="M1379" s="4">
        <f>IF(Table1[[#This Row], [EQUIPMENT]]="YES",Sheet1!$C$44*(1+Sheet1!$D$44),0)</f>
        <v>307500</v>
      </c>
      <c r="N1379" s="4">
        <f>_xlfn.XLOOKUP(Table1[[#This Row], [ROOM]],Sheet1!$A$47:$A$66,Sheet1!$F$47:$F$66)</f>
        <v>17500000</v>
      </c>
      <c r="O1379" s="9">
        <f>_xlfn.XLOOKUP(_xlfn.CONCAT(Table1[[#This Row], [TEAM]],Table1[[#This Row], [ROOM]]),'ROOM TIME'!$H$2:$H$121,'ROOM TIME'!$J$2:$J$121)</f>
        <v>56.759999999999984</v>
      </c>
      <c r="P1379" s="9">
        <f>(INDEX(Sheet1!$X$48:$Z$67,MATCH(Table1[[#This Row], [ROOM]],Sheet1!$P$48:$P$67,0),MATCH(Table1[[#This Row], [WEAPON]],Sheet1!$X$47:$Z$47,0)))/Table1[[#This Row], [NUM OF MEM]]</f>
        <v>6.3249999999999993</v>
      </c>
      <c r="Q1379" s="9">
        <f>Table1[[#This Row], [ROOM TIME]]+Table1[[#This Row], [GUARD TIME]]</f>
        <v>63.08499999999998</v>
      </c>
      <c r="R1379" s="4">
        <f>Sheet1!$K$3*_xlfn.XLOOKUP(Table1[[#This Row], [DISGUISE]],Sheet1!$A$21:$A$23,Sheet1!$D$21:$D$23)</f>
        <v>66</v>
      </c>
      <c r="S1379" s="9">
        <f>Table1[[#This Row], [TOTAL TIME]]-Table1[[#This Row], [TOTAL TIME TAKEN]]</f>
        <v>2.9150000000000205</v>
      </c>
      <c r="T1379" t="str">
        <f>IF(Table1[[#This Row], [TIME DIFFERENCE]]&gt;=0,"PASS","FAIL")</f>
        <v>PASS</v>
      </c>
      <c r="U1379" s="9">
        <f>Table1[[#This Row], [TRC]]+Table1[[#This Row], [DRC]]+Table1[[#This Row], [WRC]]+Table1[[#This Row], [ERC]]+Table1[[#This Row], [EQRC]]</f>
        <v>8126863.1999999993</v>
      </c>
      <c r="V1379" s="9">
        <f>Table1[[#This Row], [TOTAL COST]]+_xlfn.XLOOKUP(Table1[[#This Row], [TEAM]],Sheet1!$A$12:$A$17,Sheet1!$I$12:$I$17)</f>
        <v>8431003.1999999993</v>
      </c>
      <c r="W1379" s="9">
        <f>Table1[[#This Row], [LOOT]]-Table1[[#This Row], [TOTAL COST]]</f>
        <v>9373136.8000000007</v>
      </c>
      <c r="X1379" s="9">
        <f>IF(Table1[[#This Row], [PASS/FAIL]]="FAIL",0,Table1[[#This Row], [PROFIT]])</f>
        <v>9373136.8000000007</v>
      </c>
    </row>
    <row r="1380" spans="1:24" ht="19.5" customHeight="1" x14ac:dyDescent="0.45">
      <c r="A1380" t="s">
        <v>9</v>
      </c>
      <c r="B1380" s="14">
        <f>_xlfn.XLOOKUP(Table1[[#This Row], [TEAM]],Sheet1!$A$12:$A$17,Sheet1!$F$12:$F$17)</f>
        <v>3</v>
      </c>
      <c r="C1380" s="14">
        <f>_xlfn.XLOOKUP(Table1[[#This Row], [TEAM]],Sheet1!$A$12:$A$17,Sheet1!$G$12:$G$17)</f>
        <v>6238750</v>
      </c>
      <c r="D1380" t="s">
        <v>22</v>
      </c>
      <c r="E1380" s="4">
        <f>_xlfn.XLOOKUP(Table1[[#This Row], [ROOM]],Sheet1!$A$47:$A$66,Sheet1!$B$47:$B$66)</f>
        <v>235</v>
      </c>
      <c r="F1380" t="s">
        <v>58</v>
      </c>
      <c r="G1380" s="4">
        <f>_xlfn.XLOOKUP(Table1[[#This Row], [DISGUISE]],Sheet1!$A$21:$A$23,Sheet1!$B$21:$B$23)*Table1[[#This Row], [NUM OF MEM]]*(1+_xlfn.XLOOKUP(Table1[[#This Row], [DISGUISE]],Sheet1!$A$21:$A$23,Sheet1!$C$21:$C$23))</f>
        <v>38400</v>
      </c>
      <c r="H1380" s="13" t="s">
        <v>59</v>
      </c>
      <c r="I1380" s="4">
        <f>_xlfn.XLOOKUP(Table1[[#This Row], [WEAPON]],Sheet1!$A$27:$A$29,Sheet1!$B$27:$B$29)*Table1[[#This Row], [NUM OF MEM]]*(1+_xlfn.XLOOKUP(Table1[[#This Row], [WEAPON]],Sheet1!$A$27:$A$29,Sheet1!$C$27:$C$29))</f>
        <v>136500</v>
      </c>
      <c r="J1380" t="s">
        <v>64</v>
      </c>
      <c r="K1380" s="9">
        <f>Table1[[#This Row], [NUM OF MEM]]*Table1[[#This Row], [TOTAL TIME TAKEN]]*_xlfn.XLOOKUP(Table1[[#This Row], [EXIT]],Sheet1!$A$70:$A$71,Sheet1!$B$70:$B$71)*(1+_xlfn.XLOOKUP(Table1[[#This Row], [EXIT]],Sheet1!$A$70:$A$71,Sheet1!$C$70:$C$71))</f>
        <v>1708559.9999999998</v>
      </c>
      <c r="L1380" s="13" t="s">
        <v>65</v>
      </c>
      <c r="M1380" s="4">
        <f>IF(Table1[[#This Row], [EQUIPMENT]]="YES",Sheet1!$C$44*(1+Sheet1!$D$44),0)</f>
        <v>307500</v>
      </c>
      <c r="N1380" s="4">
        <f>_xlfn.XLOOKUP(Table1[[#This Row], [ROOM]],Sheet1!$A$47:$A$66,Sheet1!$F$47:$F$66)</f>
        <v>17800000</v>
      </c>
      <c r="O1380" s="9">
        <f>_xlfn.XLOOKUP(_xlfn.CONCAT(Table1[[#This Row], [TEAM]],Table1[[#This Row], [ROOM]]),'ROOM TIME'!$H$2:$H$121,'ROOM TIME'!$J$2:$J$121)</f>
        <v>39.344444444444434</v>
      </c>
      <c r="P1380" s="9">
        <f>(INDEX(Sheet1!$X$48:$Z$67,MATCH(Table1[[#This Row], [ROOM]],Sheet1!$P$48:$P$67,0),MATCH(Table1[[#This Row], [WEAPON]],Sheet1!$X$47:$Z$47,0)))/Table1[[#This Row], [NUM OF MEM]]</f>
        <v>4.5999999999999996</v>
      </c>
      <c r="Q1380" s="9">
        <f>Table1[[#This Row], [ROOM TIME]]+Table1[[#This Row], [GUARD TIME]]</f>
        <v>43.944444444444436</v>
      </c>
      <c r="R1380" s="4">
        <f>Sheet1!$K$3*_xlfn.XLOOKUP(Table1[[#This Row], [DISGUISE]],Sheet1!$A$21:$A$23,Sheet1!$D$21:$D$23)</f>
        <v>69</v>
      </c>
      <c r="S1380" s="9">
        <f>Table1[[#This Row], [TOTAL TIME]]-Table1[[#This Row], [TOTAL TIME TAKEN]]</f>
        <v>25.055555555555564</v>
      </c>
      <c r="T1380" t="str">
        <f>IF(Table1[[#This Row], [TIME DIFFERENCE]]&gt;=0,"PASS","FAIL")</f>
        <v>PASS</v>
      </c>
      <c r="U1380" s="4">
        <f>Table1[[#This Row], [TRC]]+Table1[[#This Row], [DRC]]+Table1[[#This Row], [WRC]]+Table1[[#This Row], [ERC]]+Table1[[#This Row], [EQRC]]</f>
        <v>8429710</v>
      </c>
      <c r="V1380" s="9">
        <f>Table1[[#This Row], [TOTAL COST]]+_xlfn.XLOOKUP(Table1[[#This Row], [TEAM]],Sheet1!$A$12:$A$17,Sheet1!$I$12:$I$17)</f>
        <v>8741647.5</v>
      </c>
      <c r="W1380" s="4">
        <f>Table1[[#This Row], [LOOT]]-Table1[[#This Row], [TOTAL COST]]</f>
        <v>9370290</v>
      </c>
      <c r="X1380" s="4">
        <f>IF(Table1[[#This Row], [PASS/FAIL]]="FAIL",0,Table1[[#This Row], [PROFIT]])</f>
        <v>9370290</v>
      </c>
    </row>
    <row r="1381" spans="1:24" ht="19.5" customHeight="1" x14ac:dyDescent="0.45">
      <c r="A1381" t="s">
        <v>14</v>
      </c>
      <c r="B1381" s="14">
        <f>_xlfn.XLOOKUP(Table1[[#This Row], [TEAM]],Sheet1!$A$12:$A$17,Sheet1!$F$12:$F$17)</f>
        <v>2</v>
      </c>
      <c r="C1381" s="14">
        <f>_xlfn.XLOOKUP(Table1[[#This Row], [TEAM]],Sheet1!$A$12:$A$17,Sheet1!$G$12:$G$17)</f>
        <v>5949600</v>
      </c>
      <c r="D1381" t="s">
        <v>11</v>
      </c>
      <c r="E1381" s="4">
        <f>_xlfn.XLOOKUP(Table1[[#This Row], [ROOM]],Sheet1!$A$47:$A$66,Sheet1!$B$47:$B$66)</f>
        <v>124</v>
      </c>
      <c r="F1381" t="s">
        <v>58</v>
      </c>
      <c r="G1381" s="4">
        <f>_xlfn.XLOOKUP(Table1[[#This Row], [DISGUISE]],Sheet1!$A$21:$A$23,Sheet1!$B$21:$B$23)*Table1[[#This Row], [NUM OF MEM]]*(1+_xlfn.XLOOKUP(Table1[[#This Row], [DISGUISE]],Sheet1!$A$21:$A$23,Sheet1!$C$21:$C$23))</f>
        <v>25600</v>
      </c>
      <c r="H1381" s="13" t="s">
        <v>63</v>
      </c>
      <c r="I1381" s="4">
        <f>_xlfn.XLOOKUP(Table1[[#This Row], [WEAPON]],Sheet1!$A$27:$A$29,Sheet1!$B$27:$B$29)*Table1[[#This Row], [NUM OF MEM]]*(1+_xlfn.XLOOKUP(Table1[[#This Row], [WEAPON]],Sheet1!$A$27:$A$29,Sheet1!$C$27:$C$29))</f>
        <v>46000</v>
      </c>
      <c r="J1381" t="s">
        <v>60</v>
      </c>
      <c r="K1381" s="9">
        <f>Table1[[#This Row], [NUM OF MEM]]*Table1[[#This Row], [TOTAL TIME TAKEN]]*_xlfn.XLOOKUP(Table1[[#This Row], [EXIT]],Sheet1!$A$70:$A$71,Sheet1!$B$70:$B$71)*(1+_xlfn.XLOOKUP(Table1[[#This Row], [EXIT]],Sheet1!$A$70:$A$71,Sheet1!$C$70:$C$71))</f>
        <v>1753817.7749999999</v>
      </c>
      <c r="L1381" s="13" t="s">
        <v>65</v>
      </c>
      <c r="M1381" s="4">
        <f>IF(Table1[[#This Row], [EQUIPMENT]]="YES",Sheet1!$C$44*(1+Sheet1!$D$44),0)</f>
        <v>307500</v>
      </c>
      <c r="N1381" s="4">
        <f>_xlfn.XLOOKUP(Table1[[#This Row], [ROOM]],Sheet1!$A$47:$A$66,Sheet1!$F$47:$F$66)</f>
        <v>17450000</v>
      </c>
      <c r="O1381" s="9">
        <f>_xlfn.XLOOKUP(_xlfn.CONCAT(Table1[[#This Row], [TEAM]],Table1[[#This Row], [ROOM]]),'ROOM TIME'!$H$2:$H$121,'ROOM TIME'!$J$2:$J$121)</f>
        <v>60.91</v>
      </c>
      <c r="P1381" s="9">
        <f>(INDEX(Sheet1!$X$48:$Z$67,MATCH(Table1[[#This Row], [ROOM]],Sheet1!$P$48:$P$67,0),MATCH(Table1[[#This Row], [WEAPON]],Sheet1!$X$47:$Z$47,0)))/Table1[[#This Row], [NUM OF MEM]]</f>
        <v>7.4250000000000007</v>
      </c>
      <c r="Q1381" s="9">
        <f>Table1[[#This Row], [ROOM TIME]]+Table1[[#This Row], [GUARD TIME]]</f>
        <v>68.334999999999994</v>
      </c>
      <c r="R1381" s="4">
        <f>Sheet1!$K$3*_xlfn.XLOOKUP(Table1[[#This Row], [DISGUISE]],Sheet1!$A$21:$A$23,Sheet1!$D$21:$D$23)</f>
        <v>69</v>
      </c>
      <c r="S1381" s="9">
        <f>Table1[[#This Row], [TOTAL TIME]]-Table1[[#This Row], [TOTAL TIME TAKEN]]</f>
        <v>0.66500000000000625</v>
      </c>
      <c r="T1381" t="str">
        <f>IF(Table1[[#This Row], [TIME DIFFERENCE]]&gt;=0,"PASS","FAIL")</f>
        <v>PASS</v>
      </c>
      <c r="U1381" s="9">
        <f>Table1[[#This Row], [TRC]]+Table1[[#This Row], [DRC]]+Table1[[#This Row], [WRC]]+Table1[[#This Row], [ERC]]+Table1[[#This Row], [EQRC]]</f>
        <v>8082517.7750000004</v>
      </c>
      <c r="V1381" s="9">
        <f>Table1[[#This Row], [TOTAL COST]]+_xlfn.XLOOKUP(Table1[[#This Row], [TEAM]],Sheet1!$A$12:$A$17,Sheet1!$I$12:$I$17)</f>
        <v>8379997.7750000004</v>
      </c>
      <c r="W1381" s="9">
        <f>Table1[[#This Row], [LOOT]]-Table1[[#This Row], [TOTAL COST]]</f>
        <v>9367482.2249999996</v>
      </c>
      <c r="X1381" s="9">
        <f>IF(Table1[[#This Row], [PASS/FAIL]]="FAIL",0,Table1[[#This Row], [PROFIT]])</f>
        <v>9367482.2249999996</v>
      </c>
    </row>
    <row r="1382" spans="1:24" ht="19.5" customHeight="1" x14ac:dyDescent="0.45">
      <c r="A1382" t="s">
        <v>9</v>
      </c>
      <c r="B1382" s="14">
        <f>_xlfn.XLOOKUP(Table1[[#This Row], [TEAM]],Sheet1!$A$12:$A$17,Sheet1!$F$12:$F$17)</f>
        <v>3</v>
      </c>
      <c r="C1382" s="14">
        <f>_xlfn.XLOOKUP(Table1[[#This Row], [TEAM]],Sheet1!$A$12:$A$17,Sheet1!$G$12:$G$17)</f>
        <v>6238750</v>
      </c>
      <c r="D1382" t="s">
        <v>23</v>
      </c>
      <c r="E1382" s="4">
        <f>_xlfn.XLOOKUP(Table1[[#This Row], [ROOM]],Sheet1!$A$47:$A$66,Sheet1!$B$47:$B$66)</f>
        <v>245</v>
      </c>
      <c r="F1382" t="s">
        <v>62</v>
      </c>
      <c r="G1382" s="4">
        <f>_xlfn.XLOOKUP(Table1[[#This Row], [DISGUISE]],Sheet1!$A$21:$A$23,Sheet1!$B$21:$B$23)*Table1[[#This Row], [NUM OF MEM]]*(1+_xlfn.XLOOKUP(Table1[[#This Row], [DISGUISE]],Sheet1!$A$21:$A$23,Sheet1!$C$21:$C$23))</f>
        <v>15600</v>
      </c>
      <c r="H1382" s="13" t="s">
        <v>59</v>
      </c>
      <c r="I1382" s="4">
        <f>_xlfn.XLOOKUP(Table1[[#This Row], [WEAPON]],Sheet1!$A$27:$A$29,Sheet1!$B$27:$B$29)*Table1[[#This Row], [NUM OF MEM]]*(1+_xlfn.XLOOKUP(Table1[[#This Row], [WEAPON]],Sheet1!$A$27:$A$29,Sheet1!$C$27:$C$29))</f>
        <v>136500</v>
      </c>
      <c r="J1382" t="s">
        <v>60</v>
      </c>
      <c r="K1382" s="9">
        <f>Table1[[#This Row], [NUM OF MEM]]*Table1[[#This Row], [TOTAL TIME TAKEN]]*_xlfn.XLOOKUP(Table1[[#This Row], [EXIT]],Sheet1!$A$70:$A$71,Sheet1!$B$70:$B$71)*(1+_xlfn.XLOOKUP(Table1[[#This Row], [EXIT]],Sheet1!$A$70:$A$71,Sheet1!$C$70:$C$71))</f>
        <v>1642987.7499999995</v>
      </c>
      <c r="L1382" s="13" t="s">
        <v>61</v>
      </c>
      <c r="M1382" s="4">
        <f>IF(Table1[[#This Row], [EQUIPMENT]]="YES",Sheet1!$C$44*(1+Sheet1!$D$44),0)</f>
        <v>0</v>
      </c>
      <c r="N1382" s="4">
        <f>_xlfn.XLOOKUP(Table1[[#This Row], [ROOM]],Sheet1!$A$47:$A$66,Sheet1!$F$47:$F$66)</f>
        <v>17400000</v>
      </c>
      <c r="O1382" s="9">
        <f>_xlfn.XLOOKUP(_xlfn.CONCAT(Table1[[#This Row], [TEAM]],Table1[[#This Row], [ROOM]]),'ROOM TIME'!$H$2:$H$121,'ROOM TIME'!$J$2:$J$121)</f>
        <v>38.461111111111101</v>
      </c>
      <c r="P1382" s="9">
        <f>(INDEX(Sheet1!$X$48:$Z$67,MATCH(Table1[[#This Row], [ROOM]],Sheet1!$P$48:$P$67,0),MATCH(Table1[[#This Row], [WEAPON]],Sheet1!$X$47:$Z$47,0)))/Table1[[#This Row], [NUM OF MEM]]</f>
        <v>4.2166666666666659</v>
      </c>
      <c r="Q1382" s="9">
        <f>Table1[[#This Row], [ROOM TIME]]+Table1[[#This Row], [GUARD TIME]]</f>
        <v>42.67777777777777</v>
      </c>
      <c r="R1382" s="4">
        <f>Sheet1!$K$3*_xlfn.XLOOKUP(Table1[[#This Row], [DISGUISE]],Sheet1!$A$21:$A$23,Sheet1!$D$21:$D$23)</f>
        <v>66</v>
      </c>
      <c r="S1382" s="9">
        <f>Table1[[#This Row], [TOTAL TIME]]-Table1[[#This Row], [TOTAL TIME TAKEN]]</f>
        <v>23.32222222222223</v>
      </c>
      <c r="T1382" t="str">
        <f>IF(Table1[[#This Row], [TIME DIFFERENCE]]&gt;=0,"PASS","FAIL")</f>
        <v>PASS</v>
      </c>
      <c r="U1382" s="9">
        <f>Table1[[#This Row], [TRC]]+Table1[[#This Row], [DRC]]+Table1[[#This Row], [WRC]]+Table1[[#This Row], [ERC]]+Table1[[#This Row], [EQRC]]</f>
        <v>8033837.75</v>
      </c>
      <c r="V1382" s="9">
        <f>Table1[[#This Row], [TOTAL COST]]+_xlfn.XLOOKUP(Table1[[#This Row], [TEAM]],Sheet1!$A$12:$A$17,Sheet1!$I$12:$I$17)</f>
        <v>8345775.25</v>
      </c>
      <c r="W1382" s="9">
        <f>Table1[[#This Row], [LOOT]]-Table1[[#This Row], [TOTAL COST]]</f>
        <v>9366162.25</v>
      </c>
      <c r="X1382" s="9">
        <f>IF(Table1[[#This Row], [PASS/FAIL]]="FAIL",0,Table1[[#This Row], [PROFIT]])</f>
        <v>9366162.25</v>
      </c>
    </row>
    <row r="1383" spans="1:24" ht="19.5" customHeight="1" x14ac:dyDescent="0.45">
      <c r="A1383" t="s">
        <v>9</v>
      </c>
      <c r="B1383" s="14">
        <f>_xlfn.XLOOKUP(Table1[[#This Row], [TEAM]],Sheet1!$A$12:$A$17,Sheet1!$F$12:$F$17)</f>
        <v>3</v>
      </c>
      <c r="C1383" s="14">
        <f>_xlfn.XLOOKUP(Table1[[#This Row], [TEAM]],Sheet1!$A$12:$A$17,Sheet1!$G$12:$G$17)</f>
        <v>6238750</v>
      </c>
      <c r="D1383" t="s">
        <v>23</v>
      </c>
      <c r="E1383" s="4">
        <f>_xlfn.XLOOKUP(Table1[[#This Row], [ROOM]],Sheet1!$A$47:$A$66,Sheet1!$B$47:$B$66)</f>
        <v>245</v>
      </c>
      <c r="F1383" t="s">
        <v>58</v>
      </c>
      <c r="G1383" s="4">
        <f>_xlfn.XLOOKUP(Table1[[#This Row], [DISGUISE]],Sheet1!$A$21:$A$23,Sheet1!$B$21:$B$23)*Table1[[#This Row], [NUM OF MEM]]*(1+_xlfn.XLOOKUP(Table1[[#This Row], [DISGUISE]],Sheet1!$A$21:$A$23,Sheet1!$C$21:$C$23))</f>
        <v>38400</v>
      </c>
      <c r="H1383" s="13" t="s">
        <v>63</v>
      </c>
      <c r="I1383" s="4">
        <f>_xlfn.XLOOKUP(Table1[[#This Row], [WEAPON]],Sheet1!$A$27:$A$29,Sheet1!$B$27:$B$29)*Table1[[#This Row], [NUM OF MEM]]*(1+_xlfn.XLOOKUP(Table1[[#This Row], [WEAPON]],Sheet1!$A$27:$A$29,Sheet1!$C$27:$C$29))</f>
        <v>69000</v>
      </c>
      <c r="J1383" t="s">
        <v>64</v>
      </c>
      <c r="K1383" s="9">
        <f>Table1[[#This Row], [NUM OF MEM]]*Table1[[#This Row], [TOTAL TIME TAKEN]]*_xlfn.XLOOKUP(Table1[[#This Row], [EXIT]],Sheet1!$A$70:$A$71,Sheet1!$B$70:$B$71)*(1+_xlfn.XLOOKUP(Table1[[#This Row], [EXIT]],Sheet1!$A$70:$A$71,Sheet1!$C$70:$C$71))</f>
        <v>1687823.9999999998</v>
      </c>
      <c r="L1383" s="13" t="s">
        <v>61</v>
      </c>
      <c r="M1383" s="4">
        <f>IF(Table1[[#This Row], [EQUIPMENT]]="YES",Sheet1!$C$44*(1+Sheet1!$D$44),0)</f>
        <v>0</v>
      </c>
      <c r="N1383" s="4">
        <f>_xlfn.XLOOKUP(Table1[[#This Row], [ROOM]],Sheet1!$A$47:$A$66,Sheet1!$F$47:$F$66)</f>
        <v>17400000</v>
      </c>
      <c r="O1383" s="9">
        <f>_xlfn.XLOOKUP(_xlfn.CONCAT(Table1[[#This Row], [TEAM]],Table1[[#This Row], [ROOM]]),'ROOM TIME'!$H$2:$H$121,'ROOM TIME'!$J$2:$J$121)</f>
        <v>38.461111111111101</v>
      </c>
      <c r="P1383" s="9">
        <f>(INDEX(Sheet1!$X$48:$Z$67,MATCH(Table1[[#This Row], [ROOM]],Sheet1!$P$48:$P$67,0),MATCH(Table1[[#This Row], [WEAPON]],Sheet1!$X$47:$Z$47,0)))/Table1[[#This Row], [NUM OF MEM]]</f>
        <v>4.95</v>
      </c>
      <c r="Q1383" s="9">
        <f>Table1[[#This Row], [ROOM TIME]]+Table1[[#This Row], [GUARD TIME]]</f>
        <v>43.411111111111104</v>
      </c>
      <c r="R1383" s="4">
        <f>Sheet1!$K$3*_xlfn.XLOOKUP(Table1[[#This Row], [DISGUISE]],Sheet1!$A$21:$A$23,Sheet1!$D$21:$D$23)</f>
        <v>69</v>
      </c>
      <c r="S1383" s="9">
        <f>Table1[[#This Row], [TOTAL TIME]]-Table1[[#This Row], [TOTAL TIME TAKEN]]</f>
        <v>25.588888888888896</v>
      </c>
      <c r="T1383" t="str">
        <f>IF(Table1[[#This Row], [TIME DIFFERENCE]]&gt;=0,"PASS","FAIL")</f>
        <v>PASS</v>
      </c>
      <c r="U1383" s="4">
        <f>Table1[[#This Row], [TRC]]+Table1[[#This Row], [DRC]]+Table1[[#This Row], [WRC]]+Table1[[#This Row], [ERC]]+Table1[[#This Row], [EQRC]]</f>
        <v>8033974</v>
      </c>
      <c r="V1383" s="9">
        <f>Table1[[#This Row], [TOTAL COST]]+_xlfn.XLOOKUP(Table1[[#This Row], [TEAM]],Sheet1!$A$12:$A$17,Sheet1!$I$12:$I$17)</f>
        <v>8345911.5</v>
      </c>
      <c r="W1383" s="4">
        <f>Table1[[#This Row], [LOOT]]-Table1[[#This Row], [TOTAL COST]]</f>
        <v>9366026</v>
      </c>
      <c r="X1383" s="4">
        <f>IF(Table1[[#This Row], [PASS/FAIL]]="FAIL",0,Table1[[#This Row], [PROFIT]])</f>
        <v>9366026</v>
      </c>
    </row>
    <row r="1384" spans="1:24" ht="19.5" customHeight="1" x14ac:dyDescent="0.45">
      <c r="A1384" t="s">
        <v>9</v>
      </c>
      <c r="B1384" s="14">
        <f>_xlfn.XLOOKUP(Table1[[#This Row], [TEAM]],Sheet1!$A$12:$A$17,Sheet1!$F$12:$F$17)</f>
        <v>3</v>
      </c>
      <c r="C1384" s="14">
        <f>_xlfn.XLOOKUP(Table1[[#This Row], [TEAM]],Sheet1!$A$12:$A$17,Sheet1!$G$12:$G$17)</f>
        <v>6238750</v>
      </c>
      <c r="D1384" t="s">
        <v>11</v>
      </c>
      <c r="E1384" s="4">
        <f>_xlfn.XLOOKUP(Table1[[#This Row], [ROOM]],Sheet1!$A$47:$A$66,Sheet1!$B$47:$B$66)</f>
        <v>124</v>
      </c>
      <c r="F1384" t="s">
        <v>58</v>
      </c>
      <c r="G1384" s="4">
        <f>_xlfn.XLOOKUP(Table1[[#This Row], [DISGUISE]],Sheet1!$A$21:$A$23,Sheet1!$B$21:$B$23)*Table1[[#This Row], [NUM OF MEM]]*(1+_xlfn.XLOOKUP(Table1[[#This Row], [DISGUISE]],Sheet1!$A$21:$A$23,Sheet1!$C$21:$C$23))</f>
        <v>38400</v>
      </c>
      <c r="H1384" s="13" t="s">
        <v>59</v>
      </c>
      <c r="I1384" s="4">
        <f>_xlfn.XLOOKUP(Table1[[#This Row], [WEAPON]],Sheet1!$A$27:$A$29,Sheet1!$B$27:$B$29)*Table1[[#This Row], [NUM OF MEM]]*(1+_xlfn.XLOOKUP(Table1[[#This Row], [WEAPON]],Sheet1!$A$27:$A$29,Sheet1!$C$27:$C$29))</f>
        <v>136500</v>
      </c>
      <c r="J1384" t="s">
        <v>64</v>
      </c>
      <c r="K1384" s="4">
        <f>Table1[[#This Row], [NUM OF MEM]]*Table1[[#This Row], [TOTAL TIME TAKEN]]*_xlfn.XLOOKUP(Table1[[#This Row], [EXIT]],Sheet1!$A$70:$A$71,Sheet1!$B$70:$B$71)*(1+_xlfn.XLOOKUP(Table1[[#This Row], [EXIT]],Sheet1!$A$70:$A$71,Sheet1!$C$70:$C$71))</f>
        <v>1670652</v>
      </c>
      <c r="L1384" s="13" t="s">
        <v>61</v>
      </c>
      <c r="M1384" s="4">
        <f>IF(Table1[[#This Row], [EQUIPMENT]]="YES",Sheet1!$C$44*(1+Sheet1!$D$44),0)</f>
        <v>0</v>
      </c>
      <c r="N1384" s="4">
        <f>_xlfn.XLOOKUP(Table1[[#This Row], [ROOM]],Sheet1!$A$47:$A$66,Sheet1!$F$47:$F$66)</f>
        <v>17450000</v>
      </c>
      <c r="O1384" s="9">
        <f>_xlfn.XLOOKUP(_xlfn.CONCAT(Table1[[#This Row], [TEAM]],Table1[[#This Row], [ROOM]]),'ROOM TIME'!$H$2:$H$121,'ROOM TIME'!$J$2:$J$121)</f>
        <v>38.752777777777773</v>
      </c>
      <c r="P1384" s="9">
        <f>(INDEX(Sheet1!$X$48:$Z$67,MATCH(Table1[[#This Row], [ROOM]],Sheet1!$P$48:$P$67,0),MATCH(Table1[[#This Row], [WEAPON]],Sheet1!$X$47:$Z$47,0)))/Table1[[#This Row], [NUM OF MEM]]</f>
        <v>4.2166666666666659</v>
      </c>
      <c r="Q1384" s="9">
        <f>Table1[[#This Row], [ROOM TIME]]+Table1[[#This Row], [GUARD TIME]]</f>
        <v>42.969444444444441</v>
      </c>
      <c r="R1384" s="4">
        <f>Sheet1!$K$3*_xlfn.XLOOKUP(Table1[[#This Row], [DISGUISE]],Sheet1!$A$21:$A$23,Sheet1!$D$21:$D$23)</f>
        <v>69</v>
      </c>
      <c r="S1384" s="9">
        <f>Table1[[#This Row], [TOTAL TIME]]-Table1[[#This Row], [TOTAL TIME TAKEN]]</f>
        <v>26.030555555555559</v>
      </c>
      <c r="T1384" t="str">
        <f>IF(Table1[[#This Row], [TIME DIFFERENCE]]&gt;=0,"PASS","FAIL")</f>
        <v>PASS</v>
      </c>
      <c r="U1384" s="4">
        <f>Table1[[#This Row], [TRC]]+Table1[[#This Row], [DRC]]+Table1[[#This Row], [WRC]]+Table1[[#This Row], [ERC]]+Table1[[#This Row], [EQRC]]</f>
        <v>8084302</v>
      </c>
      <c r="V1384" s="9">
        <f>Table1[[#This Row], [TOTAL COST]]+_xlfn.XLOOKUP(Table1[[#This Row], [TEAM]],Sheet1!$A$12:$A$17,Sheet1!$I$12:$I$17)</f>
        <v>8396239.5</v>
      </c>
      <c r="W1384" s="4">
        <f>Table1[[#This Row], [LOOT]]-Table1[[#This Row], [TOTAL COST]]</f>
        <v>9365698</v>
      </c>
      <c r="X1384" s="4">
        <f>IF(Table1[[#This Row], [PASS/FAIL]]="FAIL",0,Table1[[#This Row], [PROFIT]])</f>
        <v>9365698</v>
      </c>
    </row>
    <row r="1385" spans="1:24" ht="19.5" customHeight="1" x14ac:dyDescent="0.45">
      <c r="A1385" t="s">
        <v>9</v>
      </c>
      <c r="B1385" s="14">
        <f>_xlfn.XLOOKUP(Table1[[#This Row], [TEAM]],Sheet1!$A$12:$A$17,Sheet1!$F$12:$F$17)</f>
        <v>3</v>
      </c>
      <c r="C1385" s="14">
        <f>_xlfn.XLOOKUP(Table1[[#This Row], [TEAM]],Sheet1!$A$12:$A$17,Sheet1!$G$12:$G$17)</f>
        <v>6238750</v>
      </c>
      <c r="D1385" t="s">
        <v>30</v>
      </c>
      <c r="E1385" s="4">
        <f>_xlfn.XLOOKUP(Table1[[#This Row], [ROOM]],Sheet1!$A$47:$A$66,Sheet1!$B$47:$B$66)</f>
        <v>246</v>
      </c>
      <c r="F1385" t="s">
        <v>62</v>
      </c>
      <c r="G1385" s="4">
        <f>_xlfn.XLOOKUP(Table1[[#This Row], [DISGUISE]],Sheet1!$A$21:$A$23,Sheet1!$B$21:$B$23)*Table1[[#This Row], [NUM OF MEM]]*(1+_xlfn.XLOOKUP(Table1[[#This Row], [DISGUISE]],Sheet1!$A$21:$A$23,Sheet1!$C$21:$C$23))</f>
        <v>15600</v>
      </c>
      <c r="H1385" s="13" t="s">
        <v>63</v>
      </c>
      <c r="I1385" s="4">
        <f>_xlfn.XLOOKUP(Table1[[#This Row], [WEAPON]],Sheet1!$A$27:$A$29,Sheet1!$B$27:$B$29)*Table1[[#This Row], [NUM OF MEM]]*(1+_xlfn.XLOOKUP(Table1[[#This Row], [WEAPON]],Sheet1!$A$27:$A$29,Sheet1!$C$27:$C$29))</f>
        <v>69000</v>
      </c>
      <c r="J1385" t="s">
        <v>60</v>
      </c>
      <c r="K1385" s="9">
        <f>Table1[[#This Row], [NUM OF MEM]]*Table1[[#This Row], [TOTAL TIME TAKEN]]*_xlfn.XLOOKUP(Table1[[#This Row], [EXIT]],Sheet1!$A$70:$A$71,Sheet1!$B$70:$B$71)*(1+_xlfn.XLOOKUP(Table1[[#This Row], [EXIT]],Sheet1!$A$70:$A$71,Sheet1!$C$70:$C$71))</f>
        <v>1603591.9749999996</v>
      </c>
      <c r="L1385" s="13" t="s">
        <v>65</v>
      </c>
      <c r="M1385" s="4">
        <f>IF(Table1[[#This Row], [EQUIPMENT]]="YES",Sheet1!$C$44*(1+Sheet1!$D$44),0)</f>
        <v>307500</v>
      </c>
      <c r="N1385" s="4">
        <f>_xlfn.XLOOKUP(Table1[[#This Row], [ROOM]],Sheet1!$A$47:$A$66,Sheet1!$F$47:$F$66)</f>
        <v>17600000</v>
      </c>
      <c r="O1385" s="9">
        <f>_xlfn.XLOOKUP(_xlfn.CONCAT(Table1[[#This Row], [TEAM]],Table1[[#This Row], [ROOM]]),'ROOM TIME'!$H$2:$H$121,'ROOM TIME'!$J$2:$J$121)</f>
        <v>36.254444444444438</v>
      </c>
      <c r="P1385" s="9">
        <f>(INDEX(Sheet1!$X$48:$Z$67,MATCH(Table1[[#This Row], [ROOM]],Sheet1!$P$48:$P$67,0),MATCH(Table1[[#This Row], [WEAPON]],Sheet1!$X$47:$Z$47,0)))/Table1[[#This Row], [NUM OF MEM]]</f>
        <v>5.4000000000000012</v>
      </c>
      <c r="Q1385" s="9">
        <f>Table1[[#This Row], [ROOM TIME]]+Table1[[#This Row], [GUARD TIME]]</f>
        <v>41.654444444444437</v>
      </c>
      <c r="R1385" s="4">
        <f>Sheet1!$K$3*_xlfn.XLOOKUP(Table1[[#This Row], [DISGUISE]],Sheet1!$A$21:$A$23,Sheet1!$D$21:$D$23)</f>
        <v>66</v>
      </c>
      <c r="S1385" s="9">
        <f>Table1[[#This Row], [TOTAL TIME]]-Table1[[#This Row], [TOTAL TIME TAKEN]]</f>
        <v>24.345555555555563</v>
      </c>
      <c r="T1385" t="str">
        <f>IF(Table1[[#This Row], [TIME DIFFERENCE]]&gt;=0,"PASS","FAIL")</f>
        <v>PASS</v>
      </c>
      <c r="U1385" s="9">
        <f>Table1[[#This Row], [TRC]]+Table1[[#This Row], [DRC]]+Table1[[#This Row], [WRC]]+Table1[[#This Row], [ERC]]+Table1[[#This Row], [EQRC]]</f>
        <v>8234441.9749999996</v>
      </c>
      <c r="V1385" s="9">
        <f>Table1[[#This Row], [TOTAL COST]]+_xlfn.XLOOKUP(Table1[[#This Row], [TEAM]],Sheet1!$A$12:$A$17,Sheet1!$I$12:$I$17)</f>
        <v>8546379.4749999996</v>
      </c>
      <c r="W1385" s="9">
        <f>Table1[[#This Row], [LOOT]]-Table1[[#This Row], [TOTAL COST]]</f>
        <v>9365558.0250000004</v>
      </c>
      <c r="X1385" s="9">
        <f>IF(Table1[[#This Row], [PASS/FAIL]]="FAIL",0,Table1[[#This Row], [PROFIT]])</f>
        <v>9365558.0250000004</v>
      </c>
    </row>
    <row r="1386" spans="1:24" ht="19.5" customHeight="1" x14ac:dyDescent="0.45">
      <c r="A1386" t="s">
        <v>16</v>
      </c>
      <c r="B1386" s="14">
        <f>_xlfn.XLOOKUP(Table1[[#This Row], [TEAM]],Sheet1!$A$12:$A$17,Sheet1!$F$12:$F$17)</f>
        <v>2</v>
      </c>
      <c r="C1386" s="14">
        <f>_xlfn.XLOOKUP(Table1[[#This Row], [TEAM]],Sheet1!$A$12:$A$17,Sheet1!$G$12:$G$17)</f>
        <v>6082800</v>
      </c>
      <c r="D1386" t="s">
        <v>20</v>
      </c>
      <c r="E1386" s="4">
        <f>_xlfn.XLOOKUP(Table1[[#This Row], [ROOM]],Sheet1!$A$47:$A$66,Sheet1!$B$47:$B$66)</f>
        <v>145</v>
      </c>
      <c r="F1386" t="s">
        <v>58</v>
      </c>
      <c r="G1386" s="4">
        <f>_xlfn.XLOOKUP(Table1[[#This Row], [DISGUISE]],Sheet1!$A$21:$A$23,Sheet1!$B$21:$B$23)*Table1[[#This Row], [NUM OF MEM]]*(1+_xlfn.XLOOKUP(Table1[[#This Row], [DISGUISE]],Sheet1!$A$21:$A$23,Sheet1!$C$21:$C$23))</f>
        <v>25600</v>
      </c>
      <c r="H1386" s="13" t="s">
        <v>66</v>
      </c>
      <c r="I1386" s="4">
        <f>_xlfn.XLOOKUP(Table1[[#This Row], [WEAPON]],Sheet1!$A$27:$A$29,Sheet1!$B$27:$B$29)*Table1[[#This Row], [NUM OF MEM]]*(1+_xlfn.XLOOKUP(Table1[[#This Row], [WEAPON]],Sheet1!$A$27:$A$29,Sheet1!$C$27:$C$29))</f>
        <v>72000</v>
      </c>
      <c r="J1386" t="s">
        <v>60</v>
      </c>
      <c r="K1386" s="9">
        <f>Table1[[#This Row], [NUM OF MEM]]*Table1[[#This Row], [TOTAL TIME TAKEN]]*_xlfn.XLOOKUP(Table1[[#This Row], [EXIT]],Sheet1!$A$70:$A$71,Sheet1!$B$70:$B$71)*(1+_xlfn.XLOOKUP(Table1[[#This Row], [EXIT]],Sheet1!$A$70:$A$71,Sheet1!$C$70:$C$71))</f>
        <v>1697771.8312499993</v>
      </c>
      <c r="L1386" s="13" t="s">
        <v>65</v>
      </c>
      <c r="M1386" s="4">
        <f>IF(Table1[[#This Row], [EQUIPMENT]]="YES",Sheet1!$C$44*(1+Sheet1!$D$44),0)</f>
        <v>307500</v>
      </c>
      <c r="N1386" s="4">
        <f>_xlfn.XLOOKUP(Table1[[#This Row], [ROOM]],Sheet1!$A$47:$A$66,Sheet1!$F$47:$F$66)</f>
        <v>17550000</v>
      </c>
      <c r="O1386" s="9">
        <f>_xlfn.XLOOKUP(_xlfn.CONCAT(Table1[[#This Row], [TEAM]],Table1[[#This Row], [ROOM]]),'ROOM TIME'!$H$2:$H$121,'ROOM TIME'!$J$2:$J$121)</f>
        <v>59.901249999999983</v>
      </c>
      <c r="P1386" s="9">
        <f>(INDEX(Sheet1!$X$48:$Z$67,MATCH(Table1[[#This Row], [ROOM]],Sheet1!$P$48:$P$67,0),MATCH(Table1[[#This Row], [WEAPON]],Sheet1!$X$47:$Z$47,0)))/Table1[[#This Row], [NUM OF MEM]]</f>
        <v>6.25</v>
      </c>
      <c r="Q1386" s="9">
        <f>Table1[[#This Row], [ROOM TIME]]+Table1[[#This Row], [GUARD TIME]]</f>
        <v>66.151249999999976</v>
      </c>
      <c r="R1386" s="4">
        <f>Sheet1!$K$3*_xlfn.XLOOKUP(Table1[[#This Row], [DISGUISE]],Sheet1!$A$21:$A$23,Sheet1!$D$21:$D$23)</f>
        <v>69</v>
      </c>
      <c r="S1386" s="9">
        <f>Table1[[#This Row], [TOTAL TIME]]-Table1[[#This Row], [TOTAL TIME TAKEN]]</f>
        <v>2.8487500000000239</v>
      </c>
      <c r="T1386" t="str">
        <f>IF(Table1[[#This Row], [TIME DIFFERENCE]]&gt;=0,"PASS","FAIL")</f>
        <v>PASS</v>
      </c>
      <c r="U1386" s="9">
        <f>Table1[[#This Row], [TRC]]+Table1[[#This Row], [DRC]]+Table1[[#This Row], [WRC]]+Table1[[#This Row], [ERC]]+Table1[[#This Row], [EQRC]]</f>
        <v>8185671.8312499989</v>
      </c>
      <c r="V1386" s="9">
        <f>Table1[[#This Row], [TOTAL COST]]+_xlfn.XLOOKUP(Table1[[#This Row], [TEAM]],Sheet1!$A$12:$A$17,Sheet1!$I$12:$I$17)</f>
        <v>8489811.8312499989</v>
      </c>
      <c r="W1386" s="9">
        <f>Table1[[#This Row], [LOOT]]-Table1[[#This Row], [TOTAL COST]]</f>
        <v>9364328.1687500011</v>
      </c>
      <c r="X1386" s="9">
        <f>IF(Table1[[#This Row], [PASS/FAIL]]="FAIL",0,Table1[[#This Row], [PROFIT]])</f>
        <v>9364328.1687500011</v>
      </c>
    </row>
    <row r="1387" spans="1:24" ht="19.5" customHeight="1" x14ac:dyDescent="0.45">
      <c r="A1387" t="s">
        <v>9</v>
      </c>
      <c r="B1387" s="14">
        <f>_xlfn.XLOOKUP(Table1[[#This Row], [TEAM]],Sheet1!$A$12:$A$17,Sheet1!$F$12:$F$17)</f>
        <v>3</v>
      </c>
      <c r="C1387" s="14">
        <f>_xlfn.XLOOKUP(Table1[[#This Row], [TEAM]],Sheet1!$A$12:$A$17,Sheet1!$G$12:$G$17)</f>
        <v>6238750</v>
      </c>
      <c r="D1387" t="s">
        <v>23</v>
      </c>
      <c r="E1387" s="4">
        <f>_xlfn.XLOOKUP(Table1[[#This Row], [ROOM]],Sheet1!$A$47:$A$66,Sheet1!$B$47:$B$66)</f>
        <v>245</v>
      </c>
      <c r="F1387" t="s">
        <v>62</v>
      </c>
      <c r="G1387" s="4">
        <f>_xlfn.XLOOKUP(Table1[[#This Row], [DISGUISE]],Sheet1!$A$21:$A$23,Sheet1!$B$21:$B$23)*Table1[[#This Row], [NUM OF MEM]]*(1+_xlfn.XLOOKUP(Table1[[#This Row], [DISGUISE]],Sheet1!$A$21:$A$23,Sheet1!$C$21:$C$23))</f>
        <v>15600</v>
      </c>
      <c r="H1387" s="13" t="s">
        <v>66</v>
      </c>
      <c r="I1387" s="4">
        <f>_xlfn.XLOOKUP(Table1[[#This Row], [WEAPON]],Sheet1!$A$27:$A$29,Sheet1!$B$27:$B$29)*Table1[[#This Row], [NUM OF MEM]]*(1+_xlfn.XLOOKUP(Table1[[#This Row], [WEAPON]],Sheet1!$A$27:$A$29,Sheet1!$C$27:$C$29))</f>
        <v>108000</v>
      </c>
      <c r="J1387" t="s">
        <v>64</v>
      </c>
      <c r="K1387" s="4">
        <f>Table1[[#This Row], [NUM OF MEM]]*Table1[[#This Row], [TOTAL TIME TAKEN]]*_xlfn.XLOOKUP(Table1[[#This Row], [EXIT]],Sheet1!$A$70:$A$71,Sheet1!$B$70:$B$71)*(1+_xlfn.XLOOKUP(Table1[[#This Row], [EXIT]],Sheet1!$A$70:$A$71,Sheet1!$C$70:$C$71))</f>
        <v>1673568</v>
      </c>
      <c r="L1387" s="13" t="s">
        <v>61</v>
      </c>
      <c r="M1387" s="4">
        <f>IF(Table1[[#This Row], [EQUIPMENT]]="YES",Sheet1!$C$44*(1+Sheet1!$D$44),0)</f>
        <v>0</v>
      </c>
      <c r="N1387" s="4">
        <f>_xlfn.XLOOKUP(Table1[[#This Row], [ROOM]],Sheet1!$A$47:$A$66,Sheet1!$F$47:$F$66)</f>
        <v>17400000</v>
      </c>
      <c r="O1387" s="9">
        <f>_xlfn.XLOOKUP(_xlfn.CONCAT(Table1[[#This Row], [TEAM]],Table1[[#This Row], [ROOM]]),'ROOM TIME'!$H$2:$H$121,'ROOM TIME'!$J$2:$J$121)</f>
        <v>38.461111111111101</v>
      </c>
      <c r="P1387" s="9">
        <f>(INDEX(Sheet1!$X$48:$Z$67,MATCH(Table1[[#This Row], [ROOM]],Sheet1!$P$48:$P$67,0),MATCH(Table1[[#This Row], [WEAPON]],Sheet1!$X$47:$Z$47,0)))/Table1[[#This Row], [NUM OF MEM]]</f>
        <v>4.583333333333333</v>
      </c>
      <c r="Q1387" s="9">
        <f>Table1[[#This Row], [ROOM TIME]]+Table1[[#This Row], [GUARD TIME]]</f>
        <v>43.044444444444437</v>
      </c>
      <c r="R1387" s="4">
        <f>Sheet1!$K$3*_xlfn.XLOOKUP(Table1[[#This Row], [DISGUISE]],Sheet1!$A$21:$A$23,Sheet1!$D$21:$D$23)</f>
        <v>66</v>
      </c>
      <c r="S1387" s="9">
        <f>Table1[[#This Row], [TOTAL TIME]]-Table1[[#This Row], [TOTAL TIME TAKEN]]</f>
        <v>22.955555555555563</v>
      </c>
      <c r="T1387" t="str">
        <f>IF(Table1[[#This Row], [TIME DIFFERENCE]]&gt;=0,"PASS","FAIL")</f>
        <v>PASS</v>
      </c>
      <c r="U1387" s="4">
        <f>Table1[[#This Row], [TRC]]+Table1[[#This Row], [DRC]]+Table1[[#This Row], [WRC]]+Table1[[#This Row], [ERC]]+Table1[[#This Row], [EQRC]]</f>
        <v>8035918</v>
      </c>
      <c r="V1387" s="9">
        <f>Table1[[#This Row], [TOTAL COST]]+_xlfn.XLOOKUP(Table1[[#This Row], [TEAM]],Sheet1!$A$12:$A$17,Sheet1!$I$12:$I$17)</f>
        <v>8347855.5</v>
      </c>
      <c r="W1387" s="4">
        <f>Table1[[#This Row], [LOOT]]-Table1[[#This Row], [TOTAL COST]]</f>
        <v>9364082</v>
      </c>
      <c r="X1387" s="4">
        <f>IF(Table1[[#This Row], [PASS/FAIL]]="FAIL",0,Table1[[#This Row], [PROFIT]])</f>
        <v>9364082</v>
      </c>
    </row>
    <row r="1388" spans="1:24" ht="19.5" customHeight="1" x14ac:dyDescent="0.45">
      <c r="A1388" t="s">
        <v>15</v>
      </c>
      <c r="B1388" s="14">
        <f>_xlfn.XLOOKUP(Table1[[#This Row], [TEAM]],Sheet1!$A$12:$A$17,Sheet1!$F$12:$F$17)</f>
        <v>2</v>
      </c>
      <c r="C1388" s="14">
        <f>_xlfn.XLOOKUP(Table1[[#This Row], [TEAM]],Sheet1!$A$12:$A$17,Sheet1!$G$12:$G$17)</f>
        <v>5932950</v>
      </c>
      <c r="D1388" t="s">
        <v>11</v>
      </c>
      <c r="E1388" s="4">
        <f>_xlfn.XLOOKUP(Table1[[#This Row], [ROOM]],Sheet1!$A$47:$A$66,Sheet1!$B$47:$B$66)</f>
        <v>124</v>
      </c>
      <c r="F1388" t="s">
        <v>58</v>
      </c>
      <c r="G1388" s="4">
        <f>_xlfn.XLOOKUP(Table1[[#This Row], [DISGUISE]],Sheet1!$A$21:$A$23,Sheet1!$B$21:$B$23)*Table1[[#This Row], [NUM OF MEM]]*(1+_xlfn.XLOOKUP(Table1[[#This Row], [DISGUISE]],Sheet1!$A$21:$A$23,Sheet1!$C$21:$C$23))</f>
        <v>25600</v>
      </c>
      <c r="H1388" s="13" t="s">
        <v>66</v>
      </c>
      <c r="I1388" s="4">
        <f>_xlfn.XLOOKUP(Table1[[#This Row], [WEAPON]],Sheet1!$A$27:$A$29,Sheet1!$B$27:$B$29)*Table1[[#This Row], [NUM OF MEM]]*(1+_xlfn.XLOOKUP(Table1[[#This Row], [WEAPON]],Sheet1!$A$27:$A$29,Sheet1!$C$27:$C$29))</f>
        <v>72000</v>
      </c>
      <c r="J1388" t="s">
        <v>60</v>
      </c>
      <c r="K1388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1748973.5062499996</v>
      </c>
      <c r="L1388" s="13" t="s">
        <v>65</v>
      </c>
      <c r="M1388" s="4">
        <f>IF(Table1[[#This Row], [EQUIPMENT]]="YES",Sheet1!$C$44*(1+Sheet1!$D$44),0)</f>
        <v>307500</v>
      </c>
      <c r="N1388" s="4">
        <f>_xlfn.XLOOKUP(Table1[[#This Row], [ROOM]],Sheet1!$A$47:$A$66,Sheet1!$F$47:$F$66)</f>
        <v>17450000</v>
      </c>
      <c r="O1388" s="9">
        <f>_xlfn.XLOOKUP(_xlfn.CONCAT(Table1[[#This Row], [TEAM]],Table1[[#This Row], [ROOM]]),'ROOM TIME'!$H$2:$H$121,'ROOM TIME'!$J$2:$J$121)</f>
        <v>61.271249999999981</v>
      </c>
      <c r="P1388" s="9">
        <f>(INDEX(Sheet1!$X$48:$Z$67,MATCH(Table1[[#This Row], [ROOM]],Sheet1!$P$48:$P$67,0),MATCH(Table1[[#This Row], [WEAPON]],Sheet1!$X$47:$Z$47,0)))/Table1[[#This Row], [NUM OF MEM]]</f>
        <v>6.875</v>
      </c>
      <c r="Q1388" s="9">
        <f>Table1[[#This Row], [ROOM TIME]]+Table1[[#This Row], [GUARD TIME]]</f>
        <v>68.146249999999981</v>
      </c>
      <c r="R1388" s="4">
        <f>Sheet1!$K$3*_xlfn.XLOOKUP(Table1[[#This Row], [DISGUISE]],Sheet1!$A$21:$A$23,Sheet1!$D$21:$D$23)</f>
        <v>69</v>
      </c>
      <c r="S1388" s="9">
        <f>Table1[[#This Row], [TOTAL TIME]]-Table1[[#This Row], [TOTAL TIME TAKEN]]</f>
        <v>0.85375000000001933</v>
      </c>
      <c r="T1388" t="str">
        <f>IF(Table1[[#This Row], [TIME DIFFERENCE]]&gt;=0,"PASS","FAIL")</f>
        <v>PASS</v>
      </c>
      <c r="U1388" s="9">
        <f>Table1[[#This Row], [TRC]]+Table1[[#This Row], [DRC]]+Table1[[#This Row], [WRC]]+Table1[[#This Row], [ERC]]+Table1[[#This Row], [EQRC]]</f>
        <v>8087023.5062499996</v>
      </c>
      <c r="V1388" s="9">
        <f>Table1[[#This Row], [TOTAL COST]]+_xlfn.XLOOKUP(Table1[[#This Row], [TEAM]],Sheet1!$A$12:$A$17,Sheet1!$I$12:$I$17)</f>
        <v>8383671.0062499996</v>
      </c>
      <c r="W1388" s="9">
        <f>Table1[[#This Row], [LOOT]]-Table1[[#This Row], [TOTAL COST]]</f>
        <v>9362976.4937500004</v>
      </c>
      <c r="X1388" s="9">
        <f>IF(Table1[[#This Row], [PASS/FAIL]]="FAIL",0,Table1[[#This Row], [PROFIT]])</f>
        <v>9362976.4937500004</v>
      </c>
    </row>
    <row r="1389" spans="1:24" ht="19.5" customHeight="1" x14ac:dyDescent="0.45">
      <c r="A1389" t="s">
        <v>16</v>
      </c>
      <c r="B1389" s="14">
        <f>_xlfn.XLOOKUP(Table1[[#This Row], [TEAM]],Sheet1!$A$12:$A$17,Sheet1!$F$12:$F$17)</f>
        <v>2</v>
      </c>
      <c r="C1389" s="14">
        <f>_xlfn.XLOOKUP(Table1[[#This Row], [TEAM]],Sheet1!$A$12:$A$17,Sheet1!$G$12:$G$17)</f>
        <v>6082800</v>
      </c>
      <c r="D1389" t="s">
        <v>31</v>
      </c>
      <c r="E1389" s="4">
        <f>_xlfn.XLOOKUP(Table1[[#This Row], [ROOM]],Sheet1!$A$47:$A$66,Sheet1!$B$47:$B$66)</f>
        <v>256</v>
      </c>
      <c r="F1389" t="s">
        <v>58</v>
      </c>
      <c r="G1389" s="4">
        <f>_xlfn.XLOOKUP(Table1[[#This Row], [DISGUISE]],Sheet1!$A$21:$A$23,Sheet1!$B$21:$B$23)*Table1[[#This Row], [NUM OF MEM]]*(1+_xlfn.XLOOKUP(Table1[[#This Row], [DISGUISE]],Sheet1!$A$21:$A$23,Sheet1!$C$21:$C$23))</f>
        <v>25600</v>
      </c>
      <c r="H1389" s="13" t="s">
        <v>66</v>
      </c>
      <c r="I1389" s="4">
        <f>_xlfn.XLOOKUP(Table1[[#This Row], [WEAPON]],Sheet1!$A$27:$A$29,Sheet1!$B$27:$B$29)*Table1[[#This Row], [NUM OF MEM]]*(1+_xlfn.XLOOKUP(Table1[[#This Row], [WEAPON]],Sheet1!$A$27:$A$29,Sheet1!$C$27:$C$29))</f>
        <v>72000</v>
      </c>
      <c r="J1389" t="s">
        <v>64</v>
      </c>
      <c r="K1389" s="9">
        <f>Table1[[#This Row], [NUM OF MEM]]*Table1[[#This Row], [TOTAL TIME TAKEN]]*_xlfn.XLOOKUP(Table1[[#This Row], [EXIT]],Sheet1!$A$70:$A$71,Sheet1!$B$70:$B$71)*(1+_xlfn.XLOOKUP(Table1[[#This Row], [EXIT]],Sheet1!$A$70:$A$71,Sheet1!$C$70:$C$71))</f>
        <v>1649419.1999999995</v>
      </c>
      <c r="L1389" s="13" t="s">
        <v>65</v>
      </c>
      <c r="M1389" s="4">
        <f>IF(Table1[[#This Row], [EQUIPMENT]]="YES",Sheet1!$C$44*(1+Sheet1!$D$44),0)</f>
        <v>307500</v>
      </c>
      <c r="N1389" s="4">
        <f>_xlfn.XLOOKUP(Table1[[#This Row], [ROOM]],Sheet1!$A$47:$A$66,Sheet1!$F$47:$F$66)</f>
        <v>17500000</v>
      </c>
      <c r="O1389" s="9">
        <f>_xlfn.XLOOKUP(_xlfn.CONCAT(Table1[[#This Row], [TEAM]],Table1[[#This Row], [ROOM]]),'ROOM TIME'!$H$2:$H$121,'ROOM TIME'!$J$2:$J$121)</f>
        <v>56.759999999999984</v>
      </c>
      <c r="P1389" s="9">
        <f>(INDEX(Sheet1!$X$48:$Z$67,MATCH(Table1[[#This Row], [ROOM]],Sheet1!$P$48:$P$67,0),MATCH(Table1[[#This Row], [WEAPON]],Sheet1!$X$47:$Z$47,0)))/Table1[[#This Row], [NUM OF MEM]]</f>
        <v>6.875</v>
      </c>
      <c r="Q1389" s="9">
        <f>Table1[[#This Row], [ROOM TIME]]+Table1[[#This Row], [GUARD TIME]]</f>
        <v>63.634999999999984</v>
      </c>
      <c r="R1389" s="4">
        <f>Sheet1!$K$3*_xlfn.XLOOKUP(Table1[[#This Row], [DISGUISE]],Sheet1!$A$21:$A$23,Sheet1!$D$21:$D$23)</f>
        <v>69</v>
      </c>
      <c r="S1389" s="9">
        <f>Table1[[#This Row], [TOTAL TIME]]-Table1[[#This Row], [TOTAL TIME TAKEN]]</f>
        <v>5.3650000000000162</v>
      </c>
      <c r="T1389" t="str">
        <f>IF(Table1[[#This Row], [TIME DIFFERENCE]]&gt;=0,"PASS","FAIL")</f>
        <v>PASS</v>
      </c>
      <c r="U1389" s="9">
        <f>Table1[[#This Row], [TRC]]+Table1[[#This Row], [DRC]]+Table1[[#This Row], [WRC]]+Table1[[#This Row], [ERC]]+Table1[[#This Row], [EQRC]]</f>
        <v>8137319.1999999993</v>
      </c>
      <c r="V1389" s="9">
        <f>Table1[[#This Row], [TOTAL COST]]+_xlfn.XLOOKUP(Table1[[#This Row], [TEAM]],Sheet1!$A$12:$A$17,Sheet1!$I$12:$I$17)</f>
        <v>8441459.1999999993</v>
      </c>
      <c r="W1389" s="9">
        <f>Table1[[#This Row], [LOOT]]-Table1[[#This Row], [TOTAL COST]]</f>
        <v>9362680.8000000007</v>
      </c>
      <c r="X1389" s="9">
        <f>IF(Table1[[#This Row], [PASS/FAIL]]="FAIL",0,Table1[[#This Row], [PROFIT]])</f>
        <v>9362680.8000000007</v>
      </c>
    </row>
    <row r="1390" spans="1:24" ht="19.5" customHeight="1" x14ac:dyDescent="0.45">
      <c r="A1390" t="s">
        <v>16</v>
      </c>
      <c r="B1390" s="14">
        <f>_xlfn.XLOOKUP(Table1[[#This Row], [TEAM]],Sheet1!$A$12:$A$17,Sheet1!$F$12:$F$17)</f>
        <v>2</v>
      </c>
      <c r="C1390" s="14">
        <f>_xlfn.XLOOKUP(Table1[[#This Row], [TEAM]],Sheet1!$A$12:$A$17,Sheet1!$G$12:$G$17)</f>
        <v>6082800</v>
      </c>
      <c r="D1390" t="s">
        <v>20</v>
      </c>
      <c r="E1390" s="4">
        <f>_xlfn.XLOOKUP(Table1[[#This Row], [ROOM]],Sheet1!$A$47:$A$66,Sheet1!$B$47:$B$66)</f>
        <v>145</v>
      </c>
      <c r="F1390" t="s">
        <v>58</v>
      </c>
      <c r="G1390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0" s="13" t="s">
        <v>63</v>
      </c>
      <c r="I1390" s="4">
        <f>_xlfn.XLOOKUP(Table1[[#This Row], [WEAPON]],Sheet1!$A$27:$A$29,Sheet1!$B$27:$B$29)*Table1[[#This Row], [NUM OF MEM]]*(1+_xlfn.XLOOKUP(Table1[[#This Row], [WEAPON]],Sheet1!$A$27:$A$29,Sheet1!$C$27:$C$29))</f>
        <v>46000</v>
      </c>
      <c r="J1390" t="s">
        <v>64</v>
      </c>
      <c r="K1390" s="9">
        <f>Table1[[#This Row], [NUM OF MEM]]*Table1[[#This Row], [TOTAL TIME TAKEN]]*_xlfn.XLOOKUP(Table1[[#This Row], [EXIT]],Sheet1!$A$70:$A$71,Sheet1!$B$70:$B$71)*(1+_xlfn.XLOOKUP(Table1[[#This Row], [EXIT]],Sheet1!$A$70:$A$71,Sheet1!$C$70:$C$71))</f>
        <v>1727600.3999999994</v>
      </c>
      <c r="L1390" s="13" t="s">
        <v>65</v>
      </c>
      <c r="M1390" s="4">
        <f>IF(Table1[[#This Row], [EQUIPMENT]]="YES",Sheet1!$C$44*(1+Sheet1!$D$44),0)</f>
        <v>307500</v>
      </c>
      <c r="N1390" s="4">
        <f>_xlfn.XLOOKUP(Table1[[#This Row], [ROOM]],Sheet1!$A$47:$A$66,Sheet1!$F$47:$F$66)</f>
        <v>17550000</v>
      </c>
      <c r="O1390" s="9">
        <f>_xlfn.XLOOKUP(_xlfn.CONCAT(Table1[[#This Row], [TEAM]],Table1[[#This Row], [ROOM]]),'ROOM TIME'!$H$2:$H$121,'ROOM TIME'!$J$2:$J$121)</f>
        <v>59.901249999999983</v>
      </c>
      <c r="P1390" s="9">
        <f>(INDEX(Sheet1!$X$48:$Z$67,MATCH(Table1[[#This Row], [ROOM]],Sheet1!$P$48:$P$67,0),MATCH(Table1[[#This Row], [WEAPON]],Sheet1!$X$47:$Z$47,0)))/Table1[[#This Row], [NUM OF MEM]]</f>
        <v>6.75</v>
      </c>
      <c r="Q1390" s="9">
        <f>Table1[[#This Row], [ROOM TIME]]+Table1[[#This Row], [GUARD TIME]]</f>
        <v>66.651249999999976</v>
      </c>
      <c r="R1390" s="4">
        <f>Sheet1!$K$3*_xlfn.XLOOKUP(Table1[[#This Row], [DISGUISE]],Sheet1!$A$21:$A$23,Sheet1!$D$21:$D$23)</f>
        <v>69</v>
      </c>
      <c r="S1390" s="9">
        <f>Table1[[#This Row], [TOTAL TIME]]-Table1[[#This Row], [TOTAL TIME TAKEN]]</f>
        <v>2.3487500000000239</v>
      </c>
      <c r="T1390" t="str">
        <f>IF(Table1[[#This Row], [TIME DIFFERENCE]]&gt;=0,"PASS","FAIL")</f>
        <v>PASS</v>
      </c>
      <c r="U1390" s="9">
        <f>Table1[[#This Row], [TRC]]+Table1[[#This Row], [DRC]]+Table1[[#This Row], [WRC]]+Table1[[#This Row], [ERC]]+Table1[[#This Row], [EQRC]]</f>
        <v>8189500.3999999994</v>
      </c>
      <c r="V1390" s="9">
        <f>Table1[[#This Row], [TOTAL COST]]+_xlfn.XLOOKUP(Table1[[#This Row], [TEAM]],Sheet1!$A$12:$A$17,Sheet1!$I$12:$I$17)</f>
        <v>8493640.3999999985</v>
      </c>
      <c r="W1390" s="9">
        <f>Table1[[#This Row], [LOOT]]-Table1[[#This Row], [TOTAL COST]]</f>
        <v>9360499.6000000015</v>
      </c>
      <c r="X1390" s="9">
        <f>IF(Table1[[#This Row], [PASS/FAIL]]="FAIL",0,Table1[[#This Row], [PROFIT]])</f>
        <v>9360499.6000000015</v>
      </c>
    </row>
    <row r="1391" spans="1:24" ht="19.5" customHeight="1" x14ac:dyDescent="0.45">
      <c r="A1391" t="s">
        <v>9</v>
      </c>
      <c r="B1391" s="14">
        <f>_xlfn.XLOOKUP(Table1[[#This Row], [TEAM]],Sheet1!$A$12:$A$17,Sheet1!$F$12:$F$17)</f>
        <v>3</v>
      </c>
      <c r="C1391" s="14">
        <f>_xlfn.XLOOKUP(Table1[[#This Row], [TEAM]],Sheet1!$A$12:$A$17,Sheet1!$G$12:$G$17)</f>
        <v>6238750</v>
      </c>
      <c r="D1391" t="s">
        <v>17</v>
      </c>
      <c r="E1391" s="4">
        <f>_xlfn.XLOOKUP(Table1[[#This Row], [ROOM]],Sheet1!$A$47:$A$66,Sheet1!$B$47:$B$66)</f>
        <v>125</v>
      </c>
      <c r="F1391" t="s">
        <v>62</v>
      </c>
      <c r="G1391" s="4">
        <f>_xlfn.XLOOKUP(Table1[[#This Row], [DISGUISE]],Sheet1!$A$21:$A$23,Sheet1!$B$21:$B$23)*Table1[[#This Row], [NUM OF MEM]]*(1+_xlfn.XLOOKUP(Table1[[#This Row], [DISGUISE]],Sheet1!$A$21:$A$23,Sheet1!$C$21:$C$23))</f>
        <v>15600</v>
      </c>
      <c r="H1391" s="13" t="s">
        <v>63</v>
      </c>
      <c r="I1391" s="4">
        <f>_xlfn.XLOOKUP(Table1[[#This Row], [WEAPON]],Sheet1!$A$27:$A$29,Sheet1!$B$27:$B$29)*Table1[[#This Row], [NUM OF MEM]]*(1+_xlfn.XLOOKUP(Table1[[#This Row], [WEAPON]],Sheet1!$A$27:$A$29,Sheet1!$C$27:$C$29))</f>
        <v>69000</v>
      </c>
      <c r="J1391" t="s">
        <v>64</v>
      </c>
      <c r="K1391" s="9">
        <f>Table1[[#This Row], [NUM OF MEM]]*Table1[[#This Row], [TOTAL TIME TAKEN]]*_xlfn.XLOOKUP(Table1[[#This Row], [EXIT]],Sheet1!$A$70:$A$71,Sheet1!$B$70:$B$71)*(1+_xlfn.XLOOKUP(Table1[[#This Row], [EXIT]],Sheet1!$A$70:$A$71,Sheet1!$C$70:$C$71))</f>
        <v>1667887.2</v>
      </c>
      <c r="L1391" s="13" t="s">
        <v>61</v>
      </c>
      <c r="M1391" s="4">
        <f>IF(Table1[[#This Row], [EQUIPMENT]]="YES",Sheet1!$C$44*(1+Sheet1!$D$44),0)</f>
        <v>0</v>
      </c>
      <c r="N1391" s="4">
        <f>_xlfn.XLOOKUP(Table1[[#This Row], [ROOM]],Sheet1!$A$47:$A$66,Sheet1!$F$47:$F$66)</f>
        <v>17350000</v>
      </c>
      <c r="O1391" s="9">
        <f>_xlfn.XLOOKUP(_xlfn.CONCAT(Table1[[#This Row], [TEAM]],Table1[[#This Row], [ROOM]]),'ROOM TIME'!$H$2:$H$121,'ROOM TIME'!$J$2:$J$121)</f>
        <v>38.398333333333326</v>
      </c>
      <c r="P1391" s="9">
        <f>(INDEX(Sheet1!$X$48:$Z$67,MATCH(Table1[[#This Row], [ROOM]],Sheet1!$P$48:$P$67,0),MATCH(Table1[[#This Row], [WEAPON]],Sheet1!$X$47:$Z$47,0)))/Table1[[#This Row], [NUM OF MEM]]</f>
        <v>4.5</v>
      </c>
      <c r="Q1391" s="9">
        <f>Table1[[#This Row], [ROOM TIME]]+Table1[[#This Row], [GUARD TIME]]</f>
        <v>42.898333333333326</v>
      </c>
      <c r="R1391" s="4">
        <f>Sheet1!$K$3*_xlfn.XLOOKUP(Table1[[#This Row], [DISGUISE]],Sheet1!$A$21:$A$23,Sheet1!$D$21:$D$23)</f>
        <v>66</v>
      </c>
      <c r="S1391" s="9">
        <f>Table1[[#This Row], [TOTAL TIME]]-Table1[[#This Row], [TOTAL TIME TAKEN]]</f>
        <v>23.101666666666674</v>
      </c>
      <c r="T1391" t="str">
        <f>IF(Table1[[#This Row], [TIME DIFFERENCE]]&gt;=0,"PASS","FAIL")</f>
        <v>PASS</v>
      </c>
      <c r="U1391" s="9">
        <f>Table1[[#This Row], [TRC]]+Table1[[#This Row], [DRC]]+Table1[[#This Row], [WRC]]+Table1[[#This Row], [ERC]]+Table1[[#This Row], [EQRC]]</f>
        <v>7991237.2000000002</v>
      </c>
      <c r="V1391" s="9">
        <f>Table1[[#This Row], [TOTAL COST]]+_xlfn.XLOOKUP(Table1[[#This Row], [TEAM]],Sheet1!$A$12:$A$17,Sheet1!$I$12:$I$17)</f>
        <v>8303174.7000000002</v>
      </c>
      <c r="W1391" s="9">
        <f>Table1[[#This Row], [LOOT]]-Table1[[#This Row], [TOTAL COST]]</f>
        <v>9358762.8000000007</v>
      </c>
      <c r="X1391" s="9">
        <f>IF(Table1[[#This Row], [PASS/FAIL]]="FAIL",0,Table1[[#This Row], [PROFIT]])</f>
        <v>9358762.8000000007</v>
      </c>
    </row>
    <row r="1392" spans="1:24" ht="19.5" customHeight="1" x14ac:dyDescent="0.45">
      <c r="A1392" t="s">
        <v>16</v>
      </c>
      <c r="B1392" s="14">
        <f>_xlfn.XLOOKUP(Table1[[#This Row], [TEAM]],Sheet1!$A$12:$A$17,Sheet1!$F$12:$F$17)</f>
        <v>2</v>
      </c>
      <c r="C1392" s="14">
        <f>_xlfn.XLOOKUP(Table1[[#This Row], [TEAM]],Sheet1!$A$12:$A$17,Sheet1!$G$12:$G$17)</f>
        <v>6082800</v>
      </c>
      <c r="D1392" t="s">
        <v>20</v>
      </c>
      <c r="E1392" s="4">
        <f>_xlfn.XLOOKUP(Table1[[#This Row], [ROOM]],Sheet1!$A$47:$A$66,Sheet1!$B$47:$B$66)</f>
        <v>145</v>
      </c>
      <c r="F1392" t="s">
        <v>58</v>
      </c>
      <c r="G1392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2" s="13" t="s">
        <v>59</v>
      </c>
      <c r="I1392" s="4">
        <f>_xlfn.XLOOKUP(Table1[[#This Row], [WEAPON]],Sheet1!$A$27:$A$29,Sheet1!$B$27:$B$29)*Table1[[#This Row], [NUM OF MEM]]*(1+_xlfn.XLOOKUP(Table1[[#This Row], [WEAPON]],Sheet1!$A$27:$A$29,Sheet1!$C$27:$C$29))</f>
        <v>91000</v>
      </c>
      <c r="J1392" t="s">
        <v>60</v>
      </c>
      <c r="K1392" s="9">
        <f>Table1[[#This Row], [NUM OF MEM]]*Table1[[#This Row], [TOTAL TIME TAKEN]]*_xlfn.XLOOKUP(Table1[[#This Row], [EXIT]],Sheet1!$A$70:$A$71,Sheet1!$B$70:$B$71)*(1+_xlfn.XLOOKUP(Table1[[#This Row], [EXIT]],Sheet1!$A$70:$A$71,Sheet1!$C$70:$C$71))</f>
        <v>1684939.3312499993</v>
      </c>
      <c r="L1392" s="13" t="s">
        <v>65</v>
      </c>
      <c r="M1392" s="4">
        <f>IF(Table1[[#This Row], [EQUIPMENT]]="YES",Sheet1!$C$44*(1+Sheet1!$D$44),0)</f>
        <v>307500</v>
      </c>
      <c r="N1392" s="4">
        <f>_xlfn.XLOOKUP(Table1[[#This Row], [ROOM]],Sheet1!$A$47:$A$66,Sheet1!$F$47:$F$66)</f>
        <v>17550000</v>
      </c>
      <c r="O1392" s="9">
        <f>_xlfn.XLOOKUP(_xlfn.CONCAT(Table1[[#This Row], [TEAM]],Table1[[#This Row], [ROOM]]),'ROOM TIME'!$H$2:$H$121,'ROOM TIME'!$J$2:$J$121)</f>
        <v>59.901249999999983</v>
      </c>
      <c r="P1392" s="9">
        <f>(INDEX(Sheet1!$X$48:$Z$67,MATCH(Table1[[#This Row], [ROOM]],Sheet1!$P$48:$P$67,0),MATCH(Table1[[#This Row], [WEAPON]],Sheet1!$X$47:$Z$47,0)))/Table1[[#This Row], [NUM OF MEM]]</f>
        <v>5.75</v>
      </c>
      <c r="Q1392" s="9">
        <f>Table1[[#This Row], [ROOM TIME]]+Table1[[#This Row], [GUARD TIME]]</f>
        <v>65.651249999999976</v>
      </c>
      <c r="R1392" s="4">
        <f>Sheet1!$K$3*_xlfn.XLOOKUP(Table1[[#This Row], [DISGUISE]],Sheet1!$A$21:$A$23,Sheet1!$D$21:$D$23)</f>
        <v>69</v>
      </c>
      <c r="S1392" s="9">
        <f>Table1[[#This Row], [TOTAL TIME]]-Table1[[#This Row], [TOTAL TIME TAKEN]]</f>
        <v>3.3487500000000239</v>
      </c>
      <c r="T1392" t="str">
        <f>IF(Table1[[#This Row], [TIME DIFFERENCE]]&gt;=0,"PASS","FAIL")</f>
        <v>PASS</v>
      </c>
      <c r="U1392" s="9">
        <f>Table1[[#This Row], [TRC]]+Table1[[#This Row], [DRC]]+Table1[[#This Row], [WRC]]+Table1[[#This Row], [ERC]]+Table1[[#This Row], [EQRC]]</f>
        <v>8191839.3312499989</v>
      </c>
      <c r="V1392" s="9">
        <f>Table1[[#This Row], [TOTAL COST]]+_xlfn.XLOOKUP(Table1[[#This Row], [TEAM]],Sheet1!$A$12:$A$17,Sheet1!$I$12:$I$17)</f>
        <v>8495979.3312499989</v>
      </c>
      <c r="W1392" s="9">
        <f>Table1[[#This Row], [LOOT]]-Table1[[#This Row], [TOTAL COST]]</f>
        <v>9358160.6687500011</v>
      </c>
      <c r="X1392" s="9">
        <f>IF(Table1[[#This Row], [PASS/FAIL]]="FAIL",0,Table1[[#This Row], [PROFIT]])</f>
        <v>9358160.6687500011</v>
      </c>
    </row>
    <row r="1393" spans="1:24" ht="19.5" customHeight="1" x14ac:dyDescent="0.45">
      <c r="A1393" t="s">
        <v>15</v>
      </c>
      <c r="B1393" s="14">
        <f>_xlfn.XLOOKUP(Table1[[#This Row], [TEAM]],Sheet1!$A$12:$A$17,Sheet1!$F$12:$F$17)</f>
        <v>2</v>
      </c>
      <c r="C1393" s="14">
        <f>_xlfn.XLOOKUP(Table1[[#This Row], [TEAM]],Sheet1!$A$12:$A$17,Sheet1!$G$12:$G$17)</f>
        <v>5932950</v>
      </c>
      <c r="D1393" t="s">
        <v>11</v>
      </c>
      <c r="E1393" s="4">
        <f>_xlfn.XLOOKUP(Table1[[#This Row], [ROOM]],Sheet1!$A$47:$A$66,Sheet1!$B$47:$B$66)</f>
        <v>124</v>
      </c>
      <c r="F1393" t="s">
        <v>58</v>
      </c>
      <c r="G1393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3" s="13" t="s">
        <v>59</v>
      </c>
      <c r="I1393" s="4">
        <f>_xlfn.XLOOKUP(Table1[[#This Row], [WEAPON]],Sheet1!$A$27:$A$29,Sheet1!$B$27:$B$29)*Table1[[#This Row], [NUM OF MEM]]*(1+_xlfn.XLOOKUP(Table1[[#This Row], [WEAPON]],Sheet1!$A$27:$A$29,Sheet1!$C$27:$C$29))</f>
        <v>91000</v>
      </c>
      <c r="J1393" t="s">
        <v>60</v>
      </c>
      <c r="K1393" s="9">
        <f>Table1[[#This Row], [NUM OF MEM]]*Table1[[#This Row], [TOTAL TIME TAKEN]]*_xlfn.XLOOKUP(Table1[[#This Row], [EXIT]],Sheet1!$A$70:$A$71,Sheet1!$B$70:$B$71)*(1+_xlfn.XLOOKUP(Table1[[#This Row], [EXIT]],Sheet1!$A$70:$A$71,Sheet1!$C$70:$C$71))</f>
        <v>1734857.7562499996</v>
      </c>
      <c r="L1393" s="13" t="s">
        <v>65</v>
      </c>
      <c r="M1393" s="4">
        <f>IF(Table1[[#This Row], [EQUIPMENT]]="YES",Sheet1!$C$44*(1+Sheet1!$D$44),0)</f>
        <v>307500</v>
      </c>
      <c r="N1393" s="4">
        <f>_xlfn.XLOOKUP(Table1[[#This Row], [ROOM]],Sheet1!$A$47:$A$66,Sheet1!$F$47:$F$66)</f>
        <v>17450000</v>
      </c>
      <c r="O1393" s="9">
        <f>_xlfn.XLOOKUP(_xlfn.CONCAT(Table1[[#This Row], [TEAM]],Table1[[#This Row], [ROOM]]),'ROOM TIME'!$H$2:$H$121,'ROOM TIME'!$J$2:$J$121)</f>
        <v>61.271249999999981</v>
      </c>
      <c r="P1393" s="9">
        <f>(INDEX(Sheet1!$X$48:$Z$67,MATCH(Table1[[#This Row], [ROOM]],Sheet1!$P$48:$P$67,0),MATCH(Table1[[#This Row], [WEAPON]],Sheet1!$X$47:$Z$47,0)))/Table1[[#This Row], [NUM OF MEM]]</f>
        <v>6.3249999999999993</v>
      </c>
      <c r="Q1393" s="9">
        <f>Table1[[#This Row], [ROOM TIME]]+Table1[[#This Row], [GUARD TIME]]</f>
        <v>67.596249999999984</v>
      </c>
      <c r="R1393" s="4">
        <f>Sheet1!$K$3*_xlfn.XLOOKUP(Table1[[#This Row], [DISGUISE]],Sheet1!$A$21:$A$23,Sheet1!$D$21:$D$23)</f>
        <v>69</v>
      </c>
      <c r="S1393" s="9">
        <f>Table1[[#This Row], [TOTAL TIME]]-Table1[[#This Row], [TOTAL TIME TAKEN]]</f>
        <v>1.4037500000000165</v>
      </c>
      <c r="T1393" t="str">
        <f>IF(Table1[[#This Row], [TIME DIFFERENCE]]&gt;=0,"PASS","FAIL")</f>
        <v>PASS</v>
      </c>
      <c r="U1393" s="9">
        <f>Table1[[#This Row], [TRC]]+Table1[[#This Row], [DRC]]+Table1[[#This Row], [WRC]]+Table1[[#This Row], [ERC]]+Table1[[#This Row], [EQRC]]</f>
        <v>8091907.7562499996</v>
      </c>
      <c r="V1393" s="9">
        <f>Table1[[#This Row], [TOTAL COST]]+_xlfn.XLOOKUP(Table1[[#This Row], [TEAM]],Sheet1!$A$12:$A$17,Sheet1!$I$12:$I$17)</f>
        <v>8388555.2562499996</v>
      </c>
      <c r="W1393" s="9">
        <f>Table1[[#This Row], [LOOT]]-Table1[[#This Row], [TOTAL COST]]</f>
        <v>9358092.2437500004</v>
      </c>
      <c r="X1393" s="9">
        <f>IF(Table1[[#This Row], [PASS/FAIL]]="FAIL",0,Table1[[#This Row], [PROFIT]])</f>
        <v>9358092.2437500004</v>
      </c>
    </row>
    <row r="1394" spans="1:24" ht="19.5" customHeight="1" x14ac:dyDescent="0.45">
      <c r="A1394" t="s">
        <v>16</v>
      </c>
      <c r="B1394" s="14">
        <f>_xlfn.XLOOKUP(Table1[[#This Row], [TEAM]],Sheet1!$A$12:$A$17,Sheet1!$F$12:$F$17)</f>
        <v>2</v>
      </c>
      <c r="C1394" s="14">
        <f>_xlfn.XLOOKUP(Table1[[#This Row], [TEAM]],Sheet1!$A$12:$A$17,Sheet1!$G$12:$G$17)</f>
        <v>6082800</v>
      </c>
      <c r="D1394" t="s">
        <v>31</v>
      </c>
      <c r="E1394" s="4">
        <f>_xlfn.XLOOKUP(Table1[[#This Row], [ROOM]],Sheet1!$A$47:$A$66,Sheet1!$B$47:$B$66)</f>
        <v>256</v>
      </c>
      <c r="F1394" t="s">
        <v>58</v>
      </c>
      <c r="G1394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4" s="13" t="s">
        <v>59</v>
      </c>
      <c r="I1394" s="4">
        <f>_xlfn.XLOOKUP(Table1[[#This Row], [WEAPON]],Sheet1!$A$27:$A$29,Sheet1!$B$27:$B$29)*Table1[[#This Row], [NUM OF MEM]]*(1+_xlfn.XLOOKUP(Table1[[#This Row], [WEAPON]],Sheet1!$A$27:$A$29,Sheet1!$C$27:$C$29))</f>
        <v>91000</v>
      </c>
      <c r="J1394" t="s">
        <v>64</v>
      </c>
      <c r="K1394" s="9">
        <f>Table1[[#This Row], [NUM OF MEM]]*Table1[[#This Row], [TOTAL TIME TAKEN]]*_xlfn.XLOOKUP(Table1[[#This Row], [EXIT]],Sheet1!$A$70:$A$71,Sheet1!$B$70:$B$71)*(1+_xlfn.XLOOKUP(Table1[[#This Row], [EXIT]],Sheet1!$A$70:$A$71,Sheet1!$C$70:$C$71))</f>
        <v>1635163.1999999995</v>
      </c>
      <c r="L1394" s="13" t="s">
        <v>65</v>
      </c>
      <c r="M1394" s="4">
        <f>IF(Table1[[#This Row], [EQUIPMENT]]="YES",Sheet1!$C$44*(1+Sheet1!$D$44),0)</f>
        <v>307500</v>
      </c>
      <c r="N1394" s="4">
        <f>_xlfn.XLOOKUP(Table1[[#This Row], [ROOM]],Sheet1!$A$47:$A$66,Sheet1!$F$47:$F$66)</f>
        <v>17500000</v>
      </c>
      <c r="O1394" s="9">
        <f>_xlfn.XLOOKUP(_xlfn.CONCAT(Table1[[#This Row], [TEAM]],Table1[[#This Row], [ROOM]]),'ROOM TIME'!$H$2:$H$121,'ROOM TIME'!$J$2:$J$121)</f>
        <v>56.759999999999984</v>
      </c>
      <c r="P1394" s="9">
        <f>(INDEX(Sheet1!$X$48:$Z$67,MATCH(Table1[[#This Row], [ROOM]],Sheet1!$P$48:$P$67,0),MATCH(Table1[[#This Row], [WEAPON]],Sheet1!$X$47:$Z$47,0)))/Table1[[#This Row], [NUM OF MEM]]</f>
        <v>6.3249999999999993</v>
      </c>
      <c r="Q1394" s="9">
        <f>Table1[[#This Row], [ROOM TIME]]+Table1[[#This Row], [GUARD TIME]]</f>
        <v>63.08499999999998</v>
      </c>
      <c r="R1394" s="4">
        <f>Sheet1!$K$3*_xlfn.XLOOKUP(Table1[[#This Row], [DISGUISE]],Sheet1!$A$21:$A$23,Sheet1!$D$21:$D$23)</f>
        <v>69</v>
      </c>
      <c r="S1394" s="9">
        <f>Table1[[#This Row], [TOTAL TIME]]-Table1[[#This Row], [TOTAL TIME TAKEN]]</f>
        <v>5.9150000000000205</v>
      </c>
      <c r="T1394" t="str">
        <f>IF(Table1[[#This Row], [TIME DIFFERENCE]]&gt;=0,"PASS","FAIL")</f>
        <v>PASS</v>
      </c>
      <c r="U1394" s="9">
        <f>Table1[[#This Row], [TRC]]+Table1[[#This Row], [DRC]]+Table1[[#This Row], [WRC]]+Table1[[#This Row], [ERC]]+Table1[[#This Row], [EQRC]]</f>
        <v>8142063.1999999993</v>
      </c>
      <c r="V1394" s="9">
        <f>Table1[[#This Row], [TOTAL COST]]+_xlfn.XLOOKUP(Table1[[#This Row], [TEAM]],Sheet1!$A$12:$A$17,Sheet1!$I$12:$I$17)</f>
        <v>8446203.1999999993</v>
      </c>
      <c r="W1394" s="9">
        <f>Table1[[#This Row], [LOOT]]-Table1[[#This Row], [TOTAL COST]]</f>
        <v>9357936.8000000007</v>
      </c>
      <c r="X1394" s="9">
        <f>IF(Table1[[#This Row], [PASS/FAIL]]="FAIL",0,Table1[[#This Row], [PROFIT]])</f>
        <v>9357936.8000000007</v>
      </c>
    </row>
    <row r="1395" spans="1:24" ht="19.5" customHeight="1" x14ac:dyDescent="0.45">
      <c r="A1395" t="s">
        <v>9</v>
      </c>
      <c r="B1395" s="14">
        <f>_xlfn.XLOOKUP(Table1[[#This Row], [TEAM]],Sheet1!$A$12:$A$17,Sheet1!$F$12:$F$17)</f>
        <v>3</v>
      </c>
      <c r="C1395" s="14">
        <f>_xlfn.XLOOKUP(Table1[[#This Row], [TEAM]],Sheet1!$A$12:$A$17,Sheet1!$G$12:$G$17)</f>
        <v>6238750</v>
      </c>
      <c r="D1395" t="s">
        <v>23</v>
      </c>
      <c r="E1395" s="4">
        <f>_xlfn.XLOOKUP(Table1[[#This Row], [ROOM]],Sheet1!$A$47:$A$66,Sheet1!$B$47:$B$66)</f>
        <v>245</v>
      </c>
      <c r="F1395" t="s">
        <v>58</v>
      </c>
      <c r="G1395" s="4">
        <f>_xlfn.XLOOKUP(Table1[[#This Row], [DISGUISE]],Sheet1!$A$21:$A$23,Sheet1!$B$21:$B$23)*Table1[[#This Row], [NUM OF MEM]]*(1+_xlfn.XLOOKUP(Table1[[#This Row], [DISGUISE]],Sheet1!$A$21:$A$23,Sheet1!$C$21:$C$23))</f>
        <v>38400</v>
      </c>
      <c r="H1395" s="13" t="s">
        <v>66</v>
      </c>
      <c r="I1395" s="4">
        <f>_xlfn.XLOOKUP(Table1[[#This Row], [WEAPON]],Sheet1!$A$27:$A$29,Sheet1!$B$27:$B$29)*Table1[[#This Row], [NUM OF MEM]]*(1+_xlfn.XLOOKUP(Table1[[#This Row], [WEAPON]],Sheet1!$A$27:$A$29,Sheet1!$C$27:$C$29))</f>
        <v>108000</v>
      </c>
      <c r="J1395" t="s">
        <v>60</v>
      </c>
      <c r="K1395" s="9">
        <f>Table1[[#This Row], [NUM OF MEM]]*Table1[[#This Row], [TOTAL TIME TAKEN]]*_xlfn.XLOOKUP(Table1[[#This Row], [EXIT]],Sheet1!$A$70:$A$71,Sheet1!$B$70:$B$71)*(1+_xlfn.XLOOKUP(Table1[[#This Row], [EXIT]],Sheet1!$A$70:$A$71,Sheet1!$C$70:$C$71))</f>
        <v>1657103.5</v>
      </c>
      <c r="L1395" s="13" t="s">
        <v>61</v>
      </c>
      <c r="M1395" s="4">
        <f>IF(Table1[[#This Row], [EQUIPMENT]]="YES",Sheet1!$C$44*(1+Sheet1!$D$44),0)</f>
        <v>0</v>
      </c>
      <c r="N1395" s="4">
        <f>_xlfn.XLOOKUP(Table1[[#This Row], [ROOM]],Sheet1!$A$47:$A$66,Sheet1!$F$47:$F$66)</f>
        <v>17400000</v>
      </c>
      <c r="O1395" s="9">
        <f>_xlfn.XLOOKUP(_xlfn.CONCAT(Table1[[#This Row], [TEAM]],Table1[[#This Row], [ROOM]]),'ROOM TIME'!$H$2:$H$121,'ROOM TIME'!$J$2:$J$121)</f>
        <v>38.461111111111101</v>
      </c>
      <c r="P1395" s="9">
        <f>(INDEX(Sheet1!$X$48:$Z$67,MATCH(Table1[[#This Row], [ROOM]],Sheet1!$P$48:$P$67,0),MATCH(Table1[[#This Row], [WEAPON]],Sheet1!$X$47:$Z$47,0)))/Table1[[#This Row], [NUM OF MEM]]</f>
        <v>4.583333333333333</v>
      </c>
      <c r="Q1395" s="9">
        <f>Table1[[#This Row], [ROOM TIME]]+Table1[[#This Row], [GUARD TIME]]</f>
        <v>43.044444444444437</v>
      </c>
      <c r="R1395" s="4">
        <f>Sheet1!$K$3*_xlfn.XLOOKUP(Table1[[#This Row], [DISGUISE]],Sheet1!$A$21:$A$23,Sheet1!$D$21:$D$23)</f>
        <v>69</v>
      </c>
      <c r="S1395" s="9">
        <f>Table1[[#This Row], [TOTAL TIME]]-Table1[[#This Row], [TOTAL TIME TAKEN]]</f>
        <v>25.955555555555563</v>
      </c>
      <c r="T1395" t="str">
        <f>IF(Table1[[#This Row], [TIME DIFFERENCE]]&gt;=0,"PASS","FAIL")</f>
        <v>PASS</v>
      </c>
      <c r="U1395" s="9">
        <f>Table1[[#This Row], [TRC]]+Table1[[#This Row], [DRC]]+Table1[[#This Row], [WRC]]+Table1[[#This Row], [ERC]]+Table1[[#This Row], [EQRC]]</f>
        <v>8042253.5</v>
      </c>
      <c r="V1395" s="4">
        <f>Table1[[#This Row], [TOTAL COST]]+_xlfn.XLOOKUP(Table1[[#This Row], [TEAM]],Sheet1!$A$12:$A$17,Sheet1!$I$12:$I$17)</f>
        <v>8354191</v>
      </c>
      <c r="W1395" s="9">
        <f>Table1[[#This Row], [LOOT]]-Table1[[#This Row], [TOTAL COST]]</f>
        <v>9357746.5</v>
      </c>
      <c r="X1395" s="9">
        <f>IF(Table1[[#This Row], [PASS/FAIL]]="FAIL",0,Table1[[#This Row], [PROFIT]])</f>
        <v>9357746.5</v>
      </c>
    </row>
    <row r="1396" spans="1:24" ht="19.5" customHeight="1" x14ac:dyDescent="0.45">
      <c r="A1396" t="s">
        <v>15</v>
      </c>
      <c r="B1396" s="14">
        <f>_xlfn.XLOOKUP(Table1[[#This Row], [TEAM]],Sheet1!$A$12:$A$17,Sheet1!$F$12:$F$17)</f>
        <v>2</v>
      </c>
      <c r="C1396" s="14">
        <f>_xlfn.XLOOKUP(Table1[[#This Row], [TEAM]],Sheet1!$A$12:$A$17,Sheet1!$G$12:$G$17)</f>
        <v>5932950</v>
      </c>
      <c r="D1396" t="s">
        <v>11</v>
      </c>
      <c r="E1396" s="4">
        <f>_xlfn.XLOOKUP(Table1[[#This Row], [ROOM]],Sheet1!$A$47:$A$66,Sheet1!$B$47:$B$66)</f>
        <v>124</v>
      </c>
      <c r="F1396" t="s">
        <v>58</v>
      </c>
      <c r="G1396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6" s="13" t="s">
        <v>63</v>
      </c>
      <c r="I1396" s="4">
        <f>_xlfn.XLOOKUP(Table1[[#This Row], [WEAPON]],Sheet1!$A$27:$A$29,Sheet1!$B$27:$B$29)*Table1[[#This Row], [NUM OF MEM]]*(1+_xlfn.XLOOKUP(Table1[[#This Row], [WEAPON]],Sheet1!$A$27:$A$29,Sheet1!$C$27:$C$29))</f>
        <v>46000</v>
      </c>
      <c r="J1396" t="s">
        <v>64</v>
      </c>
      <c r="K1396" s="9">
        <f>Table1[[#This Row], [NUM OF MEM]]*Table1[[#This Row], [TOTAL TIME TAKEN]]*_xlfn.XLOOKUP(Table1[[#This Row], [EXIT]],Sheet1!$A$70:$A$71,Sheet1!$B$70:$B$71)*(1+_xlfn.XLOOKUP(Table1[[#This Row], [EXIT]],Sheet1!$A$70:$A$71,Sheet1!$C$70:$C$71))</f>
        <v>1780606.7999999993</v>
      </c>
      <c r="L1396" s="13" t="s">
        <v>65</v>
      </c>
      <c r="M1396" s="4">
        <f>IF(Table1[[#This Row], [EQUIPMENT]]="YES",Sheet1!$C$44*(1+Sheet1!$D$44),0)</f>
        <v>307500</v>
      </c>
      <c r="N1396" s="4">
        <f>_xlfn.XLOOKUP(Table1[[#This Row], [ROOM]],Sheet1!$A$47:$A$66,Sheet1!$F$47:$F$66)</f>
        <v>17450000</v>
      </c>
      <c r="O1396" s="9">
        <f>_xlfn.XLOOKUP(_xlfn.CONCAT(Table1[[#This Row], [TEAM]],Table1[[#This Row], [ROOM]]),'ROOM TIME'!$H$2:$H$121,'ROOM TIME'!$J$2:$J$121)</f>
        <v>61.271249999999981</v>
      </c>
      <c r="P1396" s="9">
        <f>(INDEX(Sheet1!$X$48:$Z$67,MATCH(Table1[[#This Row], [ROOM]],Sheet1!$P$48:$P$67,0),MATCH(Table1[[#This Row], [WEAPON]],Sheet1!$X$47:$Z$47,0)))/Table1[[#This Row], [NUM OF MEM]]</f>
        <v>7.4250000000000007</v>
      </c>
      <c r="Q1396" s="9">
        <f>Table1[[#This Row], [ROOM TIME]]+Table1[[#This Row], [GUARD TIME]]</f>
        <v>68.696249999999978</v>
      </c>
      <c r="R1396" s="4">
        <f>Sheet1!$K$3*_xlfn.XLOOKUP(Table1[[#This Row], [DISGUISE]],Sheet1!$A$21:$A$23,Sheet1!$D$21:$D$23)</f>
        <v>69</v>
      </c>
      <c r="S1396" s="9">
        <f>Table1[[#This Row], [TOTAL TIME]]-Table1[[#This Row], [TOTAL TIME TAKEN]]</f>
        <v>0.30375000000002217</v>
      </c>
      <c r="T1396" t="str">
        <f>IF(Table1[[#This Row], [TIME DIFFERENCE]]&gt;=0,"PASS","FAIL")</f>
        <v>PASS</v>
      </c>
      <c r="U1396" s="9">
        <f>Table1[[#This Row], [TRC]]+Table1[[#This Row], [DRC]]+Table1[[#This Row], [WRC]]+Table1[[#This Row], [ERC]]+Table1[[#This Row], [EQRC]]</f>
        <v>8092656.7999999989</v>
      </c>
      <c r="V1396" s="9">
        <f>Table1[[#This Row], [TOTAL COST]]+_xlfn.XLOOKUP(Table1[[#This Row], [TEAM]],Sheet1!$A$12:$A$17,Sheet1!$I$12:$I$17)</f>
        <v>8389304.2999999989</v>
      </c>
      <c r="W1396" s="9">
        <f>Table1[[#This Row], [LOOT]]-Table1[[#This Row], [TOTAL COST]]</f>
        <v>9357343.2000000011</v>
      </c>
      <c r="X1396" s="9">
        <f>IF(Table1[[#This Row], [PASS/FAIL]]="FAIL",0,Table1[[#This Row], [PROFIT]])</f>
        <v>9357343.2000000011</v>
      </c>
    </row>
    <row r="1397" spans="1:24" ht="19.5" customHeight="1" x14ac:dyDescent="0.45">
      <c r="A1397" t="s">
        <v>16</v>
      </c>
      <c r="B1397" s="14">
        <f>_xlfn.XLOOKUP(Table1[[#This Row], [TEAM]],Sheet1!$A$12:$A$17,Sheet1!$F$12:$F$17)</f>
        <v>2</v>
      </c>
      <c r="C1397" s="14">
        <f>_xlfn.XLOOKUP(Table1[[#This Row], [TEAM]],Sheet1!$A$12:$A$17,Sheet1!$G$12:$G$17)</f>
        <v>6082800</v>
      </c>
      <c r="D1397" t="s">
        <v>20</v>
      </c>
      <c r="E1397" s="4">
        <f>_xlfn.XLOOKUP(Table1[[#This Row], [ROOM]],Sheet1!$A$47:$A$66,Sheet1!$B$47:$B$66)</f>
        <v>145</v>
      </c>
      <c r="F1397" t="s">
        <v>62</v>
      </c>
      <c r="G1397" s="4">
        <f>_xlfn.XLOOKUP(Table1[[#This Row], [DISGUISE]],Sheet1!$A$21:$A$23,Sheet1!$B$21:$B$23)*Table1[[#This Row], [NUM OF MEM]]*(1+_xlfn.XLOOKUP(Table1[[#This Row], [DISGUISE]],Sheet1!$A$21:$A$23,Sheet1!$C$21:$C$23))</f>
        <v>10400</v>
      </c>
      <c r="H1397" s="13" t="s">
        <v>59</v>
      </c>
      <c r="I1397" s="4">
        <f>_xlfn.XLOOKUP(Table1[[#This Row], [WEAPON]],Sheet1!$A$27:$A$29,Sheet1!$B$27:$B$29)*Table1[[#This Row], [NUM OF MEM]]*(1+_xlfn.XLOOKUP(Table1[[#This Row], [WEAPON]],Sheet1!$A$27:$A$29,Sheet1!$C$27:$C$29))</f>
        <v>91000</v>
      </c>
      <c r="J1397" t="s">
        <v>64</v>
      </c>
      <c r="K1397" s="9">
        <f>Table1[[#This Row], [NUM OF MEM]]*Table1[[#This Row], [TOTAL TIME TAKEN]]*_xlfn.XLOOKUP(Table1[[#This Row], [EXIT]],Sheet1!$A$70:$A$71,Sheet1!$B$70:$B$71)*(1+_xlfn.XLOOKUP(Table1[[#This Row], [EXIT]],Sheet1!$A$70:$A$71,Sheet1!$C$70:$C$71))</f>
        <v>1701680.3999999994</v>
      </c>
      <c r="L1397" s="13" t="s">
        <v>65</v>
      </c>
      <c r="M1397" s="4">
        <f>IF(Table1[[#This Row], [EQUIPMENT]]="YES",Sheet1!$C$44*(1+Sheet1!$D$44),0)</f>
        <v>307500</v>
      </c>
      <c r="N1397" s="4">
        <f>_xlfn.XLOOKUP(Table1[[#This Row], [ROOM]],Sheet1!$A$47:$A$66,Sheet1!$F$47:$F$66)</f>
        <v>17550000</v>
      </c>
      <c r="O1397" s="9">
        <f>_xlfn.XLOOKUP(_xlfn.CONCAT(Table1[[#This Row], [TEAM]],Table1[[#This Row], [ROOM]]),'ROOM TIME'!$H$2:$H$121,'ROOM TIME'!$J$2:$J$121)</f>
        <v>59.901249999999983</v>
      </c>
      <c r="P1397" s="9">
        <f>(INDEX(Sheet1!$X$48:$Z$67,MATCH(Table1[[#This Row], [ROOM]],Sheet1!$P$48:$P$67,0),MATCH(Table1[[#This Row], [WEAPON]],Sheet1!$X$47:$Z$47,0)))/Table1[[#This Row], [NUM OF MEM]]</f>
        <v>5.75</v>
      </c>
      <c r="Q1397" s="9">
        <f>Table1[[#This Row], [ROOM TIME]]+Table1[[#This Row], [GUARD TIME]]</f>
        <v>65.651249999999976</v>
      </c>
      <c r="R1397" s="4">
        <f>Sheet1!$K$3*_xlfn.XLOOKUP(Table1[[#This Row], [DISGUISE]],Sheet1!$A$21:$A$23,Sheet1!$D$21:$D$23)</f>
        <v>66</v>
      </c>
      <c r="S1397" s="9">
        <f>Table1[[#This Row], [TOTAL TIME]]-Table1[[#This Row], [TOTAL TIME TAKEN]]</f>
        <v>0.34875000000002387</v>
      </c>
      <c r="T1397" t="str">
        <f>IF(Table1[[#This Row], [TIME DIFFERENCE]]&gt;=0,"PASS","FAIL")</f>
        <v>PASS</v>
      </c>
      <c r="U1397" s="9">
        <f>Table1[[#This Row], [TRC]]+Table1[[#This Row], [DRC]]+Table1[[#This Row], [WRC]]+Table1[[#This Row], [ERC]]+Table1[[#This Row], [EQRC]]</f>
        <v>8193380.3999999994</v>
      </c>
      <c r="V1397" s="9">
        <f>Table1[[#This Row], [TOTAL COST]]+_xlfn.XLOOKUP(Table1[[#This Row], [TEAM]],Sheet1!$A$12:$A$17,Sheet1!$I$12:$I$17)</f>
        <v>8497520.3999999985</v>
      </c>
      <c r="W1397" s="9">
        <f>Table1[[#This Row], [LOOT]]-Table1[[#This Row], [TOTAL COST]]</f>
        <v>9356619.6000000015</v>
      </c>
      <c r="X1397" s="9">
        <f>IF(Table1[[#This Row], [PASS/FAIL]]="FAIL",0,Table1[[#This Row], [PROFIT]])</f>
        <v>9356619.6000000015</v>
      </c>
    </row>
    <row r="1398" spans="1:24" ht="19.5" customHeight="1" x14ac:dyDescent="0.45">
      <c r="A1398" t="s">
        <v>14</v>
      </c>
      <c r="B1398" s="14">
        <f>_xlfn.XLOOKUP(Table1[[#This Row], [TEAM]],Sheet1!$A$12:$A$17,Sheet1!$F$12:$F$17)</f>
        <v>2</v>
      </c>
      <c r="C1398" s="14">
        <f>_xlfn.XLOOKUP(Table1[[#This Row], [TEAM]],Sheet1!$A$12:$A$17,Sheet1!$G$12:$G$17)</f>
        <v>5949600</v>
      </c>
      <c r="D1398" t="s">
        <v>11</v>
      </c>
      <c r="E1398" s="4">
        <f>_xlfn.XLOOKUP(Table1[[#This Row], [ROOM]],Sheet1!$A$47:$A$66,Sheet1!$B$47:$B$66)</f>
        <v>124</v>
      </c>
      <c r="F1398" t="s">
        <v>58</v>
      </c>
      <c r="G1398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8" s="13" t="s">
        <v>66</v>
      </c>
      <c r="I1398" s="4">
        <f>_xlfn.XLOOKUP(Table1[[#This Row], [WEAPON]],Sheet1!$A$27:$A$29,Sheet1!$B$27:$B$29)*Table1[[#This Row], [NUM OF MEM]]*(1+_xlfn.XLOOKUP(Table1[[#This Row], [WEAPON]],Sheet1!$A$27:$A$29,Sheet1!$C$27:$C$29))</f>
        <v>72000</v>
      </c>
      <c r="J1398" t="s">
        <v>60</v>
      </c>
      <c r="K1398" s="9">
        <f>Table1[[#This Row], [NUM OF MEM]]*Table1[[#This Row], [TOTAL TIME TAKEN]]*_xlfn.XLOOKUP(Table1[[#This Row], [EXIT]],Sheet1!$A$70:$A$71,Sheet1!$B$70:$B$71)*(1+_xlfn.XLOOKUP(Table1[[#This Row], [EXIT]],Sheet1!$A$70:$A$71,Sheet1!$C$70:$C$71))</f>
        <v>1739702.0249999999</v>
      </c>
      <c r="L1398" s="13" t="s">
        <v>65</v>
      </c>
      <c r="M1398" s="4">
        <f>IF(Table1[[#This Row], [EQUIPMENT]]="YES",Sheet1!$C$44*(1+Sheet1!$D$44),0)</f>
        <v>307500</v>
      </c>
      <c r="N1398" s="4">
        <f>_xlfn.XLOOKUP(Table1[[#This Row], [ROOM]],Sheet1!$A$47:$A$66,Sheet1!$F$47:$F$66)</f>
        <v>17450000</v>
      </c>
      <c r="O1398" s="9">
        <f>_xlfn.XLOOKUP(_xlfn.CONCAT(Table1[[#This Row], [TEAM]],Table1[[#This Row], [ROOM]]),'ROOM TIME'!$H$2:$H$121,'ROOM TIME'!$J$2:$J$121)</f>
        <v>60.91</v>
      </c>
      <c r="P1398" s="9">
        <f>(INDEX(Sheet1!$X$48:$Z$67,MATCH(Table1[[#This Row], [ROOM]],Sheet1!$P$48:$P$67,0),MATCH(Table1[[#This Row], [WEAPON]],Sheet1!$X$47:$Z$47,0)))/Table1[[#This Row], [NUM OF MEM]]</f>
        <v>6.875</v>
      </c>
      <c r="Q1398" s="9">
        <f>Table1[[#This Row], [ROOM TIME]]+Table1[[#This Row], [GUARD TIME]]</f>
        <v>67.784999999999997</v>
      </c>
      <c r="R1398" s="4">
        <f>Sheet1!$K$3*_xlfn.XLOOKUP(Table1[[#This Row], [DISGUISE]],Sheet1!$A$21:$A$23,Sheet1!$D$21:$D$23)</f>
        <v>69</v>
      </c>
      <c r="S1398" s="9">
        <f>Table1[[#This Row], [TOTAL TIME]]-Table1[[#This Row], [TOTAL TIME TAKEN]]</f>
        <v>1.2150000000000034</v>
      </c>
      <c r="T1398" t="str">
        <f>IF(Table1[[#This Row], [TIME DIFFERENCE]]&gt;=0,"PASS","FAIL")</f>
        <v>PASS</v>
      </c>
      <c r="U1398" s="9">
        <f>Table1[[#This Row], [TRC]]+Table1[[#This Row], [DRC]]+Table1[[#This Row], [WRC]]+Table1[[#This Row], [ERC]]+Table1[[#This Row], [EQRC]]</f>
        <v>8094402.0250000004</v>
      </c>
      <c r="V1398" s="9">
        <f>Table1[[#This Row], [TOTAL COST]]+_xlfn.XLOOKUP(Table1[[#This Row], [TEAM]],Sheet1!$A$12:$A$17,Sheet1!$I$12:$I$17)</f>
        <v>8391882.0250000004</v>
      </c>
      <c r="W1398" s="9">
        <f>Table1[[#This Row], [LOOT]]-Table1[[#This Row], [TOTAL COST]]</f>
        <v>9355597.9749999996</v>
      </c>
      <c r="X1398" s="9">
        <f>IF(Table1[[#This Row], [PASS/FAIL]]="FAIL",0,Table1[[#This Row], [PROFIT]])</f>
        <v>9355597.9749999996</v>
      </c>
    </row>
    <row r="1399" spans="1:24" ht="19.5" customHeight="1" x14ac:dyDescent="0.45">
      <c r="A1399" t="s">
        <v>15</v>
      </c>
      <c r="B1399" s="14">
        <f>_xlfn.XLOOKUP(Table1[[#This Row], [TEAM]],Sheet1!$A$12:$A$17,Sheet1!$F$12:$F$17)</f>
        <v>2</v>
      </c>
      <c r="C1399" s="14">
        <f>_xlfn.XLOOKUP(Table1[[#This Row], [TEAM]],Sheet1!$A$12:$A$17,Sheet1!$G$12:$G$17)</f>
        <v>5932950</v>
      </c>
      <c r="D1399" t="s">
        <v>23</v>
      </c>
      <c r="E1399" s="4">
        <f>_xlfn.XLOOKUP(Table1[[#This Row], [ROOM]],Sheet1!$A$47:$A$66,Sheet1!$B$47:$B$66)</f>
        <v>245</v>
      </c>
      <c r="F1399" t="s">
        <v>58</v>
      </c>
      <c r="G1399" s="4">
        <f>_xlfn.XLOOKUP(Table1[[#This Row], [DISGUISE]],Sheet1!$A$21:$A$23,Sheet1!$B$21:$B$23)*Table1[[#This Row], [NUM OF MEM]]*(1+_xlfn.XLOOKUP(Table1[[#This Row], [DISGUISE]],Sheet1!$A$21:$A$23,Sheet1!$C$21:$C$23))</f>
        <v>25600</v>
      </c>
      <c r="H1399" s="13" t="s">
        <v>63</v>
      </c>
      <c r="I1399" s="4">
        <f>_xlfn.XLOOKUP(Table1[[#This Row], [WEAPON]],Sheet1!$A$27:$A$29,Sheet1!$B$27:$B$29)*Table1[[#This Row], [NUM OF MEM]]*(1+_xlfn.XLOOKUP(Table1[[#This Row], [WEAPON]],Sheet1!$A$27:$A$29,Sheet1!$C$27:$C$29))</f>
        <v>46000</v>
      </c>
      <c r="J1399" t="s">
        <v>60</v>
      </c>
      <c r="K1399" s="9">
        <f>Table1[[#This Row], [NUM OF MEM]]*Table1[[#This Row], [TOTAL TIME TAKEN]]*_xlfn.XLOOKUP(Table1[[#This Row], [EXIT]],Sheet1!$A$70:$A$71,Sheet1!$B$70:$B$71)*(1+_xlfn.XLOOKUP(Table1[[#This Row], [EXIT]],Sheet1!$A$70:$A$71,Sheet1!$C$70:$C$71))</f>
        <v>1735563.5437499997</v>
      </c>
      <c r="L1399" s="13" t="s">
        <v>65</v>
      </c>
      <c r="M1399" s="4">
        <f>IF(Table1[[#This Row], [EQUIPMENT]]="YES",Sheet1!$C$44*(1+Sheet1!$D$44),0)</f>
        <v>307500</v>
      </c>
      <c r="N1399" s="4">
        <f>_xlfn.XLOOKUP(Table1[[#This Row], [ROOM]],Sheet1!$A$47:$A$66,Sheet1!$F$47:$F$66)</f>
        <v>17400000</v>
      </c>
      <c r="O1399" s="9">
        <f>_xlfn.XLOOKUP(_xlfn.CONCAT(Table1[[#This Row], [TEAM]],Table1[[#This Row], [ROOM]]),'ROOM TIME'!$H$2:$H$121,'ROOM TIME'!$J$2:$J$121)</f>
        <v>60.198749999999983</v>
      </c>
      <c r="P1399" s="9">
        <f>(INDEX(Sheet1!$X$48:$Z$67,MATCH(Table1[[#This Row], [ROOM]],Sheet1!$P$48:$P$67,0),MATCH(Table1[[#This Row], [WEAPON]],Sheet1!$X$47:$Z$47,0)))/Table1[[#This Row], [NUM OF MEM]]</f>
        <v>7.4250000000000007</v>
      </c>
      <c r="Q1399" s="9">
        <f>Table1[[#This Row], [ROOM TIME]]+Table1[[#This Row], [GUARD TIME]]</f>
        <v>67.623749999999987</v>
      </c>
      <c r="R1399" s="4">
        <f>Sheet1!$K$3*_xlfn.XLOOKUP(Table1[[#This Row], [DISGUISE]],Sheet1!$A$21:$A$23,Sheet1!$D$21:$D$23)</f>
        <v>69</v>
      </c>
      <c r="S1399" s="9">
        <f>Table1[[#This Row], [TOTAL TIME]]-Table1[[#This Row], [TOTAL TIME TAKEN]]</f>
        <v>1.3762500000000131</v>
      </c>
      <c r="T1399" t="str">
        <f>IF(Table1[[#This Row], [TIME DIFFERENCE]]&gt;=0,"PASS","FAIL")</f>
        <v>PASS</v>
      </c>
      <c r="U1399" s="9">
        <f>Table1[[#This Row], [TRC]]+Table1[[#This Row], [DRC]]+Table1[[#This Row], [WRC]]+Table1[[#This Row], [ERC]]+Table1[[#This Row], [EQRC]]</f>
        <v>8047613.5437499993</v>
      </c>
      <c r="V1399" s="9">
        <f>Table1[[#This Row], [TOTAL COST]]+_xlfn.XLOOKUP(Table1[[#This Row], [TEAM]],Sheet1!$A$12:$A$17,Sheet1!$I$12:$I$17)</f>
        <v>8344261.0437499993</v>
      </c>
      <c r="W1399" s="9">
        <f>Table1[[#This Row], [LOOT]]-Table1[[#This Row], [TOTAL COST]]</f>
        <v>9352386.4562500007</v>
      </c>
      <c r="X1399" s="9">
        <f>IF(Table1[[#This Row], [PASS/FAIL]]="FAIL",0,Table1[[#This Row], [PROFIT]])</f>
        <v>9352386.4562500007</v>
      </c>
    </row>
    <row r="1400" spans="1:24" ht="19.5" customHeight="1" x14ac:dyDescent="0.45">
      <c r="A1400" t="s">
        <v>9</v>
      </c>
      <c r="B1400" s="14">
        <f>_xlfn.XLOOKUP(Table1[[#This Row], [TEAM]],Sheet1!$A$12:$A$17,Sheet1!$F$12:$F$17)</f>
        <v>3</v>
      </c>
      <c r="C1400" s="14">
        <f>_xlfn.XLOOKUP(Table1[[#This Row], [TEAM]],Sheet1!$A$12:$A$17,Sheet1!$G$12:$G$17)</f>
        <v>6238750</v>
      </c>
      <c r="D1400" t="s">
        <v>17</v>
      </c>
      <c r="E1400" s="4">
        <f>_xlfn.XLOOKUP(Table1[[#This Row], [ROOM]],Sheet1!$A$47:$A$66,Sheet1!$B$47:$B$66)</f>
        <v>125</v>
      </c>
      <c r="F1400" t="s">
        <v>58</v>
      </c>
      <c r="G1400" s="4">
        <f>_xlfn.XLOOKUP(Table1[[#This Row], [DISGUISE]],Sheet1!$A$21:$A$23,Sheet1!$B$21:$B$23)*Table1[[#This Row], [NUM OF MEM]]*(1+_xlfn.XLOOKUP(Table1[[#This Row], [DISGUISE]],Sheet1!$A$21:$A$23,Sheet1!$C$21:$C$23))</f>
        <v>38400</v>
      </c>
      <c r="H1400" s="13" t="s">
        <v>63</v>
      </c>
      <c r="I1400" s="4">
        <f>_xlfn.XLOOKUP(Table1[[#This Row], [WEAPON]],Sheet1!$A$27:$A$29,Sheet1!$B$27:$B$29)*Table1[[#This Row], [NUM OF MEM]]*(1+_xlfn.XLOOKUP(Table1[[#This Row], [WEAPON]],Sheet1!$A$27:$A$29,Sheet1!$C$27:$C$29))</f>
        <v>69000</v>
      </c>
      <c r="J1400" t="s">
        <v>60</v>
      </c>
      <c r="K1400" s="9">
        <f>Table1[[#This Row], [NUM OF MEM]]*Table1[[#This Row], [TOTAL TIME TAKEN]]*_xlfn.XLOOKUP(Table1[[#This Row], [EXIT]],Sheet1!$A$70:$A$71,Sheet1!$B$70:$B$71)*(1+_xlfn.XLOOKUP(Table1[[#This Row], [EXIT]],Sheet1!$A$70:$A$71,Sheet1!$C$70:$C$71))</f>
        <v>1651478.5874999999</v>
      </c>
      <c r="L1400" s="13" t="s">
        <v>61</v>
      </c>
      <c r="M1400" s="4">
        <f>IF(Table1[[#This Row], [EQUIPMENT]]="YES",Sheet1!$C$44*(1+Sheet1!$D$44),0)</f>
        <v>0</v>
      </c>
      <c r="N1400" s="4">
        <f>_xlfn.XLOOKUP(Table1[[#This Row], [ROOM]],Sheet1!$A$47:$A$66,Sheet1!$F$47:$F$66)</f>
        <v>17350000</v>
      </c>
      <c r="O1400" s="9">
        <f>_xlfn.XLOOKUP(_xlfn.CONCAT(Table1[[#This Row], [TEAM]],Table1[[#This Row], [ROOM]]),'ROOM TIME'!$H$2:$H$121,'ROOM TIME'!$J$2:$J$121)</f>
        <v>38.398333333333326</v>
      </c>
      <c r="P1400" s="9">
        <f>(INDEX(Sheet1!$X$48:$Z$67,MATCH(Table1[[#This Row], [ROOM]],Sheet1!$P$48:$P$67,0),MATCH(Table1[[#This Row], [WEAPON]],Sheet1!$X$47:$Z$47,0)))/Table1[[#This Row], [NUM OF MEM]]</f>
        <v>4.5</v>
      </c>
      <c r="Q1400" s="9">
        <f>Table1[[#This Row], [ROOM TIME]]+Table1[[#This Row], [GUARD TIME]]</f>
        <v>42.898333333333326</v>
      </c>
      <c r="R1400" s="4">
        <f>Sheet1!$K$3*_xlfn.XLOOKUP(Table1[[#This Row], [DISGUISE]],Sheet1!$A$21:$A$23,Sheet1!$D$21:$D$23)</f>
        <v>69</v>
      </c>
      <c r="S1400" s="9">
        <f>Table1[[#This Row], [TOTAL TIME]]-Table1[[#This Row], [TOTAL TIME TAKEN]]</f>
        <v>26.101666666666674</v>
      </c>
      <c r="T1400" t="str">
        <f>IF(Table1[[#This Row], [TIME DIFFERENCE]]&gt;=0,"PASS","FAIL")</f>
        <v>PASS</v>
      </c>
      <c r="U1400" s="9">
        <f>Table1[[#This Row], [TRC]]+Table1[[#This Row], [DRC]]+Table1[[#This Row], [WRC]]+Table1[[#This Row], [ERC]]+Table1[[#This Row], [EQRC]]</f>
        <v>7997628.5875000004</v>
      </c>
      <c r="V1400" s="9">
        <f>Table1[[#This Row], [TOTAL COST]]+_xlfn.XLOOKUP(Table1[[#This Row], [TEAM]],Sheet1!$A$12:$A$17,Sheet1!$I$12:$I$17)</f>
        <v>8309566.0875000004</v>
      </c>
      <c r="W1400" s="9">
        <f>Table1[[#This Row], [LOOT]]-Table1[[#This Row], [TOTAL COST]]</f>
        <v>9352371.4124999996</v>
      </c>
      <c r="X1400" s="9">
        <f>IF(Table1[[#This Row], [PASS/FAIL]]="FAIL",0,Table1[[#This Row], [PROFIT]])</f>
        <v>9352371.4124999996</v>
      </c>
    </row>
    <row r="1401" spans="1:24" ht="19.5" customHeight="1" x14ac:dyDescent="0.45">
      <c r="A1401" t="s">
        <v>14</v>
      </c>
      <c r="B1401" s="14">
        <f>_xlfn.XLOOKUP(Table1[[#This Row], [TEAM]],Sheet1!$A$12:$A$17,Sheet1!$F$12:$F$17)</f>
        <v>2</v>
      </c>
      <c r="C1401" s="14">
        <f>_xlfn.XLOOKUP(Table1[[#This Row], [TEAM]],Sheet1!$A$12:$A$17,Sheet1!$G$12:$G$17)</f>
        <v>5949600</v>
      </c>
      <c r="D1401" t="s">
        <v>11</v>
      </c>
      <c r="E1401" s="4">
        <f>_xlfn.XLOOKUP(Table1[[#This Row], [ROOM]],Sheet1!$A$47:$A$66,Sheet1!$B$47:$B$66)</f>
        <v>124</v>
      </c>
      <c r="F1401" t="s">
        <v>58</v>
      </c>
      <c r="G1401" s="4">
        <f>_xlfn.XLOOKUP(Table1[[#This Row], [DISGUISE]],Sheet1!$A$21:$A$23,Sheet1!$B$21:$B$23)*Table1[[#This Row], [NUM OF MEM]]*(1+_xlfn.XLOOKUP(Table1[[#This Row], [DISGUISE]],Sheet1!$A$21:$A$23,Sheet1!$C$21:$C$23))</f>
        <v>25600</v>
      </c>
      <c r="H1401" s="13" t="s">
        <v>59</v>
      </c>
      <c r="I1401" s="4">
        <f>_xlfn.XLOOKUP(Table1[[#This Row], [WEAPON]],Sheet1!$A$27:$A$29,Sheet1!$B$27:$B$29)*Table1[[#This Row], [NUM OF MEM]]*(1+_xlfn.XLOOKUP(Table1[[#This Row], [WEAPON]],Sheet1!$A$27:$A$29,Sheet1!$C$27:$C$29))</f>
        <v>91000</v>
      </c>
      <c r="J1401" t="s">
        <v>60</v>
      </c>
      <c r="K1401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1725586.2749999999</v>
      </c>
      <c r="L1401" s="13" t="s">
        <v>65</v>
      </c>
      <c r="M1401" s="4">
        <f>IF(Table1[[#This Row], [EQUIPMENT]]="YES",Sheet1!$C$44*(1+Sheet1!$D$44),0)</f>
        <v>307500</v>
      </c>
      <c r="N1401" s="4">
        <f>_xlfn.XLOOKUP(Table1[[#This Row], [ROOM]],Sheet1!$A$47:$A$66,Sheet1!$F$47:$F$66)</f>
        <v>17450000</v>
      </c>
      <c r="O1401" s="9">
        <f>_xlfn.XLOOKUP(_xlfn.CONCAT(Table1[[#This Row], [TEAM]],Table1[[#This Row], [ROOM]]),'ROOM TIME'!$H$2:$H$121,'ROOM TIME'!$J$2:$J$121)</f>
        <v>60.91</v>
      </c>
      <c r="P1401" s="9">
        <f>(INDEX(Sheet1!$X$48:$Z$67,MATCH(Table1[[#This Row], [ROOM]],Sheet1!$P$48:$P$67,0),MATCH(Table1[[#This Row], [WEAPON]],Sheet1!$X$47:$Z$47,0)))/Table1[[#This Row], [NUM OF MEM]]</f>
        <v>6.3249999999999993</v>
      </c>
      <c r="Q1401" s="9">
        <f>Table1[[#This Row], [ROOM TIME]]+Table1[[#This Row], [GUARD TIME]]</f>
        <v>67.234999999999999</v>
      </c>
      <c r="R1401" s="4">
        <f>Sheet1!$K$3*_xlfn.XLOOKUP(Table1[[#This Row], [DISGUISE]],Sheet1!$A$21:$A$23,Sheet1!$D$21:$D$23)</f>
        <v>69</v>
      </c>
      <c r="S1401" s="9">
        <f>Table1[[#This Row], [TOTAL TIME]]-Table1[[#This Row], [TOTAL TIME TAKEN]]</f>
        <v>1.7650000000000006</v>
      </c>
      <c r="T1401" t="str">
        <f>IF(Table1[[#This Row], [TIME DIFFERENCE]]&gt;=0,"PASS","FAIL")</f>
        <v>PASS</v>
      </c>
      <c r="U1401" s="9">
        <f>Table1[[#This Row], [TRC]]+Table1[[#This Row], [DRC]]+Table1[[#This Row], [WRC]]+Table1[[#This Row], [ERC]]+Table1[[#This Row], [EQRC]]</f>
        <v>8099286.2750000004</v>
      </c>
      <c r="V1401" s="9">
        <f>Table1[[#This Row], [TOTAL COST]]+_xlfn.XLOOKUP(Table1[[#This Row], [TEAM]],Sheet1!$A$12:$A$17,Sheet1!$I$12:$I$17)</f>
        <v>8396766.2750000004</v>
      </c>
      <c r="W1401" s="9">
        <f>Table1[[#This Row], [LOOT]]-Table1[[#This Row], [TOTAL COST]]</f>
        <v>9350713.7249999996</v>
      </c>
      <c r="X1401" s="9">
        <f>IF(Table1[[#This Row], [PASS/FAIL]]="FAIL",0,Table1[[#This Row], [PROFIT]])</f>
        <v>9350713.7249999996</v>
      </c>
    </row>
    <row r="1402" spans="1:24" ht="19.5" customHeight="1" x14ac:dyDescent="0.45">
      <c r="A1402" t="s">
        <v>14</v>
      </c>
      <c r="B1402" s="14">
        <f>_xlfn.XLOOKUP(Table1[[#This Row], [TEAM]],Sheet1!$A$12:$A$17,Sheet1!$F$12:$F$17)</f>
        <v>2</v>
      </c>
      <c r="C1402" s="14">
        <f>_xlfn.XLOOKUP(Table1[[#This Row], [TEAM]],Sheet1!$A$12:$A$17,Sheet1!$G$12:$G$17)</f>
        <v>5949600</v>
      </c>
      <c r="D1402" t="s">
        <v>11</v>
      </c>
      <c r="E1402" s="4">
        <f>_xlfn.XLOOKUP(Table1[[#This Row], [ROOM]],Sheet1!$A$47:$A$66,Sheet1!$B$47:$B$66)</f>
        <v>124</v>
      </c>
      <c r="F1402" t="s">
        <v>58</v>
      </c>
      <c r="G1402" s="4">
        <f>_xlfn.XLOOKUP(Table1[[#This Row], [DISGUISE]],Sheet1!$A$21:$A$23,Sheet1!$B$21:$B$23)*Table1[[#This Row], [NUM OF MEM]]*(1+_xlfn.XLOOKUP(Table1[[#This Row], [DISGUISE]],Sheet1!$A$21:$A$23,Sheet1!$C$21:$C$23))</f>
        <v>25600</v>
      </c>
      <c r="H1402" s="13" t="s">
        <v>63</v>
      </c>
      <c r="I1402" s="4">
        <f>_xlfn.XLOOKUP(Table1[[#This Row], [WEAPON]],Sheet1!$A$27:$A$29,Sheet1!$B$27:$B$29)*Table1[[#This Row], [NUM OF MEM]]*(1+_xlfn.XLOOKUP(Table1[[#This Row], [WEAPON]],Sheet1!$A$27:$A$29,Sheet1!$C$27:$C$29))</f>
        <v>46000</v>
      </c>
      <c r="J1402" t="s">
        <v>64</v>
      </c>
      <c r="K1402" s="9">
        <f>Table1[[#This Row], [NUM OF MEM]]*Table1[[#This Row], [TOTAL TIME TAKEN]]*_xlfn.XLOOKUP(Table1[[#This Row], [EXIT]],Sheet1!$A$70:$A$71,Sheet1!$B$70:$B$71)*(1+_xlfn.XLOOKUP(Table1[[#This Row], [EXIT]],Sheet1!$A$70:$A$71,Sheet1!$C$70:$C$71))</f>
        <v>1771243.1999999997</v>
      </c>
      <c r="L1402" s="13" t="s">
        <v>65</v>
      </c>
      <c r="M1402" s="4">
        <f>IF(Table1[[#This Row], [EQUIPMENT]]="YES",Sheet1!$C$44*(1+Sheet1!$D$44),0)</f>
        <v>307500</v>
      </c>
      <c r="N1402" s="4">
        <f>_xlfn.XLOOKUP(Table1[[#This Row], [ROOM]],Sheet1!$A$47:$A$66,Sheet1!$F$47:$F$66)</f>
        <v>17450000</v>
      </c>
      <c r="O1402" s="9">
        <f>_xlfn.XLOOKUP(_xlfn.CONCAT(Table1[[#This Row], [TEAM]],Table1[[#This Row], [ROOM]]),'ROOM TIME'!$H$2:$H$121,'ROOM TIME'!$J$2:$J$121)</f>
        <v>60.91</v>
      </c>
      <c r="P1402" s="9">
        <f>(INDEX(Sheet1!$X$48:$Z$67,MATCH(Table1[[#This Row], [ROOM]],Sheet1!$P$48:$P$67,0),MATCH(Table1[[#This Row], [WEAPON]],Sheet1!$X$47:$Z$47,0)))/Table1[[#This Row], [NUM OF MEM]]</f>
        <v>7.4250000000000007</v>
      </c>
      <c r="Q1402" s="9">
        <f>Table1[[#This Row], [ROOM TIME]]+Table1[[#This Row], [GUARD TIME]]</f>
        <v>68.334999999999994</v>
      </c>
      <c r="R1402" s="4">
        <f>Sheet1!$K$3*_xlfn.XLOOKUP(Table1[[#This Row], [DISGUISE]],Sheet1!$A$21:$A$23,Sheet1!$D$21:$D$23)</f>
        <v>69</v>
      </c>
      <c r="S1402" s="9">
        <f>Table1[[#This Row], [TOTAL TIME]]-Table1[[#This Row], [TOTAL TIME TAKEN]]</f>
        <v>0.66500000000000625</v>
      </c>
      <c r="T1402" t="str">
        <f>IF(Table1[[#This Row], [TIME DIFFERENCE]]&gt;=0,"PASS","FAIL")</f>
        <v>PASS</v>
      </c>
      <c r="U1402" s="9">
        <f>Table1[[#This Row], [TRC]]+Table1[[#This Row], [DRC]]+Table1[[#This Row], [WRC]]+Table1[[#This Row], [ERC]]+Table1[[#This Row], [EQRC]]</f>
        <v>8099943.1999999993</v>
      </c>
      <c r="V1402" s="9">
        <f>Table1[[#This Row], [TOTAL COST]]+_xlfn.XLOOKUP(Table1[[#This Row], [TEAM]],Sheet1!$A$12:$A$17,Sheet1!$I$12:$I$17)</f>
        <v>8397423.1999999993</v>
      </c>
      <c r="W1402" s="9">
        <f>Table1[[#This Row], [LOOT]]-Table1[[#This Row], [TOTAL COST]]</f>
        <v>9350056.8000000007</v>
      </c>
      <c r="X1402" s="9">
        <f>IF(Table1[[#This Row], [PASS/FAIL]]="FAIL",0,Table1[[#This Row], [PROFIT]])</f>
        <v>9350056.8000000007</v>
      </c>
    </row>
    <row r="1403" spans="1:24" ht="19.5" customHeight="1" x14ac:dyDescent="0.45">
      <c r="A1403" t="s">
        <v>9</v>
      </c>
      <c r="B1403" s="14">
        <f>_xlfn.XLOOKUP(Table1[[#This Row], [TEAM]],Sheet1!$A$12:$A$17,Sheet1!$F$12:$F$17)</f>
        <v>3</v>
      </c>
      <c r="C1403" s="14">
        <f>_xlfn.XLOOKUP(Table1[[#This Row], [TEAM]],Sheet1!$A$12:$A$17,Sheet1!$G$12:$G$17)</f>
        <v>6238750</v>
      </c>
      <c r="D1403" t="s">
        <v>23</v>
      </c>
      <c r="E1403" s="4">
        <f>_xlfn.XLOOKUP(Table1[[#This Row], [ROOM]],Sheet1!$A$47:$A$66,Sheet1!$B$47:$B$66)</f>
        <v>245</v>
      </c>
      <c r="F1403" t="s">
        <v>62</v>
      </c>
      <c r="G14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403" s="13" t="s">
        <v>59</v>
      </c>
      <c r="I1403" s="4">
        <f>_xlfn.XLOOKUP(Table1[[#This Row], [WEAPON]],Sheet1!$A$27:$A$29,Sheet1!$B$27:$B$29)*Table1[[#This Row], [NUM OF MEM]]*(1+_xlfn.XLOOKUP(Table1[[#This Row], [WEAPON]],Sheet1!$A$27:$A$29,Sheet1!$C$27:$C$29))</f>
        <v>136500</v>
      </c>
      <c r="J1403" t="s">
        <v>64</v>
      </c>
      <c r="K1403" s="9">
        <f>Table1[[#This Row], [NUM OF MEM]]*Table1[[#This Row], [TOTAL TIME TAKEN]]*_xlfn.XLOOKUP(Table1[[#This Row], [EXIT]],Sheet1!$A$70:$A$71,Sheet1!$B$70:$B$71)*(1+_xlfn.XLOOKUP(Table1[[#This Row], [EXIT]],Sheet1!$A$70:$A$71,Sheet1!$C$70:$C$71))</f>
        <v>1659311.9999999998</v>
      </c>
      <c r="L1403" s="13" t="s">
        <v>61</v>
      </c>
      <c r="M1403" s="4">
        <f>IF(Table1[[#This Row], [EQUIPMENT]]="YES",Sheet1!$C$44*(1+Sheet1!$D$44),0)</f>
        <v>0</v>
      </c>
      <c r="N1403" s="4">
        <f>_xlfn.XLOOKUP(Table1[[#This Row], [ROOM]],Sheet1!$A$47:$A$66,Sheet1!$F$47:$F$66)</f>
        <v>17400000</v>
      </c>
      <c r="O1403" s="9">
        <f>_xlfn.XLOOKUP(_xlfn.CONCAT(Table1[[#This Row], [TEAM]],Table1[[#This Row], [ROOM]]),'ROOM TIME'!$H$2:$H$121,'ROOM TIME'!$J$2:$J$121)</f>
        <v>38.461111111111101</v>
      </c>
      <c r="P1403" s="9">
        <f>(INDEX(Sheet1!$X$48:$Z$67,MATCH(Table1[[#This Row], [ROOM]],Sheet1!$P$48:$P$67,0),MATCH(Table1[[#This Row], [WEAPON]],Sheet1!$X$47:$Z$47,0)))/Table1[[#This Row], [NUM OF MEM]]</f>
        <v>4.2166666666666659</v>
      </c>
      <c r="Q1403" s="9">
        <f>Table1[[#This Row], [ROOM TIME]]+Table1[[#This Row], [GUARD TIME]]</f>
        <v>42.67777777777777</v>
      </c>
      <c r="R1403" s="4">
        <f>Sheet1!$K$3*_xlfn.XLOOKUP(Table1[[#This Row], [DISGUISE]],Sheet1!$A$21:$A$23,Sheet1!$D$21:$D$23)</f>
        <v>66</v>
      </c>
      <c r="S1403" s="9">
        <f>Table1[[#This Row], [TOTAL TIME]]-Table1[[#This Row], [TOTAL TIME TAKEN]]</f>
        <v>23.32222222222223</v>
      </c>
      <c r="T1403" t="str">
        <f>IF(Table1[[#This Row], [TIME DIFFERENCE]]&gt;=0,"PASS","FAIL")</f>
        <v>PASS</v>
      </c>
      <c r="U1403" s="4">
        <f>Table1[[#This Row], [TRC]]+Table1[[#This Row], [DRC]]+Table1[[#This Row], [WRC]]+Table1[[#This Row], [ERC]]+Table1[[#This Row], [EQRC]]</f>
        <v>8050162</v>
      </c>
      <c r="V1403" s="9">
        <f>Table1[[#This Row], [TOTAL COST]]+_xlfn.XLOOKUP(Table1[[#This Row], [TEAM]],Sheet1!$A$12:$A$17,Sheet1!$I$12:$I$17)</f>
        <v>8362099.5</v>
      </c>
      <c r="W1403" s="4">
        <f>Table1[[#This Row], [LOOT]]-Table1[[#This Row], [TOTAL COST]]</f>
        <v>9349838</v>
      </c>
      <c r="X1403" s="4">
        <f>IF(Table1[[#This Row], [PASS/FAIL]]="FAIL",0,Table1[[#This Row], [PROFIT]])</f>
        <v>9349838</v>
      </c>
    </row>
    <row r="1404" spans="1:24" ht="19.5" customHeight="1" x14ac:dyDescent="0.45">
      <c r="A1404" t="s">
        <v>9</v>
      </c>
      <c r="B1404" s="14">
        <f>_xlfn.XLOOKUP(Table1[[#This Row], [TEAM]],Sheet1!$A$12:$A$17,Sheet1!$F$12:$F$17)</f>
        <v>3</v>
      </c>
      <c r="C1404" s="14">
        <f>_xlfn.XLOOKUP(Table1[[#This Row], [TEAM]],Sheet1!$A$12:$A$17,Sheet1!$G$12:$G$17)</f>
        <v>6238750</v>
      </c>
      <c r="D1404" t="s">
        <v>30</v>
      </c>
      <c r="E1404" s="4">
        <f>_xlfn.XLOOKUP(Table1[[#This Row], [ROOM]],Sheet1!$A$47:$A$66,Sheet1!$B$47:$B$66)</f>
        <v>246</v>
      </c>
      <c r="F1404" t="s">
        <v>62</v>
      </c>
      <c r="G1404" s="4">
        <f>_xlfn.XLOOKUP(Table1[[#This Row], [DISGUISE]],Sheet1!$A$21:$A$23,Sheet1!$B$21:$B$23)*Table1[[#This Row], [NUM OF MEM]]*(1+_xlfn.XLOOKUP(Table1[[#This Row], [DISGUISE]],Sheet1!$A$21:$A$23,Sheet1!$C$21:$C$23))</f>
        <v>15600</v>
      </c>
      <c r="H1404" s="13" t="s">
        <v>63</v>
      </c>
      <c r="I1404" s="4">
        <f>_xlfn.XLOOKUP(Table1[[#This Row], [WEAPON]],Sheet1!$A$27:$A$29,Sheet1!$B$27:$B$29)*Table1[[#This Row], [NUM OF MEM]]*(1+_xlfn.XLOOKUP(Table1[[#This Row], [WEAPON]],Sheet1!$A$27:$A$29,Sheet1!$C$27:$C$29))</f>
        <v>69000</v>
      </c>
      <c r="J1404" t="s">
        <v>64</v>
      </c>
      <c r="K1404" s="9">
        <f>Table1[[#This Row], [NUM OF MEM]]*Table1[[#This Row], [TOTAL TIME TAKEN]]*_xlfn.XLOOKUP(Table1[[#This Row], [EXIT]],Sheet1!$A$70:$A$71,Sheet1!$B$70:$B$71)*(1+_xlfn.XLOOKUP(Table1[[#This Row], [EXIT]],Sheet1!$A$70:$A$71,Sheet1!$C$70:$C$71))</f>
        <v>1619524.7999999996</v>
      </c>
      <c r="L1404" s="13" t="s">
        <v>65</v>
      </c>
      <c r="M1404" s="4">
        <f>IF(Table1[[#This Row], [EQUIPMENT]]="YES",Sheet1!$C$44*(1+Sheet1!$D$44),0)</f>
        <v>307500</v>
      </c>
      <c r="N1404" s="4">
        <f>_xlfn.XLOOKUP(Table1[[#This Row], [ROOM]],Sheet1!$A$47:$A$66,Sheet1!$F$47:$F$66)</f>
        <v>17600000</v>
      </c>
      <c r="O1404" s="9">
        <f>_xlfn.XLOOKUP(_xlfn.CONCAT(Table1[[#This Row], [TEAM]],Table1[[#This Row], [ROOM]]),'ROOM TIME'!$H$2:$H$121,'ROOM TIME'!$J$2:$J$121)</f>
        <v>36.254444444444438</v>
      </c>
      <c r="P1404" s="9">
        <f>(INDEX(Sheet1!$X$48:$Z$67,MATCH(Table1[[#This Row], [ROOM]],Sheet1!$P$48:$P$67,0),MATCH(Table1[[#This Row], [WEAPON]],Sheet1!$X$47:$Z$47,0)))/Table1[[#This Row], [NUM OF MEM]]</f>
        <v>5.4000000000000012</v>
      </c>
      <c r="Q1404" s="9">
        <f>Table1[[#This Row], [ROOM TIME]]+Table1[[#This Row], [GUARD TIME]]</f>
        <v>41.654444444444437</v>
      </c>
      <c r="R1404" s="4">
        <f>Sheet1!$K$3*_xlfn.XLOOKUP(Table1[[#This Row], [DISGUISE]],Sheet1!$A$21:$A$23,Sheet1!$D$21:$D$23)</f>
        <v>66</v>
      </c>
      <c r="S1404" s="9">
        <f>Table1[[#This Row], [TOTAL TIME]]-Table1[[#This Row], [TOTAL TIME TAKEN]]</f>
        <v>24.345555555555563</v>
      </c>
      <c r="T1404" t="str">
        <f>IF(Table1[[#This Row], [TIME DIFFERENCE]]&gt;=0,"PASS","FAIL")</f>
        <v>PASS</v>
      </c>
      <c r="U1404" s="9">
        <f>Table1[[#This Row], [TRC]]+Table1[[#This Row], [DRC]]+Table1[[#This Row], [WRC]]+Table1[[#This Row], [ERC]]+Table1[[#This Row], [EQRC]]</f>
        <v>8250374.7999999998</v>
      </c>
      <c r="V1404" s="9">
        <f>Table1[[#This Row], [TOTAL COST]]+_xlfn.XLOOKUP(Table1[[#This Row], [TEAM]],Sheet1!$A$12:$A$17,Sheet1!$I$12:$I$17)</f>
        <v>8562312.3000000007</v>
      </c>
      <c r="W1404" s="9">
        <f>Table1[[#This Row], [LOOT]]-Table1[[#This Row], [TOTAL COST]]</f>
        <v>9349625.1999999993</v>
      </c>
      <c r="X1404" s="9">
        <f>IF(Table1[[#This Row], [PASS/FAIL]]="FAIL",0,Table1[[#This Row], [PROFIT]])</f>
        <v>9349625.1999999993</v>
      </c>
    </row>
    <row r="1405" spans="1:24" ht="19.5" customHeight="1" x14ac:dyDescent="0.45">
      <c r="A1405" t="s">
        <v>9</v>
      </c>
      <c r="B1405" s="14">
        <f>_xlfn.XLOOKUP(Table1[[#This Row], [TEAM]],Sheet1!$A$12:$A$17,Sheet1!$F$12:$F$17)</f>
        <v>3</v>
      </c>
      <c r="C1405" s="14">
        <f>_xlfn.XLOOKUP(Table1[[#This Row], [TEAM]],Sheet1!$A$12:$A$17,Sheet1!$G$12:$G$17)</f>
        <v>6238750</v>
      </c>
      <c r="D1405" t="s">
        <v>17</v>
      </c>
      <c r="E1405" s="4">
        <f>_xlfn.XLOOKUP(Table1[[#This Row], [ROOM]],Sheet1!$A$47:$A$66,Sheet1!$B$47:$B$66)</f>
        <v>125</v>
      </c>
      <c r="F1405" t="s">
        <v>62</v>
      </c>
      <c r="G1405" s="4">
        <f>_xlfn.XLOOKUP(Table1[[#This Row], [DISGUISE]],Sheet1!$A$21:$A$23,Sheet1!$B$21:$B$23)*Table1[[#This Row], [NUM OF MEM]]*(1+_xlfn.XLOOKUP(Table1[[#This Row], [DISGUISE]],Sheet1!$A$21:$A$23,Sheet1!$C$21:$C$23))</f>
        <v>15600</v>
      </c>
      <c r="H1405" s="13" t="s">
        <v>66</v>
      </c>
      <c r="I1405" s="4">
        <f>_xlfn.XLOOKUP(Table1[[#This Row], [WEAPON]],Sheet1!$A$27:$A$29,Sheet1!$B$27:$B$29)*Table1[[#This Row], [NUM OF MEM]]*(1+_xlfn.XLOOKUP(Table1[[#This Row], [WEAPON]],Sheet1!$A$27:$A$29,Sheet1!$C$27:$C$29))</f>
        <v>108000</v>
      </c>
      <c r="J1405" t="s">
        <v>60</v>
      </c>
      <c r="K1405" s="9">
        <f>Table1[[#This Row], [NUM OF MEM]]*Table1[[#This Row], [TOTAL TIME TAKEN]]*_xlfn.XLOOKUP(Table1[[#This Row], [EXIT]],Sheet1!$A$70:$A$71,Sheet1!$B$70:$B$71)*(1+_xlfn.XLOOKUP(Table1[[#This Row], [EXIT]],Sheet1!$A$70:$A$71,Sheet1!$C$70:$C$71))</f>
        <v>1638646.0874999997</v>
      </c>
      <c r="L1405" s="13" t="s">
        <v>61</v>
      </c>
      <c r="M1405" s="4">
        <f>IF(Table1[[#This Row], [EQUIPMENT]]="YES",Sheet1!$C$44*(1+Sheet1!$D$44),0)</f>
        <v>0</v>
      </c>
      <c r="N1405" s="4">
        <f>_xlfn.XLOOKUP(Table1[[#This Row], [ROOM]],Sheet1!$A$47:$A$66,Sheet1!$F$47:$F$66)</f>
        <v>17350000</v>
      </c>
      <c r="O1405" s="9">
        <f>_xlfn.XLOOKUP(_xlfn.CONCAT(Table1[[#This Row], [TEAM]],Table1[[#This Row], [ROOM]]),'ROOM TIME'!$H$2:$H$121,'ROOM TIME'!$J$2:$J$121)</f>
        <v>38.398333333333326</v>
      </c>
      <c r="P1405" s="9">
        <f>(INDEX(Sheet1!$X$48:$Z$67,MATCH(Table1[[#This Row], [ROOM]],Sheet1!$P$48:$P$67,0),MATCH(Table1[[#This Row], [WEAPON]],Sheet1!$X$47:$Z$47,0)))/Table1[[#This Row], [NUM OF MEM]]</f>
        <v>4.166666666666667</v>
      </c>
      <c r="Q1405" s="9">
        <f>Table1[[#This Row], [ROOM TIME]]+Table1[[#This Row], [GUARD TIME]]</f>
        <v>42.564999999999991</v>
      </c>
      <c r="R1405" s="4">
        <f>Sheet1!$K$3*_xlfn.XLOOKUP(Table1[[#This Row], [DISGUISE]],Sheet1!$A$21:$A$23,Sheet1!$D$21:$D$23)</f>
        <v>66</v>
      </c>
      <c r="S1405" s="9">
        <f>Table1[[#This Row], [TOTAL TIME]]-Table1[[#This Row], [TOTAL TIME TAKEN]]</f>
        <v>23.435000000000009</v>
      </c>
      <c r="T1405" t="str">
        <f>IF(Table1[[#This Row], [TIME DIFFERENCE]]&gt;=0,"PASS","FAIL")</f>
        <v>PASS</v>
      </c>
      <c r="U1405" s="9">
        <f>Table1[[#This Row], [TRC]]+Table1[[#This Row], [DRC]]+Table1[[#This Row], [WRC]]+Table1[[#This Row], [ERC]]+Table1[[#This Row], [EQRC]]</f>
        <v>8000996.0874999994</v>
      </c>
      <c r="V1405" s="9">
        <f>Table1[[#This Row], [TOTAL COST]]+_xlfn.XLOOKUP(Table1[[#This Row], [TEAM]],Sheet1!$A$12:$A$17,Sheet1!$I$12:$I$17)</f>
        <v>8312933.5874999994</v>
      </c>
      <c r="W1405" s="9">
        <f>Table1[[#This Row], [LOOT]]-Table1[[#This Row], [TOTAL COST]]</f>
        <v>9349003.9125000015</v>
      </c>
      <c r="X1405" s="9">
        <f>IF(Table1[[#This Row], [PASS/FAIL]]="FAIL",0,Table1[[#This Row], [PROFIT]])</f>
        <v>9349003.9125000015</v>
      </c>
    </row>
    <row r="1406" spans="1:24" ht="19.5" customHeight="1" x14ac:dyDescent="0.45">
      <c r="A1406" t="s">
        <v>16</v>
      </c>
      <c r="B1406" s="14">
        <f>_xlfn.XLOOKUP(Table1[[#This Row], [TEAM]],Sheet1!$A$12:$A$17,Sheet1!$F$12:$F$17)</f>
        <v>2</v>
      </c>
      <c r="C1406" s="14">
        <f>_xlfn.XLOOKUP(Table1[[#This Row], [TEAM]],Sheet1!$A$12:$A$17,Sheet1!$G$12:$G$17)</f>
        <v>6082800</v>
      </c>
      <c r="D1406" t="s">
        <v>20</v>
      </c>
      <c r="E1406" s="4">
        <f>_xlfn.XLOOKUP(Table1[[#This Row], [ROOM]],Sheet1!$A$47:$A$66,Sheet1!$B$47:$B$66)</f>
        <v>145</v>
      </c>
      <c r="F1406" t="s">
        <v>58</v>
      </c>
      <c r="G1406" s="4">
        <f>_xlfn.XLOOKUP(Table1[[#This Row], [DISGUISE]],Sheet1!$A$21:$A$23,Sheet1!$B$21:$B$23)*Table1[[#This Row], [NUM OF MEM]]*(1+_xlfn.XLOOKUP(Table1[[#This Row], [DISGUISE]],Sheet1!$A$21:$A$23,Sheet1!$C$21:$C$23))</f>
        <v>25600</v>
      </c>
      <c r="H1406" s="13" t="s">
        <v>66</v>
      </c>
      <c r="I1406" s="4">
        <f>_xlfn.XLOOKUP(Table1[[#This Row], [WEAPON]],Sheet1!$A$27:$A$29,Sheet1!$B$27:$B$29)*Table1[[#This Row], [NUM OF MEM]]*(1+_xlfn.XLOOKUP(Table1[[#This Row], [WEAPON]],Sheet1!$A$27:$A$29,Sheet1!$C$27:$C$29))</f>
        <v>72000</v>
      </c>
      <c r="J1406" t="s">
        <v>64</v>
      </c>
      <c r="K1406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1714640.3999999994</v>
      </c>
      <c r="L1406" s="13" t="s">
        <v>65</v>
      </c>
      <c r="M1406" s="4">
        <f>IF(Table1[[#This Row], [EQUIPMENT]]="YES",Sheet1!$C$44*(1+Sheet1!$D$44),0)</f>
        <v>307500</v>
      </c>
      <c r="N1406" s="4">
        <f>_xlfn.XLOOKUP(Table1[[#This Row], [ROOM]],Sheet1!$A$47:$A$66,Sheet1!$F$47:$F$66)</f>
        <v>17550000</v>
      </c>
      <c r="O1406" s="9">
        <f>_xlfn.XLOOKUP(_xlfn.CONCAT(Table1[[#This Row], [TEAM]],Table1[[#This Row], [ROOM]]),'ROOM TIME'!$H$2:$H$121,'ROOM TIME'!$J$2:$J$121)</f>
        <v>59.901249999999983</v>
      </c>
      <c r="P1406" s="9">
        <f>(INDEX(Sheet1!$X$48:$Z$67,MATCH(Table1[[#This Row], [ROOM]],Sheet1!$P$48:$P$67,0),MATCH(Table1[[#This Row], [WEAPON]],Sheet1!$X$47:$Z$47,0)))/Table1[[#This Row], [NUM OF MEM]]</f>
        <v>6.25</v>
      </c>
      <c r="Q1406" s="9">
        <f>Table1[[#This Row], [ROOM TIME]]+Table1[[#This Row], [GUARD TIME]]</f>
        <v>66.151249999999976</v>
      </c>
      <c r="R1406" s="4">
        <f>Sheet1!$K$3*_xlfn.XLOOKUP(Table1[[#This Row], [DISGUISE]],Sheet1!$A$21:$A$23,Sheet1!$D$21:$D$23)</f>
        <v>69</v>
      </c>
      <c r="S1406" s="9">
        <f>Table1[[#This Row], [TOTAL TIME]]-Table1[[#This Row], [TOTAL TIME TAKEN]]</f>
        <v>2.8487500000000239</v>
      </c>
      <c r="T1406" t="str">
        <f>IF(Table1[[#This Row], [TIME DIFFERENCE]]&gt;=0,"PASS","FAIL")</f>
        <v>PASS</v>
      </c>
      <c r="U1406" s="9">
        <f>Table1[[#This Row], [TRC]]+Table1[[#This Row], [DRC]]+Table1[[#This Row], [WRC]]+Table1[[#This Row], [ERC]]+Table1[[#This Row], [EQRC]]</f>
        <v>8202540.3999999994</v>
      </c>
      <c r="V1406" s="9">
        <f>Table1[[#This Row], [TOTAL COST]]+_xlfn.XLOOKUP(Table1[[#This Row], [TEAM]],Sheet1!$A$12:$A$17,Sheet1!$I$12:$I$17)</f>
        <v>8506680.3999999985</v>
      </c>
      <c r="W1406" s="9">
        <f>Table1[[#This Row], [LOOT]]-Table1[[#This Row], [TOTAL COST]]</f>
        <v>9347459.6000000015</v>
      </c>
      <c r="X1406" s="9">
        <f>IF(Table1[[#This Row], [PASS/FAIL]]="FAIL",0,Table1[[#This Row], [PROFIT]])</f>
        <v>9347459.6000000015</v>
      </c>
    </row>
    <row r="1407" spans="1:24" ht="19.5" customHeight="1" x14ac:dyDescent="0.45">
      <c r="A1407" t="s">
        <v>15</v>
      </c>
      <c r="B1407" s="14">
        <f>_xlfn.XLOOKUP(Table1[[#This Row], [TEAM]],Sheet1!$A$12:$A$17,Sheet1!$F$12:$F$17)</f>
        <v>2</v>
      </c>
      <c r="C1407" s="14">
        <f>_xlfn.XLOOKUP(Table1[[#This Row], [TEAM]],Sheet1!$A$12:$A$17,Sheet1!$G$12:$G$17)</f>
        <v>5932950</v>
      </c>
      <c r="D1407" t="s">
        <v>11</v>
      </c>
      <c r="E1407" s="4">
        <f>_xlfn.XLOOKUP(Table1[[#This Row], [ROOM]],Sheet1!$A$47:$A$66,Sheet1!$B$47:$B$66)</f>
        <v>124</v>
      </c>
      <c r="F1407" t="s">
        <v>58</v>
      </c>
      <c r="G1407" s="4">
        <f>_xlfn.XLOOKUP(Table1[[#This Row], [DISGUISE]],Sheet1!$A$21:$A$23,Sheet1!$B$21:$B$23)*Table1[[#This Row], [NUM OF MEM]]*(1+_xlfn.XLOOKUP(Table1[[#This Row], [DISGUISE]],Sheet1!$A$21:$A$23,Sheet1!$C$21:$C$23))</f>
        <v>25600</v>
      </c>
      <c r="H1407" s="13" t="s">
        <v>66</v>
      </c>
      <c r="I1407" s="4">
        <f>_xlfn.XLOOKUP(Table1[[#This Row], [WEAPON]],Sheet1!$A$27:$A$29,Sheet1!$B$27:$B$29)*Table1[[#This Row], [NUM OF MEM]]*(1+_xlfn.XLOOKUP(Table1[[#This Row], [WEAPON]],Sheet1!$A$27:$A$29,Sheet1!$C$27:$C$29))</f>
        <v>72000</v>
      </c>
      <c r="J1407" t="s">
        <v>64</v>
      </c>
      <c r="K1407" s="9">
        <f>Table1[[#This Row], [NUM OF MEM]]*Table1[[#This Row], [TOTAL TIME TAKEN]]*_xlfn.XLOOKUP(Table1[[#This Row], [EXIT]],Sheet1!$A$70:$A$71,Sheet1!$B$70:$B$71)*(1+_xlfn.XLOOKUP(Table1[[#This Row], [EXIT]],Sheet1!$A$70:$A$71,Sheet1!$C$70:$C$71))</f>
        <v>1766350.7999999993</v>
      </c>
      <c r="L1407" s="13" t="s">
        <v>65</v>
      </c>
      <c r="M1407" s="4">
        <f>IF(Table1[[#This Row], [EQUIPMENT]]="YES",Sheet1!$C$44*(1+Sheet1!$D$44),0)</f>
        <v>307500</v>
      </c>
      <c r="N1407" s="4">
        <f>_xlfn.XLOOKUP(Table1[[#This Row], [ROOM]],Sheet1!$A$47:$A$66,Sheet1!$F$47:$F$66)</f>
        <v>17450000</v>
      </c>
      <c r="O1407" s="9">
        <f>_xlfn.XLOOKUP(_xlfn.CONCAT(Table1[[#This Row], [TEAM]],Table1[[#This Row], [ROOM]]),'ROOM TIME'!$H$2:$H$121,'ROOM TIME'!$J$2:$J$121)</f>
        <v>61.271249999999981</v>
      </c>
      <c r="P1407" s="9">
        <f>(INDEX(Sheet1!$X$48:$Z$67,MATCH(Table1[[#This Row], [ROOM]],Sheet1!$P$48:$P$67,0),MATCH(Table1[[#This Row], [WEAPON]],Sheet1!$X$47:$Z$47,0)))/Table1[[#This Row], [NUM OF MEM]]</f>
        <v>6.875</v>
      </c>
      <c r="Q1407" s="9">
        <f>Table1[[#This Row], [ROOM TIME]]+Table1[[#This Row], [GUARD TIME]]</f>
        <v>68.146249999999981</v>
      </c>
      <c r="R1407" s="4">
        <f>Sheet1!$K$3*_xlfn.XLOOKUP(Table1[[#This Row], [DISGUISE]],Sheet1!$A$21:$A$23,Sheet1!$D$21:$D$23)</f>
        <v>69</v>
      </c>
      <c r="S1407" s="9">
        <f>Table1[[#This Row], [TOTAL TIME]]-Table1[[#This Row], [TOTAL TIME TAKEN]]</f>
        <v>0.85375000000001933</v>
      </c>
      <c r="T1407" t="str">
        <f>IF(Table1[[#This Row], [TIME DIFFERENCE]]&gt;=0,"PASS","FAIL")</f>
        <v>PASS</v>
      </c>
      <c r="U1407" s="9">
        <f>Table1[[#This Row], [TRC]]+Table1[[#This Row], [DRC]]+Table1[[#This Row], [WRC]]+Table1[[#This Row], [ERC]]+Table1[[#This Row], [EQRC]]</f>
        <v>8104400.7999999989</v>
      </c>
      <c r="V1407" s="9">
        <f>Table1[[#This Row], [TOTAL COST]]+_xlfn.XLOOKUP(Table1[[#This Row], [TEAM]],Sheet1!$A$12:$A$17,Sheet1!$I$12:$I$17)</f>
        <v>8401048.2999999989</v>
      </c>
      <c r="W1407" s="9">
        <f>Table1[[#This Row], [LOOT]]-Table1[[#This Row], [TOTAL COST]]</f>
        <v>9345599.2000000011</v>
      </c>
      <c r="X1407" s="9">
        <f>IF(Table1[[#This Row], [PASS/FAIL]]="FAIL",0,Table1[[#This Row], [PROFIT]])</f>
        <v>9345599.2000000011</v>
      </c>
    </row>
    <row r="1408" spans="1:24" ht="19.5" customHeight="1" x14ac:dyDescent="0.45">
      <c r="A1408" t="s">
        <v>9</v>
      </c>
      <c r="B1408" s="14">
        <f>_xlfn.XLOOKUP(Table1[[#This Row], [TEAM]],Sheet1!$A$12:$A$17,Sheet1!$F$12:$F$17)</f>
        <v>3</v>
      </c>
      <c r="C1408" s="14">
        <f>_xlfn.XLOOKUP(Table1[[#This Row], [TEAM]],Sheet1!$A$12:$A$17,Sheet1!$G$12:$G$17)</f>
        <v>6238750</v>
      </c>
      <c r="D1408" t="s">
        <v>23</v>
      </c>
      <c r="E1408" s="4">
        <f>_xlfn.XLOOKUP(Table1[[#This Row], [ROOM]],Sheet1!$A$47:$A$66,Sheet1!$B$47:$B$66)</f>
        <v>245</v>
      </c>
      <c r="F1408" t="s">
        <v>58</v>
      </c>
      <c r="G1408" s="4">
        <f>_xlfn.XLOOKUP(Table1[[#This Row], [DISGUISE]],Sheet1!$A$21:$A$23,Sheet1!$B$21:$B$23)*Table1[[#This Row], [NUM OF MEM]]*(1+_xlfn.XLOOKUP(Table1[[#This Row], [DISGUISE]],Sheet1!$A$21:$A$23,Sheet1!$C$21:$C$23))</f>
        <v>38400</v>
      </c>
      <c r="H1408" s="13" t="s">
        <v>59</v>
      </c>
      <c r="I1408" s="4">
        <f>_xlfn.XLOOKUP(Table1[[#This Row], [WEAPON]],Sheet1!$A$27:$A$29,Sheet1!$B$27:$B$29)*Table1[[#This Row], [NUM OF MEM]]*(1+_xlfn.XLOOKUP(Table1[[#This Row], [WEAPON]],Sheet1!$A$27:$A$29,Sheet1!$C$27:$C$29))</f>
        <v>136500</v>
      </c>
      <c r="J1408" t="s">
        <v>60</v>
      </c>
      <c r="K1408" s="9">
        <f>Table1[[#This Row], [NUM OF MEM]]*Table1[[#This Row], [TOTAL TIME TAKEN]]*_xlfn.XLOOKUP(Table1[[#This Row], [EXIT]],Sheet1!$A$70:$A$71,Sheet1!$B$70:$B$71)*(1+_xlfn.XLOOKUP(Table1[[#This Row], [EXIT]],Sheet1!$A$70:$A$71,Sheet1!$C$70:$C$71))</f>
        <v>1642987.7499999995</v>
      </c>
      <c r="L1408" s="13" t="s">
        <v>61</v>
      </c>
      <c r="M1408" s="4">
        <f>IF(Table1[[#This Row], [EQUIPMENT]]="YES",Sheet1!$C$44*(1+Sheet1!$D$44),0)</f>
        <v>0</v>
      </c>
      <c r="N1408" s="4">
        <f>_xlfn.XLOOKUP(Table1[[#This Row], [ROOM]],Sheet1!$A$47:$A$66,Sheet1!$F$47:$F$66)</f>
        <v>17400000</v>
      </c>
      <c r="O1408" s="9">
        <f>_xlfn.XLOOKUP(_xlfn.CONCAT(Table1[[#This Row], [TEAM]],Table1[[#This Row], [ROOM]]),'ROOM TIME'!$H$2:$H$121,'ROOM TIME'!$J$2:$J$121)</f>
        <v>38.461111111111101</v>
      </c>
      <c r="P1408" s="9">
        <f>(INDEX(Sheet1!$X$48:$Z$67,MATCH(Table1[[#This Row], [ROOM]],Sheet1!$P$48:$P$67,0),MATCH(Table1[[#This Row], [WEAPON]],Sheet1!$X$47:$Z$47,0)))/Table1[[#This Row], [NUM OF MEM]]</f>
        <v>4.2166666666666659</v>
      </c>
      <c r="Q1408" s="9">
        <f>Table1[[#This Row], [ROOM TIME]]+Table1[[#This Row], [GUARD TIME]]</f>
        <v>42.67777777777777</v>
      </c>
      <c r="R1408" s="4">
        <f>Sheet1!$K$3*_xlfn.XLOOKUP(Table1[[#This Row], [DISGUISE]],Sheet1!$A$21:$A$23,Sheet1!$D$21:$D$23)</f>
        <v>69</v>
      </c>
      <c r="S1408" s="9">
        <f>Table1[[#This Row], [TOTAL TIME]]-Table1[[#This Row], [TOTAL TIME TAKEN]]</f>
        <v>26.32222222222223</v>
      </c>
      <c r="T1408" t="str">
        <f>IF(Table1[[#This Row], [TIME DIFFERENCE]]&gt;=0,"PASS","FAIL")</f>
        <v>PASS</v>
      </c>
      <c r="U1408" s="9">
        <f>Table1[[#This Row], [TRC]]+Table1[[#This Row], [DRC]]+Table1[[#This Row], [WRC]]+Table1[[#This Row], [ERC]]+Table1[[#This Row], [EQRC]]</f>
        <v>8056637.75</v>
      </c>
      <c r="V1408" s="9">
        <f>Table1[[#This Row], [TOTAL COST]]+_xlfn.XLOOKUP(Table1[[#This Row], [TEAM]],Sheet1!$A$12:$A$17,Sheet1!$I$12:$I$17)</f>
        <v>8368575.25</v>
      </c>
      <c r="W1408" s="9">
        <f>Table1[[#This Row], [LOOT]]-Table1[[#This Row], [TOTAL COST]]</f>
        <v>9343362.25</v>
      </c>
      <c r="X1408" s="9">
        <f>IF(Table1[[#This Row], [PASS/FAIL]]="FAIL",0,Table1[[#This Row], [PROFIT]])</f>
        <v>9343362.25</v>
      </c>
    </row>
    <row r="1409" spans="1:24" ht="19.5" customHeight="1" x14ac:dyDescent="0.45">
      <c r="A1409" t="s">
        <v>9</v>
      </c>
      <c r="B1409" s="14">
        <f>_xlfn.XLOOKUP(Table1[[#This Row], [TEAM]],Sheet1!$A$12:$A$17,Sheet1!$F$12:$F$17)</f>
        <v>3</v>
      </c>
      <c r="C1409" s="14">
        <f>_xlfn.XLOOKUP(Table1[[#This Row], [TEAM]],Sheet1!$A$12:$A$17,Sheet1!$G$12:$G$17)</f>
        <v>6238750</v>
      </c>
      <c r="D1409" t="s">
        <v>30</v>
      </c>
      <c r="E1409" s="4">
        <f>_xlfn.XLOOKUP(Table1[[#This Row], [ROOM]],Sheet1!$A$47:$A$66,Sheet1!$B$47:$B$66)</f>
        <v>246</v>
      </c>
      <c r="F1409" t="s">
        <v>58</v>
      </c>
      <c r="G1409" s="4">
        <f>_xlfn.XLOOKUP(Table1[[#This Row], [DISGUISE]],Sheet1!$A$21:$A$23,Sheet1!$B$21:$B$23)*Table1[[#This Row], [NUM OF MEM]]*(1+_xlfn.XLOOKUP(Table1[[#This Row], [DISGUISE]],Sheet1!$A$21:$A$23,Sheet1!$C$21:$C$23))</f>
        <v>38400</v>
      </c>
      <c r="H1409" s="13" t="s">
        <v>63</v>
      </c>
      <c r="I1409" s="4">
        <f>_xlfn.XLOOKUP(Table1[[#This Row], [WEAPON]],Sheet1!$A$27:$A$29,Sheet1!$B$27:$B$29)*Table1[[#This Row], [NUM OF MEM]]*(1+_xlfn.XLOOKUP(Table1[[#This Row], [WEAPON]],Sheet1!$A$27:$A$29,Sheet1!$C$27:$C$29))</f>
        <v>69000</v>
      </c>
      <c r="J1409" t="s">
        <v>60</v>
      </c>
      <c r="K1409" s="9">
        <f>Table1[[#This Row], [NUM OF MEM]]*Table1[[#This Row], [TOTAL TIME TAKEN]]*_xlfn.XLOOKUP(Table1[[#This Row], [EXIT]],Sheet1!$A$70:$A$71,Sheet1!$B$70:$B$71)*(1+_xlfn.XLOOKUP(Table1[[#This Row], [EXIT]],Sheet1!$A$70:$A$71,Sheet1!$C$70:$C$71))</f>
        <v>1603591.9749999996</v>
      </c>
      <c r="L1409" s="13" t="s">
        <v>65</v>
      </c>
      <c r="M1409" s="4">
        <f>IF(Table1[[#This Row], [EQUIPMENT]]="YES",Sheet1!$C$44*(1+Sheet1!$D$44),0)</f>
        <v>307500</v>
      </c>
      <c r="N1409" s="4">
        <f>_xlfn.XLOOKUP(Table1[[#This Row], [ROOM]],Sheet1!$A$47:$A$66,Sheet1!$F$47:$F$66)</f>
        <v>17600000</v>
      </c>
      <c r="O1409" s="9">
        <f>_xlfn.XLOOKUP(_xlfn.CONCAT(Table1[[#This Row], [TEAM]],Table1[[#This Row], [ROOM]]),'ROOM TIME'!$H$2:$H$121,'ROOM TIME'!$J$2:$J$121)</f>
        <v>36.254444444444438</v>
      </c>
      <c r="P1409" s="9">
        <f>(INDEX(Sheet1!$X$48:$Z$67,MATCH(Table1[[#This Row], [ROOM]],Sheet1!$P$48:$P$67,0),MATCH(Table1[[#This Row], [WEAPON]],Sheet1!$X$47:$Z$47,0)))/Table1[[#This Row], [NUM OF MEM]]</f>
        <v>5.4000000000000012</v>
      </c>
      <c r="Q1409" s="9">
        <f>Table1[[#This Row], [ROOM TIME]]+Table1[[#This Row], [GUARD TIME]]</f>
        <v>41.654444444444437</v>
      </c>
      <c r="R1409" s="4">
        <f>Sheet1!$K$3*_xlfn.XLOOKUP(Table1[[#This Row], [DISGUISE]],Sheet1!$A$21:$A$23,Sheet1!$D$21:$D$23)</f>
        <v>69</v>
      </c>
      <c r="S1409" s="9">
        <f>Table1[[#This Row], [TOTAL TIME]]-Table1[[#This Row], [TOTAL TIME TAKEN]]</f>
        <v>27.345555555555563</v>
      </c>
      <c r="T1409" t="str">
        <f>IF(Table1[[#This Row], [TIME DIFFERENCE]]&gt;=0,"PASS","FAIL")</f>
        <v>PASS</v>
      </c>
      <c r="U1409" s="9">
        <f>Table1[[#This Row], [TRC]]+Table1[[#This Row], [DRC]]+Table1[[#This Row], [WRC]]+Table1[[#This Row], [ERC]]+Table1[[#This Row], [EQRC]]</f>
        <v>8257241.9749999996</v>
      </c>
      <c r="V1409" s="9">
        <f>Table1[[#This Row], [TOTAL COST]]+_xlfn.XLOOKUP(Table1[[#This Row], [TEAM]],Sheet1!$A$12:$A$17,Sheet1!$I$12:$I$17)</f>
        <v>8569179.4749999996</v>
      </c>
      <c r="W1409" s="9">
        <f>Table1[[#This Row], [LOOT]]-Table1[[#This Row], [TOTAL COST]]</f>
        <v>9342758.0250000004</v>
      </c>
      <c r="X1409" s="9">
        <f>IF(Table1[[#This Row], [PASS/FAIL]]="FAIL",0,Table1[[#This Row], [PROFIT]])</f>
        <v>9342758.0250000004</v>
      </c>
    </row>
    <row r="1410" spans="1:24" ht="19.5" customHeight="1" x14ac:dyDescent="0.45">
      <c r="A1410" t="s">
        <v>9</v>
      </c>
      <c r="B1410" s="14">
        <f>_xlfn.XLOOKUP(Table1[[#This Row], [TEAM]],Sheet1!$A$12:$A$17,Sheet1!$F$12:$F$17)</f>
        <v>3</v>
      </c>
      <c r="C1410" s="14">
        <f>_xlfn.XLOOKUP(Table1[[#This Row], [TEAM]],Sheet1!$A$12:$A$17,Sheet1!$G$12:$G$17)</f>
        <v>6238750</v>
      </c>
      <c r="D1410" t="s">
        <v>30</v>
      </c>
      <c r="E1410" s="4">
        <f>_xlfn.XLOOKUP(Table1[[#This Row], [ROOM]],Sheet1!$A$47:$A$66,Sheet1!$B$47:$B$66)</f>
        <v>246</v>
      </c>
      <c r="F1410" t="s">
        <v>62</v>
      </c>
      <c r="G141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10" s="13" t="s">
        <v>66</v>
      </c>
      <c r="I1410" s="4">
        <f>_xlfn.XLOOKUP(Table1[[#This Row], [WEAPON]],Sheet1!$A$27:$A$29,Sheet1!$B$27:$B$29)*Table1[[#This Row], [NUM OF MEM]]*(1+_xlfn.XLOOKUP(Table1[[#This Row], [WEAPON]],Sheet1!$A$27:$A$29,Sheet1!$C$27:$C$29))</f>
        <v>108000</v>
      </c>
      <c r="J1410" t="s">
        <v>60</v>
      </c>
      <c r="K1410" s="9">
        <f>Table1[[#This Row], [NUM OF MEM]]*Table1[[#This Row], [TOTAL TIME TAKEN]]*_xlfn.XLOOKUP(Table1[[#This Row], [EXIT]],Sheet1!$A$70:$A$71,Sheet1!$B$70:$B$71)*(1+_xlfn.XLOOKUP(Table1[[#This Row], [EXIT]],Sheet1!$A$70:$A$71,Sheet1!$C$70:$C$71))</f>
        <v>1588192.9749999999</v>
      </c>
      <c r="L1410" s="13" t="s">
        <v>65</v>
      </c>
      <c r="M1410" s="4">
        <f>IF(Table1[[#This Row], [EQUIPMENT]]="YES",Sheet1!$C$44*(1+Sheet1!$D$44),0)</f>
        <v>307500</v>
      </c>
      <c r="N1410" s="4">
        <f>_xlfn.XLOOKUP(Table1[[#This Row], [ROOM]],Sheet1!$A$47:$A$66,Sheet1!$F$47:$F$66)</f>
        <v>17600000</v>
      </c>
      <c r="O1410" s="9">
        <f>_xlfn.XLOOKUP(_xlfn.CONCAT(Table1[[#This Row], [TEAM]],Table1[[#This Row], [ROOM]]),'ROOM TIME'!$H$2:$H$121,'ROOM TIME'!$J$2:$J$121)</f>
        <v>36.254444444444438</v>
      </c>
      <c r="P1410" s="4">
        <f>(INDEX(Sheet1!$X$48:$Z$67,MATCH(Table1[[#This Row], [ROOM]],Sheet1!$P$48:$P$67,0),MATCH(Table1[[#This Row], [WEAPON]],Sheet1!$X$47:$Z$47,0)))/Table1[[#This Row], [NUM OF MEM]]</f>
        <v>5</v>
      </c>
      <c r="Q1410" s="9">
        <f>Table1[[#This Row], [ROOM TIME]]+Table1[[#This Row], [GUARD TIME]]</f>
        <v>41.254444444444438</v>
      </c>
      <c r="R1410" s="4">
        <f>Sheet1!$K$3*_xlfn.XLOOKUP(Table1[[#This Row], [DISGUISE]],Sheet1!$A$21:$A$23,Sheet1!$D$21:$D$23)</f>
        <v>66</v>
      </c>
      <c r="S1410" s="9">
        <f>Table1[[#This Row], [TOTAL TIME]]-Table1[[#This Row], [TOTAL TIME TAKEN]]</f>
        <v>24.745555555555562</v>
      </c>
      <c r="T1410" t="str">
        <f>IF(Table1[[#This Row], [TIME DIFFERENCE]]&gt;=0,"PASS","FAIL")</f>
        <v>PASS</v>
      </c>
      <c r="U1410" s="9">
        <f>Table1[[#This Row], [TRC]]+Table1[[#This Row], [DRC]]+Table1[[#This Row], [WRC]]+Table1[[#This Row], [ERC]]+Table1[[#This Row], [EQRC]]</f>
        <v>8258042.9749999996</v>
      </c>
      <c r="V1410" s="9">
        <f>Table1[[#This Row], [TOTAL COST]]+_xlfn.XLOOKUP(Table1[[#This Row], [TEAM]],Sheet1!$A$12:$A$17,Sheet1!$I$12:$I$17)</f>
        <v>8569980.4749999996</v>
      </c>
      <c r="W1410" s="9">
        <f>Table1[[#This Row], [LOOT]]-Table1[[#This Row], [TOTAL COST]]</f>
        <v>9341957.0250000004</v>
      </c>
      <c r="X1410" s="9">
        <f>IF(Table1[[#This Row], [PASS/FAIL]]="FAIL",0,Table1[[#This Row], [PROFIT]])</f>
        <v>9341957.0250000004</v>
      </c>
    </row>
    <row r="1411" spans="1:24" ht="19.5" customHeight="1" x14ac:dyDescent="0.45">
      <c r="A1411" t="s">
        <v>16</v>
      </c>
      <c r="B1411" s="14">
        <f>_xlfn.XLOOKUP(Table1[[#This Row], [TEAM]],Sheet1!$A$12:$A$17,Sheet1!$F$12:$F$17)</f>
        <v>2</v>
      </c>
      <c r="C1411" s="14">
        <f>_xlfn.XLOOKUP(Table1[[#This Row], [TEAM]],Sheet1!$A$12:$A$17,Sheet1!$G$12:$G$17)</f>
        <v>6082800</v>
      </c>
      <c r="D1411" t="s">
        <v>20</v>
      </c>
      <c r="E1411" s="4">
        <f>_xlfn.XLOOKUP(Table1[[#This Row], [ROOM]],Sheet1!$A$47:$A$66,Sheet1!$B$47:$B$66)</f>
        <v>145</v>
      </c>
      <c r="F1411" t="s">
        <v>58</v>
      </c>
      <c r="G1411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1" s="13" t="s">
        <v>59</v>
      </c>
      <c r="I1411" s="4">
        <f>_xlfn.XLOOKUP(Table1[[#This Row], [WEAPON]],Sheet1!$A$27:$A$29,Sheet1!$B$27:$B$29)*Table1[[#This Row], [NUM OF MEM]]*(1+_xlfn.XLOOKUP(Table1[[#This Row], [WEAPON]],Sheet1!$A$27:$A$29,Sheet1!$C$27:$C$29))</f>
        <v>91000</v>
      </c>
      <c r="J1411" t="s">
        <v>64</v>
      </c>
      <c r="K1411" s="9">
        <f>Table1[[#This Row], [NUM OF MEM]]*Table1[[#This Row], [TOTAL TIME TAKEN]]*_xlfn.XLOOKUP(Table1[[#This Row], [EXIT]],Sheet1!$A$70:$A$71,Sheet1!$B$70:$B$71)*(1+_xlfn.XLOOKUP(Table1[[#This Row], [EXIT]],Sheet1!$A$70:$A$71,Sheet1!$C$70:$C$71))</f>
        <v>1701680.3999999994</v>
      </c>
      <c r="L1411" s="13" t="s">
        <v>65</v>
      </c>
      <c r="M1411" s="4">
        <f>IF(Table1[[#This Row], [EQUIPMENT]]="YES",Sheet1!$C$44*(1+Sheet1!$D$44),0)</f>
        <v>307500</v>
      </c>
      <c r="N1411" s="4">
        <f>_xlfn.XLOOKUP(Table1[[#This Row], [ROOM]],Sheet1!$A$47:$A$66,Sheet1!$F$47:$F$66)</f>
        <v>17550000</v>
      </c>
      <c r="O1411" s="9">
        <f>_xlfn.XLOOKUP(_xlfn.CONCAT(Table1[[#This Row], [TEAM]],Table1[[#This Row], [ROOM]]),'ROOM TIME'!$H$2:$H$121,'ROOM TIME'!$J$2:$J$121)</f>
        <v>59.901249999999983</v>
      </c>
      <c r="P1411" s="9">
        <f>(INDEX(Sheet1!$X$48:$Z$67,MATCH(Table1[[#This Row], [ROOM]],Sheet1!$P$48:$P$67,0),MATCH(Table1[[#This Row], [WEAPON]],Sheet1!$X$47:$Z$47,0)))/Table1[[#This Row], [NUM OF MEM]]</f>
        <v>5.75</v>
      </c>
      <c r="Q1411" s="9">
        <f>Table1[[#This Row], [ROOM TIME]]+Table1[[#This Row], [GUARD TIME]]</f>
        <v>65.651249999999976</v>
      </c>
      <c r="R1411" s="4">
        <f>Sheet1!$K$3*_xlfn.XLOOKUP(Table1[[#This Row], [DISGUISE]],Sheet1!$A$21:$A$23,Sheet1!$D$21:$D$23)</f>
        <v>69</v>
      </c>
      <c r="S1411" s="9">
        <f>Table1[[#This Row], [TOTAL TIME]]-Table1[[#This Row], [TOTAL TIME TAKEN]]</f>
        <v>3.3487500000000239</v>
      </c>
      <c r="T1411" t="str">
        <f>IF(Table1[[#This Row], [TIME DIFFERENCE]]&gt;=0,"PASS","FAIL")</f>
        <v>PASS</v>
      </c>
      <c r="U1411" s="9">
        <f>Table1[[#This Row], [TRC]]+Table1[[#This Row], [DRC]]+Table1[[#This Row], [WRC]]+Table1[[#This Row], [ERC]]+Table1[[#This Row], [EQRC]]</f>
        <v>8208580.3999999994</v>
      </c>
      <c r="V1411" s="9">
        <f>Table1[[#This Row], [TOTAL COST]]+_xlfn.XLOOKUP(Table1[[#This Row], [TEAM]],Sheet1!$A$12:$A$17,Sheet1!$I$12:$I$17)</f>
        <v>8512720.3999999985</v>
      </c>
      <c r="W1411" s="9">
        <f>Table1[[#This Row], [LOOT]]-Table1[[#This Row], [TOTAL COST]]</f>
        <v>9341419.6000000015</v>
      </c>
      <c r="X1411" s="9">
        <f>IF(Table1[[#This Row], [PASS/FAIL]]="FAIL",0,Table1[[#This Row], [PROFIT]])</f>
        <v>9341419.6000000015</v>
      </c>
    </row>
    <row r="1412" spans="1:24" ht="19.5" customHeight="1" x14ac:dyDescent="0.45">
      <c r="A1412" t="s">
        <v>9</v>
      </c>
      <c r="B1412" s="14">
        <f>_xlfn.XLOOKUP(Table1[[#This Row], [TEAM]],Sheet1!$A$12:$A$17,Sheet1!$F$12:$F$17)</f>
        <v>3</v>
      </c>
      <c r="C1412" s="14">
        <f>_xlfn.XLOOKUP(Table1[[#This Row], [TEAM]],Sheet1!$A$12:$A$17,Sheet1!$G$12:$G$17)</f>
        <v>6238750</v>
      </c>
      <c r="D1412" t="s">
        <v>23</v>
      </c>
      <c r="E1412" s="4">
        <f>_xlfn.XLOOKUP(Table1[[#This Row], [ROOM]],Sheet1!$A$47:$A$66,Sheet1!$B$47:$B$66)</f>
        <v>245</v>
      </c>
      <c r="F1412" t="s">
        <v>58</v>
      </c>
      <c r="G1412" s="4">
        <f>_xlfn.XLOOKUP(Table1[[#This Row], [DISGUISE]],Sheet1!$A$21:$A$23,Sheet1!$B$21:$B$23)*Table1[[#This Row], [NUM OF MEM]]*(1+_xlfn.XLOOKUP(Table1[[#This Row], [DISGUISE]],Sheet1!$A$21:$A$23,Sheet1!$C$21:$C$23))</f>
        <v>38400</v>
      </c>
      <c r="H1412" s="13" t="s">
        <v>66</v>
      </c>
      <c r="I1412" s="4">
        <f>_xlfn.XLOOKUP(Table1[[#This Row], [WEAPON]],Sheet1!$A$27:$A$29,Sheet1!$B$27:$B$29)*Table1[[#This Row], [NUM OF MEM]]*(1+_xlfn.XLOOKUP(Table1[[#This Row], [WEAPON]],Sheet1!$A$27:$A$29,Sheet1!$C$27:$C$29))</f>
        <v>108000</v>
      </c>
      <c r="J1412" t="s">
        <v>64</v>
      </c>
      <c r="K1412" s="4">
        <f>Table1[[#This Row], [NUM OF MEM]]*Table1[[#This Row], [TOTAL TIME TAKEN]]*_xlfn.XLOOKUP(Table1[[#This Row], [EXIT]],Sheet1!$A$70:$A$71,Sheet1!$B$70:$B$71)*(1+_xlfn.XLOOKUP(Table1[[#This Row], [EXIT]],Sheet1!$A$70:$A$71,Sheet1!$C$70:$C$71))</f>
        <v>1673568</v>
      </c>
      <c r="L1412" s="13" t="s">
        <v>61</v>
      </c>
      <c r="M1412" s="4">
        <f>IF(Table1[[#This Row], [EQUIPMENT]]="YES",Sheet1!$C$44*(1+Sheet1!$D$44),0)</f>
        <v>0</v>
      </c>
      <c r="N1412" s="4">
        <f>_xlfn.XLOOKUP(Table1[[#This Row], [ROOM]],Sheet1!$A$47:$A$66,Sheet1!$F$47:$F$66)</f>
        <v>17400000</v>
      </c>
      <c r="O1412" s="9">
        <f>_xlfn.XLOOKUP(_xlfn.CONCAT(Table1[[#This Row], [TEAM]],Table1[[#This Row], [ROOM]]),'ROOM TIME'!$H$2:$H$121,'ROOM TIME'!$J$2:$J$121)</f>
        <v>38.461111111111101</v>
      </c>
      <c r="P1412" s="9">
        <f>(INDEX(Sheet1!$X$48:$Z$67,MATCH(Table1[[#This Row], [ROOM]],Sheet1!$P$48:$P$67,0),MATCH(Table1[[#This Row], [WEAPON]],Sheet1!$X$47:$Z$47,0)))/Table1[[#This Row], [NUM OF MEM]]</f>
        <v>4.583333333333333</v>
      </c>
      <c r="Q1412" s="9">
        <f>Table1[[#This Row], [ROOM TIME]]+Table1[[#This Row], [GUARD TIME]]</f>
        <v>43.044444444444437</v>
      </c>
      <c r="R1412" s="4">
        <f>Sheet1!$K$3*_xlfn.XLOOKUP(Table1[[#This Row], [DISGUISE]],Sheet1!$A$21:$A$23,Sheet1!$D$21:$D$23)</f>
        <v>69</v>
      </c>
      <c r="S1412" s="9">
        <f>Table1[[#This Row], [TOTAL TIME]]-Table1[[#This Row], [TOTAL TIME TAKEN]]</f>
        <v>25.955555555555563</v>
      </c>
      <c r="T1412" t="str">
        <f>IF(Table1[[#This Row], [TIME DIFFERENCE]]&gt;=0,"PASS","FAIL")</f>
        <v>PASS</v>
      </c>
      <c r="U1412" s="4">
        <f>Table1[[#This Row], [TRC]]+Table1[[#This Row], [DRC]]+Table1[[#This Row], [WRC]]+Table1[[#This Row], [ERC]]+Table1[[#This Row], [EQRC]]</f>
        <v>8058718</v>
      </c>
      <c r="V1412" s="9">
        <f>Table1[[#This Row], [TOTAL COST]]+_xlfn.XLOOKUP(Table1[[#This Row], [TEAM]],Sheet1!$A$12:$A$17,Sheet1!$I$12:$I$17)</f>
        <v>8370655.5</v>
      </c>
      <c r="W1412" s="4">
        <f>Table1[[#This Row], [LOOT]]-Table1[[#This Row], [TOTAL COST]]</f>
        <v>9341282</v>
      </c>
      <c r="X1412" s="4">
        <f>IF(Table1[[#This Row], [PASS/FAIL]]="FAIL",0,Table1[[#This Row], [PROFIT]])</f>
        <v>9341282</v>
      </c>
    </row>
    <row r="1413" spans="1:24" ht="19.5" customHeight="1" x14ac:dyDescent="0.45">
      <c r="A1413" t="s">
        <v>15</v>
      </c>
      <c r="B1413" s="14">
        <f>_xlfn.XLOOKUP(Table1[[#This Row], [TEAM]],Sheet1!$A$12:$A$17,Sheet1!$F$12:$F$17)</f>
        <v>2</v>
      </c>
      <c r="C1413" s="14">
        <f>_xlfn.XLOOKUP(Table1[[#This Row], [TEAM]],Sheet1!$A$12:$A$17,Sheet1!$G$12:$G$17)</f>
        <v>5932950</v>
      </c>
      <c r="D1413" t="s">
        <v>11</v>
      </c>
      <c r="E1413" s="4">
        <f>_xlfn.XLOOKUP(Table1[[#This Row], [ROOM]],Sheet1!$A$47:$A$66,Sheet1!$B$47:$B$66)</f>
        <v>124</v>
      </c>
      <c r="F1413" t="s">
        <v>58</v>
      </c>
      <c r="G1413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3" s="13" t="s">
        <v>59</v>
      </c>
      <c r="I1413" s="4">
        <f>_xlfn.XLOOKUP(Table1[[#This Row], [WEAPON]],Sheet1!$A$27:$A$29,Sheet1!$B$27:$B$29)*Table1[[#This Row], [NUM OF MEM]]*(1+_xlfn.XLOOKUP(Table1[[#This Row], [WEAPON]],Sheet1!$A$27:$A$29,Sheet1!$C$27:$C$29))</f>
        <v>91000</v>
      </c>
      <c r="J1413" t="s">
        <v>64</v>
      </c>
      <c r="K1413" s="9">
        <f>Table1[[#This Row], [NUM OF MEM]]*Table1[[#This Row], [TOTAL TIME TAKEN]]*_xlfn.XLOOKUP(Table1[[#This Row], [EXIT]],Sheet1!$A$70:$A$71,Sheet1!$B$70:$B$71)*(1+_xlfn.XLOOKUP(Table1[[#This Row], [EXIT]],Sheet1!$A$70:$A$71,Sheet1!$C$70:$C$71))</f>
        <v>1752094.7999999993</v>
      </c>
      <c r="L1413" s="13" t="s">
        <v>65</v>
      </c>
      <c r="M1413" s="4">
        <f>IF(Table1[[#This Row], [EQUIPMENT]]="YES",Sheet1!$C$44*(1+Sheet1!$D$44),0)</f>
        <v>307500</v>
      </c>
      <c r="N1413" s="4">
        <f>_xlfn.XLOOKUP(Table1[[#This Row], [ROOM]],Sheet1!$A$47:$A$66,Sheet1!$F$47:$F$66)</f>
        <v>17450000</v>
      </c>
      <c r="O1413" s="9">
        <f>_xlfn.XLOOKUP(_xlfn.CONCAT(Table1[[#This Row], [TEAM]],Table1[[#This Row], [ROOM]]),'ROOM TIME'!$H$2:$H$121,'ROOM TIME'!$J$2:$J$121)</f>
        <v>61.271249999999981</v>
      </c>
      <c r="P1413" s="9">
        <f>(INDEX(Sheet1!$X$48:$Z$67,MATCH(Table1[[#This Row], [ROOM]],Sheet1!$P$48:$P$67,0),MATCH(Table1[[#This Row], [WEAPON]],Sheet1!$X$47:$Z$47,0)))/Table1[[#This Row], [NUM OF MEM]]</f>
        <v>6.3249999999999993</v>
      </c>
      <c r="Q1413" s="9">
        <f>Table1[[#This Row], [ROOM TIME]]+Table1[[#This Row], [GUARD TIME]]</f>
        <v>67.596249999999984</v>
      </c>
      <c r="R1413" s="4">
        <f>Sheet1!$K$3*_xlfn.XLOOKUP(Table1[[#This Row], [DISGUISE]],Sheet1!$A$21:$A$23,Sheet1!$D$21:$D$23)</f>
        <v>69</v>
      </c>
      <c r="S1413" s="9">
        <f>Table1[[#This Row], [TOTAL TIME]]-Table1[[#This Row], [TOTAL TIME TAKEN]]</f>
        <v>1.4037500000000165</v>
      </c>
      <c r="T1413" t="str">
        <f>IF(Table1[[#This Row], [TIME DIFFERENCE]]&gt;=0,"PASS","FAIL")</f>
        <v>PASS</v>
      </c>
      <c r="U1413" s="9">
        <f>Table1[[#This Row], [TRC]]+Table1[[#This Row], [DRC]]+Table1[[#This Row], [WRC]]+Table1[[#This Row], [ERC]]+Table1[[#This Row], [EQRC]]</f>
        <v>8109144.7999999989</v>
      </c>
      <c r="V1413" s="9">
        <f>Table1[[#This Row], [TOTAL COST]]+_xlfn.XLOOKUP(Table1[[#This Row], [TEAM]],Sheet1!$A$12:$A$17,Sheet1!$I$12:$I$17)</f>
        <v>8405792.2999999989</v>
      </c>
      <c r="W1413" s="9">
        <f>Table1[[#This Row], [LOOT]]-Table1[[#This Row], [TOTAL COST]]</f>
        <v>9340855.2000000011</v>
      </c>
      <c r="X1413" s="9">
        <f>IF(Table1[[#This Row], [PASS/FAIL]]="FAIL",0,Table1[[#This Row], [PROFIT]])</f>
        <v>9340855.2000000011</v>
      </c>
    </row>
    <row r="1414" spans="1:24" ht="19.5" customHeight="1" x14ac:dyDescent="0.45">
      <c r="A1414" t="s">
        <v>15</v>
      </c>
      <c r="B1414" s="14">
        <f>_xlfn.XLOOKUP(Table1[[#This Row], [TEAM]],Sheet1!$A$12:$A$17,Sheet1!$F$12:$F$17)</f>
        <v>2</v>
      </c>
      <c r="C1414" s="14">
        <f>_xlfn.XLOOKUP(Table1[[#This Row], [TEAM]],Sheet1!$A$12:$A$17,Sheet1!$G$12:$G$17)</f>
        <v>5932950</v>
      </c>
      <c r="D1414" t="s">
        <v>23</v>
      </c>
      <c r="E1414" s="4">
        <f>_xlfn.XLOOKUP(Table1[[#This Row], [ROOM]],Sheet1!$A$47:$A$66,Sheet1!$B$47:$B$66)</f>
        <v>245</v>
      </c>
      <c r="F1414" t="s">
        <v>58</v>
      </c>
      <c r="G1414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4" s="13" t="s">
        <v>66</v>
      </c>
      <c r="I1414" s="4">
        <f>_xlfn.XLOOKUP(Table1[[#This Row], [WEAPON]],Sheet1!$A$27:$A$29,Sheet1!$B$27:$B$29)*Table1[[#This Row], [NUM OF MEM]]*(1+_xlfn.XLOOKUP(Table1[[#This Row], [WEAPON]],Sheet1!$A$27:$A$29,Sheet1!$C$27:$C$29))</f>
        <v>72000</v>
      </c>
      <c r="J1414" t="s">
        <v>60</v>
      </c>
      <c r="K1414" s="9">
        <f>Table1[[#This Row], [NUM OF MEM]]*Table1[[#This Row], [TOTAL TIME TAKEN]]*_xlfn.XLOOKUP(Table1[[#This Row], [EXIT]],Sheet1!$A$70:$A$71,Sheet1!$B$70:$B$71)*(1+_xlfn.XLOOKUP(Table1[[#This Row], [EXIT]],Sheet1!$A$70:$A$71,Sheet1!$C$70:$C$71))</f>
        <v>1721447.7937499997</v>
      </c>
      <c r="L1414" s="13" t="s">
        <v>65</v>
      </c>
      <c r="M1414" s="4">
        <f>IF(Table1[[#This Row], [EQUIPMENT]]="YES",Sheet1!$C$44*(1+Sheet1!$D$44),0)</f>
        <v>307500</v>
      </c>
      <c r="N1414" s="4">
        <f>_xlfn.XLOOKUP(Table1[[#This Row], [ROOM]],Sheet1!$A$47:$A$66,Sheet1!$F$47:$F$66)</f>
        <v>17400000</v>
      </c>
      <c r="O1414" s="9">
        <f>_xlfn.XLOOKUP(_xlfn.CONCAT(Table1[[#This Row], [TEAM]],Table1[[#This Row], [ROOM]]),'ROOM TIME'!$H$2:$H$121,'ROOM TIME'!$J$2:$J$121)</f>
        <v>60.198749999999983</v>
      </c>
      <c r="P1414" s="9">
        <f>(INDEX(Sheet1!$X$48:$Z$67,MATCH(Table1[[#This Row], [ROOM]],Sheet1!$P$48:$P$67,0),MATCH(Table1[[#This Row], [WEAPON]],Sheet1!$X$47:$Z$47,0)))/Table1[[#This Row], [NUM OF MEM]]</f>
        <v>6.875</v>
      </c>
      <c r="Q1414" s="9">
        <f>Table1[[#This Row], [ROOM TIME]]+Table1[[#This Row], [GUARD TIME]]</f>
        <v>67.07374999999999</v>
      </c>
      <c r="R1414" s="4">
        <f>Sheet1!$K$3*_xlfn.XLOOKUP(Table1[[#This Row], [DISGUISE]],Sheet1!$A$21:$A$23,Sheet1!$D$21:$D$23)</f>
        <v>69</v>
      </c>
      <c r="S1414" s="9">
        <f>Table1[[#This Row], [TOTAL TIME]]-Table1[[#This Row], [TOTAL TIME TAKEN]]</f>
        <v>1.9262500000000102</v>
      </c>
      <c r="T1414" t="str">
        <f>IF(Table1[[#This Row], [TIME DIFFERENCE]]&gt;=0,"PASS","FAIL")</f>
        <v>PASS</v>
      </c>
      <c r="U1414" s="9">
        <f>Table1[[#This Row], [TRC]]+Table1[[#This Row], [DRC]]+Table1[[#This Row], [WRC]]+Table1[[#This Row], [ERC]]+Table1[[#This Row], [EQRC]]</f>
        <v>8059497.7937499993</v>
      </c>
      <c r="V1414" s="9">
        <f>Table1[[#This Row], [TOTAL COST]]+_xlfn.XLOOKUP(Table1[[#This Row], [TEAM]],Sheet1!$A$12:$A$17,Sheet1!$I$12:$I$17)</f>
        <v>8356145.2937499993</v>
      </c>
      <c r="W1414" s="9">
        <f>Table1[[#This Row], [LOOT]]-Table1[[#This Row], [TOTAL COST]]</f>
        <v>9340502.2062500007</v>
      </c>
      <c r="X1414" s="9">
        <f>IF(Table1[[#This Row], [PASS/FAIL]]="FAIL",0,Table1[[#This Row], [PROFIT]])</f>
        <v>9340502.2062500007</v>
      </c>
    </row>
    <row r="1415" spans="1:24" ht="19.5" customHeight="1" x14ac:dyDescent="0.45">
      <c r="A1415" t="s">
        <v>14</v>
      </c>
      <c r="B1415" s="14">
        <f>_xlfn.XLOOKUP(Table1[[#This Row], [TEAM]],Sheet1!$A$12:$A$17,Sheet1!$F$12:$F$17)</f>
        <v>2</v>
      </c>
      <c r="C1415" s="14">
        <f>_xlfn.XLOOKUP(Table1[[#This Row], [TEAM]],Sheet1!$A$12:$A$17,Sheet1!$G$12:$G$17)</f>
        <v>5949600</v>
      </c>
      <c r="D1415" t="s">
        <v>11</v>
      </c>
      <c r="E1415" s="4">
        <f>_xlfn.XLOOKUP(Table1[[#This Row], [ROOM]],Sheet1!$A$47:$A$66,Sheet1!$B$47:$B$66)</f>
        <v>124</v>
      </c>
      <c r="F1415" t="s">
        <v>58</v>
      </c>
      <c r="G1415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5" s="13" t="s">
        <v>66</v>
      </c>
      <c r="I1415" s="4">
        <f>_xlfn.XLOOKUP(Table1[[#This Row], [WEAPON]],Sheet1!$A$27:$A$29,Sheet1!$B$27:$B$29)*Table1[[#This Row], [NUM OF MEM]]*(1+_xlfn.XLOOKUP(Table1[[#This Row], [WEAPON]],Sheet1!$A$27:$A$29,Sheet1!$C$27:$C$29))</f>
        <v>72000</v>
      </c>
      <c r="J1415" t="s">
        <v>64</v>
      </c>
      <c r="K1415" s="9">
        <f>Table1[[#This Row], [NUM OF MEM]]*Table1[[#This Row], [TOTAL TIME TAKEN]]*_xlfn.XLOOKUP(Table1[[#This Row], [EXIT]],Sheet1!$A$70:$A$71,Sheet1!$B$70:$B$71)*(1+_xlfn.XLOOKUP(Table1[[#This Row], [EXIT]],Sheet1!$A$70:$A$71,Sheet1!$C$70:$C$71))</f>
        <v>1756987.2</v>
      </c>
      <c r="L1415" s="13" t="s">
        <v>65</v>
      </c>
      <c r="M1415" s="4">
        <f>IF(Table1[[#This Row], [EQUIPMENT]]="YES",Sheet1!$C$44*(1+Sheet1!$D$44),0)</f>
        <v>307500</v>
      </c>
      <c r="N1415" s="4">
        <f>_xlfn.XLOOKUP(Table1[[#This Row], [ROOM]],Sheet1!$A$47:$A$66,Sheet1!$F$47:$F$66)</f>
        <v>17450000</v>
      </c>
      <c r="O1415" s="9">
        <f>_xlfn.XLOOKUP(_xlfn.CONCAT(Table1[[#This Row], [TEAM]],Table1[[#This Row], [ROOM]]),'ROOM TIME'!$H$2:$H$121,'ROOM TIME'!$J$2:$J$121)</f>
        <v>60.91</v>
      </c>
      <c r="P1415" s="9">
        <f>(INDEX(Sheet1!$X$48:$Z$67,MATCH(Table1[[#This Row], [ROOM]],Sheet1!$P$48:$P$67,0),MATCH(Table1[[#This Row], [WEAPON]],Sheet1!$X$47:$Z$47,0)))/Table1[[#This Row], [NUM OF MEM]]</f>
        <v>6.875</v>
      </c>
      <c r="Q1415" s="9">
        <f>Table1[[#This Row], [ROOM TIME]]+Table1[[#This Row], [GUARD TIME]]</f>
        <v>67.784999999999997</v>
      </c>
      <c r="R1415" s="4">
        <f>Sheet1!$K$3*_xlfn.XLOOKUP(Table1[[#This Row], [DISGUISE]],Sheet1!$A$21:$A$23,Sheet1!$D$21:$D$23)</f>
        <v>69</v>
      </c>
      <c r="S1415" s="9">
        <f>Table1[[#This Row], [TOTAL TIME]]-Table1[[#This Row], [TOTAL TIME TAKEN]]</f>
        <v>1.2150000000000034</v>
      </c>
      <c r="T1415" t="str">
        <f>IF(Table1[[#This Row], [TIME DIFFERENCE]]&gt;=0,"PASS","FAIL")</f>
        <v>PASS</v>
      </c>
      <c r="U1415" s="9">
        <f>Table1[[#This Row], [TRC]]+Table1[[#This Row], [DRC]]+Table1[[#This Row], [WRC]]+Table1[[#This Row], [ERC]]+Table1[[#This Row], [EQRC]]</f>
        <v>8111687.2000000002</v>
      </c>
      <c r="V1415" s="9">
        <f>Table1[[#This Row], [TOTAL COST]]+_xlfn.XLOOKUP(Table1[[#This Row], [TEAM]],Sheet1!$A$12:$A$17,Sheet1!$I$12:$I$17)</f>
        <v>8409167.1999999993</v>
      </c>
      <c r="W1415" s="9">
        <f>Table1[[#This Row], [LOOT]]-Table1[[#This Row], [TOTAL COST]]</f>
        <v>9338312.8000000007</v>
      </c>
      <c r="X1415" s="9">
        <f>IF(Table1[[#This Row], [PASS/FAIL]]="FAIL",0,Table1[[#This Row], [PROFIT]])</f>
        <v>9338312.8000000007</v>
      </c>
    </row>
    <row r="1416" spans="1:24" ht="19.5" customHeight="1" x14ac:dyDescent="0.45">
      <c r="A1416" t="s">
        <v>9</v>
      </c>
      <c r="B1416" s="14">
        <f>_xlfn.XLOOKUP(Table1[[#This Row], [TEAM]],Sheet1!$A$12:$A$17,Sheet1!$F$12:$F$17)</f>
        <v>3</v>
      </c>
      <c r="C1416" s="14">
        <f>_xlfn.XLOOKUP(Table1[[#This Row], [TEAM]],Sheet1!$A$12:$A$17,Sheet1!$G$12:$G$17)</f>
        <v>6238750</v>
      </c>
      <c r="D1416" t="s">
        <v>17</v>
      </c>
      <c r="E1416" s="4">
        <f>_xlfn.XLOOKUP(Table1[[#This Row], [ROOM]],Sheet1!$A$47:$A$66,Sheet1!$B$47:$B$66)</f>
        <v>125</v>
      </c>
      <c r="F1416" t="s">
        <v>58</v>
      </c>
      <c r="G141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16" s="13" t="s">
        <v>63</v>
      </c>
      <c r="I1416" s="4">
        <f>_xlfn.XLOOKUP(Table1[[#This Row], [WEAPON]],Sheet1!$A$27:$A$29,Sheet1!$B$27:$B$29)*Table1[[#This Row], [NUM OF MEM]]*(1+_xlfn.XLOOKUP(Table1[[#This Row], [WEAPON]],Sheet1!$A$27:$A$29,Sheet1!$C$27:$C$29))</f>
        <v>69000</v>
      </c>
      <c r="J1416" t="s">
        <v>64</v>
      </c>
      <c r="K1416" s="9">
        <f>Table1[[#This Row], [NUM OF MEM]]*Table1[[#This Row], [TOTAL TIME TAKEN]]*_xlfn.XLOOKUP(Table1[[#This Row], [EXIT]],Sheet1!$A$70:$A$71,Sheet1!$B$70:$B$71)*(1+_xlfn.XLOOKUP(Table1[[#This Row], [EXIT]],Sheet1!$A$70:$A$71,Sheet1!$C$70:$C$71))</f>
        <v>1667887.2</v>
      </c>
      <c r="L1416" s="13" t="s">
        <v>61</v>
      </c>
      <c r="M1416" s="4">
        <f>IF(Table1[[#This Row], [EQUIPMENT]]="YES",Sheet1!$C$44*(1+Sheet1!$D$44),0)</f>
        <v>0</v>
      </c>
      <c r="N1416" s="4">
        <f>_xlfn.XLOOKUP(Table1[[#This Row], [ROOM]],Sheet1!$A$47:$A$66,Sheet1!$F$47:$F$66)</f>
        <v>17350000</v>
      </c>
      <c r="O1416" s="9">
        <f>_xlfn.XLOOKUP(_xlfn.CONCAT(Table1[[#This Row], [TEAM]],Table1[[#This Row], [ROOM]]),'ROOM TIME'!$H$2:$H$121,'ROOM TIME'!$J$2:$J$121)</f>
        <v>38.398333333333326</v>
      </c>
      <c r="P1416" s="9">
        <f>(INDEX(Sheet1!$X$48:$Z$67,MATCH(Table1[[#This Row], [ROOM]],Sheet1!$P$48:$P$67,0),MATCH(Table1[[#This Row], [WEAPON]],Sheet1!$X$47:$Z$47,0)))/Table1[[#This Row], [NUM OF MEM]]</f>
        <v>4.5</v>
      </c>
      <c r="Q1416" s="9">
        <f>Table1[[#This Row], [ROOM TIME]]+Table1[[#This Row], [GUARD TIME]]</f>
        <v>42.898333333333326</v>
      </c>
      <c r="R1416" s="4">
        <f>Sheet1!$K$3*_xlfn.XLOOKUP(Table1[[#This Row], [DISGUISE]],Sheet1!$A$21:$A$23,Sheet1!$D$21:$D$23)</f>
        <v>69</v>
      </c>
      <c r="S1416" s="9">
        <f>Table1[[#This Row], [TOTAL TIME]]-Table1[[#This Row], [TOTAL TIME TAKEN]]</f>
        <v>26.101666666666674</v>
      </c>
      <c r="T1416" t="str">
        <f>IF(Table1[[#This Row], [TIME DIFFERENCE]]&gt;=0,"PASS","FAIL")</f>
        <v>PASS</v>
      </c>
      <c r="U1416" s="9">
        <f>Table1[[#This Row], [TRC]]+Table1[[#This Row], [DRC]]+Table1[[#This Row], [WRC]]+Table1[[#This Row], [ERC]]+Table1[[#This Row], [EQRC]]</f>
        <v>8014037.2000000002</v>
      </c>
      <c r="V1416" s="9">
        <f>Table1[[#This Row], [TOTAL COST]]+_xlfn.XLOOKUP(Table1[[#This Row], [TEAM]],Sheet1!$A$12:$A$17,Sheet1!$I$12:$I$17)</f>
        <v>8325974.7000000002</v>
      </c>
      <c r="W1416" s="9">
        <f>Table1[[#This Row], [LOOT]]-Table1[[#This Row], [TOTAL COST]]</f>
        <v>9335962.8000000007</v>
      </c>
      <c r="X1416" s="9">
        <f>IF(Table1[[#This Row], [PASS/FAIL]]="FAIL",0,Table1[[#This Row], [PROFIT]])</f>
        <v>9335962.8000000007</v>
      </c>
    </row>
    <row r="1417" spans="1:24" ht="19.5" customHeight="1" x14ac:dyDescent="0.45">
      <c r="A1417" t="s">
        <v>15</v>
      </c>
      <c r="B1417" s="14">
        <f>_xlfn.XLOOKUP(Table1[[#This Row], [TEAM]],Sheet1!$A$12:$A$17,Sheet1!$F$12:$F$17)</f>
        <v>2</v>
      </c>
      <c r="C1417" s="14">
        <f>_xlfn.XLOOKUP(Table1[[#This Row], [TEAM]],Sheet1!$A$12:$A$17,Sheet1!$G$12:$G$17)</f>
        <v>5932950</v>
      </c>
      <c r="D1417" t="s">
        <v>23</v>
      </c>
      <c r="E1417" s="4">
        <f>_xlfn.XLOOKUP(Table1[[#This Row], [ROOM]],Sheet1!$A$47:$A$66,Sheet1!$B$47:$B$66)</f>
        <v>245</v>
      </c>
      <c r="F1417" t="s">
        <v>58</v>
      </c>
      <c r="G1417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7" s="13" t="s">
        <v>59</v>
      </c>
      <c r="I1417" s="4">
        <f>_xlfn.XLOOKUP(Table1[[#This Row], [WEAPON]],Sheet1!$A$27:$A$29,Sheet1!$B$27:$B$29)*Table1[[#This Row], [NUM OF MEM]]*(1+_xlfn.XLOOKUP(Table1[[#This Row], [WEAPON]],Sheet1!$A$27:$A$29,Sheet1!$C$27:$C$29))</f>
        <v>91000</v>
      </c>
      <c r="J1417" t="s">
        <v>60</v>
      </c>
      <c r="K1417" s="9">
        <f>Table1[[#This Row], [NUM OF MEM]]*Table1[[#This Row], [TOTAL TIME TAKEN]]*_xlfn.XLOOKUP(Table1[[#This Row], [EXIT]],Sheet1!$A$70:$A$71,Sheet1!$B$70:$B$71)*(1+_xlfn.XLOOKUP(Table1[[#This Row], [EXIT]],Sheet1!$A$70:$A$71,Sheet1!$C$70:$C$71))</f>
        <v>1707332.0437499993</v>
      </c>
      <c r="L1417" s="13" t="s">
        <v>65</v>
      </c>
      <c r="M1417" s="4">
        <f>IF(Table1[[#This Row], [EQUIPMENT]]="YES",Sheet1!$C$44*(1+Sheet1!$D$44),0)</f>
        <v>307500</v>
      </c>
      <c r="N1417" s="4">
        <f>_xlfn.XLOOKUP(Table1[[#This Row], [ROOM]],Sheet1!$A$47:$A$66,Sheet1!$F$47:$F$66)</f>
        <v>17400000</v>
      </c>
      <c r="O1417" s="9">
        <f>_xlfn.XLOOKUP(_xlfn.CONCAT(Table1[[#This Row], [TEAM]],Table1[[#This Row], [ROOM]]),'ROOM TIME'!$H$2:$H$121,'ROOM TIME'!$J$2:$J$121)</f>
        <v>60.198749999999983</v>
      </c>
      <c r="P1417" s="9">
        <f>(INDEX(Sheet1!$X$48:$Z$67,MATCH(Table1[[#This Row], [ROOM]],Sheet1!$P$48:$P$67,0),MATCH(Table1[[#This Row], [WEAPON]],Sheet1!$X$47:$Z$47,0)))/Table1[[#This Row], [NUM OF MEM]]</f>
        <v>6.3249999999999993</v>
      </c>
      <c r="Q1417" s="9">
        <f>Table1[[#This Row], [ROOM TIME]]+Table1[[#This Row], [GUARD TIME]]</f>
        <v>66.523749999999978</v>
      </c>
      <c r="R1417" s="4">
        <f>Sheet1!$K$3*_xlfn.XLOOKUP(Table1[[#This Row], [DISGUISE]],Sheet1!$A$21:$A$23,Sheet1!$D$21:$D$23)</f>
        <v>69</v>
      </c>
      <c r="S1417" s="9">
        <f>Table1[[#This Row], [TOTAL TIME]]-Table1[[#This Row], [TOTAL TIME TAKEN]]</f>
        <v>2.4762500000000216</v>
      </c>
      <c r="T1417" t="str">
        <f>IF(Table1[[#This Row], [TIME DIFFERENCE]]&gt;=0,"PASS","FAIL")</f>
        <v>PASS</v>
      </c>
      <c r="U1417" s="9">
        <f>Table1[[#This Row], [TRC]]+Table1[[#This Row], [DRC]]+Table1[[#This Row], [WRC]]+Table1[[#This Row], [ERC]]+Table1[[#This Row], [EQRC]]</f>
        <v>8064382.0437499993</v>
      </c>
      <c r="V1417" s="9">
        <f>Table1[[#This Row], [TOTAL COST]]+_xlfn.XLOOKUP(Table1[[#This Row], [TEAM]],Sheet1!$A$12:$A$17,Sheet1!$I$12:$I$17)</f>
        <v>8361029.5437499993</v>
      </c>
      <c r="W1417" s="9">
        <f>Table1[[#This Row], [LOOT]]-Table1[[#This Row], [TOTAL COST]]</f>
        <v>9335617.9562500007</v>
      </c>
      <c r="X1417" s="9">
        <f>IF(Table1[[#This Row], [PASS/FAIL]]="FAIL",0,Table1[[#This Row], [PROFIT]])</f>
        <v>9335617.9562500007</v>
      </c>
    </row>
    <row r="1418" spans="1:24" ht="19.5" customHeight="1" x14ac:dyDescent="0.45">
      <c r="A1418" t="s">
        <v>9</v>
      </c>
      <c r="B1418" s="14">
        <f>_xlfn.XLOOKUP(Table1[[#This Row], [TEAM]],Sheet1!$A$12:$A$17,Sheet1!$F$12:$F$17)</f>
        <v>3</v>
      </c>
      <c r="C1418" s="14">
        <f>_xlfn.XLOOKUP(Table1[[#This Row], [TEAM]],Sheet1!$A$12:$A$17,Sheet1!$G$12:$G$17)</f>
        <v>6238750</v>
      </c>
      <c r="D1418" t="s">
        <v>25</v>
      </c>
      <c r="E1418" s="4">
        <f>_xlfn.XLOOKUP(Table1[[#This Row], [ROOM]],Sheet1!$A$47:$A$66,Sheet1!$B$47:$B$66)</f>
        <v>126</v>
      </c>
      <c r="F1418" t="s">
        <v>62</v>
      </c>
      <c r="G141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18" s="13" t="s">
        <v>63</v>
      </c>
      <c r="I1418" s="4">
        <f>_xlfn.XLOOKUP(Table1[[#This Row], [WEAPON]],Sheet1!$A$27:$A$29,Sheet1!$B$27:$B$29)*Table1[[#This Row], [NUM OF MEM]]*(1+_xlfn.XLOOKUP(Table1[[#This Row], [WEAPON]],Sheet1!$A$27:$A$29,Sheet1!$C$27:$C$29))</f>
        <v>69000</v>
      </c>
      <c r="J1418" t="s">
        <v>60</v>
      </c>
      <c r="K1418" s="9">
        <f>Table1[[#This Row], [NUM OF MEM]]*Table1[[#This Row], [TOTAL TIME TAKEN]]*_xlfn.XLOOKUP(Table1[[#This Row], [EXIT]],Sheet1!$A$70:$A$71,Sheet1!$B$70:$B$71)*(1+_xlfn.XLOOKUP(Table1[[#This Row], [EXIT]],Sheet1!$A$70:$A$71,Sheet1!$C$70:$C$71))</f>
        <v>1583851.3124999995</v>
      </c>
      <c r="L1418" s="13" t="s">
        <v>65</v>
      </c>
      <c r="M1418" s="4">
        <f>IF(Table1[[#This Row], [EQUIPMENT]]="YES",Sheet1!$C$44*(1+Sheet1!$D$44),0)</f>
        <v>307500</v>
      </c>
      <c r="N1418" s="4">
        <f>_xlfn.XLOOKUP(Table1[[#This Row], [ROOM]],Sheet1!$A$47:$A$66,Sheet1!$F$47:$F$66)</f>
        <v>17550000</v>
      </c>
      <c r="O1418" s="9">
        <f>_xlfn.XLOOKUP(_xlfn.CONCAT(Table1[[#This Row], [TEAM]],Table1[[#This Row], [ROOM]]),'ROOM TIME'!$H$2:$H$121,'ROOM TIME'!$J$2:$J$121)</f>
        <v>36.191666666666656</v>
      </c>
      <c r="P1418" s="9">
        <f>(INDEX(Sheet1!$X$48:$Z$67,MATCH(Table1[[#This Row], [ROOM]],Sheet1!$P$48:$P$67,0),MATCH(Table1[[#This Row], [WEAPON]],Sheet1!$X$47:$Z$47,0)))/Table1[[#This Row], [NUM OF MEM]]</f>
        <v>4.95</v>
      </c>
      <c r="Q1418" s="9">
        <f>Table1[[#This Row], [ROOM TIME]]+Table1[[#This Row], [GUARD TIME]]</f>
        <v>41.141666666666659</v>
      </c>
      <c r="R1418" s="4">
        <f>Sheet1!$K$3*_xlfn.XLOOKUP(Table1[[#This Row], [DISGUISE]],Sheet1!$A$21:$A$23,Sheet1!$D$21:$D$23)</f>
        <v>66</v>
      </c>
      <c r="S1418" s="9">
        <f>Table1[[#This Row], [TOTAL TIME]]-Table1[[#This Row], [TOTAL TIME TAKEN]]</f>
        <v>24.858333333333341</v>
      </c>
      <c r="T1418" t="str">
        <f>IF(Table1[[#This Row], [TIME DIFFERENCE]]&gt;=0,"PASS","FAIL")</f>
        <v>PASS</v>
      </c>
      <c r="U1418" s="9">
        <f>Table1[[#This Row], [TRC]]+Table1[[#This Row], [DRC]]+Table1[[#This Row], [WRC]]+Table1[[#This Row], [ERC]]+Table1[[#This Row], [EQRC]]</f>
        <v>8214701.3125</v>
      </c>
      <c r="V1418" s="9">
        <f>Table1[[#This Row], [TOTAL COST]]+_xlfn.XLOOKUP(Table1[[#This Row], [TEAM]],Sheet1!$A$12:$A$17,Sheet1!$I$12:$I$17)</f>
        <v>8526638.8125</v>
      </c>
      <c r="W1418" s="9">
        <f>Table1[[#This Row], [LOOT]]-Table1[[#This Row], [TOTAL COST]]</f>
        <v>9335298.6875</v>
      </c>
      <c r="X1418" s="9">
        <f>IF(Table1[[#This Row], [PASS/FAIL]]="FAIL",0,Table1[[#This Row], [PROFIT]])</f>
        <v>9335298.6875</v>
      </c>
    </row>
    <row r="1419" spans="1:24" ht="19.5" customHeight="1" x14ac:dyDescent="0.45">
      <c r="A1419" t="s">
        <v>15</v>
      </c>
      <c r="B1419" s="14">
        <f>_xlfn.XLOOKUP(Table1[[#This Row], [TEAM]],Sheet1!$A$12:$A$17,Sheet1!$F$12:$F$17)</f>
        <v>2</v>
      </c>
      <c r="C1419" s="14">
        <f>_xlfn.XLOOKUP(Table1[[#This Row], [TEAM]],Sheet1!$A$12:$A$17,Sheet1!$G$12:$G$17)</f>
        <v>5932950</v>
      </c>
      <c r="D1419" t="s">
        <v>23</v>
      </c>
      <c r="E1419" s="4">
        <f>_xlfn.XLOOKUP(Table1[[#This Row], [ROOM]],Sheet1!$A$47:$A$66,Sheet1!$B$47:$B$66)</f>
        <v>245</v>
      </c>
      <c r="F1419" t="s">
        <v>58</v>
      </c>
      <c r="G1419" s="4">
        <f>_xlfn.XLOOKUP(Table1[[#This Row], [DISGUISE]],Sheet1!$A$21:$A$23,Sheet1!$B$21:$B$23)*Table1[[#This Row], [NUM OF MEM]]*(1+_xlfn.XLOOKUP(Table1[[#This Row], [DISGUISE]],Sheet1!$A$21:$A$23,Sheet1!$C$21:$C$23))</f>
        <v>25600</v>
      </c>
      <c r="H1419" s="13" t="s">
        <v>63</v>
      </c>
      <c r="I1419" s="4">
        <f>_xlfn.XLOOKUP(Table1[[#This Row], [WEAPON]],Sheet1!$A$27:$A$29,Sheet1!$B$27:$B$29)*Table1[[#This Row], [NUM OF MEM]]*(1+_xlfn.XLOOKUP(Table1[[#This Row], [WEAPON]],Sheet1!$A$27:$A$29,Sheet1!$C$27:$C$29))</f>
        <v>46000</v>
      </c>
      <c r="J1419" t="s">
        <v>64</v>
      </c>
      <c r="K1419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1752807.5999999996</v>
      </c>
      <c r="L1419" s="13" t="s">
        <v>65</v>
      </c>
      <c r="M1419" s="4">
        <f>IF(Table1[[#This Row], [EQUIPMENT]]="YES",Sheet1!$C$44*(1+Sheet1!$D$44),0)</f>
        <v>307500</v>
      </c>
      <c r="N1419" s="4">
        <f>_xlfn.XLOOKUP(Table1[[#This Row], [ROOM]],Sheet1!$A$47:$A$66,Sheet1!$F$47:$F$66)</f>
        <v>17400000</v>
      </c>
      <c r="O1419" s="9">
        <f>_xlfn.XLOOKUP(_xlfn.CONCAT(Table1[[#This Row], [TEAM]],Table1[[#This Row], [ROOM]]),'ROOM TIME'!$H$2:$H$121,'ROOM TIME'!$J$2:$J$121)</f>
        <v>60.198749999999983</v>
      </c>
      <c r="P1419" s="9">
        <f>(INDEX(Sheet1!$X$48:$Z$67,MATCH(Table1[[#This Row], [ROOM]],Sheet1!$P$48:$P$67,0),MATCH(Table1[[#This Row], [WEAPON]],Sheet1!$X$47:$Z$47,0)))/Table1[[#This Row], [NUM OF MEM]]</f>
        <v>7.4250000000000007</v>
      </c>
      <c r="Q1419" s="9">
        <f>Table1[[#This Row], [ROOM TIME]]+Table1[[#This Row], [GUARD TIME]]</f>
        <v>67.623749999999987</v>
      </c>
      <c r="R1419" s="4">
        <f>Sheet1!$K$3*_xlfn.XLOOKUP(Table1[[#This Row], [DISGUISE]],Sheet1!$A$21:$A$23,Sheet1!$D$21:$D$23)</f>
        <v>69</v>
      </c>
      <c r="S1419" s="9">
        <f>Table1[[#This Row], [TOTAL TIME]]-Table1[[#This Row], [TOTAL TIME TAKEN]]</f>
        <v>1.3762500000000131</v>
      </c>
      <c r="T1419" t="str">
        <f>IF(Table1[[#This Row], [TIME DIFFERENCE]]&gt;=0,"PASS","FAIL")</f>
        <v>PASS</v>
      </c>
      <c r="U1419" s="9">
        <f>Table1[[#This Row], [TRC]]+Table1[[#This Row], [DRC]]+Table1[[#This Row], [WRC]]+Table1[[#This Row], [ERC]]+Table1[[#This Row], [EQRC]]</f>
        <v>8064857.5999999996</v>
      </c>
      <c r="V1419" s="9">
        <f>Table1[[#This Row], [TOTAL COST]]+_xlfn.XLOOKUP(Table1[[#This Row], [TEAM]],Sheet1!$A$12:$A$17,Sheet1!$I$12:$I$17)</f>
        <v>8361505.0999999996</v>
      </c>
      <c r="W1419" s="9">
        <f>Table1[[#This Row], [LOOT]]-Table1[[#This Row], [TOTAL COST]]</f>
        <v>9335142.4000000004</v>
      </c>
      <c r="X1419" s="9">
        <f>IF(Table1[[#This Row], [PASS/FAIL]]="FAIL",0,Table1[[#This Row], [PROFIT]])</f>
        <v>9335142.4000000004</v>
      </c>
    </row>
    <row r="1420" spans="1:24" ht="19.5" customHeight="1" x14ac:dyDescent="0.45">
      <c r="A1420" t="s">
        <v>14</v>
      </c>
      <c r="B1420" s="14">
        <f>_xlfn.XLOOKUP(Table1[[#This Row], [TEAM]],Sheet1!$A$12:$A$17,Sheet1!$F$12:$F$17)</f>
        <v>2</v>
      </c>
      <c r="C1420" s="14">
        <f>_xlfn.XLOOKUP(Table1[[#This Row], [TEAM]],Sheet1!$A$12:$A$17,Sheet1!$G$12:$G$17)</f>
        <v>5949600</v>
      </c>
      <c r="D1420" t="s">
        <v>11</v>
      </c>
      <c r="E1420" s="4">
        <f>_xlfn.XLOOKUP(Table1[[#This Row], [ROOM]],Sheet1!$A$47:$A$66,Sheet1!$B$47:$B$66)</f>
        <v>124</v>
      </c>
      <c r="F1420" t="s">
        <v>58</v>
      </c>
      <c r="G1420" s="4">
        <f>_xlfn.XLOOKUP(Table1[[#This Row], [DISGUISE]],Sheet1!$A$21:$A$23,Sheet1!$B$21:$B$23)*Table1[[#This Row], [NUM OF MEM]]*(1+_xlfn.XLOOKUP(Table1[[#This Row], [DISGUISE]],Sheet1!$A$21:$A$23,Sheet1!$C$21:$C$23))</f>
        <v>25600</v>
      </c>
      <c r="H1420" s="13" t="s">
        <v>59</v>
      </c>
      <c r="I1420" s="4">
        <f>_xlfn.XLOOKUP(Table1[[#This Row], [WEAPON]],Sheet1!$A$27:$A$29,Sheet1!$B$27:$B$29)*Table1[[#This Row], [NUM OF MEM]]*(1+_xlfn.XLOOKUP(Table1[[#This Row], [WEAPON]],Sheet1!$A$27:$A$29,Sheet1!$C$27:$C$29))</f>
        <v>91000</v>
      </c>
      <c r="J1420" t="s">
        <v>64</v>
      </c>
      <c r="K1420" s="9">
        <f>Table1[[#This Row], [NUM OF MEM]]*Table1[[#This Row], [TOTAL TIME TAKEN]]*_xlfn.XLOOKUP(Table1[[#This Row], [EXIT]],Sheet1!$A$70:$A$71,Sheet1!$B$70:$B$71)*(1+_xlfn.XLOOKUP(Table1[[#This Row], [EXIT]],Sheet1!$A$70:$A$71,Sheet1!$C$70:$C$71))</f>
        <v>1742731.2</v>
      </c>
      <c r="L1420" s="13" t="s">
        <v>65</v>
      </c>
      <c r="M1420" s="4">
        <f>IF(Table1[[#This Row], [EQUIPMENT]]="YES",Sheet1!$C$44*(1+Sheet1!$D$44),0)</f>
        <v>307500</v>
      </c>
      <c r="N1420" s="4">
        <f>_xlfn.XLOOKUP(Table1[[#This Row], [ROOM]],Sheet1!$A$47:$A$66,Sheet1!$F$47:$F$66)</f>
        <v>17450000</v>
      </c>
      <c r="O1420" s="9">
        <f>_xlfn.XLOOKUP(_xlfn.CONCAT(Table1[[#This Row], [TEAM]],Table1[[#This Row], [ROOM]]),'ROOM TIME'!$H$2:$H$121,'ROOM TIME'!$J$2:$J$121)</f>
        <v>60.91</v>
      </c>
      <c r="P1420" s="9">
        <f>(INDEX(Sheet1!$X$48:$Z$67,MATCH(Table1[[#This Row], [ROOM]],Sheet1!$P$48:$P$67,0),MATCH(Table1[[#This Row], [WEAPON]],Sheet1!$X$47:$Z$47,0)))/Table1[[#This Row], [NUM OF MEM]]</f>
        <v>6.3249999999999993</v>
      </c>
      <c r="Q1420" s="9">
        <f>Table1[[#This Row], [ROOM TIME]]+Table1[[#This Row], [GUARD TIME]]</f>
        <v>67.234999999999999</v>
      </c>
      <c r="R1420" s="4">
        <f>Sheet1!$K$3*_xlfn.XLOOKUP(Table1[[#This Row], [DISGUISE]],Sheet1!$A$21:$A$23,Sheet1!$D$21:$D$23)</f>
        <v>69</v>
      </c>
      <c r="S1420" s="9">
        <f>Table1[[#This Row], [TOTAL TIME]]-Table1[[#This Row], [TOTAL TIME TAKEN]]</f>
        <v>1.7650000000000006</v>
      </c>
      <c r="T1420" t="str">
        <f>IF(Table1[[#This Row], [TIME DIFFERENCE]]&gt;=0,"PASS","FAIL")</f>
        <v>PASS</v>
      </c>
      <c r="U1420" s="9">
        <f>Table1[[#This Row], [TRC]]+Table1[[#This Row], [DRC]]+Table1[[#This Row], [WRC]]+Table1[[#This Row], [ERC]]+Table1[[#This Row], [EQRC]]</f>
        <v>8116431.2000000002</v>
      </c>
      <c r="V1420" s="9">
        <f>Table1[[#This Row], [TOTAL COST]]+_xlfn.XLOOKUP(Table1[[#This Row], [TEAM]],Sheet1!$A$12:$A$17,Sheet1!$I$12:$I$17)</f>
        <v>8413911.1999999993</v>
      </c>
      <c r="W1420" s="9">
        <f>Table1[[#This Row], [LOOT]]-Table1[[#This Row], [TOTAL COST]]</f>
        <v>9333568.8000000007</v>
      </c>
      <c r="X1420" s="9">
        <f>IF(Table1[[#This Row], [PASS/FAIL]]="FAIL",0,Table1[[#This Row], [PROFIT]])</f>
        <v>9333568.8000000007</v>
      </c>
    </row>
    <row r="1421" spans="1:24" ht="19.5" customHeight="1" x14ac:dyDescent="0.45">
      <c r="A1421" t="s">
        <v>9</v>
      </c>
      <c r="B1421" s="14">
        <f>_xlfn.XLOOKUP(Table1[[#This Row], [TEAM]],Sheet1!$A$12:$A$17,Sheet1!$F$12:$F$17)</f>
        <v>3</v>
      </c>
      <c r="C1421" s="14">
        <f>_xlfn.XLOOKUP(Table1[[#This Row], [TEAM]],Sheet1!$A$12:$A$17,Sheet1!$G$12:$G$17)</f>
        <v>6238750</v>
      </c>
      <c r="D1421" t="s">
        <v>17</v>
      </c>
      <c r="E1421" s="4">
        <f>_xlfn.XLOOKUP(Table1[[#This Row], [ROOM]],Sheet1!$A$47:$A$66,Sheet1!$B$47:$B$66)</f>
        <v>125</v>
      </c>
      <c r="F1421" t="s">
        <v>62</v>
      </c>
      <c r="G1421" s="4">
        <f>_xlfn.XLOOKUP(Table1[[#This Row], [DISGUISE]],Sheet1!$A$21:$A$23,Sheet1!$B$21:$B$23)*Table1[[#This Row], [NUM OF MEM]]*(1+_xlfn.XLOOKUP(Table1[[#This Row], [DISGUISE]],Sheet1!$A$21:$A$23,Sheet1!$C$21:$C$23))</f>
        <v>15600</v>
      </c>
      <c r="H1421" s="13" t="s">
        <v>59</v>
      </c>
      <c r="I1421" s="4">
        <f>_xlfn.XLOOKUP(Table1[[#This Row], [WEAPON]],Sheet1!$A$27:$A$29,Sheet1!$B$27:$B$29)*Table1[[#This Row], [NUM OF MEM]]*(1+_xlfn.XLOOKUP(Table1[[#This Row], [WEAPON]],Sheet1!$A$27:$A$29,Sheet1!$C$27:$C$29))</f>
        <v>136500</v>
      </c>
      <c r="J1421" t="s">
        <v>60</v>
      </c>
      <c r="K1421" s="9">
        <f>Table1[[#This Row], [NUM OF MEM]]*Table1[[#This Row], [TOTAL TIME TAKEN]]*_xlfn.XLOOKUP(Table1[[#This Row], [EXIT]],Sheet1!$A$70:$A$71,Sheet1!$B$70:$B$71)*(1+_xlfn.XLOOKUP(Table1[[#This Row], [EXIT]],Sheet1!$A$70:$A$71,Sheet1!$C$70:$C$71))</f>
        <v>1625813.5874999999</v>
      </c>
      <c r="L1421" s="13" t="s">
        <v>61</v>
      </c>
      <c r="M1421" s="4">
        <f>IF(Table1[[#This Row], [EQUIPMENT]]="YES",Sheet1!$C$44*(1+Sheet1!$D$44),0)</f>
        <v>0</v>
      </c>
      <c r="N1421" s="4">
        <f>_xlfn.XLOOKUP(Table1[[#This Row], [ROOM]],Sheet1!$A$47:$A$66,Sheet1!$F$47:$F$66)</f>
        <v>17350000</v>
      </c>
      <c r="O1421" s="9">
        <f>_xlfn.XLOOKUP(_xlfn.CONCAT(Table1[[#This Row], [TEAM]],Table1[[#This Row], [ROOM]]),'ROOM TIME'!$H$2:$H$121,'ROOM TIME'!$J$2:$J$121)</f>
        <v>38.398333333333326</v>
      </c>
      <c r="P1421" s="9">
        <f>(INDEX(Sheet1!$X$48:$Z$67,MATCH(Table1[[#This Row], [ROOM]],Sheet1!$P$48:$P$67,0),MATCH(Table1[[#This Row], [WEAPON]],Sheet1!$X$47:$Z$47,0)))/Table1[[#This Row], [NUM OF MEM]]</f>
        <v>3.8333333333333335</v>
      </c>
      <c r="Q1421" s="9">
        <f>Table1[[#This Row], [ROOM TIME]]+Table1[[#This Row], [GUARD TIME]]</f>
        <v>42.231666666666662</v>
      </c>
      <c r="R1421" s="4">
        <f>Sheet1!$K$3*_xlfn.XLOOKUP(Table1[[#This Row], [DISGUISE]],Sheet1!$A$21:$A$23,Sheet1!$D$21:$D$23)</f>
        <v>66</v>
      </c>
      <c r="S1421" s="9">
        <f>Table1[[#This Row], [TOTAL TIME]]-Table1[[#This Row], [TOTAL TIME TAKEN]]</f>
        <v>23.768333333333338</v>
      </c>
      <c r="T1421" t="str">
        <f>IF(Table1[[#This Row], [TIME DIFFERENCE]]&gt;=0,"PASS","FAIL")</f>
        <v>PASS</v>
      </c>
      <c r="U1421" s="9">
        <f>Table1[[#This Row], [TRC]]+Table1[[#This Row], [DRC]]+Table1[[#This Row], [WRC]]+Table1[[#This Row], [ERC]]+Table1[[#This Row], [EQRC]]</f>
        <v>8016663.5875000004</v>
      </c>
      <c r="V1421" s="9">
        <f>Table1[[#This Row], [TOTAL COST]]+_xlfn.XLOOKUP(Table1[[#This Row], [TEAM]],Sheet1!$A$12:$A$17,Sheet1!$I$12:$I$17)</f>
        <v>8328601.0875000004</v>
      </c>
      <c r="W1421" s="9">
        <f>Table1[[#This Row], [LOOT]]-Table1[[#This Row], [TOTAL COST]]</f>
        <v>9333336.4124999996</v>
      </c>
      <c r="X1421" s="9">
        <f>IF(Table1[[#This Row], [PASS/FAIL]]="FAIL",0,Table1[[#This Row], [PROFIT]])</f>
        <v>9333336.4124999996</v>
      </c>
    </row>
    <row r="1422" spans="1:24" ht="19.5" customHeight="1" x14ac:dyDescent="0.45">
      <c r="A1422" t="s">
        <v>9</v>
      </c>
      <c r="B1422" s="14">
        <f>_xlfn.XLOOKUP(Table1[[#This Row], [TEAM]],Sheet1!$A$12:$A$17,Sheet1!$F$12:$F$17)</f>
        <v>3</v>
      </c>
      <c r="C1422" s="14">
        <f>_xlfn.XLOOKUP(Table1[[#This Row], [TEAM]],Sheet1!$A$12:$A$17,Sheet1!$G$12:$G$17)</f>
        <v>6238750</v>
      </c>
      <c r="D1422" t="s">
        <v>17</v>
      </c>
      <c r="E1422" s="4">
        <f>_xlfn.XLOOKUP(Table1[[#This Row], [ROOM]],Sheet1!$A$47:$A$66,Sheet1!$B$47:$B$66)</f>
        <v>125</v>
      </c>
      <c r="F1422" t="s">
        <v>62</v>
      </c>
      <c r="G1422" s="4">
        <f>_xlfn.XLOOKUP(Table1[[#This Row], [DISGUISE]],Sheet1!$A$21:$A$23,Sheet1!$B$21:$B$23)*Table1[[#This Row], [NUM OF MEM]]*(1+_xlfn.XLOOKUP(Table1[[#This Row], [DISGUISE]],Sheet1!$A$21:$A$23,Sheet1!$C$21:$C$23))</f>
        <v>15600</v>
      </c>
      <c r="H1422" s="13" t="s">
        <v>66</v>
      </c>
      <c r="I1422" s="4">
        <f>_xlfn.XLOOKUP(Table1[[#This Row], [WEAPON]],Sheet1!$A$27:$A$29,Sheet1!$B$27:$B$29)*Table1[[#This Row], [NUM OF MEM]]*(1+_xlfn.XLOOKUP(Table1[[#This Row], [WEAPON]],Sheet1!$A$27:$A$29,Sheet1!$C$27:$C$29))</f>
        <v>108000</v>
      </c>
      <c r="J1422" t="s">
        <v>64</v>
      </c>
      <c r="K1422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1654927.1999999995</v>
      </c>
      <c r="L1422" s="13" t="s">
        <v>61</v>
      </c>
      <c r="M1422" s="4">
        <f>IF(Table1[[#This Row], [EQUIPMENT]]="YES",Sheet1!$C$44*(1+Sheet1!$D$44),0)</f>
        <v>0</v>
      </c>
      <c r="N1422" s="4">
        <f>_xlfn.XLOOKUP(Table1[[#This Row], [ROOM]],Sheet1!$A$47:$A$66,Sheet1!$F$47:$F$66)</f>
        <v>17350000</v>
      </c>
      <c r="O1422" s="9">
        <f>_xlfn.XLOOKUP(_xlfn.CONCAT(Table1[[#This Row], [TEAM]],Table1[[#This Row], [ROOM]]),'ROOM TIME'!$H$2:$H$121,'ROOM TIME'!$J$2:$J$121)</f>
        <v>38.398333333333326</v>
      </c>
      <c r="P1422" s="9">
        <f>(INDEX(Sheet1!$X$48:$Z$67,MATCH(Table1[[#This Row], [ROOM]],Sheet1!$P$48:$P$67,0),MATCH(Table1[[#This Row], [WEAPON]],Sheet1!$X$47:$Z$47,0)))/Table1[[#This Row], [NUM OF MEM]]</f>
        <v>4.166666666666667</v>
      </c>
      <c r="Q1422" s="9">
        <f>Table1[[#This Row], [ROOM TIME]]+Table1[[#This Row], [GUARD TIME]]</f>
        <v>42.564999999999991</v>
      </c>
      <c r="R1422" s="4">
        <f>Sheet1!$K$3*_xlfn.XLOOKUP(Table1[[#This Row], [DISGUISE]],Sheet1!$A$21:$A$23,Sheet1!$D$21:$D$23)</f>
        <v>66</v>
      </c>
      <c r="S1422" s="9">
        <f>Table1[[#This Row], [TOTAL TIME]]-Table1[[#This Row], [TOTAL TIME TAKEN]]</f>
        <v>23.435000000000009</v>
      </c>
      <c r="T1422" t="str">
        <f>IF(Table1[[#This Row], [TIME DIFFERENCE]]&gt;=0,"PASS","FAIL")</f>
        <v>PASS</v>
      </c>
      <c r="U1422" s="9">
        <f>Table1[[#This Row], [TRC]]+Table1[[#This Row], [DRC]]+Table1[[#This Row], [WRC]]+Table1[[#This Row], [ERC]]+Table1[[#This Row], [EQRC]]</f>
        <v>8017277.1999999993</v>
      </c>
      <c r="V1422" s="9">
        <f>Table1[[#This Row], [TOTAL COST]]+_xlfn.XLOOKUP(Table1[[#This Row], [TEAM]],Sheet1!$A$12:$A$17,Sheet1!$I$12:$I$17)</f>
        <v>8329214.6999999993</v>
      </c>
      <c r="W1422" s="9">
        <f>Table1[[#This Row], [LOOT]]-Table1[[#This Row], [TOTAL COST]]</f>
        <v>9332722.8000000007</v>
      </c>
      <c r="X1422" s="9">
        <f>IF(Table1[[#This Row], [PASS/FAIL]]="FAIL",0,Table1[[#This Row], [PROFIT]])</f>
        <v>9332722.8000000007</v>
      </c>
    </row>
    <row r="1423" spans="1:24" ht="19.5" customHeight="1" x14ac:dyDescent="0.45">
      <c r="A1423" t="s">
        <v>14</v>
      </c>
      <c r="B1423" s="14">
        <f>_xlfn.XLOOKUP(Table1[[#This Row], [TEAM]],Sheet1!$A$12:$A$17,Sheet1!$F$12:$F$17)</f>
        <v>2</v>
      </c>
      <c r="C1423" s="14">
        <f>_xlfn.XLOOKUP(Table1[[#This Row], [TEAM]],Sheet1!$A$12:$A$17,Sheet1!$G$12:$G$17)</f>
        <v>5949600</v>
      </c>
      <c r="D1423" t="s">
        <v>23</v>
      </c>
      <c r="E1423" s="4">
        <f>_xlfn.XLOOKUP(Table1[[#This Row], [ROOM]],Sheet1!$A$47:$A$66,Sheet1!$B$47:$B$66)</f>
        <v>245</v>
      </c>
      <c r="F1423" t="s">
        <v>58</v>
      </c>
      <c r="G1423" s="4">
        <f>_xlfn.XLOOKUP(Table1[[#This Row], [DISGUISE]],Sheet1!$A$21:$A$23,Sheet1!$B$21:$B$23)*Table1[[#This Row], [NUM OF MEM]]*(1+_xlfn.XLOOKUP(Table1[[#This Row], [DISGUISE]],Sheet1!$A$21:$A$23,Sheet1!$C$21:$C$23))</f>
        <v>25600</v>
      </c>
      <c r="H1423" s="13" t="s">
        <v>63</v>
      </c>
      <c r="I1423" s="4">
        <f>_xlfn.XLOOKUP(Table1[[#This Row], [WEAPON]],Sheet1!$A$27:$A$29,Sheet1!$B$27:$B$29)*Table1[[#This Row], [NUM OF MEM]]*(1+_xlfn.XLOOKUP(Table1[[#This Row], [WEAPON]],Sheet1!$A$27:$A$29,Sheet1!$C$27:$C$29))</f>
        <v>46000</v>
      </c>
      <c r="J1423" t="s">
        <v>60</v>
      </c>
      <c r="K1423" s="9">
        <f>Table1[[#This Row], [NUM OF MEM]]*Table1[[#This Row], [TOTAL TIME TAKEN]]*_xlfn.XLOOKUP(Table1[[#This Row], [EXIT]],Sheet1!$A$70:$A$71,Sheet1!$B$70:$B$71)*(1+_xlfn.XLOOKUP(Table1[[#This Row], [EXIT]],Sheet1!$A$70:$A$71,Sheet1!$C$70:$C$71))</f>
        <v>1738611.2624999993</v>
      </c>
      <c r="L1423" s="13" t="s">
        <v>65</v>
      </c>
      <c r="M1423" s="4">
        <f>IF(Table1[[#This Row], [EQUIPMENT]]="YES",Sheet1!$C$44*(1+Sheet1!$D$44),0)</f>
        <v>307500</v>
      </c>
      <c r="N1423" s="4">
        <f>_xlfn.XLOOKUP(Table1[[#This Row], [ROOM]],Sheet1!$A$47:$A$66,Sheet1!$F$47:$F$66)</f>
        <v>17400000</v>
      </c>
      <c r="O1423" s="9">
        <f>_xlfn.XLOOKUP(_xlfn.CONCAT(Table1[[#This Row], [TEAM]],Table1[[#This Row], [ROOM]]),'ROOM TIME'!$H$2:$H$121,'ROOM TIME'!$J$2:$J$121)</f>
        <v>60.317499999999981</v>
      </c>
      <c r="P1423" s="9">
        <f>(INDEX(Sheet1!$X$48:$Z$67,MATCH(Table1[[#This Row], [ROOM]],Sheet1!$P$48:$P$67,0),MATCH(Table1[[#This Row], [WEAPON]],Sheet1!$X$47:$Z$47,0)))/Table1[[#This Row], [NUM OF MEM]]</f>
        <v>7.4250000000000007</v>
      </c>
      <c r="Q1423" s="9">
        <f>Table1[[#This Row], [ROOM TIME]]+Table1[[#This Row], [GUARD TIME]]</f>
        <v>67.742499999999978</v>
      </c>
      <c r="R1423" s="4">
        <f>Sheet1!$K$3*_xlfn.XLOOKUP(Table1[[#This Row], [DISGUISE]],Sheet1!$A$21:$A$23,Sheet1!$D$21:$D$23)</f>
        <v>69</v>
      </c>
      <c r="S1423" s="9">
        <f>Table1[[#This Row], [TOTAL TIME]]-Table1[[#This Row], [TOTAL TIME TAKEN]]</f>
        <v>1.2575000000000216</v>
      </c>
      <c r="T1423" t="str">
        <f>IF(Table1[[#This Row], [TIME DIFFERENCE]]&gt;=0,"PASS","FAIL")</f>
        <v>PASS</v>
      </c>
      <c r="U1423" s="9">
        <f>Table1[[#This Row], [TRC]]+Table1[[#This Row], [DRC]]+Table1[[#This Row], [WRC]]+Table1[[#This Row], [ERC]]+Table1[[#This Row], [EQRC]]</f>
        <v>8067311.2624999993</v>
      </c>
      <c r="V1423" s="9">
        <f>Table1[[#This Row], [TOTAL COST]]+_xlfn.XLOOKUP(Table1[[#This Row], [TEAM]],Sheet1!$A$12:$A$17,Sheet1!$I$12:$I$17)</f>
        <v>8364791.2624999993</v>
      </c>
      <c r="W1423" s="9">
        <f>Table1[[#This Row], [LOOT]]-Table1[[#This Row], [TOTAL COST]]</f>
        <v>9332688.7375000007</v>
      </c>
      <c r="X1423" s="9">
        <f>IF(Table1[[#This Row], [PASS/FAIL]]="FAIL",0,Table1[[#This Row], [PROFIT]])</f>
        <v>9332688.7375000007</v>
      </c>
    </row>
    <row r="1424" spans="1:24" ht="19.5" customHeight="1" x14ac:dyDescent="0.45">
      <c r="A1424" t="s">
        <v>9</v>
      </c>
      <c r="B1424" s="14">
        <f>_xlfn.XLOOKUP(Table1[[#This Row], [TEAM]],Sheet1!$A$12:$A$17,Sheet1!$F$12:$F$17)</f>
        <v>3</v>
      </c>
      <c r="C1424" s="14">
        <f>_xlfn.XLOOKUP(Table1[[#This Row], [TEAM]],Sheet1!$A$12:$A$17,Sheet1!$G$12:$G$17)</f>
        <v>6238750</v>
      </c>
      <c r="D1424" t="s">
        <v>30</v>
      </c>
      <c r="E1424" s="4">
        <f>_xlfn.XLOOKUP(Table1[[#This Row], [ROOM]],Sheet1!$A$47:$A$66,Sheet1!$B$47:$B$66)</f>
        <v>246</v>
      </c>
      <c r="F1424" t="s">
        <v>62</v>
      </c>
      <c r="G1424" s="4">
        <f>_xlfn.XLOOKUP(Table1[[#This Row], [DISGUISE]],Sheet1!$A$21:$A$23,Sheet1!$B$21:$B$23)*Table1[[#This Row], [NUM OF MEM]]*(1+_xlfn.XLOOKUP(Table1[[#This Row], [DISGUISE]],Sheet1!$A$21:$A$23,Sheet1!$C$21:$C$23))</f>
        <v>15600</v>
      </c>
      <c r="H1424" s="13" t="s">
        <v>59</v>
      </c>
      <c r="I1424" s="4">
        <f>_xlfn.XLOOKUP(Table1[[#This Row], [WEAPON]],Sheet1!$A$27:$A$29,Sheet1!$B$27:$B$29)*Table1[[#This Row], [NUM OF MEM]]*(1+_xlfn.XLOOKUP(Table1[[#This Row], [WEAPON]],Sheet1!$A$27:$A$29,Sheet1!$C$27:$C$29))</f>
        <v>136500</v>
      </c>
      <c r="J1424" t="s">
        <v>60</v>
      </c>
      <c r="K1424" s="9">
        <f>Table1[[#This Row], [NUM OF MEM]]*Table1[[#This Row], [TOTAL TIME TAKEN]]*_xlfn.XLOOKUP(Table1[[#This Row], [EXIT]],Sheet1!$A$70:$A$71,Sheet1!$B$70:$B$71)*(1+_xlfn.XLOOKUP(Table1[[#This Row], [EXIT]],Sheet1!$A$70:$A$71,Sheet1!$C$70:$C$71))</f>
        <v>1572793.9749999996</v>
      </c>
      <c r="L1424" s="13" t="s">
        <v>65</v>
      </c>
      <c r="M1424" s="4">
        <f>IF(Table1[[#This Row], [EQUIPMENT]]="YES",Sheet1!$C$44*(1+Sheet1!$D$44),0)</f>
        <v>307500</v>
      </c>
      <c r="N1424" s="4">
        <f>_xlfn.XLOOKUP(Table1[[#This Row], [ROOM]],Sheet1!$A$47:$A$66,Sheet1!$F$47:$F$66)</f>
        <v>17600000</v>
      </c>
      <c r="O1424" s="9">
        <f>_xlfn.XLOOKUP(_xlfn.CONCAT(Table1[[#This Row], [TEAM]],Table1[[#This Row], [ROOM]]),'ROOM TIME'!$H$2:$H$121,'ROOM TIME'!$J$2:$J$121)</f>
        <v>36.254444444444438</v>
      </c>
      <c r="P1424" s="9">
        <f>(INDEX(Sheet1!$X$48:$Z$67,MATCH(Table1[[#This Row], [ROOM]],Sheet1!$P$48:$P$67,0),MATCH(Table1[[#This Row], [WEAPON]],Sheet1!$X$47:$Z$47,0)))/Table1[[#This Row], [NUM OF MEM]]</f>
        <v>4.5999999999999996</v>
      </c>
      <c r="Q1424" s="9">
        <f>Table1[[#This Row], [ROOM TIME]]+Table1[[#This Row], [GUARD TIME]]</f>
        <v>40.854444444444439</v>
      </c>
      <c r="R1424" s="4">
        <f>Sheet1!$K$3*_xlfn.XLOOKUP(Table1[[#This Row], [DISGUISE]],Sheet1!$A$21:$A$23,Sheet1!$D$21:$D$23)</f>
        <v>66</v>
      </c>
      <c r="S1424" s="9">
        <f>Table1[[#This Row], [TOTAL TIME]]-Table1[[#This Row], [TOTAL TIME TAKEN]]</f>
        <v>25.145555555555561</v>
      </c>
      <c r="T1424" t="str">
        <f>IF(Table1[[#This Row], [TIME DIFFERENCE]]&gt;=0,"PASS","FAIL")</f>
        <v>PASS</v>
      </c>
      <c r="U1424" s="9">
        <f>Table1[[#This Row], [TRC]]+Table1[[#This Row], [DRC]]+Table1[[#This Row], [WRC]]+Table1[[#This Row], [ERC]]+Table1[[#This Row], [EQRC]]</f>
        <v>8271143.9749999996</v>
      </c>
      <c r="V1424" s="9">
        <f>Table1[[#This Row], [TOTAL COST]]+_xlfn.XLOOKUP(Table1[[#This Row], [TEAM]],Sheet1!$A$12:$A$17,Sheet1!$I$12:$I$17)</f>
        <v>8583081.4749999996</v>
      </c>
      <c r="W1424" s="9">
        <f>Table1[[#This Row], [LOOT]]-Table1[[#This Row], [TOTAL COST]]</f>
        <v>9328856.0250000004</v>
      </c>
      <c r="X1424" s="9">
        <f>IF(Table1[[#This Row], [PASS/FAIL]]="FAIL",0,Table1[[#This Row], [PROFIT]])</f>
        <v>9328856.0250000004</v>
      </c>
    </row>
    <row r="1425" spans="1:24" ht="19.5" customHeight="1" x14ac:dyDescent="0.45">
      <c r="A1425" t="s">
        <v>9</v>
      </c>
      <c r="B1425" s="14">
        <f>_xlfn.XLOOKUP(Table1[[#This Row], [TEAM]],Sheet1!$A$12:$A$17,Sheet1!$F$12:$F$17)</f>
        <v>3</v>
      </c>
      <c r="C1425" s="14">
        <f>_xlfn.XLOOKUP(Table1[[#This Row], [TEAM]],Sheet1!$A$12:$A$17,Sheet1!$G$12:$G$17)</f>
        <v>6238750</v>
      </c>
      <c r="D1425" t="s">
        <v>23</v>
      </c>
      <c r="E1425" s="4">
        <f>_xlfn.XLOOKUP(Table1[[#This Row], [ROOM]],Sheet1!$A$47:$A$66,Sheet1!$B$47:$B$66)</f>
        <v>245</v>
      </c>
      <c r="F1425" t="s">
        <v>58</v>
      </c>
      <c r="G1425" s="4">
        <f>_xlfn.XLOOKUP(Table1[[#This Row], [DISGUISE]],Sheet1!$A$21:$A$23,Sheet1!$B$21:$B$23)*Table1[[#This Row], [NUM OF MEM]]*(1+_xlfn.XLOOKUP(Table1[[#This Row], [DISGUISE]],Sheet1!$A$21:$A$23,Sheet1!$C$21:$C$23))</f>
        <v>38400</v>
      </c>
      <c r="H1425" s="13" t="s">
        <v>59</v>
      </c>
      <c r="I1425" s="4">
        <f>_xlfn.XLOOKUP(Table1[[#This Row], [WEAPON]],Sheet1!$A$27:$A$29,Sheet1!$B$27:$B$29)*Table1[[#This Row], [NUM OF MEM]]*(1+_xlfn.XLOOKUP(Table1[[#This Row], [WEAPON]],Sheet1!$A$27:$A$29,Sheet1!$C$27:$C$29))</f>
        <v>136500</v>
      </c>
      <c r="J1425" t="s">
        <v>64</v>
      </c>
      <c r="K1425" s="9">
        <f>Table1[[#This Row], [NUM OF MEM]]*Table1[[#This Row], [TOTAL TIME TAKEN]]*_xlfn.XLOOKUP(Table1[[#This Row], [EXIT]],Sheet1!$A$70:$A$71,Sheet1!$B$70:$B$71)*(1+_xlfn.XLOOKUP(Table1[[#This Row], [EXIT]],Sheet1!$A$70:$A$71,Sheet1!$C$70:$C$71))</f>
        <v>1659311.9999999998</v>
      </c>
      <c r="L1425" s="13" t="s">
        <v>61</v>
      </c>
      <c r="M1425" s="4">
        <f>IF(Table1[[#This Row], [EQUIPMENT]]="YES",Sheet1!$C$44*(1+Sheet1!$D$44),0)</f>
        <v>0</v>
      </c>
      <c r="N1425" s="4">
        <f>_xlfn.XLOOKUP(Table1[[#This Row], [ROOM]],Sheet1!$A$47:$A$66,Sheet1!$F$47:$F$66)</f>
        <v>17400000</v>
      </c>
      <c r="O1425" s="9">
        <f>_xlfn.XLOOKUP(_xlfn.CONCAT(Table1[[#This Row], [TEAM]],Table1[[#This Row], [ROOM]]),'ROOM TIME'!$H$2:$H$121,'ROOM TIME'!$J$2:$J$121)</f>
        <v>38.461111111111101</v>
      </c>
      <c r="P1425" s="9">
        <f>(INDEX(Sheet1!$X$48:$Z$67,MATCH(Table1[[#This Row], [ROOM]],Sheet1!$P$48:$P$67,0),MATCH(Table1[[#This Row], [WEAPON]],Sheet1!$X$47:$Z$47,0)))/Table1[[#This Row], [NUM OF MEM]]</f>
        <v>4.2166666666666659</v>
      </c>
      <c r="Q1425" s="9">
        <f>Table1[[#This Row], [ROOM TIME]]+Table1[[#This Row], [GUARD TIME]]</f>
        <v>42.67777777777777</v>
      </c>
      <c r="R1425" s="4">
        <f>Sheet1!$K$3*_xlfn.XLOOKUP(Table1[[#This Row], [DISGUISE]],Sheet1!$A$21:$A$23,Sheet1!$D$21:$D$23)</f>
        <v>69</v>
      </c>
      <c r="S1425" s="9">
        <f>Table1[[#This Row], [TOTAL TIME]]-Table1[[#This Row], [TOTAL TIME TAKEN]]</f>
        <v>26.32222222222223</v>
      </c>
      <c r="T1425" t="str">
        <f>IF(Table1[[#This Row], [TIME DIFFERENCE]]&gt;=0,"PASS","FAIL")</f>
        <v>PASS</v>
      </c>
      <c r="U1425" s="4">
        <f>Table1[[#This Row], [TRC]]+Table1[[#This Row], [DRC]]+Table1[[#This Row], [WRC]]+Table1[[#This Row], [ERC]]+Table1[[#This Row], [EQRC]]</f>
        <v>8072962</v>
      </c>
      <c r="V1425" s="9">
        <f>Table1[[#This Row], [TOTAL COST]]+_xlfn.XLOOKUP(Table1[[#This Row], [TEAM]],Sheet1!$A$12:$A$17,Sheet1!$I$12:$I$17)</f>
        <v>8384899.5</v>
      </c>
      <c r="W1425" s="4">
        <f>Table1[[#This Row], [LOOT]]-Table1[[#This Row], [TOTAL COST]]</f>
        <v>9327038</v>
      </c>
      <c r="X1425" s="4">
        <f>IF(Table1[[#This Row], [PASS/FAIL]]="FAIL",0,Table1[[#This Row], [PROFIT]])</f>
        <v>9327038</v>
      </c>
    </row>
    <row r="1426" spans="1:24" ht="19.5" customHeight="1" x14ac:dyDescent="0.45">
      <c r="A1426" t="s">
        <v>9</v>
      </c>
      <c r="B1426" s="14">
        <f>_xlfn.XLOOKUP(Table1[[#This Row], [TEAM]],Sheet1!$A$12:$A$17,Sheet1!$F$12:$F$17)</f>
        <v>3</v>
      </c>
      <c r="C1426" s="14">
        <f>_xlfn.XLOOKUP(Table1[[#This Row], [TEAM]],Sheet1!$A$12:$A$17,Sheet1!$G$12:$G$17)</f>
        <v>6238750</v>
      </c>
      <c r="D1426" t="s">
        <v>30</v>
      </c>
      <c r="E1426" s="4">
        <f>_xlfn.XLOOKUP(Table1[[#This Row], [ROOM]],Sheet1!$A$47:$A$66,Sheet1!$B$47:$B$66)</f>
        <v>246</v>
      </c>
      <c r="F1426" t="s">
        <v>58</v>
      </c>
      <c r="G142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26" s="13" t="s">
        <v>63</v>
      </c>
      <c r="I1426" s="4">
        <f>_xlfn.XLOOKUP(Table1[[#This Row], [WEAPON]],Sheet1!$A$27:$A$29,Sheet1!$B$27:$B$29)*Table1[[#This Row], [NUM OF MEM]]*(1+_xlfn.XLOOKUP(Table1[[#This Row], [WEAPON]],Sheet1!$A$27:$A$29,Sheet1!$C$27:$C$29))</f>
        <v>69000</v>
      </c>
      <c r="J1426" t="s">
        <v>64</v>
      </c>
      <c r="K1426" s="9">
        <f>Table1[[#This Row], [NUM OF MEM]]*Table1[[#This Row], [TOTAL TIME TAKEN]]*_xlfn.XLOOKUP(Table1[[#This Row], [EXIT]],Sheet1!$A$70:$A$71,Sheet1!$B$70:$B$71)*(1+_xlfn.XLOOKUP(Table1[[#This Row], [EXIT]],Sheet1!$A$70:$A$71,Sheet1!$C$70:$C$71))</f>
        <v>1619524.7999999996</v>
      </c>
      <c r="L1426" s="13" t="s">
        <v>65</v>
      </c>
      <c r="M1426" s="4">
        <f>IF(Table1[[#This Row], [EQUIPMENT]]="YES",Sheet1!$C$44*(1+Sheet1!$D$44),0)</f>
        <v>307500</v>
      </c>
      <c r="N1426" s="4">
        <f>_xlfn.XLOOKUP(Table1[[#This Row], [ROOM]],Sheet1!$A$47:$A$66,Sheet1!$F$47:$F$66)</f>
        <v>17600000</v>
      </c>
      <c r="O1426" s="9">
        <f>_xlfn.XLOOKUP(_xlfn.CONCAT(Table1[[#This Row], [TEAM]],Table1[[#This Row], [ROOM]]),'ROOM TIME'!$H$2:$H$121,'ROOM TIME'!$J$2:$J$121)</f>
        <v>36.254444444444438</v>
      </c>
      <c r="P1426" s="9">
        <f>(INDEX(Sheet1!$X$48:$Z$67,MATCH(Table1[[#This Row], [ROOM]],Sheet1!$P$48:$P$67,0),MATCH(Table1[[#This Row], [WEAPON]],Sheet1!$X$47:$Z$47,0)))/Table1[[#This Row], [NUM OF MEM]]</f>
        <v>5.4000000000000012</v>
      </c>
      <c r="Q1426" s="9">
        <f>Table1[[#This Row], [ROOM TIME]]+Table1[[#This Row], [GUARD TIME]]</f>
        <v>41.654444444444437</v>
      </c>
      <c r="R1426" s="4">
        <f>Sheet1!$K$3*_xlfn.XLOOKUP(Table1[[#This Row], [DISGUISE]],Sheet1!$A$21:$A$23,Sheet1!$D$21:$D$23)</f>
        <v>69</v>
      </c>
      <c r="S1426" s="9">
        <f>Table1[[#This Row], [TOTAL TIME]]-Table1[[#This Row], [TOTAL TIME TAKEN]]</f>
        <v>27.345555555555563</v>
      </c>
      <c r="T1426" t="str">
        <f>IF(Table1[[#This Row], [TIME DIFFERENCE]]&gt;=0,"PASS","FAIL")</f>
        <v>PASS</v>
      </c>
      <c r="U1426" s="9">
        <f>Table1[[#This Row], [TRC]]+Table1[[#This Row], [DRC]]+Table1[[#This Row], [WRC]]+Table1[[#This Row], [ERC]]+Table1[[#This Row], [EQRC]]</f>
        <v>8273174.7999999998</v>
      </c>
      <c r="V1426" s="9">
        <f>Table1[[#This Row], [TOTAL COST]]+_xlfn.XLOOKUP(Table1[[#This Row], [TEAM]],Sheet1!$A$12:$A$17,Sheet1!$I$12:$I$17)</f>
        <v>8585112.3000000007</v>
      </c>
      <c r="W1426" s="9">
        <f>Table1[[#This Row], [LOOT]]-Table1[[#This Row], [TOTAL COST]]</f>
        <v>9326825.1999999993</v>
      </c>
      <c r="X1426" s="9">
        <f>IF(Table1[[#This Row], [PASS/FAIL]]="FAIL",0,Table1[[#This Row], [PROFIT]])</f>
        <v>9326825.1999999993</v>
      </c>
    </row>
    <row r="1427" spans="1:24" ht="19.5" customHeight="1" x14ac:dyDescent="0.45">
      <c r="A1427" t="s">
        <v>9</v>
      </c>
      <c r="B1427" s="14">
        <f>_xlfn.XLOOKUP(Table1[[#This Row], [TEAM]],Sheet1!$A$12:$A$17,Sheet1!$F$12:$F$17)</f>
        <v>3</v>
      </c>
      <c r="C1427" s="14">
        <f>_xlfn.XLOOKUP(Table1[[#This Row], [TEAM]],Sheet1!$A$12:$A$17,Sheet1!$G$12:$G$17)</f>
        <v>6238750</v>
      </c>
      <c r="D1427" t="s">
        <v>17</v>
      </c>
      <c r="E1427" s="4">
        <f>_xlfn.XLOOKUP(Table1[[#This Row], [ROOM]],Sheet1!$A$47:$A$66,Sheet1!$B$47:$B$66)</f>
        <v>125</v>
      </c>
      <c r="F1427" t="s">
        <v>58</v>
      </c>
      <c r="G1427" s="4">
        <f>_xlfn.XLOOKUP(Table1[[#This Row], [DISGUISE]],Sheet1!$A$21:$A$23,Sheet1!$B$21:$B$23)*Table1[[#This Row], [NUM OF MEM]]*(1+_xlfn.XLOOKUP(Table1[[#This Row], [DISGUISE]],Sheet1!$A$21:$A$23,Sheet1!$C$21:$C$23))</f>
        <v>38400</v>
      </c>
      <c r="H1427" s="13" t="s">
        <v>66</v>
      </c>
      <c r="I1427" s="4">
        <f>_xlfn.XLOOKUP(Table1[[#This Row], [WEAPON]],Sheet1!$A$27:$A$29,Sheet1!$B$27:$B$29)*Table1[[#This Row], [NUM OF MEM]]*(1+_xlfn.XLOOKUP(Table1[[#This Row], [WEAPON]],Sheet1!$A$27:$A$29,Sheet1!$C$27:$C$29))</f>
        <v>108000</v>
      </c>
      <c r="J1427" t="s">
        <v>60</v>
      </c>
      <c r="K1427" s="9">
        <f>Table1[[#This Row], [NUM OF MEM]]*Table1[[#This Row], [TOTAL TIME TAKEN]]*_xlfn.XLOOKUP(Table1[[#This Row], [EXIT]],Sheet1!$A$70:$A$71,Sheet1!$B$70:$B$71)*(1+_xlfn.XLOOKUP(Table1[[#This Row], [EXIT]],Sheet1!$A$70:$A$71,Sheet1!$C$70:$C$71))</f>
        <v>1638646.0874999997</v>
      </c>
      <c r="L1427" s="13" t="s">
        <v>61</v>
      </c>
      <c r="M1427" s="4">
        <f>IF(Table1[[#This Row], [EQUIPMENT]]="YES",Sheet1!$C$44*(1+Sheet1!$D$44),0)</f>
        <v>0</v>
      </c>
      <c r="N1427" s="4">
        <f>_xlfn.XLOOKUP(Table1[[#This Row], [ROOM]],Sheet1!$A$47:$A$66,Sheet1!$F$47:$F$66)</f>
        <v>17350000</v>
      </c>
      <c r="O1427" s="9">
        <f>_xlfn.XLOOKUP(_xlfn.CONCAT(Table1[[#This Row], [TEAM]],Table1[[#This Row], [ROOM]]),'ROOM TIME'!$H$2:$H$121,'ROOM TIME'!$J$2:$J$121)</f>
        <v>38.398333333333326</v>
      </c>
      <c r="P1427" s="9">
        <f>(INDEX(Sheet1!$X$48:$Z$67,MATCH(Table1[[#This Row], [ROOM]],Sheet1!$P$48:$P$67,0),MATCH(Table1[[#This Row], [WEAPON]],Sheet1!$X$47:$Z$47,0)))/Table1[[#This Row], [NUM OF MEM]]</f>
        <v>4.166666666666667</v>
      </c>
      <c r="Q1427" s="9">
        <f>Table1[[#This Row], [ROOM TIME]]+Table1[[#This Row], [GUARD TIME]]</f>
        <v>42.564999999999991</v>
      </c>
      <c r="R1427" s="4">
        <f>Sheet1!$K$3*_xlfn.XLOOKUP(Table1[[#This Row], [DISGUISE]],Sheet1!$A$21:$A$23,Sheet1!$D$21:$D$23)</f>
        <v>69</v>
      </c>
      <c r="S1427" s="9">
        <f>Table1[[#This Row], [TOTAL TIME]]-Table1[[#This Row], [TOTAL TIME TAKEN]]</f>
        <v>26.435000000000009</v>
      </c>
      <c r="T1427" t="str">
        <f>IF(Table1[[#This Row], [TIME DIFFERENCE]]&gt;=0,"PASS","FAIL")</f>
        <v>PASS</v>
      </c>
      <c r="U1427" s="9">
        <f>Table1[[#This Row], [TRC]]+Table1[[#This Row], [DRC]]+Table1[[#This Row], [WRC]]+Table1[[#This Row], [ERC]]+Table1[[#This Row], [EQRC]]</f>
        <v>8023796.0874999994</v>
      </c>
      <c r="V1427" s="9">
        <f>Table1[[#This Row], [TOTAL COST]]+_xlfn.XLOOKUP(Table1[[#This Row], [TEAM]],Sheet1!$A$12:$A$17,Sheet1!$I$12:$I$17)</f>
        <v>8335733.5874999994</v>
      </c>
      <c r="W1427" s="9">
        <f>Table1[[#This Row], [LOOT]]-Table1[[#This Row], [TOTAL COST]]</f>
        <v>9326203.9125000015</v>
      </c>
      <c r="X1427" s="9">
        <f>IF(Table1[[#This Row], [PASS/FAIL]]="FAIL",0,Table1[[#This Row], [PROFIT]])</f>
        <v>9326203.9125000015</v>
      </c>
    </row>
    <row r="1428" spans="1:24" ht="19.5" customHeight="1" x14ac:dyDescent="0.45">
      <c r="A1428" t="s">
        <v>9</v>
      </c>
      <c r="B1428" s="14">
        <f>_xlfn.XLOOKUP(Table1[[#This Row], [TEAM]],Sheet1!$A$12:$A$17,Sheet1!$F$12:$F$17)</f>
        <v>3</v>
      </c>
      <c r="C1428" s="14">
        <f>_xlfn.XLOOKUP(Table1[[#This Row], [TEAM]],Sheet1!$A$12:$A$17,Sheet1!$G$12:$G$17)</f>
        <v>6238750</v>
      </c>
      <c r="D1428" t="s">
        <v>30</v>
      </c>
      <c r="E1428" s="4">
        <f>_xlfn.XLOOKUP(Table1[[#This Row], [ROOM]],Sheet1!$A$47:$A$66,Sheet1!$B$47:$B$66)</f>
        <v>246</v>
      </c>
      <c r="F1428" t="s">
        <v>62</v>
      </c>
      <c r="G142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28" s="13" t="s">
        <v>66</v>
      </c>
      <c r="I1428" s="4">
        <f>_xlfn.XLOOKUP(Table1[[#This Row], [WEAPON]],Sheet1!$A$27:$A$29,Sheet1!$B$27:$B$29)*Table1[[#This Row], [NUM OF MEM]]*(1+_xlfn.XLOOKUP(Table1[[#This Row], [WEAPON]],Sheet1!$A$27:$A$29,Sheet1!$C$27:$C$29))</f>
        <v>108000</v>
      </c>
      <c r="J1428" t="s">
        <v>64</v>
      </c>
      <c r="K1428" s="9">
        <f>Table1[[#This Row], [NUM OF MEM]]*Table1[[#This Row], [TOTAL TIME TAKEN]]*_xlfn.XLOOKUP(Table1[[#This Row], [EXIT]],Sheet1!$A$70:$A$71,Sheet1!$B$70:$B$71)*(1+_xlfn.XLOOKUP(Table1[[#This Row], [EXIT]],Sheet1!$A$70:$A$71,Sheet1!$C$70:$C$71))</f>
        <v>1603972.7999999996</v>
      </c>
      <c r="L1428" s="13" t="s">
        <v>65</v>
      </c>
      <c r="M1428" s="4">
        <f>IF(Table1[[#This Row], [EQUIPMENT]]="YES",Sheet1!$C$44*(1+Sheet1!$D$44),0)</f>
        <v>307500</v>
      </c>
      <c r="N1428" s="4">
        <f>_xlfn.XLOOKUP(Table1[[#This Row], [ROOM]],Sheet1!$A$47:$A$66,Sheet1!$F$47:$F$66)</f>
        <v>17600000</v>
      </c>
      <c r="O1428" s="9">
        <f>_xlfn.XLOOKUP(_xlfn.CONCAT(Table1[[#This Row], [TEAM]],Table1[[#This Row], [ROOM]]),'ROOM TIME'!$H$2:$H$121,'ROOM TIME'!$J$2:$J$121)</f>
        <v>36.254444444444438</v>
      </c>
      <c r="P1428" s="4">
        <f>(INDEX(Sheet1!$X$48:$Z$67,MATCH(Table1[[#This Row], [ROOM]],Sheet1!$P$48:$P$67,0),MATCH(Table1[[#This Row], [WEAPON]],Sheet1!$X$47:$Z$47,0)))/Table1[[#This Row], [NUM OF MEM]]</f>
        <v>5</v>
      </c>
      <c r="Q1428" s="9">
        <f>Table1[[#This Row], [ROOM TIME]]+Table1[[#This Row], [GUARD TIME]]</f>
        <v>41.254444444444438</v>
      </c>
      <c r="R1428" s="4">
        <f>Sheet1!$K$3*_xlfn.XLOOKUP(Table1[[#This Row], [DISGUISE]],Sheet1!$A$21:$A$23,Sheet1!$D$21:$D$23)</f>
        <v>66</v>
      </c>
      <c r="S1428" s="9">
        <f>Table1[[#This Row], [TOTAL TIME]]-Table1[[#This Row], [TOTAL TIME TAKEN]]</f>
        <v>24.745555555555562</v>
      </c>
      <c r="T1428" t="str">
        <f>IF(Table1[[#This Row], [TIME DIFFERENCE]]&gt;=0,"PASS","FAIL")</f>
        <v>PASS</v>
      </c>
      <c r="U1428" s="9">
        <f>Table1[[#This Row], [TRC]]+Table1[[#This Row], [DRC]]+Table1[[#This Row], [WRC]]+Table1[[#This Row], [ERC]]+Table1[[#This Row], [EQRC]]</f>
        <v>8273822.7999999998</v>
      </c>
      <c r="V1428" s="9">
        <f>Table1[[#This Row], [TOTAL COST]]+_xlfn.XLOOKUP(Table1[[#This Row], [TEAM]],Sheet1!$A$12:$A$17,Sheet1!$I$12:$I$17)</f>
        <v>8585760.3000000007</v>
      </c>
      <c r="W1428" s="9">
        <f>Table1[[#This Row], [LOOT]]-Table1[[#This Row], [TOTAL COST]]</f>
        <v>9326177.1999999993</v>
      </c>
      <c r="X1428" s="9">
        <f>IF(Table1[[#This Row], [PASS/FAIL]]="FAIL",0,Table1[[#This Row], [PROFIT]])</f>
        <v>9326177.1999999993</v>
      </c>
    </row>
    <row r="1429" spans="1:24" ht="19.5" customHeight="1" x14ac:dyDescent="0.45">
      <c r="A1429" t="s">
        <v>15</v>
      </c>
      <c r="B1429" s="14">
        <f>_xlfn.XLOOKUP(Table1[[#This Row], [TEAM]],Sheet1!$A$12:$A$17,Sheet1!$F$12:$F$17)</f>
        <v>2</v>
      </c>
      <c r="C1429" s="14">
        <f>_xlfn.XLOOKUP(Table1[[#This Row], [TEAM]],Sheet1!$A$12:$A$17,Sheet1!$G$12:$G$17)</f>
        <v>5932950</v>
      </c>
      <c r="D1429" t="s">
        <v>23</v>
      </c>
      <c r="E1429" s="4">
        <f>_xlfn.XLOOKUP(Table1[[#This Row], [ROOM]],Sheet1!$A$47:$A$66,Sheet1!$B$47:$B$66)</f>
        <v>245</v>
      </c>
      <c r="F1429" t="s">
        <v>58</v>
      </c>
      <c r="G14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429" s="13" t="s">
        <v>66</v>
      </c>
      <c r="I1429" s="4">
        <f>_xlfn.XLOOKUP(Table1[[#This Row], [WEAPON]],Sheet1!$A$27:$A$29,Sheet1!$B$27:$B$29)*Table1[[#This Row], [NUM OF MEM]]*(1+_xlfn.XLOOKUP(Table1[[#This Row], [WEAPON]],Sheet1!$A$27:$A$29,Sheet1!$C$27:$C$29))</f>
        <v>72000</v>
      </c>
      <c r="J1429" t="s">
        <v>64</v>
      </c>
      <c r="K1429" s="9">
        <f>Table1[[#This Row], [NUM OF MEM]]*Table1[[#This Row], [TOTAL TIME TAKEN]]*_xlfn.XLOOKUP(Table1[[#This Row], [EXIT]],Sheet1!$A$70:$A$71,Sheet1!$B$70:$B$71)*(1+_xlfn.XLOOKUP(Table1[[#This Row], [EXIT]],Sheet1!$A$70:$A$71,Sheet1!$C$70:$C$71))</f>
        <v>1738551.5999999996</v>
      </c>
      <c r="L1429" s="13" t="s">
        <v>65</v>
      </c>
      <c r="M1429" s="4">
        <f>IF(Table1[[#This Row], [EQUIPMENT]]="YES",Sheet1!$C$44*(1+Sheet1!$D$44),0)</f>
        <v>307500</v>
      </c>
      <c r="N1429" s="4">
        <f>_xlfn.XLOOKUP(Table1[[#This Row], [ROOM]],Sheet1!$A$47:$A$66,Sheet1!$F$47:$F$66)</f>
        <v>17400000</v>
      </c>
      <c r="O1429" s="9">
        <f>_xlfn.XLOOKUP(_xlfn.CONCAT(Table1[[#This Row], [TEAM]],Table1[[#This Row], [ROOM]]),'ROOM TIME'!$H$2:$H$121,'ROOM TIME'!$J$2:$J$121)</f>
        <v>60.198749999999983</v>
      </c>
      <c r="P1429" s="9">
        <f>(INDEX(Sheet1!$X$48:$Z$67,MATCH(Table1[[#This Row], [ROOM]],Sheet1!$P$48:$P$67,0),MATCH(Table1[[#This Row], [WEAPON]],Sheet1!$X$47:$Z$47,0)))/Table1[[#This Row], [NUM OF MEM]]</f>
        <v>6.875</v>
      </c>
      <c r="Q1429" s="9">
        <f>Table1[[#This Row], [ROOM TIME]]+Table1[[#This Row], [GUARD TIME]]</f>
        <v>67.07374999999999</v>
      </c>
      <c r="R1429" s="4">
        <f>Sheet1!$K$3*_xlfn.XLOOKUP(Table1[[#This Row], [DISGUISE]],Sheet1!$A$21:$A$23,Sheet1!$D$21:$D$23)</f>
        <v>69</v>
      </c>
      <c r="S1429" s="9">
        <f>Table1[[#This Row], [TOTAL TIME]]-Table1[[#This Row], [TOTAL TIME TAKEN]]</f>
        <v>1.9262500000000102</v>
      </c>
      <c r="T1429" t="str">
        <f>IF(Table1[[#This Row], [TIME DIFFERENCE]]&gt;=0,"PASS","FAIL")</f>
        <v>PASS</v>
      </c>
      <c r="U1429" s="9">
        <f>Table1[[#This Row], [TRC]]+Table1[[#This Row], [DRC]]+Table1[[#This Row], [WRC]]+Table1[[#This Row], [ERC]]+Table1[[#This Row], [EQRC]]</f>
        <v>8076601.5999999996</v>
      </c>
      <c r="V1429" s="9">
        <f>Table1[[#This Row], [TOTAL COST]]+_xlfn.XLOOKUP(Table1[[#This Row], [TEAM]],Sheet1!$A$12:$A$17,Sheet1!$I$12:$I$17)</f>
        <v>8373249.0999999996</v>
      </c>
      <c r="W1429" s="9">
        <f>Table1[[#This Row], [LOOT]]-Table1[[#This Row], [TOTAL COST]]</f>
        <v>9323398.4000000004</v>
      </c>
      <c r="X1429" s="9">
        <f>IF(Table1[[#This Row], [PASS/FAIL]]="FAIL",0,Table1[[#This Row], [PROFIT]])</f>
        <v>9323398.4000000004</v>
      </c>
    </row>
    <row r="1430" spans="1:24" ht="19.5" customHeight="1" x14ac:dyDescent="0.45">
      <c r="A1430" t="s">
        <v>12</v>
      </c>
      <c r="B1430" s="14">
        <f>_xlfn.XLOOKUP(Table1[[#This Row], [TEAM]],Sheet1!$A$12:$A$17,Sheet1!$F$12:$F$17)</f>
        <v>3</v>
      </c>
      <c r="C1430" s="14">
        <f>_xlfn.XLOOKUP(Table1[[#This Row], [TEAM]],Sheet1!$A$12:$A$17,Sheet1!$G$12:$G$17)</f>
        <v>5988750</v>
      </c>
      <c r="D1430" t="s">
        <v>11</v>
      </c>
      <c r="E1430" s="4">
        <f>_xlfn.XLOOKUP(Table1[[#This Row], [ROOM]],Sheet1!$A$47:$A$66,Sheet1!$B$47:$B$66)</f>
        <v>124</v>
      </c>
      <c r="F1430" t="s">
        <v>62</v>
      </c>
      <c r="G143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30" s="13" t="s">
        <v>63</v>
      </c>
      <c r="I1430" s="4">
        <f>_xlfn.XLOOKUP(Table1[[#This Row], [WEAPON]],Sheet1!$A$27:$A$29,Sheet1!$B$27:$B$29)*Table1[[#This Row], [NUM OF MEM]]*(1+_xlfn.XLOOKUP(Table1[[#This Row], [WEAPON]],Sheet1!$A$27:$A$29,Sheet1!$C$27:$C$29))</f>
        <v>69000</v>
      </c>
      <c r="J1430" t="s">
        <v>60</v>
      </c>
      <c r="K1430" s="9">
        <f>Table1[[#This Row], [NUM OF MEM]]*Table1[[#This Row], [TOTAL TIME TAKEN]]*_xlfn.XLOOKUP(Table1[[#This Row], [EXIT]],Sheet1!$A$70:$A$71,Sheet1!$B$70:$B$71)*(1+_xlfn.XLOOKUP(Table1[[#This Row], [EXIT]],Sheet1!$A$70:$A$71,Sheet1!$C$70:$C$71))</f>
        <v>1745904.3999999997</v>
      </c>
      <c r="L1430" s="13" t="s">
        <v>65</v>
      </c>
      <c r="M1430" s="4">
        <f>IF(Table1[[#This Row], [EQUIPMENT]]="YES",Sheet1!$C$44*(1+Sheet1!$D$44),0)</f>
        <v>307500</v>
      </c>
      <c r="N1430" s="4">
        <f>_xlfn.XLOOKUP(Table1[[#This Row], [ROOM]],Sheet1!$A$47:$A$66,Sheet1!$F$47:$F$66)</f>
        <v>17450000</v>
      </c>
      <c r="O1430" s="9">
        <f>_xlfn.XLOOKUP(_xlfn.CONCAT(Table1[[#This Row], [TEAM]],Table1[[#This Row], [ROOM]]),'ROOM TIME'!$H$2:$H$121,'ROOM TIME'!$J$2:$J$121)</f>
        <v>40.401111111111099</v>
      </c>
      <c r="P1430" s="9">
        <f>(INDEX(Sheet1!$X$48:$Z$67,MATCH(Table1[[#This Row], [ROOM]],Sheet1!$P$48:$P$67,0),MATCH(Table1[[#This Row], [WEAPON]],Sheet1!$X$47:$Z$47,0)))/Table1[[#This Row], [NUM OF MEM]]</f>
        <v>4.95</v>
      </c>
      <c r="Q1430" s="9">
        <f>Table1[[#This Row], [ROOM TIME]]+Table1[[#This Row], [GUARD TIME]]</f>
        <v>45.351111111111102</v>
      </c>
      <c r="R1430" s="4">
        <f>Sheet1!$K$3*_xlfn.XLOOKUP(Table1[[#This Row], [DISGUISE]],Sheet1!$A$21:$A$23,Sheet1!$D$21:$D$23)</f>
        <v>66</v>
      </c>
      <c r="S1430" s="9">
        <f>Table1[[#This Row], [TOTAL TIME]]-Table1[[#This Row], [TOTAL TIME TAKEN]]</f>
        <v>20.648888888888898</v>
      </c>
      <c r="T1430" t="str">
        <f>IF(Table1[[#This Row], [TIME DIFFERENCE]]&gt;=0,"PASS","FAIL")</f>
        <v>PASS</v>
      </c>
      <c r="U1430" s="9">
        <f>Table1[[#This Row], [TRC]]+Table1[[#This Row], [DRC]]+Table1[[#This Row], [WRC]]+Table1[[#This Row], [ERC]]+Table1[[#This Row], [EQRC]]</f>
        <v>8126754.3999999994</v>
      </c>
      <c r="V1430" s="9">
        <f>Table1[[#This Row], [TOTAL COST]]+_xlfn.XLOOKUP(Table1[[#This Row], [TEAM]],Sheet1!$A$12:$A$17,Sheet1!$I$12:$I$17)</f>
        <v>8426191.8999999985</v>
      </c>
      <c r="W1430" s="9">
        <f>Table1[[#This Row], [LOOT]]-Table1[[#This Row], [TOTAL COST]]</f>
        <v>9323245.6000000015</v>
      </c>
      <c r="X1430" s="9">
        <f>IF(Table1[[#This Row], [PASS/FAIL]]="FAIL",0,Table1[[#This Row], [PROFIT]])</f>
        <v>9323245.6000000015</v>
      </c>
    </row>
    <row r="1431" spans="1:24" ht="19.5" customHeight="1" x14ac:dyDescent="0.45">
      <c r="A1431" t="s">
        <v>14</v>
      </c>
      <c r="B1431" s="14">
        <f>_xlfn.XLOOKUP(Table1[[#This Row], [TEAM]],Sheet1!$A$12:$A$17,Sheet1!$F$12:$F$17)</f>
        <v>2</v>
      </c>
      <c r="C1431" s="14">
        <f>_xlfn.XLOOKUP(Table1[[#This Row], [TEAM]],Sheet1!$A$12:$A$17,Sheet1!$G$12:$G$17)</f>
        <v>5949600</v>
      </c>
      <c r="D1431" t="s">
        <v>23</v>
      </c>
      <c r="E1431" s="4">
        <f>_xlfn.XLOOKUP(Table1[[#This Row], [ROOM]],Sheet1!$A$47:$A$66,Sheet1!$B$47:$B$66)</f>
        <v>245</v>
      </c>
      <c r="F1431" t="s">
        <v>58</v>
      </c>
      <c r="G1431" s="4">
        <f>_xlfn.XLOOKUP(Table1[[#This Row], [DISGUISE]],Sheet1!$A$21:$A$23,Sheet1!$B$21:$B$23)*Table1[[#This Row], [NUM OF MEM]]*(1+_xlfn.XLOOKUP(Table1[[#This Row], [DISGUISE]],Sheet1!$A$21:$A$23,Sheet1!$C$21:$C$23))</f>
        <v>25600</v>
      </c>
      <c r="H1431" s="13" t="s">
        <v>66</v>
      </c>
      <c r="I1431" s="4">
        <f>_xlfn.XLOOKUP(Table1[[#This Row], [WEAPON]],Sheet1!$A$27:$A$29,Sheet1!$B$27:$B$29)*Table1[[#This Row], [NUM OF MEM]]*(1+_xlfn.XLOOKUP(Table1[[#This Row], [WEAPON]],Sheet1!$A$27:$A$29,Sheet1!$C$27:$C$29))</f>
        <v>72000</v>
      </c>
      <c r="J1431" t="s">
        <v>60</v>
      </c>
      <c r="K1431" s="9">
        <f>Table1[[#This Row], [NUM OF MEM]]*Table1[[#This Row], [TOTAL TIME TAKEN]]*_xlfn.XLOOKUP(Table1[[#This Row], [EXIT]],Sheet1!$A$70:$A$71,Sheet1!$B$70:$B$71)*(1+_xlfn.XLOOKUP(Table1[[#This Row], [EXIT]],Sheet1!$A$70:$A$71,Sheet1!$C$70:$C$71))</f>
        <v>1724495.5124999997</v>
      </c>
      <c r="L1431" s="13" t="s">
        <v>65</v>
      </c>
      <c r="M1431" s="4">
        <f>IF(Table1[[#This Row], [EQUIPMENT]]="YES",Sheet1!$C$44*(1+Sheet1!$D$44),0)</f>
        <v>307500</v>
      </c>
      <c r="N1431" s="4">
        <f>_xlfn.XLOOKUP(Table1[[#This Row], [ROOM]],Sheet1!$A$47:$A$66,Sheet1!$F$47:$F$66)</f>
        <v>17400000</v>
      </c>
      <c r="O1431" s="9">
        <f>_xlfn.XLOOKUP(_xlfn.CONCAT(Table1[[#This Row], [TEAM]],Table1[[#This Row], [ROOM]]),'ROOM TIME'!$H$2:$H$121,'ROOM TIME'!$J$2:$J$121)</f>
        <v>60.317499999999981</v>
      </c>
      <c r="P1431" s="9">
        <f>(INDEX(Sheet1!$X$48:$Z$67,MATCH(Table1[[#This Row], [ROOM]],Sheet1!$P$48:$P$67,0),MATCH(Table1[[#This Row], [WEAPON]],Sheet1!$X$47:$Z$47,0)))/Table1[[#This Row], [NUM OF MEM]]</f>
        <v>6.875</v>
      </c>
      <c r="Q1431" s="9">
        <f>Table1[[#This Row], [ROOM TIME]]+Table1[[#This Row], [GUARD TIME]]</f>
        <v>67.192499999999981</v>
      </c>
      <c r="R1431" s="4">
        <f>Sheet1!$K$3*_xlfn.XLOOKUP(Table1[[#This Row], [DISGUISE]],Sheet1!$A$21:$A$23,Sheet1!$D$21:$D$23)</f>
        <v>69</v>
      </c>
      <c r="S1431" s="9">
        <f>Table1[[#This Row], [TOTAL TIME]]-Table1[[#This Row], [TOTAL TIME TAKEN]]</f>
        <v>1.8075000000000188</v>
      </c>
      <c r="T1431" t="str">
        <f>IF(Table1[[#This Row], [TIME DIFFERENCE]]&gt;=0,"PASS","FAIL")</f>
        <v>PASS</v>
      </c>
      <c r="U1431" s="9">
        <f>Table1[[#This Row], [TRC]]+Table1[[#This Row], [DRC]]+Table1[[#This Row], [WRC]]+Table1[[#This Row], [ERC]]+Table1[[#This Row], [EQRC]]</f>
        <v>8079195.5124999993</v>
      </c>
      <c r="V1431" s="9">
        <f>Table1[[#This Row], [TOTAL COST]]+_xlfn.XLOOKUP(Table1[[#This Row], [TEAM]],Sheet1!$A$12:$A$17,Sheet1!$I$12:$I$17)</f>
        <v>8376675.5124999993</v>
      </c>
      <c r="W1431" s="9">
        <f>Table1[[#This Row], [LOOT]]-Table1[[#This Row], [TOTAL COST]]</f>
        <v>9320804.4875000007</v>
      </c>
      <c r="X1431" s="9">
        <f>IF(Table1[[#This Row], [PASS/FAIL]]="FAIL",0,Table1[[#This Row], [PROFIT]])</f>
        <v>9320804.4875000007</v>
      </c>
    </row>
    <row r="1432" spans="1:24" ht="19.5" customHeight="1" x14ac:dyDescent="0.45">
      <c r="A1432" t="s">
        <v>9</v>
      </c>
      <c r="B1432" s="14">
        <f>_xlfn.XLOOKUP(Table1[[#This Row], [TEAM]],Sheet1!$A$12:$A$17,Sheet1!$F$12:$F$17)</f>
        <v>3</v>
      </c>
      <c r="C1432" s="14">
        <f>_xlfn.XLOOKUP(Table1[[#This Row], [TEAM]],Sheet1!$A$12:$A$17,Sheet1!$G$12:$G$17)</f>
        <v>6238750</v>
      </c>
      <c r="D1432" t="s">
        <v>25</v>
      </c>
      <c r="E1432" s="4">
        <f>_xlfn.XLOOKUP(Table1[[#This Row], [ROOM]],Sheet1!$A$47:$A$66,Sheet1!$B$47:$B$66)</f>
        <v>126</v>
      </c>
      <c r="F1432" t="s">
        <v>62</v>
      </c>
      <c r="G1432" s="4">
        <f>_xlfn.XLOOKUP(Table1[[#This Row], [DISGUISE]],Sheet1!$A$21:$A$23,Sheet1!$B$21:$B$23)*Table1[[#This Row], [NUM OF MEM]]*(1+_xlfn.XLOOKUP(Table1[[#This Row], [DISGUISE]],Sheet1!$A$21:$A$23,Sheet1!$C$21:$C$23))</f>
        <v>15600</v>
      </c>
      <c r="H1432" s="13" t="s">
        <v>63</v>
      </c>
      <c r="I1432" s="4">
        <f>_xlfn.XLOOKUP(Table1[[#This Row], [WEAPON]],Sheet1!$A$27:$A$29,Sheet1!$B$27:$B$29)*Table1[[#This Row], [NUM OF MEM]]*(1+_xlfn.XLOOKUP(Table1[[#This Row], [WEAPON]],Sheet1!$A$27:$A$29,Sheet1!$C$27:$C$29))</f>
        <v>69000</v>
      </c>
      <c r="J1432" t="s">
        <v>64</v>
      </c>
      <c r="K1432" s="9">
        <f>Table1[[#This Row], [NUM OF MEM]]*Table1[[#This Row], [TOTAL TIME TAKEN]]*_xlfn.XLOOKUP(Table1[[#This Row], [EXIT]],Sheet1!$A$70:$A$71,Sheet1!$B$70:$B$71)*(1+_xlfn.XLOOKUP(Table1[[#This Row], [EXIT]],Sheet1!$A$70:$A$71,Sheet1!$C$70:$C$71))</f>
        <v>1599587.9999999998</v>
      </c>
      <c r="L1432" s="13" t="s">
        <v>65</v>
      </c>
      <c r="M1432" s="4">
        <f>IF(Table1[[#This Row], [EQUIPMENT]]="YES",Sheet1!$C$44*(1+Sheet1!$D$44),0)</f>
        <v>307500</v>
      </c>
      <c r="N1432" s="4">
        <f>_xlfn.XLOOKUP(Table1[[#This Row], [ROOM]],Sheet1!$A$47:$A$66,Sheet1!$F$47:$F$66)</f>
        <v>17550000</v>
      </c>
      <c r="O1432" s="9">
        <f>_xlfn.XLOOKUP(_xlfn.CONCAT(Table1[[#This Row], [TEAM]],Table1[[#This Row], [ROOM]]),'ROOM TIME'!$H$2:$H$121,'ROOM TIME'!$J$2:$J$121)</f>
        <v>36.191666666666656</v>
      </c>
      <c r="P1432" s="9">
        <f>(INDEX(Sheet1!$X$48:$Z$67,MATCH(Table1[[#This Row], [ROOM]],Sheet1!$P$48:$P$67,0),MATCH(Table1[[#This Row], [WEAPON]],Sheet1!$X$47:$Z$47,0)))/Table1[[#This Row], [NUM OF MEM]]</f>
        <v>4.95</v>
      </c>
      <c r="Q1432" s="9">
        <f>Table1[[#This Row], [ROOM TIME]]+Table1[[#This Row], [GUARD TIME]]</f>
        <v>41.141666666666659</v>
      </c>
      <c r="R1432" s="4">
        <f>Sheet1!$K$3*_xlfn.XLOOKUP(Table1[[#This Row], [DISGUISE]],Sheet1!$A$21:$A$23,Sheet1!$D$21:$D$23)</f>
        <v>66</v>
      </c>
      <c r="S1432" s="9">
        <f>Table1[[#This Row], [TOTAL TIME]]-Table1[[#This Row], [TOTAL TIME TAKEN]]</f>
        <v>24.858333333333341</v>
      </c>
      <c r="T1432" t="str">
        <f>IF(Table1[[#This Row], [TIME DIFFERENCE]]&gt;=0,"PASS","FAIL")</f>
        <v>PASS</v>
      </c>
      <c r="U1432" s="4">
        <f>Table1[[#This Row], [TRC]]+Table1[[#This Row], [DRC]]+Table1[[#This Row], [WRC]]+Table1[[#This Row], [ERC]]+Table1[[#This Row], [EQRC]]</f>
        <v>8230438</v>
      </c>
      <c r="V1432" s="9">
        <f>Table1[[#This Row], [TOTAL COST]]+_xlfn.XLOOKUP(Table1[[#This Row], [TEAM]],Sheet1!$A$12:$A$17,Sheet1!$I$12:$I$17)</f>
        <v>8542375.5</v>
      </c>
      <c r="W1432" s="4">
        <f>Table1[[#This Row], [LOOT]]-Table1[[#This Row], [TOTAL COST]]</f>
        <v>9319562</v>
      </c>
      <c r="X1432" s="4">
        <f>IF(Table1[[#This Row], [PASS/FAIL]]="FAIL",0,Table1[[#This Row], [PROFIT]])</f>
        <v>9319562</v>
      </c>
    </row>
    <row r="1433" spans="1:24" ht="19.5" customHeight="1" x14ac:dyDescent="0.45">
      <c r="A1433" t="s">
        <v>9</v>
      </c>
      <c r="B1433" s="14">
        <f>_xlfn.XLOOKUP(Table1[[#This Row], [TEAM]],Sheet1!$A$12:$A$17,Sheet1!$F$12:$F$17)</f>
        <v>3</v>
      </c>
      <c r="C1433" s="14">
        <f>_xlfn.XLOOKUP(Table1[[#This Row], [TEAM]],Sheet1!$A$12:$A$17,Sheet1!$G$12:$G$17)</f>
        <v>6238750</v>
      </c>
      <c r="D1433" t="s">
        <v>30</v>
      </c>
      <c r="E1433" s="4">
        <f>_xlfn.XLOOKUP(Table1[[#This Row], [ROOM]],Sheet1!$A$47:$A$66,Sheet1!$B$47:$B$66)</f>
        <v>246</v>
      </c>
      <c r="F1433" t="s">
        <v>58</v>
      </c>
      <c r="G1433" s="4">
        <f>_xlfn.XLOOKUP(Table1[[#This Row], [DISGUISE]],Sheet1!$A$21:$A$23,Sheet1!$B$21:$B$23)*Table1[[#This Row], [NUM OF MEM]]*(1+_xlfn.XLOOKUP(Table1[[#This Row], [DISGUISE]],Sheet1!$A$21:$A$23,Sheet1!$C$21:$C$23))</f>
        <v>38400</v>
      </c>
      <c r="H1433" s="13" t="s">
        <v>66</v>
      </c>
      <c r="I1433" s="4">
        <f>_xlfn.XLOOKUP(Table1[[#This Row], [WEAPON]],Sheet1!$A$27:$A$29,Sheet1!$B$27:$B$29)*Table1[[#This Row], [NUM OF MEM]]*(1+_xlfn.XLOOKUP(Table1[[#This Row], [WEAPON]],Sheet1!$A$27:$A$29,Sheet1!$C$27:$C$29))</f>
        <v>108000</v>
      </c>
      <c r="J1433" t="s">
        <v>60</v>
      </c>
      <c r="K1433" s="9">
        <f>Table1[[#This Row], [NUM OF MEM]]*Table1[[#This Row], [TOTAL TIME TAKEN]]*_xlfn.XLOOKUP(Table1[[#This Row], [EXIT]],Sheet1!$A$70:$A$71,Sheet1!$B$70:$B$71)*(1+_xlfn.XLOOKUP(Table1[[#This Row], [EXIT]],Sheet1!$A$70:$A$71,Sheet1!$C$70:$C$71))</f>
        <v>1588192.9749999999</v>
      </c>
      <c r="L1433" s="13" t="s">
        <v>65</v>
      </c>
      <c r="M1433" s="4">
        <f>IF(Table1[[#This Row], [EQUIPMENT]]="YES",Sheet1!$C$44*(1+Sheet1!$D$44),0)</f>
        <v>307500</v>
      </c>
      <c r="N1433" s="4">
        <f>_xlfn.XLOOKUP(Table1[[#This Row], [ROOM]],Sheet1!$A$47:$A$66,Sheet1!$F$47:$F$66)</f>
        <v>17600000</v>
      </c>
      <c r="O1433" s="9">
        <f>_xlfn.XLOOKUP(_xlfn.CONCAT(Table1[[#This Row], [TEAM]],Table1[[#This Row], [ROOM]]),'ROOM TIME'!$H$2:$H$121,'ROOM TIME'!$J$2:$J$121)</f>
        <v>36.254444444444438</v>
      </c>
      <c r="P1433" s="4">
        <f>(INDEX(Sheet1!$X$48:$Z$67,MATCH(Table1[[#This Row], [ROOM]],Sheet1!$P$48:$P$67,0),MATCH(Table1[[#This Row], [WEAPON]],Sheet1!$X$47:$Z$47,0)))/Table1[[#This Row], [NUM OF MEM]]</f>
        <v>5</v>
      </c>
      <c r="Q1433" s="9">
        <f>Table1[[#This Row], [ROOM TIME]]+Table1[[#This Row], [GUARD TIME]]</f>
        <v>41.254444444444438</v>
      </c>
      <c r="R1433" s="4">
        <f>Sheet1!$K$3*_xlfn.XLOOKUP(Table1[[#This Row], [DISGUISE]],Sheet1!$A$21:$A$23,Sheet1!$D$21:$D$23)</f>
        <v>69</v>
      </c>
      <c r="S1433" s="9">
        <f>Table1[[#This Row], [TOTAL TIME]]-Table1[[#This Row], [TOTAL TIME TAKEN]]</f>
        <v>27.745555555555562</v>
      </c>
      <c r="T1433" t="str">
        <f>IF(Table1[[#This Row], [TIME DIFFERENCE]]&gt;=0,"PASS","FAIL")</f>
        <v>PASS</v>
      </c>
      <c r="U1433" s="9">
        <f>Table1[[#This Row], [TRC]]+Table1[[#This Row], [DRC]]+Table1[[#This Row], [WRC]]+Table1[[#This Row], [ERC]]+Table1[[#This Row], [EQRC]]</f>
        <v>8280842.9749999996</v>
      </c>
      <c r="V1433" s="9">
        <f>Table1[[#This Row], [TOTAL COST]]+_xlfn.XLOOKUP(Table1[[#This Row], [TEAM]],Sheet1!$A$12:$A$17,Sheet1!$I$12:$I$17)</f>
        <v>8592780.4749999996</v>
      </c>
      <c r="W1433" s="9">
        <f>Table1[[#This Row], [LOOT]]-Table1[[#This Row], [TOTAL COST]]</f>
        <v>9319157.0250000004</v>
      </c>
      <c r="X1433" s="9">
        <f>IF(Table1[[#This Row], [PASS/FAIL]]="FAIL",0,Table1[[#This Row], [PROFIT]])</f>
        <v>9319157.0250000004</v>
      </c>
    </row>
    <row r="1434" spans="1:24" ht="19.5" customHeight="1" x14ac:dyDescent="0.45">
      <c r="A1434" t="s">
        <v>15</v>
      </c>
      <c r="B1434" s="14">
        <f>_xlfn.XLOOKUP(Table1[[#This Row], [TEAM]],Sheet1!$A$12:$A$17,Sheet1!$F$12:$F$17)</f>
        <v>2</v>
      </c>
      <c r="C1434" s="14">
        <f>_xlfn.XLOOKUP(Table1[[#This Row], [TEAM]],Sheet1!$A$12:$A$17,Sheet1!$G$12:$G$17)</f>
        <v>5932950</v>
      </c>
      <c r="D1434" t="s">
        <v>23</v>
      </c>
      <c r="E1434" s="4">
        <f>_xlfn.XLOOKUP(Table1[[#This Row], [ROOM]],Sheet1!$A$47:$A$66,Sheet1!$B$47:$B$66)</f>
        <v>245</v>
      </c>
      <c r="F1434" t="s">
        <v>58</v>
      </c>
      <c r="G1434" s="4">
        <f>_xlfn.XLOOKUP(Table1[[#This Row], [DISGUISE]],Sheet1!$A$21:$A$23,Sheet1!$B$21:$B$23)*Table1[[#This Row], [NUM OF MEM]]*(1+_xlfn.XLOOKUP(Table1[[#This Row], [DISGUISE]],Sheet1!$A$21:$A$23,Sheet1!$C$21:$C$23))</f>
        <v>25600</v>
      </c>
      <c r="H1434" s="13" t="s">
        <v>59</v>
      </c>
      <c r="I1434" s="4">
        <f>_xlfn.XLOOKUP(Table1[[#This Row], [WEAPON]],Sheet1!$A$27:$A$29,Sheet1!$B$27:$B$29)*Table1[[#This Row], [NUM OF MEM]]*(1+_xlfn.XLOOKUP(Table1[[#This Row], [WEAPON]],Sheet1!$A$27:$A$29,Sheet1!$C$27:$C$29))</f>
        <v>91000</v>
      </c>
      <c r="J1434" t="s">
        <v>64</v>
      </c>
      <c r="K1434" s="9">
        <f>Table1[[#This Row], [NUM OF MEM]]*Table1[[#This Row], [TOTAL TIME TAKEN]]*_xlfn.XLOOKUP(Table1[[#This Row], [EXIT]],Sheet1!$A$70:$A$71,Sheet1!$B$70:$B$71)*(1+_xlfn.XLOOKUP(Table1[[#This Row], [EXIT]],Sheet1!$A$70:$A$71,Sheet1!$C$70:$C$71))</f>
        <v>1724295.5999999994</v>
      </c>
      <c r="L1434" s="13" t="s">
        <v>65</v>
      </c>
      <c r="M1434" s="4">
        <f>IF(Table1[[#This Row], [EQUIPMENT]]="YES",Sheet1!$C$44*(1+Sheet1!$D$44),0)</f>
        <v>307500</v>
      </c>
      <c r="N1434" s="4">
        <f>_xlfn.XLOOKUP(Table1[[#This Row], [ROOM]],Sheet1!$A$47:$A$66,Sheet1!$F$47:$F$66)</f>
        <v>17400000</v>
      </c>
      <c r="O1434" s="9">
        <f>_xlfn.XLOOKUP(_xlfn.CONCAT(Table1[[#This Row], [TEAM]],Table1[[#This Row], [ROOM]]),'ROOM TIME'!$H$2:$H$121,'ROOM TIME'!$J$2:$J$121)</f>
        <v>60.198749999999983</v>
      </c>
      <c r="P1434" s="9">
        <f>(INDEX(Sheet1!$X$48:$Z$67,MATCH(Table1[[#This Row], [ROOM]],Sheet1!$P$48:$P$67,0),MATCH(Table1[[#This Row], [WEAPON]],Sheet1!$X$47:$Z$47,0)))/Table1[[#This Row], [NUM OF MEM]]</f>
        <v>6.3249999999999993</v>
      </c>
      <c r="Q1434" s="9">
        <f>Table1[[#This Row], [ROOM TIME]]+Table1[[#This Row], [GUARD TIME]]</f>
        <v>66.523749999999978</v>
      </c>
      <c r="R1434" s="4">
        <f>Sheet1!$K$3*_xlfn.XLOOKUP(Table1[[#This Row], [DISGUISE]],Sheet1!$A$21:$A$23,Sheet1!$D$21:$D$23)</f>
        <v>69</v>
      </c>
      <c r="S1434" s="9">
        <f>Table1[[#This Row], [TOTAL TIME]]-Table1[[#This Row], [TOTAL TIME TAKEN]]</f>
        <v>2.4762500000000216</v>
      </c>
      <c r="T1434" t="str">
        <f>IF(Table1[[#This Row], [TIME DIFFERENCE]]&gt;=0,"PASS","FAIL")</f>
        <v>PASS</v>
      </c>
      <c r="U1434" s="9">
        <f>Table1[[#This Row], [TRC]]+Table1[[#This Row], [DRC]]+Table1[[#This Row], [WRC]]+Table1[[#This Row], [ERC]]+Table1[[#This Row], [EQRC]]</f>
        <v>8081345.5999999996</v>
      </c>
      <c r="V1434" s="9">
        <f>Table1[[#This Row], [TOTAL COST]]+_xlfn.XLOOKUP(Table1[[#This Row], [TEAM]],Sheet1!$A$12:$A$17,Sheet1!$I$12:$I$17)</f>
        <v>8377993.0999999996</v>
      </c>
      <c r="W1434" s="9">
        <f>Table1[[#This Row], [LOOT]]-Table1[[#This Row], [TOTAL COST]]</f>
        <v>9318654.4000000004</v>
      </c>
      <c r="X1434" s="9">
        <f>IF(Table1[[#This Row], [PASS/FAIL]]="FAIL",0,Table1[[#This Row], [PROFIT]])</f>
        <v>9318654.4000000004</v>
      </c>
    </row>
    <row r="1435" spans="1:24" ht="19.5" customHeight="1" x14ac:dyDescent="0.45">
      <c r="A1435" t="s">
        <v>9</v>
      </c>
      <c r="B1435" s="14">
        <f>_xlfn.XLOOKUP(Table1[[#This Row], [TEAM]],Sheet1!$A$12:$A$17,Sheet1!$F$12:$F$17)</f>
        <v>3</v>
      </c>
      <c r="C1435" s="14">
        <f>_xlfn.XLOOKUP(Table1[[#This Row], [TEAM]],Sheet1!$A$12:$A$17,Sheet1!$G$12:$G$17)</f>
        <v>6238750</v>
      </c>
      <c r="D1435" t="s">
        <v>17</v>
      </c>
      <c r="E1435" s="4">
        <f>_xlfn.XLOOKUP(Table1[[#This Row], [ROOM]],Sheet1!$A$47:$A$66,Sheet1!$B$47:$B$66)</f>
        <v>125</v>
      </c>
      <c r="F1435" t="s">
        <v>62</v>
      </c>
      <c r="G1435" s="4">
        <f>_xlfn.XLOOKUP(Table1[[#This Row], [DISGUISE]],Sheet1!$A$21:$A$23,Sheet1!$B$21:$B$23)*Table1[[#This Row], [NUM OF MEM]]*(1+_xlfn.XLOOKUP(Table1[[#This Row], [DISGUISE]],Sheet1!$A$21:$A$23,Sheet1!$C$21:$C$23))</f>
        <v>15600</v>
      </c>
      <c r="H1435" s="13" t="s">
        <v>59</v>
      </c>
      <c r="I1435" s="4">
        <f>_xlfn.XLOOKUP(Table1[[#This Row], [WEAPON]],Sheet1!$A$27:$A$29,Sheet1!$B$27:$B$29)*Table1[[#This Row], [NUM OF MEM]]*(1+_xlfn.XLOOKUP(Table1[[#This Row], [WEAPON]],Sheet1!$A$27:$A$29,Sheet1!$C$27:$C$29))</f>
        <v>136500</v>
      </c>
      <c r="J1435" t="s">
        <v>64</v>
      </c>
      <c r="K1435" s="9">
        <f>Table1[[#This Row], [NUM OF MEM]]*Table1[[#This Row], [TOTAL TIME TAKEN]]*_xlfn.XLOOKUP(Table1[[#This Row], [EXIT]],Sheet1!$A$70:$A$71,Sheet1!$B$70:$B$71)*(1+_xlfn.XLOOKUP(Table1[[#This Row], [EXIT]],Sheet1!$A$70:$A$71,Sheet1!$C$70:$C$71))</f>
        <v>1641967.2</v>
      </c>
      <c r="L1435" s="13" t="s">
        <v>61</v>
      </c>
      <c r="M1435" s="4">
        <f>IF(Table1[[#This Row], [EQUIPMENT]]="YES",Sheet1!$C$44*(1+Sheet1!$D$44),0)</f>
        <v>0</v>
      </c>
      <c r="N1435" s="4">
        <f>_xlfn.XLOOKUP(Table1[[#This Row], [ROOM]],Sheet1!$A$47:$A$66,Sheet1!$F$47:$F$66)</f>
        <v>17350000</v>
      </c>
      <c r="O1435" s="9">
        <f>_xlfn.XLOOKUP(_xlfn.CONCAT(Table1[[#This Row], [TEAM]],Table1[[#This Row], [ROOM]]),'ROOM TIME'!$H$2:$H$121,'ROOM TIME'!$J$2:$J$121)</f>
        <v>38.398333333333326</v>
      </c>
      <c r="P1435" s="9">
        <f>(INDEX(Sheet1!$X$48:$Z$67,MATCH(Table1[[#This Row], [ROOM]],Sheet1!$P$48:$P$67,0),MATCH(Table1[[#This Row], [WEAPON]],Sheet1!$X$47:$Z$47,0)))/Table1[[#This Row], [NUM OF MEM]]</f>
        <v>3.8333333333333335</v>
      </c>
      <c r="Q1435" s="9">
        <f>Table1[[#This Row], [ROOM TIME]]+Table1[[#This Row], [GUARD TIME]]</f>
        <v>42.231666666666662</v>
      </c>
      <c r="R1435" s="4">
        <f>Sheet1!$K$3*_xlfn.XLOOKUP(Table1[[#This Row], [DISGUISE]],Sheet1!$A$21:$A$23,Sheet1!$D$21:$D$23)</f>
        <v>66</v>
      </c>
      <c r="S1435" s="9">
        <f>Table1[[#This Row], [TOTAL TIME]]-Table1[[#This Row], [TOTAL TIME TAKEN]]</f>
        <v>23.768333333333338</v>
      </c>
      <c r="T1435" t="str">
        <f>IF(Table1[[#This Row], [TIME DIFFERENCE]]&gt;=0,"PASS","FAIL")</f>
        <v>PASS</v>
      </c>
      <c r="U1435" s="9">
        <f>Table1[[#This Row], [TRC]]+Table1[[#This Row], [DRC]]+Table1[[#This Row], [WRC]]+Table1[[#This Row], [ERC]]+Table1[[#This Row], [EQRC]]</f>
        <v>8032817.2000000002</v>
      </c>
      <c r="V1435" s="9">
        <f>Table1[[#This Row], [TOTAL COST]]+_xlfn.XLOOKUP(Table1[[#This Row], [TEAM]],Sheet1!$A$12:$A$17,Sheet1!$I$12:$I$17)</f>
        <v>8344754.7000000002</v>
      </c>
      <c r="W1435" s="9">
        <f>Table1[[#This Row], [LOOT]]-Table1[[#This Row], [TOTAL COST]]</f>
        <v>9317182.8000000007</v>
      </c>
      <c r="X1435" s="9">
        <f>IF(Table1[[#This Row], [PASS/FAIL]]="FAIL",0,Table1[[#This Row], [PROFIT]])</f>
        <v>9317182.8000000007</v>
      </c>
    </row>
    <row r="1436" spans="1:24" ht="19.5" customHeight="1" x14ac:dyDescent="0.45">
      <c r="A1436" t="s">
        <v>14</v>
      </c>
      <c r="B1436" s="14">
        <f>_xlfn.XLOOKUP(Table1[[#This Row], [TEAM]],Sheet1!$A$12:$A$17,Sheet1!$F$12:$F$17)</f>
        <v>2</v>
      </c>
      <c r="C1436" s="14">
        <f>_xlfn.XLOOKUP(Table1[[#This Row], [TEAM]],Sheet1!$A$12:$A$17,Sheet1!$G$12:$G$17)</f>
        <v>5949600</v>
      </c>
      <c r="D1436" t="s">
        <v>23</v>
      </c>
      <c r="E1436" s="4">
        <f>_xlfn.XLOOKUP(Table1[[#This Row], [ROOM]],Sheet1!$A$47:$A$66,Sheet1!$B$47:$B$66)</f>
        <v>245</v>
      </c>
      <c r="F1436" t="s">
        <v>58</v>
      </c>
      <c r="G1436" s="4">
        <f>_xlfn.XLOOKUP(Table1[[#This Row], [DISGUISE]],Sheet1!$A$21:$A$23,Sheet1!$B$21:$B$23)*Table1[[#This Row], [NUM OF MEM]]*(1+_xlfn.XLOOKUP(Table1[[#This Row], [DISGUISE]],Sheet1!$A$21:$A$23,Sheet1!$C$21:$C$23))</f>
        <v>25600</v>
      </c>
      <c r="H1436" s="13" t="s">
        <v>59</v>
      </c>
      <c r="I1436" s="4">
        <f>_xlfn.XLOOKUP(Table1[[#This Row], [WEAPON]],Sheet1!$A$27:$A$29,Sheet1!$B$27:$B$29)*Table1[[#This Row], [NUM OF MEM]]*(1+_xlfn.XLOOKUP(Table1[[#This Row], [WEAPON]],Sheet1!$A$27:$A$29,Sheet1!$C$27:$C$29))</f>
        <v>91000</v>
      </c>
      <c r="J1436" t="s">
        <v>60</v>
      </c>
      <c r="K1436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1710379.7624999997</v>
      </c>
      <c r="L1436" s="13" t="s">
        <v>65</v>
      </c>
      <c r="M1436" s="4">
        <f>IF(Table1[[#This Row], [EQUIPMENT]]="YES",Sheet1!$C$44*(1+Sheet1!$D$44),0)</f>
        <v>307500</v>
      </c>
      <c r="N1436" s="4">
        <f>_xlfn.XLOOKUP(Table1[[#This Row], [ROOM]],Sheet1!$A$47:$A$66,Sheet1!$F$47:$F$66)</f>
        <v>17400000</v>
      </c>
      <c r="O1436" s="9">
        <f>_xlfn.XLOOKUP(_xlfn.CONCAT(Table1[[#This Row], [TEAM]],Table1[[#This Row], [ROOM]]),'ROOM TIME'!$H$2:$H$121,'ROOM TIME'!$J$2:$J$121)</f>
        <v>60.317499999999981</v>
      </c>
      <c r="P1436" s="9">
        <f>(INDEX(Sheet1!$X$48:$Z$67,MATCH(Table1[[#This Row], [ROOM]],Sheet1!$P$48:$P$67,0),MATCH(Table1[[#This Row], [WEAPON]],Sheet1!$X$47:$Z$47,0)))/Table1[[#This Row], [NUM OF MEM]]</f>
        <v>6.3249999999999993</v>
      </c>
      <c r="Q1436" s="9">
        <f>Table1[[#This Row], [ROOM TIME]]+Table1[[#This Row], [GUARD TIME]]</f>
        <v>66.642499999999984</v>
      </c>
      <c r="R1436" s="4">
        <f>Sheet1!$K$3*_xlfn.XLOOKUP(Table1[[#This Row], [DISGUISE]],Sheet1!$A$21:$A$23,Sheet1!$D$21:$D$23)</f>
        <v>69</v>
      </c>
      <c r="S1436" s="9">
        <f>Table1[[#This Row], [TOTAL TIME]]-Table1[[#This Row], [TOTAL TIME TAKEN]]</f>
        <v>2.3575000000000159</v>
      </c>
      <c r="T1436" t="str">
        <f>IF(Table1[[#This Row], [TIME DIFFERENCE]]&gt;=0,"PASS","FAIL")</f>
        <v>PASS</v>
      </c>
      <c r="U1436" s="9">
        <f>Table1[[#This Row], [TRC]]+Table1[[#This Row], [DRC]]+Table1[[#This Row], [WRC]]+Table1[[#This Row], [ERC]]+Table1[[#This Row], [EQRC]]</f>
        <v>8084079.7624999993</v>
      </c>
      <c r="V1436" s="9">
        <f>Table1[[#This Row], [TOTAL COST]]+_xlfn.XLOOKUP(Table1[[#This Row], [TEAM]],Sheet1!$A$12:$A$17,Sheet1!$I$12:$I$17)</f>
        <v>8381559.7624999993</v>
      </c>
      <c r="W1436" s="9">
        <f>Table1[[#This Row], [LOOT]]-Table1[[#This Row], [TOTAL COST]]</f>
        <v>9315920.2375000007</v>
      </c>
      <c r="X1436" s="9">
        <f>IF(Table1[[#This Row], [PASS/FAIL]]="FAIL",0,Table1[[#This Row], [PROFIT]])</f>
        <v>9315920.2375000007</v>
      </c>
    </row>
    <row r="1437" spans="1:24" ht="19.5" customHeight="1" x14ac:dyDescent="0.45">
      <c r="A1437" t="s">
        <v>15</v>
      </c>
      <c r="B1437" s="14">
        <f>_xlfn.XLOOKUP(Table1[[#This Row], [TEAM]],Sheet1!$A$12:$A$17,Sheet1!$F$12:$F$17)</f>
        <v>2</v>
      </c>
      <c r="C1437" s="14">
        <f>_xlfn.XLOOKUP(Table1[[#This Row], [TEAM]],Sheet1!$A$12:$A$17,Sheet1!$G$12:$G$17)</f>
        <v>5932950</v>
      </c>
      <c r="D1437" t="s">
        <v>17</v>
      </c>
      <c r="E1437" s="4">
        <f>_xlfn.XLOOKUP(Table1[[#This Row], [ROOM]],Sheet1!$A$47:$A$66,Sheet1!$B$47:$B$66)</f>
        <v>125</v>
      </c>
      <c r="F1437" t="s">
        <v>58</v>
      </c>
      <c r="G1437" s="4">
        <f>_xlfn.XLOOKUP(Table1[[#This Row], [DISGUISE]],Sheet1!$A$21:$A$23,Sheet1!$B$21:$B$23)*Table1[[#This Row], [NUM OF MEM]]*(1+_xlfn.XLOOKUP(Table1[[#This Row], [DISGUISE]],Sheet1!$A$21:$A$23,Sheet1!$C$21:$C$23))</f>
        <v>25600</v>
      </c>
      <c r="H1437" s="13" t="s">
        <v>63</v>
      </c>
      <c r="I1437" s="4">
        <f>_xlfn.XLOOKUP(Table1[[#This Row], [WEAPON]],Sheet1!$A$27:$A$29,Sheet1!$B$27:$B$29)*Table1[[#This Row], [NUM OF MEM]]*(1+_xlfn.XLOOKUP(Table1[[#This Row], [WEAPON]],Sheet1!$A$27:$A$29,Sheet1!$C$27:$C$29))</f>
        <v>46000</v>
      </c>
      <c r="J1437" t="s">
        <v>60</v>
      </c>
      <c r="K1437" s="9">
        <f>Table1[[#This Row], [NUM OF MEM]]*Table1[[#This Row], [TOTAL TIME TAKEN]]*_xlfn.XLOOKUP(Table1[[#This Row], [EXIT]],Sheet1!$A$70:$A$71,Sheet1!$B$70:$B$71)*(1+_xlfn.XLOOKUP(Table1[[#This Row], [EXIT]],Sheet1!$A$70:$A$71,Sheet1!$C$70:$C$71))</f>
        <v>1722185.6624999996</v>
      </c>
      <c r="L1437" s="13" t="s">
        <v>65</v>
      </c>
      <c r="M1437" s="4">
        <f>IF(Table1[[#This Row], [EQUIPMENT]]="YES",Sheet1!$C$44*(1+Sheet1!$D$44),0)</f>
        <v>307500</v>
      </c>
      <c r="N1437" s="4">
        <f>_xlfn.XLOOKUP(Table1[[#This Row], [ROOM]],Sheet1!$A$47:$A$66,Sheet1!$F$47:$F$66)</f>
        <v>17350000</v>
      </c>
      <c r="O1437" s="9">
        <f>_xlfn.XLOOKUP(_xlfn.CONCAT(Table1[[#This Row], [TEAM]],Table1[[#This Row], [ROOM]]),'ROOM TIME'!$H$2:$H$121,'ROOM TIME'!$J$2:$J$121)</f>
        <v>60.352499999999985</v>
      </c>
      <c r="P1437" s="9">
        <f>(INDEX(Sheet1!$X$48:$Z$67,MATCH(Table1[[#This Row], [ROOM]],Sheet1!$P$48:$P$67,0),MATCH(Table1[[#This Row], [WEAPON]],Sheet1!$X$47:$Z$47,0)))/Table1[[#This Row], [NUM OF MEM]]</f>
        <v>6.75</v>
      </c>
      <c r="Q1437" s="9">
        <f>Table1[[#This Row], [ROOM TIME]]+Table1[[#This Row], [GUARD TIME]]</f>
        <v>67.102499999999992</v>
      </c>
      <c r="R1437" s="4">
        <f>Sheet1!$K$3*_xlfn.XLOOKUP(Table1[[#This Row], [DISGUISE]],Sheet1!$A$21:$A$23,Sheet1!$D$21:$D$23)</f>
        <v>69</v>
      </c>
      <c r="S1437" s="9">
        <f>Table1[[#This Row], [TOTAL TIME]]-Table1[[#This Row], [TOTAL TIME TAKEN]]</f>
        <v>1.897500000000008</v>
      </c>
      <c r="T1437" t="str">
        <f>IF(Table1[[#This Row], [TIME DIFFERENCE]]&gt;=0,"PASS","FAIL")</f>
        <v>PASS</v>
      </c>
      <c r="U1437" s="9">
        <f>Table1[[#This Row], [TRC]]+Table1[[#This Row], [DRC]]+Table1[[#This Row], [WRC]]+Table1[[#This Row], [ERC]]+Table1[[#This Row], [EQRC]]</f>
        <v>8034235.6624999996</v>
      </c>
      <c r="V1437" s="9">
        <f>Table1[[#This Row], [TOTAL COST]]+_xlfn.XLOOKUP(Table1[[#This Row], [TEAM]],Sheet1!$A$12:$A$17,Sheet1!$I$12:$I$17)</f>
        <v>8330883.1624999996</v>
      </c>
      <c r="W1437" s="9">
        <f>Table1[[#This Row], [LOOT]]-Table1[[#This Row], [TOTAL COST]]</f>
        <v>9315764.3375000004</v>
      </c>
      <c r="X1437" s="9">
        <f>IF(Table1[[#This Row], [PASS/FAIL]]="FAIL",0,Table1[[#This Row], [PROFIT]])</f>
        <v>9315764.3375000004</v>
      </c>
    </row>
    <row r="1438" spans="1:24" ht="19.5" customHeight="1" x14ac:dyDescent="0.45">
      <c r="A1438" t="s">
        <v>14</v>
      </c>
      <c r="B1438" s="14">
        <f>_xlfn.XLOOKUP(Table1[[#This Row], [TEAM]],Sheet1!$A$12:$A$17,Sheet1!$F$12:$F$17)</f>
        <v>2</v>
      </c>
      <c r="C1438" s="14">
        <f>_xlfn.XLOOKUP(Table1[[#This Row], [TEAM]],Sheet1!$A$12:$A$17,Sheet1!$G$12:$G$17)</f>
        <v>5949600</v>
      </c>
      <c r="D1438" t="s">
        <v>23</v>
      </c>
      <c r="E1438" s="4">
        <f>_xlfn.XLOOKUP(Table1[[#This Row], [ROOM]],Sheet1!$A$47:$A$66,Sheet1!$B$47:$B$66)</f>
        <v>245</v>
      </c>
      <c r="F1438" t="s">
        <v>58</v>
      </c>
      <c r="G1438" s="4">
        <f>_xlfn.XLOOKUP(Table1[[#This Row], [DISGUISE]],Sheet1!$A$21:$A$23,Sheet1!$B$21:$B$23)*Table1[[#This Row], [NUM OF MEM]]*(1+_xlfn.XLOOKUP(Table1[[#This Row], [DISGUISE]],Sheet1!$A$21:$A$23,Sheet1!$C$21:$C$23))</f>
        <v>25600</v>
      </c>
      <c r="H1438" s="13" t="s">
        <v>63</v>
      </c>
      <c r="I1438" s="4">
        <f>_xlfn.XLOOKUP(Table1[[#This Row], [WEAPON]],Sheet1!$A$27:$A$29,Sheet1!$B$27:$B$29)*Table1[[#This Row], [NUM OF MEM]]*(1+_xlfn.XLOOKUP(Table1[[#This Row], [WEAPON]],Sheet1!$A$27:$A$29,Sheet1!$C$27:$C$29))</f>
        <v>46000</v>
      </c>
      <c r="J1438" t="s">
        <v>64</v>
      </c>
      <c r="K1438" s="9">
        <f>Table1[[#This Row], [NUM OF MEM]]*Table1[[#This Row], [TOTAL TIME TAKEN]]*_xlfn.XLOOKUP(Table1[[#This Row], [EXIT]],Sheet1!$A$70:$A$71,Sheet1!$B$70:$B$71)*(1+_xlfn.XLOOKUP(Table1[[#This Row], [EXIT]],Sheet1!$A$70:$A$71,Sheet1!$C$70:$C$71))</f>
        <v>1755885.5999999994</v>
      </c>
      <c r="L1438" s="13" t="s">
        <v>65</v>
      </c>
      <c r="M1438" s="4">
        <f>IF(Table1[[#This Row], [EQUIPMENT]]="YES",Sheet1!$C$44*(1+Sheet1!$D$44),0)</f>
        <v>307500</v>
      </c>
      <c r="N1438" s="4">
        <f>_xlfn.XLOOKUP(Table1[[#This Row], [ROOM]],Sheet1!$A$47:$A$66,Sheet1!$F$47:$F$66)</f>
        <v>17400000</v>
      </c>
      <c r="O1438" s="9">
        <f>_xlfn.XLOOKUP(_xlfn.CONCAT(Table1[[#This Row], [TEAM]],Table1[[#This Row], [ROOM]]),'ROOM TIME'!$H$2:$H$121,'ROOM TIME'!$J$2:$J$121)</f>
        <v>60.317499999999981</v>
      </c>
      <c r="P1438" s="9">
        <f>(INDEX(Sheet1!$X$48:$Z$67,MATCH(Table1[[#This Row], [ROOM]],Sheet1!$P$48:$P$67,0),MATCH(Table1[[#This Row], [WEAPON]],Sheet1!$X$47:$Z$47,0)))/Table1[[#This Row], [NUM OF MEM]]</f>
        <v>7.4250000000000007</v>
      </c>
      <c r="Q1438" s="9">
        <f>Table1[[#This Row], [ROOM TIME]]+Table1[[#This Row], [GUARD TIME]]</f>
        <v>67.742499999999978</v>
      </c>
      <c r="R1438" s="4">
        <f>Sheet1!$K$3*_xlfn.XLOOKUP(Table1[[#This Row], [DISGUISE]],Sheet1!$A$21:$A$23,Sheet1!$D$21:$D$23)</f>
        <v>69</v>
      </c>
      <c r="S1438" s="9">
        <f>Table1[[#This Row], [TOTAL TIME]]-Table1[[#This Row], [TOTAL TIME TAKEN]]</f>
        <v>1.2575000000000216</v>
      </c>
      <c r="T1438" t="str">
        <f>IF(Table1[[#This Row], [TIME DIFFERENCE]]&gt;=0,"PASS","FAIL")</f>
        <v>PASS</v>
      </c>
      <c r="U1438" s="9">
        <f>Table1[[#This Row], [TRC]]+Table1[[#This Row], [DRC]]+Table1[[#This Row], [WRC]]+Table1[[#This Row], [ERC]]+Table1[[#This Row], [EQRC]]</f>
        <v>8084585.5999999996</v>
      </c>
      <c r="V1438" s="9">
        <f>Table1[[#This Row], [TOTAL COST]]+_xlfn.XLOOKUP(Table1[[#This Row], [TEAM]],Sheet1!$A$12:$A$17,Sheet1!$I$12:$I$17)</f>
        <v>8382065.5999999996</v>
      </c>
      <c r="W1438" s="9">
        <f>Table1[[#This Row], [LOOT]]-Table1[[#This Row], [TOTAL COST]]</f>
        <v>9315414.4000000004</v>
      </c>
      <c r="X1438" s="9">
        <f>IF(Table1[[#This Row], [PASS/FAIL]]="FAIL",0,Table1[[#This Row], [PROFIT]])</f>
        <v>9315414.4000000004</v>
      </c>
    </row>
    <row r="1439" spans="1:24" ht="19.5" customHeight="1" x14ac:dyDescent="0.45">
      <c r="A1439" t="s">
        <v>9</v>
      </c>
      <c r="B1439" s="14">
        <f>_xlfn.XLOOKUP(Table1[[#This Row], [TEAM]],Sheet1!$A$12:$A$17,Sheet1!$F$12:$F$17)</f>
        <v>3</v>
      </c>
      <c r="C1439" s="14">
        <f>_xlfn.XLOOKUP(Table1[[#This Row], [TEAM]],Sheet1!$A$12:$A$17,Sheet1!$G$12:$G$17)</f>
        <v>6238750</v>
      </c>
      <c r="D1439" t="s">
        <v>30</v>
      </c>
      <c r="E1439" s="4">
        <f>_xlfn.XLOOKUP(Table1[[#This Row], [ROOM]],Sheet1!$A$47:$A$66,Sheet1!$B$47:$B$66)</f>
        <v>246</v>
      </c>
      <c r="F1439" t="s">
        <v>62</v>
      </c>
      <c r="G1439" s="4">
        <f>_xlfn.XLOOKUP(Table1[[#This Row], [DISGUISE]],Sheet1!$A$21:$A$23,Sheet1!$B$21:$B$23)*Table1[[#This Row], [NUM OF MEM]]*(1+_xlfn.XLOOKUP(Table1[[#This Row], [DISGUISE]],Sheet1!$A$21:$A$23,Sheet1!$C$21:$C$23))</f>
        <v>15600</v>
      </c>
      <c r="H1439" s="13" t="s">
        <v>59</v>
      </c>
      <c r="I1439" s="4">
        <f>_xlfn.XLOOKUP(Table1[[#This Row], [WEAPON]],Sheet1!$A$27:$A$29,Sheet1!$B$27:$B$29)*Table1[[#This Row], [NUM OF MEM]]*(1+_xlfn.XLOOKUP(Table1[[#This Row], [WEAPON]],Sheet1!$A$27:$A$29,Sheet1!$C$27:$C$29))</f>
        <v>136500</v>
      </c>
      <c r="J1439" t="s">
        <v>64</v>
      </c>
      <c r="K1439" s="9">
        <f>Table1[[#This Row], [NUM OF MEM]]*Table1[[#This Row], [TOTAL TIME TAKEN]]*_xlfn.XLOOKUP(Table1[[#This Row], [EXIT]],Sheet1!$A$70:$A$71,Sheet1!$B$70:$B$71)*(1+_xlfn.XLOOKUP(Table1[[#This Row], [EXIT]],Sheet1!$A$70:$A$71,Sheet1!$C$70:$C$71))</f>
        <v>1588420.7999999996</v>
      </c>
      <c r="L1439" s="13" t="s">
        <v>65</v>
      </c>
      <c r="M1439" s="4">
        <f>IF(Table1[[#This Row], [EQUIPMENT]]="YES",Sheet1!$C$44*(1+Sheet1!$D$44),0)</f>
        <v>307500</v>
      </c>
      <c r="N1439" s="4">
        <f>_xlfn.XLOOKUP(Table1[[#This Row], [ROOM]],Sheet1!$A$47:$A$66,Sheet1!$F$47:$F$66)</f>
        <v>17600000</v>
      </c>
      <c r="O1439" s="9">
        <f>_xlfn.XLOOKUP(_xlfn.CONCAT(Table1[[#This Row], [TEAM]],Table1[[#This Row], [ROOM]]),'ROOM TIME'!$H$2:$H$121,'ROOM TIME'!$J$2:$J$121)</f>
        <v>36.254444444444438</v>
      </c>
      <c r="P1439" s="9">
        <f>(INDEX(Sheet1!$X$48:$Z$67,MATCH(Table1[[#This Row], [ROOM]],Sheet1!$P$48:$P$67,0),MATCH(Table1[[#This Row], [WEAPON]],Sheet1!$X$47:$Z$47,0)))/Table1[[#This Row], [NUM OF MEM]]</f>
        <v>4.5999999999999996</v>
      </c>
      <c r="Q1439" s="9">
        <f>Table1[[#This Row], [ROOM TIME]]+Table1[[#This Row], [GUARD TIME]]</f>
        <v>40.854444444444439</v>
      </c>
      <c r="R1439" s="4">
        <f>Sheet1!$K$3*_xlfn.XLOOKUP(Table1[[#This Row], [DISGUISE]],Sheet1!$A$21:$A$23,Sheet1!$D$21:$D$23)</f>
        <v>66</v>
      </c>
      <c r="S1439" s="9">
        <f>Table1[[#This Row], [TOTAL TIME]]-Table1[[#This Row], [TOTAL TIME TAKEN]]</f>
        <v>25.145555555555561</v>
      </c>
      <c r="T1439" t="str">
        <f>IF(Table1[[#This Row], [TIME DIFFERENCE]]&gt;=0,"PASS","FAIL")</f>
        <v>PASS</v>
      </c>
      <c r="U1439" s="9">
        <f>Table1[[#This Row], [TRC]]+Table1[[#This Row], [DRC]]+Table1[[#This Row], [WRC]]+Table1[[#This Row], [ERC]]+Table1[[#This Row], [EQRC]]</f>
        <v>8286770.7999999998</v>
      </c>
      <c r="V1439" s="9">
        <f>Table1[[#This Row], [TOTAL COST]]+_xlfn.XLOOKUP(Table1[[#This Row], [TEAM]],Sheet1!$A$12:$A$17,Sheet1!$I$12:$I$17)</f>
        <v>8598708.3000000007</v>
      </c>
      <c r="W1439" s="9">
        <f>Table1[[#This Row], [LOOT]]-Table1[[#This Row], [TOTAL COST]]</f>
        <v>9313229.1999999993</v>
      </c>
      <c r="X1439" s="9">
        <f>IF(Table1[[#This Row], [PASS/FAIL]]="FAIL",0,Table1[[#This Row], [PROFIT]])</f>
        <v>9313229.1999999993</v>
      </c>
    </row>
    <row r="1440" spans="1:24" ht="19.5" customHeight="1" x14ac:dyDescent="0.45">
      <c r="A1440" t="s">
        <v>9</v>
      </c>
      <c r="B1440" s="14">
        <f>_xlfn.XLOOKUP(Table1[[#This Row], [TEAM]],Sheet1!$A$12:$A$17,Sheet1!$F$12:$F$17)</f>
        <v>3</v>
      </c>
      <c r="C1440" s="14">
        <f>_xlfn.XLOOKUP(Table1[[#This Row], [TEAM]],Sheet1!$A$12:$A$17,Sheet1!$G$12:$G$17)</f>
        <v>6238750</v>
      </c>
      <c r="D1440" t="s">
        <v>25</v>
      </c>
      <c r="E1440" s="4">
        <f>_xlfn.XLOOKUP(Table1[[#This Row], [ROOM]],Sheet1!$A$47:$A$66,Sheet1!$B$47:$B$66)</f>
        <v>126</v>
      </c>
      <c r="F1440" t="s">
        <v>58</v>
      </c>
      <c r="G1440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0" s="13" t="s">
        <v>63</v>
      </c>
      <c r="I1440" s="4">
        <f>_xlfn.XLOOKUP(Table1[[#This Row], [WEAPON]],Sheet1!$A$27:$A$29,Sheet1!$B$27:$B$29)*Table1[[#This Row], [NUM OF MEM]]*(1+_xlfn.XLOOKUP(Table1[[#This Row], [WEAPON]],Sheet1!$A$27:$A$29,Sheet1!$C$27:$C$29))</f>
        <v>69000</v>
      </c>
      <c r="J1440" t="s">
        <v>60</v>
      </c>
      <c r="K1440" s="9">
        <f>Table1[[#This Row], [NUM OF MEM]]*Table1[[#This Row], [TOTAL TIME TAKEN]]*_xlfn.XLOOKUP(Table1[[#This Row], [EXIT]],Sheet1!$A$70:$A$71,Sheet1!$B$70:$B$71)*(1+_xlfn.XLOOKUP(Table1[[#This Row], [EXIT]],Sheet1!$A$70:$A$71,Sheet1!$C$70:$C$71))</f>
        <v>1583851.3124999995</v>
      </c>
      <c r="L1440" s="13" t="s">
        <v>65</v>
      </c>
      <c r="M1440" s="4">
        <f>IF(Table1[[#This Row], [EQUIPMENT]]="YES",Sheet1!$C$44*(1+Sheet1!$D$44),0)</f>
        <v>307500</v>
      </c>
      <c r="N1440" s="4">
        <f>_xlfn.XLOOKUP(Table1[[#This Row], [ROOM]],Sheet1!$A$47:$A$66,Sheet1!$F$47:$F$66)</f>
        <v>17550000</v>
      </c>
      <c r="O1440" s="9">
        <f>_xlfn.XLOOKUP(_xlfn.CONCAT(Table1[[#This Row], [TEAM]],Table1[[#This Row], [ROOM]]),'ROOM TIME'!$H$2:$H$121,'ROOM TIME'!$J$2:$J$121)</f>
        <v>36.191666666666656</v>
      </c>
      <c r="P1440" s="9">
        <f>(INDEX(Sheet1!$X$48:$Z$67,MATCH(Table1[[#This Row], [ROOM]],Sheet1!$P$48:$P$67,0),MATCH(Table1[[#This Row], [WEAPON]],Sheet1!$X$47:$Z$47,0)))/Table1[[#This Row], [NUM OF MEM]]</f>
        <v>4.95</v>
      </c>
      <c r="Q1440" s="9">
        <f>Table1[[#This Row], [ROOM TIME]]+Table1[[#This Row], [GUARD TIME]]</f>
        <v>41.141666666666659</v>
      </c>
      <c r="R1440" s="4">
        <f>Sheet1!$K$3*_xlfn.XLOOKUP(Table1[[#This Row], [DISGUISE]],Sheet1!$A$21:$A$23,Sheet1!$D$21:$D$23)</f>
        <v>69</v>
      </c>
      <c r="S1440" s="9">
        <f>Table1[[#This Row], [TOTAL TIME]]-Table1[[#This Row], [TOTAL TIME TAKEN]]</f>
        <v>27.858333333333341</v>
      </c>
      <c r="T1440" t="str">
        <f>IF(Table1[[#This Row], [TIME DIFFERENCE]]&gt;=0,"PASS","FAIL")</f>
        <v>PASS</v>
      </c>
      <c r="U1440" s="9">
        <f>Table1[[#This Row], [TRC]]+Table1[[#This Row], [DRC]]+Table1[[#This Row], [WRC]]+Table1[[#This Row], [ERC]]+Table1[[#This Row], [EQRC]]</f>
        <v>8237501.3125</v>
      </c>
      <c r="V1440" s="9">
        <f>Table1[[#This Row], [TOTAL COST]]+_xlfn.XLOOKUP(Table1[[#This Row], [TEAM]],Sheet1!$A$12:$A$17,Sheet1!$I$12:$I$17)</f>
        <v>8549438.8125</v>
      </c>
      <c r="W1440" s="9">
        <f>Table1[[#This Row], [LOOT]]-Table1[[#This Row], [TOTAL COST]]</f>
        <v>9312498.6875</v>
      </c>
      <c r="X1440" s="9">
        <f>IF(Table1[[#This Row], [PASS/FAIL]]="FAIL",0,Table1[[#This Row], [PROFIT]])</f>
        <v>9312498.6875</v>
      </c>
    </row>
    <row r="1441" spans="1:24" ht="19.5" customHeight="1" x14ac:dyDescent="0.45">
      <c r="A1441" t="s">
        <v>9</v>
      </c>
      <c r="B1441" s="14">
        <f>_xlfn.XLOOKUP(Table1[[#This Row], [TEAM]],Sheet1!$A$12:$A$17,Sheet1!$F$12:$F$17)</f>
        <v>3</v>
      </c>
      <c r="C1441" s="14">
        <f>_xlfn.XLOOKUP(Table1[[#This Row], [TEAM]],Sheet1!$A$12:$A$17,Sheet1!$G$12:$G$17)</f>
        <v>6238750</v>
      </c>
      <c r="D1441" t="s">
        <v>17</v>
      </c>
      <c r="E1441" s="4">
        <f>_xlfn.XLOOKUP(Table1[[#This Row], [ROOM]],Sheet1!$A$47:$A$66,Sheet1!$B$47:$B$66)</f>
        <v>125</v>
      </c>
      <c r="F1441" t="s">
        <v>58</v>
      </c>
      <c r="G1441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1" s="13" t="s">
        <v>59</v>
      </c>
      <c r="I1441" s="4">
        <f>_xlfn.XLOOKUP(Table1[[#This Row], [WEAPON]],Sheet1!$A$27:$A$29,Sheet1!$B$27:$B$29)*Table1[[#This Row], [NUM OF MEM]]*(1+_xlfn.XLOOKUP(Table1[[#This Row], [WEAPON]],Sheet1!$A$27:$A$29,Sheet1!$C$27:$C$29))</f>
        <v>136500</v>
      </c>
      <c r="J1441" t="s">
        <v>60</v>
      </c>
      <c r="K1441" s="9">
        <f>Table1[[#This Row], [NUM OF MEM]]*Table1[[#This Row], [TOTAL TIME TAKEN]]*_xlfn.XLOOKUP(Table1[[#This Row], [EXIT]],Sheet1!$A$70:$A$71,Sheet1!$B$70:$B$71)*(1+_xlfn.XLOOKUP(Table1[[#This Row], [EXIT]],Sheet1!$A$70:$A$71,Sheet1!$C$70:$C$71))</f>
        <v>1625813.5874999999</v>
      </c>
      <c r="L1441" s="13" t="s">
        <v>61</v>
      </c>
      <c r="M1441" s="4">
        <f>IF(Table1[[#This Row], [EQUIPMENT]]="YES",Sheet1!$C$44*(1+Sheet1!$D$44),0)</f>
        <v>0</v>
      </c>
      <c r="N1441" s="4">
        <f>_xlfn.XLOOKUP(Table1[[#This Row], [ROOM]],Sheet1!$A$47:$A$66,Sheet1!$F$47:$F$66)</f>
        <v>17350000</v>
      </c>
      <c r="O1441" s="9">
        <f>_xlfn.XLOOKUP(_xlfn.CONCAT(Table1[[#This Row], [TEAM]],Table1[[#This Row], [ROOM]]),'ROOM TIME'!$H$2:$H$121,'ROOM TIME'!$J$2:$J$121)</f>
        <v>38.398333333333326</v>
      </c>
      <c r="P1441" s="9">
        <f>(INDEX(Sheet1!$X$48:$Z$67,MATCH(Table1[[#This Row], [ROOM]],Sheet1!$P$48:$P$67,0),MATCH(Table1[[#This Row], [WEAPON]],Sheet1!$X$47:$Z$47,0)))/Table1[[#This Row], [NUM OF MEM]]</f>
        <v>3.8333333333333335</v>
      </c>
      <c r="Q1441" s="9">
        <f>Table1[[#This Row], [ROOM TIME]]+Table1[[#This Row], [GUARD TIME]]</f>
        <v>42.231666666666662</v>
      </c>
      <c r="R1441" s="4">
        <f>Sheet1!$K$3*_xlfn.XLOOKUP(Table1[[#This Row], [DISGUISE]],Sheet1!$A$21:$A$23,Sheet1!$D$21:$D$23)</f>
        <v>69</v>
      </c>
      <c r="S1441" s="9">
        <f>Table1[[#This Row], [TOTAL TIME]]-Table1[[#This Row], [TOTAL TIME TAKEN]]</f>
        <v>26.768333333333338</v>
      </c>
      <c r="T1441" t="str">
        <f>IF(Table1[[#This Row], [TIME DIFFERENCE]]&gt;=0,"PASS","FAIL")</f>
        <v>PASS</v>
      </c>
      <c r="U1441" s="9">
        <f>Table1[[#This Row], [TRC]]+Table1[[#This Row], [DRC]]+Table1[[#This Row], [WRC]]+Table1[[#This Row], [ERC]]+Table1[[#This Row], [EQRC]]</f>
        <v>8039463.5875000004</v>
      </c>
      <c r="V1441" s="9">
        <f>Table1[[#This Row], [TOTAL COST]]+_xlfn.XLOOKUP(Table1[[#This Row], [TEAM]],Sheet1!$A$12:$A$17,Sheet1!$I$12:$I$17)</f>
        <v>8351401.0875000004</v>
      </c>
      <c r="W1441" s="9">
        <f>Table1[[#This Row], [LOOT]]-Table1[[#This Row], [TOTAL COST]]</f>
        <v>9310536.4124999996</v>
      </c>
      <c r="X1441" s="9">
        <f>IF(Table1[[#This Row], [PASS/FAIL]]="FAIL",0,Table1[[#This Row], [PROFIT]])</f>
        <v>9310536.4124999996</v>
      </c>
    </row>
    <row r="1442" spans="1:24" ht="19.5" customHeight="1" x14ac:dyDescent="0.45">
      <c r="A1442" t="s">
        <v>9</v>
      </c>
      <c r="B1442" s="14">
        <f>_xlfn.XLOOKUP(Table1[[#This Row], [TEAM]],Sheet1!$A$12:$A$17,Sheet1!$F$12:$F$17)</f>
        <v>3</v>
      </c>
      <c r="C1442" s="14">
        <f>_xlfn.XLOOKUP(Table1[[#This Row], [TEAM]],Sheet1!$A$12:$A$17,Sheet1!$G$12:$G$17)</f>
        <v>6238750</v>
      </c>
      <c r="D1442" t="s">
        <v>25</v>
      </c>
      <c r="E1442" s="4">
        <f>_xlfn.XLOOKUP(Table1[[#This Row], [ROOM]],Sheet1!$A$47:$A$66,Sheet1!$B$47:$B$66)</f>
        <v>126</v>
      </c>
      <c r="F1442" t="s">
        <v>62</v>
      </c>
      <c r="G1442" s="4">
        <f>_xlfn.XLOOKUP(Table1[[#This Row], [DISGUISE]],Sheet1!$A$21:$A$23,Sheet1!$B$21:$B$23)*Table1[[#This Row], [NUM OF MEM]]*(1+_xlfn.XLOOKUP(Table1[[#This Row], [DISGUISE]],Sheet1!$A$21:$A$23,Sheet1!$C$21:$C$23))</f>
        <v>15600</v>
      </c>
      <c r="H1442" s="13" t="s">
        <v>66</v>
      </c>
      <c r="I1442" s="4">
        <f>_xlfn.XLOOKUP(Table1[[#This Row], [WEAPON]],Sheet1!$A$27:$A$29,Sheet1!$B$27:$B$29)*Table1[[#This Row], [NUM OF MEM]]*(1+_xlfn.XLOOKUP(Table1[[#This Row], [WEAPON]],Sheet1!$A$27:$A$29,Sheet1!$C$27:$C$29))</f>
        <v>108000</v>
      </c>
      <c r="J1442" t="s">
        <v>60</v>
      </c>
      <c r="K1442" s="9">
        <f>Table1[[#This Row], [NUM OF MEM]]*Table1[[#This Row], [TOTAL TIME TAKEN]]*_xlfn.XLOOKUP(Table1[[#This Row], [EXIT]],Sheet1!$A$70:$A$71,Sheet1!$B$70:$B$71)*(1+_xlfn.XLOOKUP(Table1[[#This Row], [EXIT]],Sheet1!$A$70:$A$71,Sheet1!$C$70:$C$71))</f>
        <v>1569735.5624999995</v>
      </c>
      <c r="L1442" s="13" t="s">
        <v>65</v>
      </c>
      <c r="M1442" s="4">
        <f>IF(Table1[[#This Row], [EQUIPMENT]]="YES",Sheet1!$C$44*(1+Sheet1!$D$44),0)</f>
        <v>307500</v>
      </c>
      <c r="N1442" s="4">
        <f>_xlfn.XLOOKUP(Table1[[#This Row], [ROOM]],Sheet1!$A$47:$A$66,Sheet1!$F$47:$F$66)</f>
        <v>17550000</v>
      </c>
      <c r="O1442" s="9">
        <f>_xlfn.XLOOKUP(_xlfn.CONCAT(Table1[[#This Row], [TEAM]],Table1[[#This Row], [ROOM]]),'ROOM TIME'!$H$2:$H$121,'ROOM TIME'!$J$2:$J$121)</f>
        <v>36.191666666666656</v>
      </c>
      <c r="P1442" s="9">
        <f>(INDEX(Sheet1!$X$48:$Z$67,MATCH(Table1[[#This Row], [ROOM]],Sheet1!$P$48:$P$67,0),MATCH(Table1[[#This Row], [WEAPON]],Sheet1!$X$47:$Z$47,0)))/Table1[[#This Row], [NUM OF MEM]]</f>
        <v>4.583333333333333</v>
      </c>
      <c r="Q1442" s="9">
        <f>Table1[[#This Row], [ROOM TIME]]+Table1[[#This Row], [GUARD TIME]]</f>
        <v>40.774999999999991</v>
      </c>
      <c r="R1442" s="4">
        <f>Sheet1!$K$3*_xlfn.XLOOKUP(Table1[[#This Row], [DISGUISE]],Sheet1!$A$21:$A$23,Sheet1!$D$21:$D$23)</f>
        <v>66</v>
      </c>
      <c r="S1442" s="9">
        <f>Table1[[#This Row], [TOTAL TIME]]-Table1[[#This Row], [TOTAL TIME TAKEN]]</f>
        <v>25.225000000000009</v>
      </c>
      <c r="T1442" t="str">
        <f>IF(Table1[[#This Row], [TIME DIFFERENCE]]&gt;=0,"PASS","FAIL")</f>
        <v>PASS</v>
      </c>
      <c r="U1442" s="9">
        <f>Table1[[#This Row], [TRC]]+Table1[[#This Row], [DRC]]+Table1[[#This Row], [WRC]]+Table1[[#This Row], [ERC]]+Table1[[#This Row], [EQRC]]</f>
        <v>8239585.5625</v>
      </c>
      <c r="V1442" s="9">
        <f>Table1[[#This Row], [TOTAL COST]]+_xlfn.XLOOKUP(Table1[[#This Row], [TEAM]],Sheet1!$A$12:$A$17,Sheet1!$I$12:$I$17)</f>
        <v>8551523.0625</v>
      </c>
      <c r="W1442" s="9">
        <f>Table1[[#This Row], [LOOT]]-Table1[[#This Row], [TOTAL COST]]</f>
        <v>9310414.4375</v>
      </c>
      <c r="X1442" s="9">
        <f>IF(Table1[[#This Row], [PASS/FAIL]]="FAIL",0,Table1[[#This Row], [PROFIT]])</f>
        <v>9310414.4375</v>
      </c>
    </row>
    <row r="1443" spans="1:24" ht="19.5" customHeight="1" x14ac:dyDescent="0.45">
      <c r="A1443" t="s">
        <v>9</v>
      </c>
      <c r="B1443" s="14">
        <f>_xlfn.XLOOKUP(Table1[[#This Row], [TEAM]],Sheet1!$A$12:$A$17,Sheet1!$F$12:$F$17)</f>
        <v>3</v>
      </c>
      <c r="C1443" s="14">
        <f>_xlfn.XLOOKUP(Table1[[#This Row], [TEAM]],Sheet1!$A$12:$A$17,Sheet1!$G$12:$G$17)</f>
        <v>6238750</v>
      </c>
      <c r="D1443" t="s">
        <v>17</v>
      </c>
      <c r="E1443" s="4">
        <f>_xlfn.XLOOKUP(Table1[[#This Row], [ROOM]],Sheet1!$A$47:$A$66,Sheet1!$B$47:$B$66)</f>
        <v>125</v>
      </c>
      <c r="F1443" t="s">
        <v>58</v>
      </c>
      <c r="G1443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3" s="13" t="s">
        <v>66</v>
      </c>
      <c r="I1443" s="4">
        <f>_xlfn.XLOOKUP(Table1[[#This Row], [WEAPON]],Sheet1!$A$27:$A$29,Sheet1!$B$27:$B$29)*Table1[[#This Row], [NUM OF MEM]]*(1+_xlfn.XLOOKUP(Table1[[#This Row], [WEAPON]],Sheet1!$A$27:$A$29,Sheet1!$C$27:$C$29))</f>
        <v>108000</v>
      </c>
      <c r="J1443" t="s">
        <v>64</v>
      </c>
      <c r="K1443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1654927.1999999995</v>
      </c>
      <c r="L1443" s="13" t="s">
        <v>61</v>
      </c>
      <c r="M1443" s="4">
        <f>IF(Table1[[#This Row], [EQUIPMENT]]="YES",Sheet1!$C$44*(1+Sheet1!$D$44),0)</f>
        <v>0</v>
      </c>
      <c r="N1443" s="4">
        <f>_xlfn.XLOOKUP(Table1[[#This Row], [ROOM]],Sheet1!$A$47:$A$66,Sheet1!$F$47:$F$66)</f>
        <v>17350000</v>
      </c>
      <c r="O1443" s="9">
        <f>_xlfn.XLOOKUP(_xlfn.CONCAT(Table1[[#This Row], [TEAM]],Table1[[#This Row], [ROOM]]),'ROOM TIME'!$H$2:$H$121,'ROOM TIME'!$J$2:$J$121)</f>
        <v>38.398333333333326</v>
      </c>
      <c r="P1443" s="9">
        <f>(INDEX(Sheet1!$X$48:$Z$67,MATCH(Table1[[#This Row], [ROOM]],Sheet1!$P$48:$P$67,0),MATCH(Table1[[#This Row], [WEAPON]],Sheet1!$X$47:$Z$47,0)))/Table1[[#This Row], [NUM OF MEM]]</f>
        <v>4.166666666666667</v>
      </c>
      <c r="Q1443" s="9">
        <f>Table1[[#This Row], [ROOM TIME]]+Table1[[#This Row], [GUARD TIME]]</f>
        <v>42.564999999999991</v>
      </c>
      <c r="R1443" s="4">
        <f>Sheet1!$K$3*_xlfn.XLOOKUP(Table1[[#This Row], [DISGUISE]],Sheet1!$A$21:$A$23,Sheet1!$D$21:$D$23)</f>
        <v>69</v>
      </c>
      <c r="S1443" s="9">
        <f>Table1[[#This Row], [TOTAL TIME]]-Table1[[#This Row], [TOTAL TIME TAKEN]]</f>
        <v>26.435000000000009</v>
      </c>
      <c r="T1443" t="str">
        <f>IF(Table1[[#This Row], [TIME DIFFERENCE]]&gt;=0,"PASS","FAIL")</f>
        <v>PASS</v>
      </c>
      <c r="U1443" s="9">
        <f>Table1[[#This Row], [TRC]]+Table1[[#This Row], [DRC]]+Table1[[#This Row], [WRC]]+Table1[[#This Row], [ERC]]+Table1[[#This Row], [EQRC]]</f>
        <v>8040077.1999999993</v>
      </c>
      <c r="V1443" s="9">
        <f>Table1[[#This Row], [TOTAL COST]]+_xlfn.XLOOKUP(Table1[[#This Row], [TEAM]],Sheet1!$A$12:$A$17,Sheet1!$I$12:$I$17)</f>
        <v>8352014.6999999993</v>
      </c>
      <c r="W1443" s="9">
        <f>Table1[[#This Row], [LOOT]]-Table1[[#This Row], [TOTAL COST]]</f>
        <v>9309922.8000000007</v>
      </c>
      <c r="X1443" s="9">
        <f>IF(Table1[[#This Row], [PASS/FAIL]]="FAIL",0,Table1[[#This Row], [PROFIT]])</f>
        <v>9309922.8000000007</v>
      </c>
    </row>
    <row r="1444" spans="1:24" ht="19.5" customHeight="1" x14ac:dyDescent="0.45">
      <c r="A1444" t="s">
        <v>9</v>
      </c>
      <c r="B1444" s="14">
        <f>_xlfn.XLOOKUP(Table1[[#This Row], [TEAM]],Sheet1!$A$12:$A$17,Sheet1!$F$12:$F$17)</f>
        <v>3</v>
      </c>
      <c r="C1444" s="14">
        <f>_xlfn.XLOOKUP(Table1[[#This Row], [TEAM]],Sheet1!$A$12:$A$17,Sheet1!$G$12:$G$17)</f>
        <v>6238750</v>
      </c>
      <c r="D1444" t="s">
        <v>30</v>
      </c>
      <c r="E1444" s="4">
        <f>_xlfn.XLOOKUP(Table1[[#This Row], [ROOM]],Sheet1!$A$47:$A$66,Sheet1!$B$47:$B$66)</f>
        <v>246</v>
      </c>
      <c r="F1444" t="s">
        <v>58</v>
      </c>
      <c r="G1444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4" s="13" t="s">
        <v>59</v>
      </c>
      <c r="I1444" s="4">
        <f>_xlfn.XLOOKUP(Table1[[#This Row], [WEAPON]],Sheet1!$A$27:$A$29,Sheet1!$B$27:$B$29)*Table1[[#This Row], [NUM OF MEM]]*(1+_xlfn.XLOOKUP(Table1[[#This Row], [WEAPON]],Sheet1!$A$27:$A$29,Sheet1!$C$27:$C$29))</f>
        <v>136500</v>
      </c>
      <c r="J1444" t="s">
        <v>60</v>
      </c>
      <c r="K1444" s="9">
        <f>Table1[[#This Row], [NUM OF MEM]]*Table1[[#This Row], [TOTAL TIME TAKEN]]*_xlfn.XLOOKUP(Table1[[#This Row], [EXIT]],Sheet1!$A$70:$A$71,Sheet1!$B$70:$B$71)*(1+_xlfn.XLOOKUP(Table1[[#This Row], [EXIT]],Sheet1!$A$70:$A$71,Sheet1!$C$70:$C$71))</f>
        <v>1572793.9749999996</v>
      </c>
      <c r="L1444" s="13" t="s">
        <v>65</v>
      </c>
      <c r="M1444" s="4">
        <f>IF(Table1[[#This Row], [EQUIPMENT]]="YES",Sheet1!$C$44*(1+Sheet1!$D$44),0)</f>
        <v>307500</v>
      </c>
      <c r="N1444" s="4">
        <f>_xlfn.XLOOKUP(Table1[[#This Row], [ROOM]],Sheet1!$A$47:$A$66,Sheet1!$F$47:$F$66)</f>
        <v>17600000</v>
      </c>
      <c r="O1444" s="9">
        <f>_xlfn.XLOOKUP(_xlfn.CONCAT(Table1[[#This Row], [TEAM]],Table1[[#This Row], [ROOM]]),'ROOM TIME'!$H$2:$H$121,'ROOM TIME'!$J$2:$J$121)</f>
        <v>36.254444444444438</v>
      </c>
      <c r="P1444" s="9">
        <f>(INDEX(Sheet1!$X$48:$Z$67,MATCH(Table1[[#This Row], [ROOM]],Sheet1!$P$48:$P$67,0),MATCH(Table1[[#This Row], [WEAPON]],Sheet1!$X$47:$Z$47,0)))/Table1[[#This Row], [NUM OF MEM]]</f>
        <v>4.5999999999999996</v>
      </c>
      <c r="Q1444" s="9">
        <f>Table1[[#This Row], [ROOM TIME]]+Table1[[#This Row], [GUARD TIME]]</f>
        <v>40.854444444444439</v>
      </c>
      <c r="R1444" s="4">
        <f>Sheet1!$K$3*_xlfn.XLOOKUP(Table1[[#This Row], [DISGUISE]],Sheet1!$A$21:$A$23,Sheet1!$D$21:$D$23)</f>
        <v>69</v>
      </c>
      <c r="S1444" s="9">
        <f>Table1[[#This Row], [TOTAL TIME]]-Table1[[#This Row], [TOTAL TIME TAKEN]]</f>
        <v>28.145555555555561</v>
      </c>
      <c r="T1444" t="str">
        <f>IF(Table1[[#This Row], [TIME DIFFERENCE]]&gt;=0,"PASS","FAIL")</f>
        <v>PASS</v>
      </c>
      <c r="U1444" s="9">
        <f>Table1[[#This Row], [TRC]]+Table1[[#This Row], [DRC]]+Table1[[#This Row], [WRC]]+Table1[[#This Row], [ERC]]+Table1[[#This Row], [EQRC]]</f>
        <v>8293943.9749999996</v>
      </c>
      <c r="V1444" s="9">
        <f>Table1[[#This Row], [TOTAL COST]]+_xlfn.XLOOKUP(Table1[[#This Row], [TEAM]],Sheet1!$A$12:$A$17,Sheet1!$I$12:$I$17)</f>
        <v>8605881.4749999996</v>
      </c>
      <c r="W1444" s="9">
        <f>Table1[[#This Row], [LOOT]]-Table1[[#This Row], [TOTAL COST]]</f>
        <v>9306056.0250000004</v>
      </c>
      <c r="X1444" s="9">
        <f>IF(Table1[[#This Row], [PASS/FAIL]]="FAIL",0,Table1[[#This Row], [PROFIT]])</f>
        <v>9306056.0250000004</v>
      </c>
    </row>
    <row r="1445" spans="1:24" ht="19.5" customHeight="1" x14ac:dyDescent="0.45">
      <c r="A1445" t="s">
        <v>12</v>
      </c>
      <c r="B1445" s="14">
        <f>_xlfn.XLOOKUP(Table1[[#This Row], [TEAM]],Sheet1!$A$12:$A$17,Sheet1!$F$12:$F$17)</f>
        <v>3</v>
      </c>
      <c r="C1445" s="14">
        <f>_xlfn.XLOOKUP(Table1[[#This Row], [TEAM]],Sheet1!$A$12:$A$17,Sheet1!$G$12:$G$17)</f>
        <v>5988750</v>
      </c>
      <c r="D1445" t="s">
        <v>11</v>
      </c>
      <c r="E1445" s="4">
        <f>_xlfn.XLOOKUP(Table1[[#This Row], [ROOM]],Sheet1!$A$47:$A$66,Sheet1!$B$47:$B$66)</f>
        <v>124</v>
      </c>
      <c r="F1445" t="s">
        <v>62</v>
      </c>
      <c r="G1445" s="4">
        <f>_xlfn.XLOOKUP(Table1[[#This Row], [DISGUISE]],Sheet1!$A$21:$A$23,Sheet1!$B$21:$B$23)*Table1[[#This Row], [NUM OF MEM]]*(1+_xlfn.XLOOKUP(Table1[[#This Row], [DISGUISE]],Sheet1!$A$21:$A$23,Sheet1!$C$21:$C$23))</f>
        <v>15600</v>
      </c>
      <c r="H1445" s="13" t="s">
        <v>63</v>
      </c>
      <c r="I1445" s="4">
        <f>_xlfn.XLOOKUP(Table1[[#This Row], [WEAPON]],Sheet1!$A$27:$A$29,Sheet1!$B$27:$B$29)*Table1[[#This Row], [NUM OF MEM]]*(1+_xlfn.XLOOKUP(Table1[[#This Row], [WEAPON]],Sheet1!$A$27:$A$29,Sheet1!$C$27:$C$29))</f>
        <v>69000</v>
      </c>
      <c r="J1445" t="s">
        <v>64</v>
      </c>
      <c r="K1445" s="9">
        <f>Table1[[#This Row], [NUM OF MEM]]*Table1[[#This Row], [TOTAL TIME TAKEN]]*_xlfn.XLOOKUP(Table1[[#This Row], [EXIT]],Sheet1!$A$70:$A$71,Sheet1!$B$70:$B$71)*(1+_xlfn.XLOOKUP(Table1[[#This Row], [EXIT]],Sheet1!$A$70:$A$71,Sheet1!$C$70:$C$71))</f>
        <v>1763251.1999999997</v>
      </c>
      <c r="L1445" s="13" t="s">
        <v>65</v>
      </c>
      <c r="M1445" s="4">
        <f>IF(Table1[[#This Row], [EQUIPMENT]]="YES",Sheet1!$C$44*(1+Sheet1!$D$44),0)</f>
        <v>307500</v>
      </c>
      <c r="N1445" s="4">
        <f>_xlfn.XLOOKUP(Table1[[#This Row], [ROOM]],Sheet1!$A$47:$A$66,Sheet1!$F$47:$F$66)</f>
        <v>17450000</v>
      </c>
      <c r="O1445" s="9">
        <f>_xlfn.XLOOKUP(_xlfn.CONCAT(Table1[[#This Row], [TEAM]],Table1[[#This Row], [ROOM]]),'ROOM TIME'!$H$2:$H$121,'ROOM TIME'!$J$2:$J$121)</f>
        <v>40.401111111111099</v>
      </c>
      <c r="P1445" s="9">
        <f>(INDEX(Sheet1!$X$48:$Z$67,MATCH(Table1[[#This Row], [ROOM]],Sheet1!$P$48:$P$67,0),MATCH(Table1[[#This Row], [WEAPON]],Sheet1!$X$47:$Z$47,0)))/Table1[[#This Row], [NUM OF MEM]]</f>
        <v>4.95</v>
      </c>
      <c r="Q1445" s="9">
        <f>Table1[[#This Row], [ROOM TIME]]+Table1[[#This Row], [GUARD TIME]]</f>
        <v>45.351111111111102</v>
      </c>
      <c r="R1445" s="4">
        <f>Sheet1!$K$3*_xlfn.XLOOKUP(Table1[[#This Row], [DISGUISE]],Sheet1!$A$21:$A$23,Sheet1!$D$21:$D$23)</f>
        <v>66</v>
      </c>
      <c r="S1445" s="9">
        <f>Table1[[#This Row], [TOTAL TIME]]-Table1[[#This Row], [TOTAL TIME TAKEN]]</f>
        <v>20.648888888888898</v>
      </c>
      <c r="T1445" t="str">
        <f>IF(Table1[[#This Row], [TIME DIFFERENCE]]&gt;=0,"PASS","FAIL")</f>
        <v>PASS</v>
      </c>
      <c r="U1445" s="9">
        <f>Table1[[#This Row], [TRC]]+Table1[[#This Row], [DRC]]+Table1[[#This Row], [WRC]]+Table1[[#This Row], [ERC]]+Table1[[#This Row], [EQRC]]</f>
        <v>8144101.1999999993</v>
      </c>
      <c r="V1445" s="9">
        <f>Table1[[#This Row], [TOTAL COST]]+_xlfn.XLOOKUP(Table1[[#This Row], [TEAM]],Sheet1!$A$12:$A$17,Sheet1!$I$12:$I$17)</f>
        <v>8443538.6999999993</v>
      </c>
      <c r="W1445" s="9">
        <f>Table1[[#This Row], [LOOT]]-Table1[[#This Row], [TOTAL COST]]</f>
        <v>9305898.8000000007</v>
      </c>
      <c r="X1445" s="9">
        <f>IF(Table1[[#This Row], [PASS/FAIL]]="FAIL",0,Table1[[#This Row], [PROFIT]])</f>
        <v>9305898.8000000007</v>
      </c>
    </row>
    <row r="1446" spans="1:24" ht="19.5" customHeight="1" x14ac:dyDescent="0.45">
      <c r="A1446" t="s">
        <v>14</v>
      </c>
      <c r="B1446" s="14">
        <f>_xlfn.XLOOKUP(Table1[[#This Row], [TEAM]],Sheet1!$A$12:$A$17,Sheet1!$F$12:$F$17)</f>
        <v>2</v>
      </c>
      <c r="C1446" s="14">
        <f>_xlfn.XLOOKUP(Table1[[#This Row], [TEAM]],Sheet1!$A$12:$A$17,Sheet1!$G$12:$G$17)</f>
        <v>5949600</v>
      </c>
      <c r="D1446" t="s">
        <v>23</v>
      </c>
      <c r="E1446" s="4">
        <f>_xlfn.XLOOKUP(Table1[[#This Row], [ROOM]],Sheet1!$A$47:$A$66,Sheet1!$B$47:$B$66)</f>
        <v>245</v>
      </c>
      <c r="F1446" t="s">
        <v>58</v>
      </c>
      <c r="G1446" s="4">
        <f>_xlfn.XLOOKUP(Table1[[#This Row], [DISGUISE]],Sheet1!$A$21:$A$23,Sheet1!$B$21:$B$23)*Table1[[#This Row], [NUM OF MEM]]*(1+_xlfn.XLOOKUP(Table1[[#This Row], [DISGUISE]],Sheet1!$A$21:$A$23,Sheet1!$C$21:$C$23))</f>
        <v>25600</v>
      </c>
      <c r="H1446" s="13" t="s">
        <v>66</v>
      </c>
      <c r="I1446" s="4">
        <f>_xlfn.XLOOKUP(Table1[[#This Row], [WEAPON]],Sheet1!$A$27:$A$29,Sheet1!$B$27:$B$29)*Table1[[#This Row], [NUM OF MEM]]*(1+_xlfn.XLOOKUP(Table1[[#This Row], [WEAPON]],Sheet1!$A$27:$A$29,Sheet1!$C$27:$C$29))</f>
        <v>72000</v>
      </c>
      <c r="J1446" t="s">
        <v>64</v>
      </c>
      <c r="K1446" s="9">
        <f>Table1[[#This Row], [NUM OF MEM]]*Table1[[#This Row], [TOTAL TIME TAKEN]]*_xlfn.XLOOKUP(Table1[[#This Row], [EXIT]],Sheet1!$A$70:$A$71,Sheet1!$B$70:$B$71)*(1+_xlfn.XLOOKUP(Table1[[#This Row], [EXIT]],Sheet1!$A$70:$A$71,Sheet1!$C$70:$C$71))</f>
        <v>1741629.5999999994</v>
      </c>
      <c r="L1446" s="13" t="s">
        <v>65</v>
      </c>
      <c r="M1446" s="4">
        <f>IF(Table1[[#This Row], [EQUIPMENT]]="YES",Sheet1!$C$44*(1+Sheet1!$D$44),0)</f>
        <v>307500</v>
      </c>
      <c r="N1446" s="4">
        <f>_xlfn.XLOOKUP(Table1[[#This Row], [ROOM]],Sheet1!$A$47:$A$66,Sheet1!$F$47:$F$66)</f>
        <v>17400000</v>
      </c>
      <c r="O1446" s="9">
        <f>_xlfn.XLOOKUP(_xlfn.CONCAT(Table1[[#This Row], [TEAM]],Table1[[#This Row], [ROOM]]),'ROOM TIME'!$H$2:$H$121,'ROOM TIME'!$J$2:$J$121)</f>
        <v>60.317499999999981</v>
      </c>
      <c r="P1446" s="9">
        <f>(INDEX(Sheet1!$X$48:$Z$67,MATCH(Table1[[#This Row], [ROOM]],Sheet1!$P$48:$P$67,0),MATCH(Table1[[#This Row], [WEAPON]],Sheet1!$X$47:$Z$47,0)))/Table1[[#This Row], [NUM OF MEM]]</f>
        <v>6.875</v>
      </c>
      <c r="Q1446" s="9">
        <f>Table1[[#This Row], [ROOM TIME]]+Table1[[#This Row], [GUARD TIME]]</f>
        <v>67.192499999999981</v>
      </c>
      <c r="R1446" s="4">
        <f>Sheet1!$K$3*_xlfn.XLOOKUP(Table1[[#This Row], [DISGUISE]],Sheet1!$A$21:$A$23,Sheet1!$D$21:$D$23)</f>
        <v>69</v>
      </c>
      <c r="S1446" s="9">
        <f>Table1[[#This Row], [TOTAL TIME]]-Table1[[#This Row], [TOTAL TIME TAKEN]]</f>
        <v>1.8075000000000188</v>
      </c>
      <c r="T1446" t="str">
        <f>IF(Table1[[#This Row], [TIME DIFFERENCE]]&gt;=0,"PASS","FAIL")</f>
        <v>PASS</v>
      </c>
      <c r="U1446" s="9">
        <f>Table1[[#This Row], [TRC]]+Table1[[#This Row], [DRC]]+Table1[[#This Row], [WRC]]+Table1[[#This Row], [ERC]]+Table1[[#This Row], [EQRC]]</f>
        <v>8096329.5999999996</v>
      </c>
      <c r="V1446" s="9">
        <f>Table1[[#This Row], [TOTAL COST]]+_xlfn.XLOOKUP(Table1[[#This Row], [TEAM]],Sheet1!$A$12:$A$17,Sheet1!$I$12:$I$17)</f>
        <v>8393809.5999999996</v>
      </c>
      <c r="W1446" s="9">
        <f>Table1[[#This Row], [LOOT]]-Table1[[#This Row], [TOTAL COST]]</f>
        <v>9303670.4000000004</v>
      </c>
      <c r="X1446" s="9">
        <f>IF(Table1[[#This Row], [PASS/FAIL]]="FAIL",0,Table1[[#This Row], [PROFIT]])</f>
        <v>9303670.4000000004</v>
      </c>
    </row>
    <row r="1447" spans="1:24" ht="19.5" customHeight="1" x14ac:dyDescent="0.45">
      <c r="A1447" t="s">
        <v>9</v>
      </c>
      <c r="B1447" s="14">
        <f>_xlfn.XLOOKUP(Table1[[#This Row], [TEAM]],Sheet1!$A$12:$A$17,Sheet1!$F$12:$F$17)</f>
        <v>3</v>
      </c>
      <c r="C1447" s="14">
        <f>_xlfn.XLOOKUP(Table1[[#This Row], [TEAM]],Sheet1!$A$12:$A$17,Sheet1!$G$12:$G$17)</f>
        <v>6238750</v>
      </c>
      <c r="D1447" t="s">
        <v>30</v>
      </c>
      <c r="E1447" s="4">
        <f>_xlfn.XLOOKUP(Table1[[#This Row], [ROOM]],Sheet1!$A$47:$A$66,Sheet1!$B$47:$B$66)</f>
        <v>246</v>
      </c>
      <c r="F1447" t="s">
        <v>58</v>
      </c>
      <c r="G1447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7" s="13" t="s">
        <v>66</v>
      </c>
      <c r="I1447" s="4">
        <f>_xlfn.XLOOKUP(Table1[[#This Row], [WEAPON]],Sheet1!$A$27:$A$29,Sheet1!$B$27:$B$29)*Table1[[#This Row], [NUM OF MEM]]*(1+_xlfn.XLOOKUP(Table1[[#This Row], [WEAPON]],Sheet1!$A$27:$A$29,Sheet1!$C$27:$C$29))</f>
        <v>108000</v>
      </c>
      <c r="J1447" t="s">
        <v>64</v>
      </c>
      <c r="K1447" s="9">
        <f>Table1[[#This Row], [NUM OF MEM]]*Table1[[#This Row], [TOTAL TIME TAKEN]]*_xlfn.XLOOKUP(Table1[[#This Row], [EXIT]],Sheet1!$A$70:$A$71,Sheet1!$B$70:$B$71)*(1+_xlfn.XLOOKUP(Table1[[#This Row], [EXIT]],Sheet1!$A$70:$A$71,Sheet1!$C$70:$C$71))</f>
        <v>1603972.7999999996</v>
      </c>
      <c r="L1447" s="13" t="s">
        <v>65</v>
      </c>
      <c r="M1447" s="4">
        <f>IF(Table1[[#This Row], [EQUIPMENT]]="YES",Sheet1!$C$44*(1+Sheet1!$D$44),0)</f>
        <v>307500</v>
      </c>
      <c r="N1447" s="4">
        <f>_xlfn.XLOOKUP(Table1[[#This Row], [ROOM]],Sheet1!$A$47:$A$66,Sheet1!$F$47:$F$66)</f>
        <v>17600000</v>
      </c>
      <c r="O1447" s="9">
        <f>_xlfn.XLOOKUP(_xlfn.CONCAT(Table1[[#This Row], [TEAM]],Table1[[#This Row], [ROOM]]),'ROOM TIME'!$H$2:$H$121,'ROOM TIME'!$J$2:$J$121)</f>
        <v>36.254444444444438</v>
      </c>
      <c r="P1447" s="4">
        <f>(INDEX(Sheet1!$X$48:$Z$67,MATCH(Table1[[#This Row], [ROOM]],Sheet1!$P$48:$P$67,0),MATCH(Table1[[#This Row], [WEAPON]],Sheet1!$X$47:$Z$47,0)))/Table1[[#This Row], [NUM OF MEM]]</f>
        <v>5</v>
      </c>
      <c r="Q1447" s="9">
        <f>Table1[[#This Row], [ROOM TIME]]+Table1[[#This Row], [GUARD TIME]]</f>
        <v>41.254444444444438</v>
      </c>
      <c r="R1447" s="4">
        <f>Sheet1!$K$3*_xlfn.XLOOKUP(Table1[[#This Row], [DISGUISE]],Sheet1!$A$21:$A$23,Sheet1!$D$21:$D$23)</f>
        <v>69</v>
      </c>
      <c r="S1447" s="9">
        <f>Table1[[#This Row], [TOTAL TIME]]-Table1[[#This Row], [TOTAL TIME TAKEN]]</f>
        <v>27.745555555555562</v>
      </c>
      <c r="T1447" t="str">
        <f>IF(Table1[[#This Row], [TIME DIFFERENCE]]&gt;=0,"PASS","FAIL")</f>
        <v>PASS</v>
      </c>
      <c r="U1447" s="9">
        <f>Table1[[#This Row], [TRC]]+Table1[[#This Row], [DRC]]+Table1[[#This Row], [WRC]]+Table1[[#This Row], [ERC]]+Table1[[#This Row], [EQRC]]</f>
        <v>8296622.7999999998</v>
      </c>
      <c r="V1447" s="9">
        <f>Table1[[#This Row], [TOTAL COST]]+_xlfn.XLOOKUP(Table1[[#This Row], [TEAM]],Sheet1!$A$12:$A$17,Sheet1!$I$12:$I$17)</f>
        <v>8608560.3000000007</v>
      </c>
      <c r="W1447" s="9">
        <f>Table1[[#This Row], [LOOT]]-Table1[[#This Row], [TOTAL COST]]</f>
        <v>9303377.1999999993</v>
      </c>
      <c r="X1447" s="9">
        <f>IF(Table1[[#This Row], [PASS/FAIL]]="FAIL",0,Table1[[#This Row], [PROFIT]])</f>
        <v>9303377.1999999993</v>
      </c>
    </row>
    <row r="1448" spans="1:24" ht="19.5" customHeight="1" x14ac:dyDescent="0.45">
      <c r="A1448" t="s">
        <v>15</v>
      </c>
      <c r="B1448" s="14">
        <f>_xlfn.XLOOKUP(Table1[[#This Row], [TEAM]],Sheet1!$A$12:$A$17,Sheet1!$F$12:$F$17)</f>
        <v>2</v>
      </c>
      <c r="C1448" s="14">
        <f>_xlfn.XLOOKUP(Table1[[#This Row], [TEAM]],Sheet1!$A$12:$A$17,Sheet1!$G$12:$G$17)</f>
        <v>5932950</v>
      </c>
      <c r="D1448" t="s">
        <v>17</v>
      </c>
      <c r="E1448" s="4">
        <f>_xlfn.XLOOKUP(Table1[[#This Row], [ROOM]],Sheet1!$A$47:$A$66,Sheet1!$B$47:$B$66)</f>
        <v>125</v>
      </c>
      <c r="F1448" t="s">
        <v>58</v>
      </c>
      <c r="G1448" s="4">
        <f>_xlfn.XLOOKUP(Table1[[#This Row], [DISGUISE]],Sheet1!$A$21:$A$23,Sheet1!$B$21:$B$23)*Table1[[#This Row], [NUM OF MEM]]*(1+_xlfn.XLOOKUP(Table1[[#This Row], [DISGUISE]],Sheet1!$A$21:$A$23,Sheet1!$C$21:$C$23))</f>
        <v>25600</v>
      </c>
      <c r="H1448" s="13" t="s">
        <v>66</v>
      </c>
      <c r="I1448" s="4">
        <f>_xlfn.XLOOKUP(Table1[[#This Row], [WEAPON]],Sheet1!$A$27:$A$29,Sheet1!$B$27:$B$29)*Table1[[#This Row], [NUM OF MEM]]*(1+_xlfn.XLOOKUP(Table1[[#This Row], [WEAPON]],Sheet1!$A$27:$A$29,Sheet1!$C$27:$C$29))</f>
        <v>72000</v>
      </c>
      <c r="J1448" t="s">
        <v>60</v>
      </c>
      <c r="K1448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1709353.1624999996</v>
      </c>
      <c r="L1448" s="13" t="s">
        <v>65</v>
      </c>
      <c r="M1448" s="4">
        <f>IF(Table1[[#This Row], [EQUIPMENT]]="YES",Sheet1!$C$44*(1+Sheet1!$D$44),0)</f>
        <v>307500</v>
      </c>
      <c r="N1448" s="4">
        <f>_xlfn.XLOOKUP(Table1[[#This Row], [ROOM]],Sheet1!$A$47:$A$66,Sheet1!$F$47:$F$66)</f>
        <v>17350000</v>
      </c>
      <c r="O1448" s="9">
        <f>_xlfn.XLOOKUP(_xlfn.CONCAT(Table1[[#This Row], [TEAM]],Table1[[#This Row], [ROOM]]),'ROOM TIME'!$H$2:$H$121,'ROOM TIME'!$J$2:$J$121)</f>
        <v>60.352499999999985</v>
      </c>
      <c r="P1448" s="9">
        <f>(INDEX(Sheet1!$X$48:$Z$67,MATCH(Table1[[#This Row], [ROOM]],Sheet1!$P$48:$P$67,0),MATCH(Table1[[#This Row], [WEAPON]],Sheet1!$X$47:$Z$47,0)))/Table1[[#This Row], [NUM OF MEM]]</f>
        <v>6.25</v>
      </c>
      <c r="Q1448" s="9">
        <f>Table1[[#This Row], [ROOM TIME]]+Table1[[#This Row], [GUARD TIME]]</f>
        <v>66.602499999999992</v>
      </c>
      <c r="R1448" s="4">
        <f>Sheet1!$K$3*_xlfn.XLOOKUP(Table1[[#This Row], [DISGUISE]],Sheet1!$A$21:$A$23,Sheet1!$D$21:$D$23)</f>
        <v>69</v>
      </c>
      <c r="S1448" s="9">
        <f>Table1[[#This Row], [TOTAL TIME]]-Table1[[#This Row], [TOTAL TIME TAKEN]]</f>
        <v>2.397500000000008</v>
      </c>
      <c r="T1448" t="str">
        <f>IF(Table1[[#This Row], [TIME DIFFERENCE]]&gt;=0,"PASS","FAIL")</f>
        <v>PASS</v>
      </c>
      <c r="U1448" s="9">
        <f>Table1[[#This Row], [TRC]]+Table1[[#This Row], [DRC]]+Table1[[#This Row], [WRC]]+Table1[[#This Row], [ERC]]+Table1[[#This Row], [EQRC]]</f>
        <v>8047403.1624999996</v>
      </c>
      <c r="V1448" s="9">
        <f>Table1[[#This Row], [TOTAL COST]]+_xlfn.XLOOKUP(Table1[[#This Row], [TEAM]],Sheet1!$A$12:$A$17,Sheet1!$I$12:$I$17)</f>
        <v>8344050.6624999996</v>
      </c>
      <c r="W1448" s="9">
        <f>Table1[[#This Row], [LOOT]]-Table1[[#This Row], [TOTAL COST]]</f>
        <v>9302596.8375000004</v>
      </c>
      <c r="X1448" s="9">
        <f>IF(Table1[[#This Row], [PASS/FAIL]]="FAIL",0,Table1[[#This Row], [PROFIT]])</f>
        <v>9302596.8375000004</v>
      </c>
    </row>
    <row r="1449" spans="1:24" ht="19.5" customHeight="1" x14ac:dyDescent="0.45">
      <c r="A1449" t="s">
        <v>12</v>
      </c>
      <c r="B1449" s="14">
        <f>_xlfn.XLOOKUP(Table1[[#This Row], [TEAM]],Sheet1!$A$12:$A$17,Sheet1!$F$12:$F$17)</f>
        <v>3</v>
      </c>
      <c r="C1449" s="14">
        <f>_xlfn.XLOOKUP(Table1[[#This Row], [TEAM]],Sheet1!$A$12:$A$17,Sheet1!$G$12:$G$17)</f>
        <v>5988750</v>
      </c>
      <c r="D1449" t="s">
        <v>11</v>
      </c>
      <c r="E1449" s="4">
        <f>_xlfn.XLOOKUP(Table1[[#This Row], [ROOM]],Sheet1!$A$47:$A$66,Sheet1!$B$47:$B$66)</f>
        <v>124</v>
      </c>
      <c r="F1449" t="s">
        <v>58</v>
      </c>
      <c r="G1449" s="4">
        <f>_xlfn.XLOOKUP(Table1[[#This Row], [DISGUISE]],Sheet1!$A$21:$A$23,Sheet1!$B$21:$B$23)*Table1[[#This Row], [NUM OF MEM]]*(1+_xlfn.XLOOKUP(Table1[[#This Row], [DISGUISE]],Sheet1!$A$21:$A$23,Sheet1!$C$21:$C$23))</f>
        <v>38400</v>
      </c>
      <c r="H1449" s="13" t="s">
        <v>63</v>
      </c>
      <c r="I1449" s="4">
        <f>_xlfn.XLOOKUP(Table1[[#This Row], [WEAPON]],Sheet1!$A$27:$A$29,Sheet1!$B$27:$B$29)*Table1[[#This Row], [NUM OF MEM]]*(1+_xlfn.XLOOKUP(Table1[[#This Row], [WEAPON]],Sheet1!$A$27:$A$29,Sheet1!$C$27:$C$29))</f>
        <v>69000</v>
      </c>
      <c r="J1449" t="s">
        <v>60</v>
      </c>
      <c r="K1449" s="9">
        <f>Table1[[#This Row], [NUM OF MEM]]*Table1[[#This Row], [TOTAL TIME TAKEN]]*_xlfn.XLOOKUP(Table1[[#This Row], [EXIT]],Sheet1!$A$70:$A$71,Sheet1!$B$70:$B$71)*(1+_xlfn.XLOOKUP(Table1[[#This Row], [EXIT]],Sheet1!$A$70:$A$71,Sheet1!$C$70:$C$71))</f>
        <v>1745904.3999999997</v>
      </c>
      <c r="L1449" s="13" t="s">
        <v>65</v>
      </c>
      <c r="M1449" s="4">
        <f>IF(Table1[[#This Row], [EQUIPMENT]]="YES",Sheet1!$C$44*(1+Sheet1!$D$44),0)</f>
        <v>307500</v>
      </c>
      <c r="N1449" s="4">
        <f>_xlfn.XLOOKUP(Table1[[#This Row], [ROOM]],Sheet1!$A$47:$A$66,Sheet1!$F$47:$F$66)</f>
        <v>17450000</v>
      </c>
      <c r="O1449" s="9">
        <f>_xlfn.XLOOKUP(_xlfn.CONCAT(Table1[[#This Row], [TEAM]],Table1[[#This Row], [ROOM]]),'ROOM TIME'!$H$2:$H$121,'ROOM TIME'!$J$2:$J$121)</f>
        <v>40.401111111111099</v>
      </c>
      <c r="P1449" s="9">
        <f>(INDEX(Sheet1!$X$48:$Z$67,MATCH(Table1[[#This Row], [ROOM]],Sheet1!$P$48:$P$67,0),MATCH(Table1[[#This Row], [WEAPON]],Sheet1!$X$47:$Z$47,0)))/Table1[[#This Row], [NUM OF MEM]]</f>
        <v>4.95</v>
      </c>
      <c r="Q1449" s="9">
        <f>Table1[[#This Row], [ROOM TIME]]+Table1[[#This Row], [GUARD TIME]]</f>
        <v>45.351111111111102</v>
      </c>
      <c r="R1449" s="4">
        <f>Sheet1!$K$3*_xlfn.XLOOKUP(Table1[[#This Row], [DISGUISE]],Sheet1!$A$21:$A$23,Sheet1!$D$21:$D$23)</f>
        <v>69</v>
      </c>
      <c r="S1449" s="9">
        <f>Table1[[#This Row], [TOTAL TIME]]-Table1[[#This Row], [TOTAL TIME TAKEN]]</f>
        <v>23.648888888888898</v>
      </c>
      <c r="T1449" t="str">
        <f>IF(Table1[[#This Row], [TIME DIFFERENCE]]&gt;=0,"PASS","FAIL")</f>
        <v>PASS</v>
      </c>
      <c r="U1449" s="9">
        <f>Table1[[#This Row], [TRC]]+Table1[[#This Row], [DRC]]+Table1[[#This Row], [WRC]]+Table1[[#This Row], [ERC]]+Table1[[#This Row], [EQRC]]</f>
        <v>8149554.3999999994</v>
      </c>
      <c r="V1449" s="9">
        <f>Table1[[#This Row], [TOTAL COST]]+_xlfn.XLOOKUP(Table1[[#This Row], [TEAM]],Sheet1!$A$12:$A$17,Sheet1!$I$12:$I$17)</f>
        <v>8448991.8999999985</v>
      </c>
      <c r="W1449" s="9">
        <f>Table1[[#This Row], [LOOT]]-Table1[[#This Row], [TOTAL COST]]</f>
        <v>9300445.6000000015</v>
      </c>
      <c r="X1449" s="9">
        <f>IF(Table1[[#This Row], [PASS/FAIL]]="FAIL",0,Table1[[#This Row], [PROFIT]])</f>
        <v>9300445.6000000015</v>
      </c>
    </row>
    <row r="1450" spans="1:24" ht="19.5" customHeight="1" x14ac:dyDescent="0.45">
      <c r="A1450" t="s">
        <v>13</v>
      </c>
      <c r="B1450" s="14">
        <f>_xlfn.XLOOKUP(Table1[[#This Row], [TEAM]],Sheet1!$A$12:$A$17,Sheet1!$F$12:$F$17)</f>
        <v>3</v>
      </c>
      <c r="C1450" s="14">
        <f>_xlfn.XLOOKUP(Table1[[#This Row], [TEAM]],Sheet1!$A$12:$A$17,Sheet1!$G$12:$G$17)</f>
        <v>5930000</v>
      </c>
      <c r="D1450" t="s">
        <v>11</v>
      </c>
      <c r="E1450" s="4">
        <f>_xlfn.XLOOKUP(Table1[[#This Row], [ROOM]],Sheet1!$A$47:$A$66,Sheet1!$B$47:$B$66)</f>
        <v>124</v>
      </c>
      <c r="F1450" t="s">
        <v>62</v>
      </c>
      <c r="G145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50" s="13" t="s">
        <v>63</v>
      </c>
      <c r="I1450" s="4">
        <f>_xlfn.XLOOKUP(Table1[[#This Row], [WEAPON]],Sheet1!$A$27:$A$29,Sheet1!$B$27:$B$29)*Table1[[#This Row], [NUM OF MEM]]*(1+_xlfn.XLOOKUP(Table1[[#This Row], [WEAPON]],Sheet1!$A$27:$A$29,Sheet1!$C$27:$C$29))</f>
        <v>69000</v>
      </c>
      <c r="J1450" t="s">
        <v>60</v>
      </c>
      <c r="K1450" s="9">
        <f>Table1[[#This Row], [NUM OF MEM]]*Table1[[#This Row], [TOTAL TIME TAKEN]]*_xlfn.XLOOKUP(Table1[[#This Row], [EXIT]],Sheet1!$A$70:$A$71,Sheet1!$B$70:$B$71)*(1+_xlfn.XLOOKUP(Table1[[#This Row], [EXIT]],Sheet1!$A$70:$A$71,Sheet1!$C$70:$C$71))</f>
        <v>1827519.0999999999</v>
      </c>
      <c r="L1450" s="13" t="s">
        <v>65</v>
      </c>
      <c r="M1450" s="4">
        <f>IF(Table1[[#This Row], [EQUIPMENT]]="YES",Sheet1!$C$44*(1+Sheet1!$D$44),0)</f>
        <v>307500</v>
      </c>
      <c r="N1450" s="4">
        <f>_xlfn.XLOOKUP(Table1[[#This Row], [ROOM]],Sheet1!$A$47:$A$66,Sheet1!$F$47:$F$66)</f>
        <v>17450000</v>
      </c>
      <c r="O1450" s="9">
        <f>_xlfn.XLOOKUP(_xlfn.CONCAT(Table1[[#This Row], [TEAM]],Table1[[#This Row], [ROOM]]),'ROOM TIME'!$H$2:$H$121,'ROOM TIME'!$J$2:$J$121)</f>
        <v>42.521111111111104</v>
      </c>
      <c r="P1450" s="9">
        <f>(INDEX(Sheet1!$X$48:$Z$67,MATCH(Table1[[#This Row], [ROOM]],Sheet1!$P$48:$P$67,0),MATCH(Table1[[#This Row], [WEAPON]],Sheet1!$X$47:$Z$47,0)))/Table1[[#This Row], [NUM OF MEM]]</f>
        <v>4.95</v>
      </c>
      <c r="Q1450" s="9">
        <f>Table1[[#This Row], [ROOM TIME]]+Table1[[#This Row], [GUARD TIME]]</f>
        <v>47.471111111111107</v>
      </c>
      <c r="R1450" s="4">
        <f>Sheet1!$K$3*_xlfn.XLOOKUP(Table1[[#This Row], [DISGUISE]],Sheet1!$A$21:$A$23,Sheet1!$D$21:$D$23)</f>
        <v>66</v>
      </c>
      <c r="S1450" s="9">
        <f>Table1[[#This Row], [TOTAL TIME]]-Table1[[#This Row], [TOTAL TIME TAKEN]]</f>
        <v>18.528888888888893</v>
      </c>
      <c r="T1450" t="str">
        <f>IF(Table1[[#This Row], [TIME DIFFERENCE]]&gt;=0,"PASS","FAIL")</f>
        <v>PASS</v>
      </c>
      <c r="U1450" s="9">
        <f>Table1[[#This Row], [TRC]]+Table1[[#This Row], [DRC]]+Table1[[#This Row], [WRC]]+Table1[[#This Row], [ERC]]+Table1[[#This Row], [EQRC]]</f>
        <v>8149619.0999999996</v>
      </c>
      <c r="V1450" s="9">
        <f>Table1[[#This Row], [TOTAL COST]]+_xlfn.XLOOKUP(Table1[[#This Row], [TEAM]],Sheet1!$A$12:$A$17,Sheet1!$I$12:$I$17)</f>
        <v>8446119.0999999996</v>
      </c>
      <c r="W1450" s="9">
        <f>Table1[[#This Row], [LOOT]]-Table1[[#This Row], [TOTAL COST]]</f>
        <v>9300380.9000000004</v>
      </c>
      <c r="X1450" s="9">
        <f>IF(Table1[[#This Row], [PASS/FAIL]]="FAIL",0,Table1[[#This Row], [PROFIT]])</f>
        <v>9300380.9000000004</v>
      </c>
    </row>
    <row r="1451" spans="1:24" ht="19.5" customHeight="1" x14ac:dyDescent="0.45">
      <c r="A1451" t="s">
        <v>14</v>
      </c>
      <c r="B1451" s="14">
        <f>_xlfn.XLOOKUP(Table1[[#This Row], [TEAM]],Sheet1!$A$12:$A$17,Sheet1!$F$12:$F$17)</f>
        <v>2</v>
      </c>
      <c r="C1451" s="14">
        <f>_xlfn.XLOOKUP(Table1[[#This Row], [TEAM]],Sheet1!$A$12:$A$17,Sheet1!$G$12:$G$17)</f>
        <v>5949600</v>
      </c>
      <c r="D1451" t="s">
        <v>23</v>
      </c>
      <c r="E1451" s="4">
        <f>_xlfn.XLOOKUP(Table1[[#This Row], [ROOM]],Sheet1!$A$47:$A$66,Sheet1!$B$47:$B$66)</f>
        <v>245</v>
      </c>
      <c r="F1451" t="s">
        <v>58</v>
      </c>
      <c r="G1451" s="4">
        <f>_xlfn.XLOOKUP(Table1[[#This Row], [DISGUISE]],Sheet1!$A$21:$A$23,Sheet1!$B$21:$B$23)*Table1[[#This Row], [NUM OF MEM]]*(1+_xlfn.XLOOKUP(Table1[[#This Row], [DISGUISE]],Sheet1!$A$21:$A$23,Sheet1!$C$21:$C$23))</f>
        <v>25600</v>
      </c>
      <c r="H1451" s="13" t="s">
        <v>59</v>
      </c>
      <c r="I1451" s="4">
        <f>_xlfn.XLOOKUP(Table1[[#This Row], [WEAPON]],Sheet1!$A$27:$A$29,Sheet1!$B$27:$B$29)*Table1[[#This Row], [NUM OF MEM]]*(1+_xlfn.XLOOKUP(Table1[[#This Row], [WEAPON]],Sheet1!$A$27:$A$29,Sheet1!$C$27:$C$29))</f>
        <v>91000</v>
      </c>
      <c r="J1451" t="s">
        <v>64</v>
      </c>
      <c r="K1451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1727373.5999999996</v>
      </c>
      <c r="L1451" s="13" t="s">
        <v>65</v>
      </c>
      <c r="M1451" s="4">
        <f>IF(Table1[[#This Row], [EQUIPMENT]]="YES",Sheet1!$C$44*(1+Sheet1!$D$44),0)</f>
        <v>307500</v>
      </c>
      <c r="N1451" s="4">
        <f>_xlfn.XLOOKUP(Table1[[#This Row], [ROOM]],Sheet1!$A$47:$A$66,Sheet1!$F$47:$F$66)</f>
        <v>17400000</v>
      </c>
      <c r="O1451" s="9">
        <f>_xlfn.XLOOKUP(_xlfn.CONCAT(Table1[[#This Row], [TEAM]],Table1[[#This Row], [ROOM]]),'ROOM TIME'!$H$2:$H$121,'ROOM TIME'!$J$2:$J$121)</f>
        <v>60.317499999999981</v>
      </c>
      <c r="P1451" s="9">
        <f>(INDEX(Sheet1!$X$48:$Z$67,MATCH(Table1[[#This Row], [ROOM]],Sheet1!$P$48:$P$67,0),MATCH(Table1[[#This Row], [WEAPON]],Sheet1!$X$47:$Z$47,0)))/Table1[[#This Row], [NUM OF MEM]]</f>
        <v>6.3249999999999993</v>
      </c>
      <c r="Q1451" s="9">
        <f>Table1[[#This Row], [ROOM TIME]]+Table1[[#This Row], [GUARD TIME]]</f>
        <v>66.642499999999984</v>
      </c>
      <c r="R1451" s="4">
        <f>Sheet1!$K$3*_xlfn.XLOOKUP(Table1[[#This Row], [DISGUISE]],Sheet1!$A$21:$A$23,Sheet1!$D$21:$D$23)</f>
        <v>69</v>
      </c>
      <c r="S1451" s="9">
        <f>Table1[[#This Row], [TOTAL TIME]]-Table1[[#This Row], [TOTAL TIME TAKEN]]</f>
        <v>2.3575000000000159</v>
      </c>
      <c r="T1451" t="str">
        <f>IF(Table1[[#This Row], [TIME DIFFERENCE]]&gt;=0,"PASS","FAIL")</f>
        <v>PASS</v>
      </c>
      <c r="U1451" s="9">
        <f>Table1[[#This Row], [TRC]]+Table1[[#This Row], [DRC]]+Table1[[#This Row], [WRC]]+Table1[[#This Row], [ERC]]+Table1[[#This Row], [EQRC]]</f>
        <v>8101073.5999999996</v>
      </c>
      <c r="V1451" s="9">
        <f>Table1[[#This Row], [TOTAL COST]]+_xlfn.XLOOKUP(Table1[[#This Row], [TEAM]],Sheet1!$A$12:$A$17,Sheet1!$I$12:$I$17)</f>
        <v>8398553.5999999996</v>
      </c>
      <c r="W1451" s="9">
        <f>Table1[[#This Row], [LOOT]]-Table1[[#This Row], [TOTAL COST]]</f>
        <v>9298926.4000000004</v>
      </c>
      <c r="X1451" s="9">
        <f>IF(Table1[[#This Row], [PASS/FAIL]]="FAIL",0,Table1[[#This Row], [PROFIT]])</f>
        <v>9298926.4000000004</v>
      </c>
    </row>
    <row r="1452" spans="1:24" ht="19.5" customHeight="1" x14ac:dyDescent="0.45">
      <c r="A1452" t="s">
        <v>15</v>
      </c>
      <c r="B1452" s="14">
        <f>_xlfn.XLOOKUP(Table1[[#This Row], [TEAM]],Sheet1!$A$12:$A$17,Sheet1!$F$12:$F$17)</f>
        <v>2</v>
      </c>
      <c r="C1452" s="14">
        <f>_xlfn.XLOOKUP(Table1[[#This Row], [TEAM]],Sheet1!$A$12:$A$17,Sheet1!$G$12:$G$17)</f>
        <v>5932950</v>
      </c>
      <c r="D1452" t="s">
        <v>17</v>
      </c>
      <c r="E1452" s="4">
        <f>_xlfn.XLOOKUP(Table1[[#This Row], [ROOM]],Sheet1!$A$47:$A$66,Sheet1!$B$47:$B$66)</f>
        <v>125</v>
      </c>
      <c r="F1452" t="s">
        <v>58</v>
      </c>
      <c r="G1452" s="4">
        <f>_xlfn.XLOOKUP(Table1[[#This Row], [DISGUISE]],Sheet1!$A$21:$A$23,Sheet1!$B$21:$B$23)*Table1[[#This Row], [NUM OF MEM]]*(1+_xlfn.XLOOKUP(Table1[[#This Row], [DISGUISE]],Sheet1!$A$21:$A$23,Sheet1!$C$21:$C$23))</f>
        <v>25600</v>
      </c>
      <c r="H1452" s="13" t="s">
        <v>63</v>
      </c>
      <c r="I1452" s="4">
        <f>_xlfn.XLOOKUP(Table1[[#This Row], [WEAPON]],Sheet1!$A$27:$A$29,Sheet1!$B$27:$B$29)*Table1[[#This Row], [NUM OF MEM]]*(1+_xlfn.XLOOKUP(Table1[[#This Row], [WEAPON]],Sheet1!$A$27:$A$29,Sheet1!$C$27:$C$29))</f>
        <v>46000</v>
      </c>
      <c r="J1452" t="s">
        <v>64</v>
      </c>
      <c r="K1452" s="9">
        <f>Table1[[#This Row], [NUM OF MEM]]*Table1[[#This Row], [TOTAL TIME TAKEN]]*_xlfn.XLOOKUP(Table1[[#This Row], [EXIT]],Sheet1!$A$70:$A$71,Sheet1!$B$70:$B$71)*(1+_xlfn.XLOOKUP(Table1[[#This Row], [EXIT]],Sheet1!$A$70:$A$71,Sheet1!$C$70:$C$71))</f>
        <v>1739296.7999999996</v>
      </c>
      <c r="L1452" s="13" t="s">
        <v>65</v>
      </c>
      <c r="M1452" s="4">
        <f>IF(Table1[[#This Row], [EQUIPMENT]]="YES",Sheet1!$C$44*(1+Sheet1!$D$44),0)</f>
        <v>307500</v>
      </c>
      <c r="N1452" s="4">
        <f>_xlfn.XLOOKUP(Table1[[#This Row], [ROOM]],Sheet1!$A$47:$A$66,Sheet1!$F$47:$F$66)</f>
        <v>17350000</v>
      </c>
      <c r="O1452" s="9">
        <f>_xlfn.XLOOKUP(_xlfn.CONCAT(Table1[[#This Row], [TEAM]],Table1[[#This Row], [ROOM]]),'ROOM TIME'!$H$2:$H$121,'ROOM TIME'!$J$2:$J$121)</f>
        <v>60.352499999999985</v>
      </c>
      <c r="P1452" s="9">
        <f>(INDEX(Sheet1!$X$48:$Z$67,MATCH(Table1[[#This Row], [ROOM]],Sheet1!$P$48:$P$67,0),MATCH(Table1[[#This Row], [WEAPON]],Sheet1!$X$47:$Z$47,0)))/Table1[[#This Row], [NUM OF MEM]]</f>
        <v>6.75</v>
      </c>
      <c r="Q1452" s="9">
        <f>Table1[[#This Row], [ROOM TIME]]+Table1[[#This Row], [GUARD TIME]]</f>
        <v>67.102499999999992</v>
      </c>
      <c r="R1452" s="4">
        <f>Sheet1!$K$3*_xlfn.XLOOKUP(Table1[[#This Row], [DISGUISE]],Sheet1!$A$21:$A$23,Sheet1!$D$21:$D$23)</f>
        <v>69</v>
      </c>
      <c r="S1452" s="9">
        <f>Table1[[#This Row], [TOTAL TIME]]-Table1[[#This Row], [TOTAL TIME TAKEN]]</f>
        <v>1.897500000000008</v>
      </c>
      <c r="T1452" t="str">
        <f>IF(Table1[[#This Row], [TIME DIFFERENCE]]&gt;=0,"PASS","FAIL")</f>
        <v>PASS</v>
      </c>
      <c r="U1452" s="9">
        <f>Table1[[#This Row], [TRC]]+Table1[[#This Row], [DRC]]+Table1[[#This Row], [WRC]]+Table1[[#This Row], [ERC]]+Table1[[#This Row], [EQRC]]</f>
        <v>8051346.7999999998</v>
      </c>
      <c r="V1452" s="9">
        <f>Table1[[#This Row], [TOTAL COST]]+_xlfn.XLOOKUP(Table1[[#This Row], [TEAM]],Sheet1!$A$12:$A$17,Sheet1!$I$12:$I$17)</f>
        <v>8347994.2999999998</v>
      </c>
      <c r="W1452" s="9">
        <f>Table1[[#This Row], [LOOT]]-Table1[[#This Row], [TOTAL COST]]</f>
        <v>9298653.1999999993</v>
      </c>
      <c r="X1452" s="9">
        <f>IF(Table1[[#This Row], [PASS/FAIL]]="FAIL",0,Table1[[#This Row], [PROFIT]])</f>
        <v>9298653.1999999993</v>
      </c>
    </row>
    <row r="1453" spans="1:24" ht="19.5" customHeight="1" x14ac:dyDescent="0.45">
      <c r="A1453" t="s">
        <v>12</v>
      </c>
      <c r="B1453" s="14">
        <f>_xlfn.XLOOKUP(Table1[[#This Row], [TEAM]],Sheet1!$A$12:$A$17,Sheet1!$F$12:$F$17)</f>
        <v>3</v>
      </c>
      <c r="C1453" s="14">
        <f>_xlfn.XLOOKUP(Table1[[#This Row], [TEAM]],Sheet1!$A$12:$A$17,Sheet1!$G$12:$G$17)</f>
        <v>5988750</v>
      </c>
      <c r="D1453" t="s">
        <v>11</v>
      </c>
      <c r="E1453" s="4">
        <f>_xlfn.XLOOKUP(Table1[[#This Row], [ROOM]],Sheet1!$A$47:$A$66,Sheet1!$B$47:$B$66)</f>
        <v>124</v>
      </c>
      <c r="F1453" t="s">
        <v>62</v>
      </c>
      <c r="G1453" s="4">
        <f>_xlfn.XLOOKUP(Table1[[#This Row], [DISGUISE]],Sheet1!$A$21:$A$23,Sheet1!$B$21:$B$23)*Table1[[#This Row], [NUM OF MEM]]*(1+_xlfn.XLOOKUP(Table1[[#This Row], [DISGUISE]],Sheet1!$A$21:$A$23,Sheet1!$C$21:$C$23))</f>
        <v>15600</v>
      </c>
      <c r="H1453" s="13" t="s">
        <v>66</v>
      </c>
      <c r="I1453" s="4">
        <f>_xlfn.XLOOKUP(Table1[[#This Row], [WEAPON]],Sheet1!$A$27:$A$29,Sheet1!$B$27:$B$29)*Table1[[#This Row], [NUM OF MEM]]*(1+_xlfn.XLOOKUP(Table1[[#This Row], [WEAPON]],Sheet1!$A$27:$A$29,Sheet1!$C$27:$C$29))</f>
        <v>108000</v>
      </c>
      <c r="J1453" t="s">
        <v>60</v>
      </c>
      <c r="K1453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1731788.6499999997</v>
      </c>
      <c r="L1453" s="13" t="s">
        <v>65</v>
      </c>
      <c r="M1453" s="4">
        <f>IF(Table1[[#This Row], [EQUIPMENT]]="YES",Sheet1!$C$44*(1+Sheet1!$D$44),0)</f>
        <v>307500</v>
      </c>
      <c r="N1453" s="4">
        <f>_xlfn.XLOOKUP(Table1[[#This Row], [ROOM]],Sheet1!$A$47:$A$66,Sheet1!$F$47:$F$66)</f>
        <v>17450000</v>
      </c>
      <c r="O1453" s="9">
        <f>_xlfn.XLOOKUP(_xlfn.CONCAT(Table1[[#This Row], [TEAM]],Table1[[#This Row], [ROOM]]),'ROOM TIME'!$H$2:$H$121,'ROOM TIME'!$J$2:$J$121)</f>
        <v>40.401111111111099</v>
      </c>
      <c r="P1453" s="9">
        <f>(INDEX(Sheet1!$X$48:$Z$67,MATCH(Table1[[#This Row], [ROOM]],Sheet1!$P$48:$P$67,0),MATCH(Table1[[#This Row], [WEAPON]],Sheet1!$X$47:$Z$47,0)))/Table1[[#This Row], [NUM OF MEM]]</f>
        <v>4.583333333333333</v>
      </c>
      <c r="Q1453" s="9">
        <f>Table1[[#This Row], [ROOM TIME]]+Table1[[#This Row], [GUARD TIME]]</f>
        <v>44.984444444444435</v>
      </c>
      <c r="R1453" s="4">
        <f>Sheet1!$K$3*_xlfn.XLOOKUP(Table1[[#This Row], [DISGUISE]],Sheet1!$A$21:$A$23,Sheet1!$D$21:$D$23)</f>
        <v>66</v>
      </c>
      <c r="S1453" s="9">
        <f>Table1[[#This Row], [TOTAL TIME]]-Table1[[#This Row], [TOTAL TIME TAKEN]]</f>
        <v>21.015555555555565</v>
      </c>
      <c r="T1453" t="str">
        <f>IF(Table1[[#This Row], [TIME DIFFERENCE]]&gt;=0,"PASS","FAIL")</f>
        <v>PASS</v>
      </c>
      <c r="U1453" s="9">
        <f>Table1[[#This Row], [TRC]]+Table1[[#This Row], [DRC]]+Table1[[#This Row], [WRC]]+Table1[[#This Row], [ERC]]+Table1[[#This Row], [EQRC]]</f>
        <v>8151638.6499999994</v>
      </c>
      <c r="V1453" s="9">
        <f>Table1[[#This Row], [TOTAL COST]]+_xlfn.XLOOKUP(Table1[[#This Row], [TEAM]],Sheet1!$A$12:$A$17,Sheet1!$I$12:$I$17)</f>
        <v>8451076.1499999985</v>
      </c>
      <c r="W1453" s="9">
        <f>Table1[[#This Row], [LOOT]]-Table1[[#This Row], [TOTAL COST]]</f>
        <v>9298361.3500000015</v>
      </c>
      <c r="X1453" s="9">
        <f>IF(Table1[[#This Row], [PASS/FAIL]]="FAIL",0,Table1[[#This Row], [PROFIT]])</f>
        <v>9298361.3500000015</v>
      </c>
    </row>
    <row r="1454" spans="1:24" ht="19.5" customHeight="1" x14ac:dyDescent="0.45">
      <c r="A1454" t="s">
        <v>9</v>
      </c>
      <c r="B1454" s="14">
        <f>_xlfn.XLOOKUP(Table1[[#This Row], [TEAM]],Sheet1!$A$12:$A$17,Sheet1!$F$12:$F$17)</f>
        <v>3</v>
      </c>
      <c r="C1454" s="14">
        <f>_xlfn.XLOOKUP(Table1[[#This Row], [TEAM]],Sheet1!$A$12:$A$17,Sheet1!$G$12:$G$17)</f>
        <v>6238750</v>
      </c>
      <c r="D1454" t="s">
        <v>25</v>
      </c>
      <c r="E1454" s="4">
        <f>_xlfn.XLOOKUP(Table1[[#This Row], [ROOM]],Sheet1!$A$47:$A$66,Sheet1!$B$47:$B$66)</f>
        <v>126</v>
      </c>
      <c r="F1454" t="s">
        <v>58</v>
      </c>
      <c r="G1454" s="4">
        <f>_xlfn.XLOOKUP(Table1[[#This Row], [DISGUISE]],Sheet1!$A$21:$A$23,Sheet1!$B$21:$B$23)*Table1[[#This Row], [NUM OF MEM]]*(1+_xlfn.XLOOKUP(Table1[[#This Row], [DISGUISE]],Sheet1!$A$21:$A$23,Sheet1!$C$21:$C$23))</f>
        <v>38400</v>
      </c>
      <c r="H1454" s="13" t="s">
        <v>63</v>
      </c>
      <c r="I1454" s="4">
        <f>_xlfn.XLOOKUP(Table1[[#This Row], [WEAPON]],Sheet1!$A$27:$A$29,Sheet1!$B$27:$B$29)*Table1[[#This Row], [NUM OF MEM]]*(1+_xlfn.XLOOKUP(Table1[[#This Row], [WEAPON]],Sheet1!$A$27:$A$29,Sheet1!$C$27:$C$29))</f>
        <v>69000</v>
      </c>
      <c r="J1454" t="s">
        <v>64</v>
      </c>
      <c r="K1454" s="9">
        <f>Table1[[#This Row], [NUM OF MEM]]*Table1[[#This Row], [TOTAL TIME TAKEN]]*_xlfn.XLOOKUP(Table1[[#This Row], [EXIT]],Sheet1!$A$70:$A$71,Sheet1!$B$70:$B$71)*(1+_xlfn.XLOOKUP(Table1[[#This Row], [EXIT]],Sheet1!$A$70:$A$71,Sheet1!$C$70:$C$71))</f>
        <v>1599587.9999999998</v>
      </c>
      <c r="L1454" s="13" t="s">
        <v>65</v>
      </c>
      <c r="M1454" s="4">
        <f>IF(Table1[[#This Row], [EQUIPMENT]]="YES",Sheet1!$C$44*(1+Sheet1!$D$44),0)</f>
        <v>307500</v>
      </c>
      <c r="N1454" s="4">
        <f>_xlfn.XLOOKUP(Table1[[#This Row], [ROOM]],Sheet1!$A$47:$A$66,Sheet1!$F$47:$F$66)</f>
        <v>17550000</v>
      </c>
      <c r="O1454" s="9">
        <f>_xlfn.XLOOKUP(_xlfn.CONCAT(Table1[[#This Row], [TEAM]],Table1[[#This Row], [ROOM]]),'ROOM TIME'!$H$2:$H$121,'ROOM TIME'!$J$2:$J$121)</f>
        <v>36.191666666666656</v>
      </c>
      <c r="P1454" s="9">
        <f>(INDEX(Sheet1!$X$48:$Z$67,MATCH(Table1[[#This Row], [ROOM]],Sheet1!$P$48:$P$67,0),MATCH(Table1[[#This Row], [WEAPON]],Sheet1!$X$47:$Z$47,0)))/Table1[[#This Row], [NUM OF MEM]]</f>
        <v>4.95</v>
      </c>
      <c r="Q1454" s="9">
        <f>Table1[[#This Row], [ROOM TIME]]+Table1[[#This Row], [GUARD TIME]]</f>
        <v>41.141666666666659</v>
      </c>
      <c r="R1454" s="4">
        <f>Sheet1!$K$3*_xlfn.XLOOKUP(Table1[[#This Row], [DISGUISE]],Sheet1!$A$21:$A$23,Sheet1!$D$21:$D$23)</f>
        <v>69</v>
      </c>
      <c r="S1454" s="9">
        <f>Table1[[#This Row], [TOTAL TIME]]-Table1[[#This Row], [TOTAL TIME TAKEN]]</f>
        <v>27.858333333333341</v>
      </c>
      <c r="T1454" t="str">
        <f>IF(Table1[[#This Row], [TIME DIFFERENCE]]&gt;=0,"PASS","FAIL")</f>
        <v>PASS</v>
      </c>
      <c r="U1454" s="4">
        <f>Table1[[#This Row], [TRC]]+Table1[[#This Row], [DRC]]+Table1[[#This Row], [WRC]]+Table1[[#This Row], [ERC]]+Table1[[#This Row], [EQRC]]</f>
        <v>8253238</v>
      </c>
      <c r="V1454" s="9">
        <f>Table1[[#This Row], [TOTAL COST]]+_xlfn.XLOOKUP(Table1[[#This Row], [TEAM]],Sheet1!$A$12:$A$17,Sheet1!$I$12:$I$17)</f>
        <v>8565175.5</v>
      </c>
      <c r="W1454" s="4">
        <f>Table1[[#This Row], [LOOT]]-Table1[[#This Row], [TOTAL COST]]</f>
        <v>9296762</v>
      </c>
      <c r="X1454" s="4">
        <f>IF(Table1[[#This Row], [PASS/FAIL]]="FAIL",0,Table1[[#This Row], [PROFIT]])</f>
        <v>9296762</v>
      </c>
    </row>
    <row r="1455" spans="1:24" ht="19.5" customHeight="1" x14ac:dyDescent="0.45">
      <c r="A1455" t="s">
        <v>9</v>
      </c>
      <c r="B1455" s="14">
        <f>_xlfn.XLOOKUP(Table1[[#This Row], [TEAM]],Sheet1!$A$12:$A$17,Sheet1!$F$12:$F$17)</f>
        <v>3</v>
      </c>
      <c r="C1455" s="14">
        <f>_xlfn.XLOOKUP(Table1[[#This Row], [TEAM]],Sheet1!$A$12:$A$17,Sheet1!$G$12:$G$17)</f>
        <v>6238750</v>
      </c>
      <c r="D1455" t="s">
        <v>31</v>
      </c>
      <c r="E1455" s="4">
        <f>_xlfn.XLOOKUP(Table1[[#This Row], [ROOM]],Sheet1!$A$47:$A$66,Sheet1!$B$47:$B$66)</f>
        <v>256</v>
      </c>
      <c r="F1455" t="s">
        <v>62</v>
      </c>
      <c r="G1455" s="4">
        <f>_xlfn.XLOOKUP(Table1[[#This Row], [DISGUISE]],Sheet1!$A$21:$A$23,Sheet1!$B$21:$B$23)*Table1[[#This Row], [NUM OF MEM]]*(1+_xlfn.XLOOKUP(Table1[[#This Row], [DISGUISE]],Sheet1!$A$21:$A$23,Sheet1!$C$21:$C$23))</f>
        <v>15600</v>
      </c>
      <c r="H1455" s="13" t="s">
        <v>63</v>
      </c>
      <c r="I1455" s="4">
        <f>_xlfn.XLOOKUP(Table1[[#This Row], [WEAPON]],Sheet1!$A$27:$A$29,Sheet1!$B$27:$B$29)*Table1[[#This Row], [NUM OF MEM]]*(1+_xlfn.XLOOKUP(Table1[[#This Row], [WEAPON]],Sheet1!$A$27:$A$29,Sheet1!$C$27:$C$29))</f>
        <v>69000</v>
      </c>
      <c r="J1455" t="s">
        <v>60</v>
      </c>
      <c r="K1455" s="9">
        <f>Table1[[#This Row], [NUM OF MEM]]*Table1[[#This Row], [TOTAL TIME TAKEN]]*_xlfn.XLOOKUP(Table1[[#This Row], [EXIT]],Sheet1!$A$70:$A$71,Sheet1!$B$70:$B$71)*(1+_xlfn.XLOOKUP(Table1[[#This Row], [EXIT]],Sheet1!$A$70:$A$71,Sheet1!$C$70:$C$71))</f>
        <v>1572622.8749999995</v>
      </c>
      <c r="L1455" s="13" t="s">
        <v>65</v>
      </c>
      <c r="M1455" s="4">
        <f>IF(Table1[[#This Row], [EQUIPMENT]]="YES",Sheet1!$C$44*(1+Sheet1!$D$44),0)</f>
        <v>307500</v>
      </c>
      <c r="N1455" s="4">
        <f>_xlfn.XLOOKUP(Table1[[#This Row], [ROOM]],Sheet1!$A$47:$A$66,Sheet1!$F$47:$F$66)</f>
        <v>17500000</v>
      </c>
      <c r="O1455" s="9">
        <f>_xlfn.XLOOKUP(_xlfn.CONCAT(Table1[[#This Row], [TEAM]],Table1[[#This Row], [ROOM]]),'ROOM TIME'!$H$2:$H$121,'ROOM TIME'!$J$2:$J$121)</f>
        <v>35.899999999999991</v>
      </c>
      <c r="P1455" s="9">
        <f>(INDEX(Sheet1!$X$48:$Z$67,MATCH(Table1[[#This Row], [ROOM]],Sheet1!$P$48:$P$67,0),MATCH(Table1[[#This Row], [WEAPON]],Sheet1!$X$47:$Z$47,0)))/Table1[[#This Row], [NUM OF MEM]]</f>
        <v>4.95</v>
      </c>
      <c r="Q1455" s="9">
        <f>Table1[[#This Row], [ROOM TIME]]+Table1[[#This Row], [GUARD TIME]]</f>
        <v>40.849999999999994</v>
      </c>
      <c r="R1455" s="4">
        <f>Sheet1!$K$3*_xlfn.XLOOKUP(Table1[[#This Row], [DISGUISE]],Sheet1!$A$21:$A$23,Sheet1!$D$21:$D$23)</f>
        <v>66</v>
      </c>
      <c r="S1455" s="9">
        <f>Table1[[#This Row], [TOTAL TIME]]-Table1[[#This Row], [TOTAL TIME TAKEN]]</f>
        <v>25.150000000000006</v>
      </c>
      <c r="T1455" t="str">
        <f>IF(Table1[[#This Row], [TIME DIFFERENCE]]&gt;=0,"PASS","FAIL")</f>
        <v>PASS</v>
      </c>
      <c r="U1455" s="9">
        <f>Table1[[#This Row], [TRC]]+Table1[[#This Row], [DRC]]+Table1[[#This Row], [WRC]]+Table1[[#This Row], [ERC]]+Table1[[#This Row], [EQRC]]</f>
        <v>8203472.875</v>
      </c>
      <c r="V1455" s="9">
        <f>Table1[[#This Row], [TOTAL COST]]+_xlfn.XLOOKUP(Table1[[#This Row], [TEAM]],Sheet1!$A$12:$A$17,Sheet1!$I$12:$I$17)</f>
        <v>8515410.375</v>
      </c>
      <c r="W1455" s="9">
        <f>Table1[[#This Row], [LOOT]]-Table1[[#This Row], [TOTAL COST]]</f>
        <v>9296527.125</v>
      </c>
      <c r="X1455" s="9">
        <f>IF(Table1[[#This Row], [PASS/FAIL]]="FAIL",0,Table1[[#This Row], [PROFIT]])</f>
        <v>9296527.125</v>
      </c>
    </row>
    <row r="1456" spans="1:24" ht="19.5" customHeight="1" x14ac:dyDescent="0.45">
      <c r="A1456" t="s">
        <v>15</v>
      </c>
      <c r="B1456" s="14">
        <f>_xlfn.XLOOKUP(Table1[[#This Row], [TEAM]],Sheet1!$A$12:$A$17,Sheet1!$F$12:$F$17)</f>
        <v>2</v>
      </c>
      <c r="C1456" s="14">
        <f>_xlfn.XLOOKUP(Table1[[#This Row], [TEAM]],Sheet1!$A$12:$A$17,Sheet1!$G$12:$G$17)</f>
        <v>5932950</v>
      </c>
      <c r="D1456" t="s">
        <v>17</v>
      </c>
      <c r="E1456" s="4">
        <f>_xlfn.XLOOKUP(Table1[[#This Row], [ROOM]],Sheet1!$A$47:$A$66,Sheet1!$B$47:$B$66)</f>
        <v>125</v>
      </c>
      <c r="F1456" t="s">
        <v>58</v>
      </c>
      <c r="G1456" s="4">
        <f>_xlfn.XLOOKUP(Table1[[#This Row], [DISGUISE]],Sheet1!$A$21:$A$23,Sheet1!$B$21:$B$23)*Table1[[#This Row], [NUM OF MEM]]*(1+_xlfn.XLOOKUP(Table1[[#This Row], [DISGUISE]],Sheet1!$A$21:$A$23,Sheet1!$C$21:$C$23))</f>
        <v>25600</v>
      </c>
      <c r="H1456" s="13" t="s">
        <v>59</v>
      </c>
      <c r="I1456" s="4">
        <f>_xlfn.XLOOKUP(Table1[[#This Row], [WEAPON]],Sheet1!$A$27:$A$29,Sheet1!$B$27:$B$29)*Table1[[#This Row], [NUM OF MEM]]*(1+_xlfn.XLOOKUP(Table1[[#This Row], [WEAPON]],Sheet1!$A$27:$A$29,Sheet1!$C$27:$C$29))</f>
        <v>91000</v>
      </c>
      <c r="J1456" t="s">
        <v>60</v>
      </c>
      <c r="K1456" s="9">
        <f>Table1[[#This Row], [NUM OF MEM]]*Table1[[#This Row], [TOTAL TIME TAKEN]]*_xlfn.XLOOKUP(Table1[[#This Row], [EXIT]],Sheet1!$A$70:$A$71,Sheet1!$B$70:$B$71)*(1+_xlfn.XLOOKUP(Table1[[#This Row], [EXIT]],Sheet1!$A$70:$A$71,Sheet1!$C$70:$C$71))</f>
        <v>1696520.6624999996</v>
      </c>
      <c r="L1456" s="13" t="s">
        <v>65</v>
      </c>
      <c r="M1456" s="4">
        <f>IF(Table1[[#This Row], [EQUIPMENT]]="YES",Sheet1!$C$44*(1+Sheet1!$D$44),0)</f>
        <v>307500</v>
      </c>
      <c r="N1456" s="4">
        <f>_xlfn.XLOOKUP(Table1[[#This Row], [ROOM]],Sheet1!$A$47:$A$66,Sheet1!$F$47:$F$66)</f>
        <v>17350000</v>
      </c>
      <c r="O1456" s="9">
        <f>_xlfn.XLOOKUP(_xlfn.CONCAT(Table1[[#This Row], [TEAM]],Table1[[#This Row], [ROOM]]),'ROOM TIME'!$H$2:$H$121,'ROOM TIME'!$J$2:$J$121)</f>
        <v>60.352499999999985</v>
      </c>
      <c r="P1456" s="9">
        <f>(INDEX(Sheet1!$X$48:$Z$67,MATCH(Table1[[#This Row], [ROOM]],Sheet1!$P$48:$P$67,0),MATCH(Table1[[#This Row], [WEAPON]],Sheet1!$X$47:$Z$47,0)))/Table1[[#This Row], [NUM OF MEM]]</f>
        <v>5.75</v>
      </c>
      <c r="Q1456" s="9">
        <f>Table1[[#This Row], [ROOM TIME]]+Table1[[#This Row], [GUARD TIME]]</f>
        <v>66.102499999999992</v>
      </c>
      <c r="R1456" s="4">
        <f>Sheet1!$K$3*_xlfn.XLOOKUP(Table1[[#This Row], [DISGUISE]],Sheet1!$A$21:$A$23,Sheet1!$D$21:$D$23)</f>
        <v>69</v>
      </c>
      <c r="S1456" s="9">
        <f>Table1[[#This Row], [TOTAL TIME]]-Table1[[#This Row], [TOTAL TIME TAKEN]]</f>
        <v>2.897500000000008</v>
      </c>
      <c r="T1456" t="str">
        <f>IF(Table1[[#This Row], [TIME DIFFERENCE]]&gt;=0,"PASS","FAIL")</f>
        <v>PASS</v>
      </c>
      <c r="U1456" s="9">
        <f>Table1[[#This Row], [TRC]]+Table1[[#This Row], [DRC]]+Table1[[#This Row], [WRC]]+Table1[[#This Row], [ERC]]+Table1[[#This Row], [EQRC]]</f>
        <v>8053570.6624999996</v>
      </c>
      <c r="V1456" s="9">
        <f>Table1[[#This Row], [TOTAL COST]]+_xlfn.XLOOKUP(Table1[[#This Row], [TEAM]],Sheet1!$A$12:$A$17,Sheet1!$I$12:$I$17)</f>
        <v>8350218.1624999996</v>
      </c>
      <c r="W1456" s="9">
        <f>Table1[[#This Row], [LOOT]]-Table1[[#This Row], [TOTAL COST]]</f>
        <v>9296429.3375000004</v>
      </c>
      <c r="X1456" s="9">
        <f>IF(Table1[[#This Row], [PASS/FAIL]]="FAIL",0,Table1[[#This Row], [PROFIT]])</f>
        <v>9296429.3375000004</v>
      </c>
    </row>
    <row r="1457" spans="1:24" ht="19.5" customHeight="1" x14ac:dyDescent="0.45">
      <c r="A1457" t="s">
        <v>9</v>
      </c>
      <c r="B1457" s="14">
        <f>_xlfn.XLOOKUP(Table1[[#This Row], [TEAM]],Sheet1!$A$12:$A$17,Sheet1!$F$12:$F$17)</f>
        <v>3</v>
      </c>
      <c r="C1457" s="14">
        <f>_xlfn.XLOOKUP(Table1[[#This Row], [TEAM]],Sheet1!$A$12:$A$17,Sheet1!$G$12:$G$17)</f>
        <v>6238750</v>
      </c>
      <c r="D1457" t="s">
        <v>25</v>
      </c>
      <c r="E1457" s="4">
        <f>_xlfn.XLOOKUP(Table1[[#This Row], [ROOM]],Sheet1!$A$47:$A$66,Sheet1!$B$47:$B$66)</f>
        <v>126</v>
      </c>
      <c r="F1457" t="s">
        <v>62</v>
      </c>
      <c r="G1457" s="4">
        <f>_xlfn.XLOOKUP(Table1[[#This Row], [DISGUISE]],Sheet1!$A$21:$A$23,Sheet1!$B$21:$B$23)*Table1[[#This Row], [NUM OF MEM]]*(1+_xlfn.XLOOKUP(Table1[[#This Row], [DISGUISE]],Sheet1!$A$21:$A$23,Sheet1!$C$21:$C$23))</f>
        <v>15600</v>
      </c>
      <c r="H1457" s="13" t="s">
        <v>59</v>
      </c>
      <c r="I1457" s="4">
        <f>_xlfn.XLOOKUP(Table1[[#This Row], [WEAPON]],Sheet1!$A$27:$A$29,Sheet1!$B$27:$B$29)*Table1[[#This Row], [NUM OF MEM]]*(1+_xlfn.XLOOKUP(Table1[[#This Row], [WEAPON]],Sheet1!$A$27:$A$29,Sheet1!$C$27:$C$29))</f>
        <v>136500</v>
      </c>
      <c r="J1457" t="s">
        <v>60</v>
      </c>
      <c r="K1457" s="9">
        <f>Table1[[#This Row], [NUM OF MEM]]*Table1[[#This Row], [TOTAL TIME TAKEN]]*_xlfn.XLOOKUP(Table1[[#This Row], [EXIT]],Sheet1!$A$70:$A$71,Sheet1!$B$70:$B$71)*(1+_xlfn.XLOOKUP(Table1[[#This Row], [EXIT]],Sheet1!$A$70:$A$71,Sheet1!$C$70:$C$71))</f>
        <v>1555619.8124999995</v>
      </c>
      <c r="L1457" s="13" t="s">
        <v>65</v>
      </c>
      <c r="M1457" s="4">
        <f>IF(Table1[[#This Row], [EQUIPMENT]]="YES",Sheet1!$C$44*(1+Sheet1!$D$44),0)</f>
        <v>307500</v>
      </c>
      <c r="N1457" s="4">
        <f>_xlfn.XLOOKUP(Table1[[#This Row], [ROOM]],Sheet1!$A$47:$A$66,Sheet1!$F$47:$F$66)</f>
        <v>17550000</v>
      </c>
      <c r="O1457" s="9">
        <f>_xlfn.XLOOKUP(_xlfn.CONCAT(Table1[[#This Row], [TEAM]],Table1[[#This Row], [ROOM]]),'ROOM TIME'!$H$2:$H$121,'ROOM TIME'!$J$2:$J$121)</f>
        <v>36.191666666666656</v>
      </c>
      <c r="P1457" s="9">
        <f>(INDEX(Sheet1!$X$48:$Z$67,MATCH(Table1[[#This Row], [ROOM]],Sheet1!$P$48:$P$67,0),MATCH(Table1[[#This Row], [WEAPON]],Sheet1!$X$47:$Z$47,0)))/Table1[[#This Row], [NUM OF MEM]]</f>
        <v>4.2166666666666659</v>
      </c>
      <c r="Q1457" s="9">
        <f>Table1[[#This Row], [ROOM TIME]]+Table1[[#This Row], [GUARD TIME]]</f>
        <v>40.408333333333324</v>
      </c>
      <c r="R1457" s="4">
        <f>Sheet1!$K$3*_xlfn.XLOOKUP(Table1[[#This Row], [DISGUISE]],Sheet1!$A$21:$A$23,Sheet1!$D$21:$D$23)</f>
        <v>66</v>
      </c>
      <c r="S1457" s="9">
        <f>Table1[[#This Row], [TOTAL TIME]]-Table1[[#This Row], [TOTAL TIME TAKEN]]</f>
        <v>25.591666666666676</v>
      </c>
      <c r="T1457" t="str">
        <f>IF(Table1[[#This Row], [TIME DIFFERENCE]]&gt;=0,"PASS","FAIL")</f>
        <v>PASS</v>
      </c>
      <c r="U1457" s="9">
        <f>Table1[[#This Row], [TRC]]+Table1[[#This Row], [DRC]]+Table1[[#This Row], [WRC]]+Table1[[#This Row], [ERC]]+Table1[[#This Row], [EQRC]]</f>
        <v>8253969.8125</v>
      </c>
      <c r="V1457" s="9">
        <f>Table1[[#This Row], [TOTAL COST]]+_xlfn.XLOOKUP(Table1[[#This Row], [TEAM]],Sheet1!$A$12:$A$17,Sheet1!$I$12:$I$17)</f>
        <v>8565907.3125</v>
      </c>
      <c r="W1457" s="9">
        <f>Table1[[#This Row], [LOOT]]-Table1[[#This Row], [TOTAL COST]]</f>
        <v>9296030.1875</v>
      </c>
      <c r="X1457" s="9">
        <f>IF(Table1[[#This Row], [PASS/FAIL]]="FAIL",0,Table1[[#This Row], [PROFIT]])</f>
        <v>9296030.1875</v>
      </c>
    </row>
    <row r="1458" spans="1:24" ht="19.5" customHeight="1" x14ac:dyDescent="0.45">
      <c r="A1458" t="s">
        <v>9</v>
      </c>
      <c r="B1458" s="14">
        <f>_xlfn.XLOOKUP(Table1[[#This Row], [TEAM]],Sheet1!$A$12:$A$17,Sheet1!$F$12:$F$17)</f>
        <v>3</v>
      </c>
      <c r="C1458" s="14">
        <f>_xlfn.XLOOKUP(Table1[[#This Row], [TEAM]],Sheet1!$A$12:$A$17,Sheet1!$G$12:$G$17)</f>
        <v>6238750</v>
      </c>
      <c r="D1458" t="s">
        <v>25</v>
      </c>
      <c r="E1458" s="4">
        <f>_xlfn.XLOOKUP(Table1[[#This Row], [ROOM]],Sheet1!$A$47:$A$66,Sheet1!$B$47:$B$66)</f>
        <v>126</v>
      </c>
      <c r="F1458" t="s">
        <v>62</v>
      </c>
      <c r="G145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58" s="13" t="s">
        <v>66</v>
      </c>
      <c r="I1458" s="4">
        <f>_xlfn.XLOOKUP(Table1[[#This Row], [WEAPON]],Sheet1!$A$27:$A$29,Sheet1!$B$27:$B$29)*Table1[[#This Row], [NUM OF MEM]]*(1+_xlfn.XLOOKUP(Table1[[#This Row], [WEAPON]],Sheet1!$A$27:$A$29,Sheet1!$C$27:$C$29))</f>
        <v>108000</v>
      </c>
      <c r="J1458" t="s">
        <v>64</v>
      </c>
      <c r="K1458" s="9">
        <f>Table1[[#This Row], [NUM OF MEM]]*Table1[[#This Row], [TOTAL TIME TAKEN]]*_xlfn.XLOOKUP(Table1[[#This Row], [EXIT]],Sheet1!$A$70:$A$71,Sheet1!$B$70:$B$71)*(1+_xlfn.XLOOKUP(Table1[[#This Row], [EXIT]],Sheet1!$A$70:$A$71,Sheet1!$C$70:$C$71))</f>
        <v>1585331.9999999998</v>
      </c>
      <c r="L1458" s="13" t="s">
        <v>65</v>
      </c>
      <c r="M1458" s="4">
        <f>IF(Table1[[#This Row], [EQUIPMENT]]="YES",Sheet1!$C$44*(1+Sheet1!$D$44),0)</f>
        <v>307500</v>
      </c>
      <c r="N1458" s="4">
        <f>_xlfn.XLOOKUP(Table1[[#This Row], [ROOM]],Sheet1!$A$47:$A$66,Sheet1!$F$47:$F$66)</f>
        <v>17550000</v>
      </c>
      <c r="O1458" s="9">
        <f>_xlfn.XLOOKUP(_xlfn.CONCAT(Table1[[#This Row], [TEAM]],Table1[[#This Row], [ROOM]]),'ROOM TIME'!$H$2:$H$121,'ROOM TIME'!$J$2:$J$121)</f>
        <v>36.191666666666656</v>
      </c>
      <c r="P1458" s="9">
        <f>(INDEX(Sheet1!$X$48:$Z$67,MATCH(Table1[[#This Row], [ROOM]],Sheet1!$P$48:$P$67,0),MATCH(Table1[[#This Row], [WEAPON]],Sheet1!$X$47:$Z$47,0)))/Table1[[#This Row], [NUM OF MEM]]</f>
        <v>4.583333333333333</v>
      </c>
      <c r="Q1458" s="9">
        <f>Table1[[#This Row], [ROOM TIME]]+Table1[[#This Row], [GUARD TIME]]</f>
        <v>40.774999999999991</v>
      </c>
      <c r="R1458" s="4">
        <f>Sheet1!$K$3*_xlfn.XLOOKUP(Table1[[#This Row], [DISGUISE]],Sheet1!$A$21:$A$23,Sheet1!$D$21:$D$23)</f>
        <v>66</v>
      </c>
      <c r="S1458" s="9">
        <f>Table1[[#This Row], [TOTAL TIME]]-Table1[[#This Row], [TOTAL TIME TAKEN]]</f>
        <v>25.225000000000009</v>
      </c>
      <c r="T1458" t="str">
        <f>IF(Table1[[#This Row], [TIME DIFFERENCE]]&gt;=0,"PASS","FAIL")</f>
        <v>PASS</v>
      </c>
      <c r="U1458" s="4">
        <f>Table1[[#This Row], [TRC]]+Table1[[#This Row], [DRC]]+Table1[[#This Row], [WRC]]+Table1[[#This Row], [ERC]]+Table1[[#This Row], [EQRC]]</f>
        <v>8255182</v>
      </c>
      <c r="V1458" s="9">
        <f>Table1[[#This Row], [TOTAL COST]]+_xlfn.XLOOKUP(Table1[[#This Row], [TEAM]],Sheet1!$A$12:$A$17,Sheet1!$I$12:$I$17)</f>
        <v>8567119.5</v>
      </c>
      <c r="W1458" s="4">
        <f>Table1[[#This Row], [LOOT]]-Table1[[#This Row], [TOTAL COST]]</f>
        <v>9294818</v>
      </c>
      <c r="X1458" s="4">
        <f>IF(Table1[[#This Row], [PASS/FAIL]]="FAIL",0,Table1[[#This Row], [PROFIT]])</f>
        <v>9294818</v>
      </c>
    </row>
    <row r="1459" spans="1:24" ht="19.5" customHeight="1" x14ac:dyDescent="0.45">
      <c r="A1459" t="s">
        <v>9</v>
      </c>
      <c r="B1459" s="14">
        <f>_xlfn.XLOOKUP(Table1[[#This Row], [TEAM]],Sheet1!$A$12:$A$17,Sheet1!$F$12:$F$17)</f>
        <v>3</v>
      </c>
      <c r="C1459" s="14">
        <f>_xlfn.XLOOKUP(Table1[[#This Row], [TEAM]],Sheet1!$A$12:$A$17,Sheet1!$G$12:$G$17)</f>
        <v>6238750</v>
      </c>
      <c r="D1459" t="s">
        <v>17</v>
      </c>
      <c r="E1459" s="4">
        <f>_xlfn.XLOOKUP(Table1[[#This Row], [ROOM]],Sheet1!$A$47:$A$66,Sheet1!$B$47:$B$66)</f>
        <v>125</v>
      </c>
      <c r="F1459" t="s">
        <v>58</v>
      </c>
      <c r="G1459" s="4">
        <f>_xlfn.XLOOKUP(Table1[[#This Row], [DISGUISE]],Sheet1!$A$21:$A$23,Sheet1!$B$21:$B$23)*Table1[[#This Row], [NUM OF MEM]]*(1+_xlfn.XLOOKUP(Table1[[#This Row], [DISGUISE]],Sheet1!$A$21:$A$23,Sheet1!$C$21:$C$23))</f>
        <v>38400</v>
      </c>
      <c r="H1459" s="13" t="s">
        <v>59</v>
      </c>
      <c r="I1459" s="4">
        <f>_xlfn.XLOOKUP(Table1[[#This Row], [WEAPON]],Sheet1!$A$27:$A$29,Sheet1!$B$27:$B$29)*Table1[[#This Row], [NUM OF MEM]]*(1+_xlfn.XLOOKUP(Table1[[#This Row], [WEAPON]],Sheet1!$A$27:$A$29,Sheet1!$C$27:$C$29))</f>
        <v>136500</v>
      </c>
      <c r="J1459" t="s">
        <v>64</v>
      </c>
      <c r="K1459" s="9">
        <f>Table1[[#This Row], [NUM OF MEM]]*Table1[[#This Row], [TOTAL TIME TAKEN]]*_xlfn.XLOOKUP(Table1[[#This Row], [EXIT]],Sheet1!$A$70:$A$71,Sheet1!$B$70:$B$71)*(1+_xlfn.XLOOKUP(Table1[[#This Row], [EXIT]],Sheet1!$A$70:$A$71,Sheet1!$C$70:$C$71))</f>
        <v>1641967.2</v>
      </c>
      <c r="L1459" s="13" t="s">
        <v>61</v>
      </c>
      <c r="M1459" s="4">
        <f>IF(Table1[[#This Row], [EQUIPMENT]]="YES",Sheet1!$C$44*(1+Sheet1!$D$44),0)</f>
        <v>0</v>
      </c>
      <c r="N1459" s="4">
        <f>_xlfn.XLOOKUP(Table1[[#This Row], [ROOM]],Sheet1!$A$47:$A$66,Sheet1!$F$47:$F$66)</f>
        <v>17350000</v>
      </c>
      <c r="O1459" s="9">
        <f>_xlfn.XLOOKUP(_xlfn.CONCAT(Table1[[#This Row], [TEAM]],Table1[[#This Row], [ROOM]]),'ROOM TIME'!$H$2:$H$121,'ROOM TIME'!$J$2:$J$121)</f>
        <v>38.398333333333326</v>
      </c>
      <c r="P1459" s="9">
        <f>(INDEX(Sheet1!$X$48:$Z$67,MATCH(Table1[[#This Row], [ROOM]],Sheet1!$P$48:$P$67,0),MATCH(Table1[[#This Row], [WEAPON]],Sheet1!$X$47:$Z$47,0)))/Table1[[#This Row], [NUM OF MEM]]</f>
        <v>3.8333333333333335</v>
      </c>
      <c r="Q1459" s="9">
        <f>Table1[[#This Row], [ROOM TIME]]+Table1[[#This Row], [GUARD TIME]]</f>
        <v>42.231666666666662</v>
      </c>
      <c r="R1459" s="4">
        <f>Sheet1!$K$3*_xlfn.XLOOKUP(Table1[[#This Row], [DISGUISE]],Sheet1!$A$21:$A$23,Sheet1!$D$21:$D$23)</f>
        <v>69</v>
      </c>
      <c r="S1459" s="9">
        <f>Table1[[#This Row], [TOTAL TIME]]-Table1[[#This Row], [TOTAL TIME TAKEN]]</f>
        <v>26.768333333333338</v>
      </c>
      <c r="T1459" t="str">
        <f>IF(Table1[[#This Row], [TIME DIFFERENCE]]&gt;=0,"PASS","FAIL")</f>
        <v>PASS</v>
      </c>
      <c r="U1459" s="9">
        <f>Table1[[#This Row], [TRC]]+Table1[[#This Row], [DRC]]+Table1[[#This Row], [WRC]]+Table1[[#This Row], [ERC]]+Table1[[#This Row], [EQRC]]</f>
        <v>8055617.2000000002</v>
      </c>
      <c r="V1459" s="9">
        <f>Table1[[#This Row], [TOTAL COST]]+_xlfn.XLOOKUP(Table1[[#This Row], [TEAM]],Sheet1!$A$12:$A$17,Sheet1!$I$12:$I$17)</f>
        <v>8367554.7000000002</v>
      </c>
      <c r="W1459" s="9">
        <f>Table1[[#This Row], [LOOT]]-Table1[[#This Row], [TOTAL COST]]</f>
        <v>9294382.8000000007</v>
      </c>
      <c r="X1459" s="9">
        <f>IF(Table1[[#This Row], [PASS/FAIL]]="FAIL",0,Table1[[#This Row], [PROFIT]])</f>
        <v>9294382.8000000007</v>
      </c>
    </row>
    <row r="1460" spans="1:24" ht="19.5" customHeight="1" x14ac:dyDescent="0.45">
      <c r="A1460" t="s">
        <v>12</v>
      </c>
      <c r="B1460" s="14">
        <f>_xlfn.XLOOKUP(Table1[[#This Row], [TEAM]],Sheet1!$A$12:$A$17,Sheet1!$F$12:$F$17)</f>
        <v>3</v>
      </c>
      <c r="C1460" s="14">
        <f>_xlfn.XLOOKUP(Table1[[#This Row], [TEAM]],Sheet1!$A$12:$A$17,Sheet1!$G$12:$G$17)</f>
        <v>5988750</v>
      </c>
      <c r="D1460" t="s">
        <v>23</v>
      </c>
      <c r="E1460" s="4">
        <f>_xlfn.XLOOKUP(Table1[[#This Row], [ROOM]],Sheet1!$A$47:$A$66,Sheet1!$B$47:$B$66)</f>
        <v>245</v>
      </c>
      <c r="F1460" t="s">
        <v>62</v>
      </c>
      <c r="G146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60" s="13" t="s">
        <v>63</v>
      </c>
      <c r="I1460" s="4">
        <f>_xlfn.XLOOKUP(Table1[[#This Row], [WEAPON]],Sheet1!$A$27:$A$29,Sheet1!$B$27:$B$29)*Table1[[#This Row], [NUM OF MEM]]*(1+_xlfn.XLOOKUP(Table1[[#This Row], [WEAPON]],Sheet1!$A$27:$A$29,Sheet1!$C$27:$C$29))</f>
        <v>69000</v>
      </c>
      <c r="J1460" t="s">
        <v>60</v>
      </c>
      <c r="K1460" s="9">
        <f>Table1[[#This Row], [NUM OF MEM]]*Table1[[#This Row], [TOTAL TIME TAKEN]]*_xlfn.XLOOKUP(Table1[[#This Row], [EXIT]],Sheet1!$A$70:$A$71,Sheet1!$B$70:$B$71)*(1+_xlfn.XLOOKUP(Table1[[#This Row], [EXIT]],Sheet1!$A$70:$A$71,Sheet1!$C$70:$C$71))</f>
        <v>1727126.1749999996</v>
      </c>
      <c r="L1460" s="13" t="s">
        <v>65</v>
      </c>
      <c r="M1460" s="4">
        <f>IF(Table1[[#This Row], [EQUIPMENT]]="YES",Sheet1!$C$44*(1+Sheet1!$D$44),0)</f>
        <v>307500</v>
      </c>
      <c r="N1460" s="4">
        <f>_xlfn.XLOOKUP(Table1[[#This Row], [ROOM]],Sheet1!$A$47:$A$66,Sheet1!$F$47:$F$66)</f>
        <v>17400000</v>
      </c>
      <c r="O1460" s="9">
        <f>_xlfn.XLOOKUP(_xlfn.CONCAT(Table1[[#This Row], [TEAM]],Table1[[#This Row], [ROOM]]),'ROOM TIME'!$H$2:$H$121,'ROOM TIME'!$J$2:$J$121)</f>
        <v>39.91333333333332</v>
      </c>
      <c r="P1460" s="9">
        <f>(INDEX(Sheet1!$X$48:$Z$67,MATCH(Table1[[#This Row], [ROOM]],Sheet1!$P$48:$P$67,0),MATCH(Table1[[#This Row], [WEAPON]],Sheet1!$X$47:$Z$47,0)))/Table1[[#This Row], [NUM OF MEM]]</f>
        <v>4.95</v>
      </c>
      <c r="Q1460" s="9">
        <f>Table1[[#This Row], [ROOM TIME]]+Table1[[#This Row], [GUARD TIME]]</f>
        <v>44.863333333333323</v>
      </c>
      <c r="R1460" s="4">
        <f>Sheet1!$K$3*_xlfn.XLOOKUP(Table1[[#This Row], [DISGUISE]],Sheet1!$A$21:$A$23,Sheet1!$D$21:$D$23)</f>
        <v>66</v>
      </c>
      <c r="S1460" s="9">
        <f>Table1[[#This Row], [TOTAL TIME]]-Table1[[#This Row], [TOTAL TIME TAKEN]]</f>
        <v>21.136666666666677</v>
      </c>
      <c r="T1460" t="str">
        <f>IF(Table1[[#This Row], [TIME DIFFERENCE]]&gt;=0,"PASS","FAIL")</f>
        <v>PASS</v>
      </c>
      <c r="U1460" s="9">
        <f>Table1[[#This Row], [TRC]]+Table1[[#This Row], [DRC]]+Table1[[#This Row], [WRC]]+Table1[[#This Row], [ERC]]+Table1[[#This Row], [EQRC]]</f>
        <v>8107976.1749999998</v>
      </c>
      <c r="V1460" s="9">
        <f>Table1[[#This Row], [TOTAL COST]]+_xlfn.XLOOKUP(Table1[[#This Row], [TEAM]],Sheet1!$A$12:$A$17,Sheet1!$I$12:$I$17)</f>
        <v>8407413.6750000007</v>
      </c>
      <c r="W1460" s="9">
        <f>Table1[[#This Row], [LOOT]]-Table1[[#This Row], [TOTAL COST]]</f>
        <v>9292023.8249999993</v>
      </c>
      <c r="X1460" s="9">
        <f>IF(Table1[[#This Row], [PASS/FAIL]]="FAIL",0,Table1[[#This Row], [PROFIT]])</f>
        <v>9292023.8249999993</v>
      </c>
    </row>
    <row r="1461" spans="1:24" ht="19.5" customHeight="1" x14ac:dyDescent="0.45">
      <c r="A1461" t="s">
        <v>9</v>
      </c>
      <c r="B1461" s="14">
        <f>_xlfn.XLOOKUP(Table1[[#This Row], [TEAM]],Sheet1!$A$12:$A$17,Sheet1!$F$12:$F$17)</f>
        <v>3</v>
      </c>
      <c r="C1461" s="14">
        <f>_xlfn.XLOOKUP(Table1[[#This Row], [TEAM]],Sheet1!$A$12:$A$17,Sheet1!$G$12:$G$17)</f>
        <v>6238750</v>
      </c>
      <c r="D1461" t="s">
        <v>20</v>
      </c>
      <c r="E1461" s="4">
        <f>_xlfn.XLOOKUP(Table1[[#This Row], [ROOM]],Sheet1!$A$47:$A$66,Sheet1!$B$47:$B$66)</f>
        <v>145</v>
      </c>
      <c r="F1461" t="s">
        <v>62</v>
      </c>
      <c r="G1461" s="4">
        <f>_xlfn.XLOOKUP(Table1[[#This Row], [DISGUISE]],Sheet1!$A$21:$A$23,Sheet1!$B$21:$B$23)*Table1[[#This Row], [NUM OF MEM]]*(1+_xlfn.XLOOKUP(Table1[[#This Row], [DISGUISE]],Sheet1!$A$21:$A$23,Sheet1!$C$21:$C$23))</f>
        <v>15600</v>
      </c>
      <c r="H1461" s="13" t="s">
        <v>63</v>
      </c>
      <c r="I1461" s="4">
        <f>_xlfn.XLOOKUP(Table1[[#This Row], [WEAPON]],Sheet1!$A$27:$A$29,Sheet1!$B$27:$B$29)*Table1[[#This Row], [NUM OF MEM]]*(1+_xlfn.XLOOKUP(Table1[[#This Row], [WEAPON]],Sheet1!$A$27:$A$29,Sheet1!$C$27:$C$29))</f>
        <v>69000</v>
      </c>
      <c r="J1461" t="s">
        <v>60</v>
      </c>
      <c r="K1461" s="9">
        <f>Table1[[#This Row], [NUM OF MEM]]*Table1[[#This Row], [TOTAL TIME TAKEN]]*_xlfn.XLOOKUP(Table1[[#This Row], [EXIT]],Sheet1!$A$70:$A$71,Sheet1!$B$70:$B$71)*(1+_xlfn.XLOOKUP(Table1[[#This Row], [EXIT]],Sheet1!$A$70:$A$71,Sheet1!$C$70:$C$71))</f>
        <v>1627139.6124999996</v>
      </c>
      <c r="L1461" s="13" t="s">
        <v>65</v>
      </c>
      <c r="M1461" s="4">
        <f>IF(Table1[[#This Row], [EQUIPMENT]]="YES",Sheet1!$C$44*(1+Sheet1!$D$44),0)</f>
        <v>307500</v>
      </c>
      <c r="N1461" s="4">
        <f>_xlfn.XLOOKUP(Table1[[#This Row], [ROOM]],Sheet1!$A$47:$A$66,Sheet1!$F$47:$F$66)</f>
        <v>17550000</v>
      </c>
      <c r="O1461" s="9">
        <f>_xlfn.XLOOKUP(_xlfn.CONCAT(Table1[[#This Row], [TEAM]],Table1[[#This Row], [ROOM]]),'ROOM TIME'!$H$2:$H$121,'ROOM TIME'!$J$2:$J$121)</f>
        <v>37.766111111111101</v>
      </c>
      <c r="P1461" s="9">
        <f>(INDEX(Sheet1!$X$48:$Z$67,MATCH(Table1[[#This Row], [ROOM]],Sheet1!$P$48:$P$67,0),MATCH(Table1[[#This Row], [WEAPON]],Sheet1!$X$47:$Z$47,0)))/Table1[[#This Row], [NUM OF MEM]]</f>
        <v>4.5</v>
      </c>
      <c r="Q1461" s="9">
        <f>Table1[[#This Row], [ROOM TIME]]+Table1[[#This Row], [GUARD TIME]]</f>
        <v>42.266111111111101</v>
      </c>
      <c r="R1461" s="4">
        <f>Sheet1!$K$3*_xlfn.XLOOKUP(Table1[[#This Row], [DISGUISE]],Sheet1!$A$21:$A$23,Sheet1!$D$21:$D$23)</f>
        <v>66</v>
      </c>
      <c r="S1461" s="9">
        <f>Table1[[#This Row], [TOTAL TIME]]-Table1[[#This Row], [TOTAL TIME TAKEN]]</f>
        <v>23.733888888888899</v>
      </c>
      <c r="T1461" t="str">
        <f>IF(Table1[[#This Row], [TIME DIFFERENCE]]&gt;=0,"PASS","FAIL")</f>
        <v>PASS</v>
      </c>
      <c r="U1461" s="9">
        <f>Table1[[#This Row], [TRC]]+Table1[[#This Row], [DRC]]+Table1[[#This Row], [WRC]]+Table1[[#This Row], [ERC]]+Table1[[#This Row], [EQRC]]</f>
        <v>8257989.6124999998</v>
      </c>
      <c r="V1461" s="9">
        <f>Table1[[#This Row], [TOTAL COST]]+_xlfn.XLOOKUP(Table1[[#This Row], [TEAM]],Sheet1!$A$12:$A$17,Sheet1!$I$12:$I$17)</f>
        <v>8569927.1125000007</v>
      </c>
      <c r="W1461" s="9">
        <f>Table1[[#This Row], [LOOT]]-Table1[[#This Row], [TOTAL COST]]</f>
        <v>9292010.3874999993</v>
      </c>
      <c r="X1461" s="9">
        <f>IF(Table1[[#This Row], [PASS/FAIL]]="FAIL",0,Table1[[#This Row], [PROFIT]])</f>
        <v>9292010.3874999993</v>
      </c>
    </row>
    <row r="1462" spans="1:24" ht="19.5" customHeight="1" x14ac:dyDescent="0.45">
      <c r="A1462" t="s">
        <v>14</v>
      </c>
      <c r="B1462" s="14">
        <f>_xlfn.XLOOKUP(Table1[[#This Row], [TEAM]],Sheet1!$A$12:$A$17,Sheet1!$F$12:$F$17)</f>
        <v>2</v>
      </c>
      <c r="C1462" s="14">
        <f>_xlfn.XLOOKUP(Table1[[#This Row], [TEAM]],Sheet1!$A$12:$A$17,Sheet1!$G$12:$G$17)</f>
        <v>5949600</v>
      </c>
      <c r="D1462" t="s">
        <v>17</v>
      </c>
      <c r="E1462" s="4">
        <f>_xlfn.XLOOKUP(Table1[[#This Row], [ROOM]],Sheet1!$A$47:$A$66,Sheet1!$B$47:$B$66)</f>
        <v>125</v>
      </c>
      <c r="F1462" t="s">
        <v>58</v>
      </c>
      <c r="G1462" s="4">
        <f>_xlfn.XLOOKUP(Table1[[#This Row], [DISGUISE]],Sheet1!$A$21:$A$23,Sheet1!$B$21:$B$23)*Table1[[#This Row], [NUM OF MEM]]*(1+_xlfn.XLOOKUP(Table1[[#This Row], [DISGUISE]],Sheet1!$A$21:$A$23,Sheet1!$C$21:$C$23))</f>
        <v>25600</v>
      </c>
      <c r="H1462" s="13" t="s">
        <v>63</v>
      </c>
      <c r="I1462" s="4">
        <f>_xlfn.XLOOKUP(Table1[[#This Row], [WEAPON]],Sheet1!$A$27:$A$29,Sheet1!$B$27:$B$29)*Table1[[#This Row], [NUM OF MEM]]*(1+_xlfn.XLOOKUP(Table1[[#This Row], [WEAPON]],Sheet1!$A$27:$A$29,Sheet1!$C$27:$C$29))</f>
        <v>46000</v>
      </c>
      <c r="J1462" t="s">
        <v>60</v>
      </c>
      <c r="K1462" s="9">
        <f>Table1[[#This Row], [NUM OF MEM]]*Table1[[#This Row], [TOTAL TIME TAKEN]]*_xlfn.XLOOKUP(Table1[[#This Row], [EXIT]],Sheet1!$A$70:$A$71,Sheet1!$B$70:$B$71)*(1+_xlfn.XLOOKUP(Table1[[#This Row], [EXIT]],Sheet1!$A$70:$A$71,Sheet1!$C$70:$C$71))</f>
        <v>1729885.1624999996</v>
      </c>
      <c r="L1462" s="13" t="s">
        <v>65</v>
      </c>
      <c r="M1462" s="4">
        <f>IF(Table1[[#This Row], [EQUIPMENT]]="YES",Sheet1!$C$44*(1+Sheet1!$D$44),0)</f>
        <v>307500</v>
      </c>
      <c r="N1462" s="4">
        <f>_xlfn.XLOOKUP(Table1[[#This Row], [ROOM]],Sheet1!$A$47:$A$66,Sheet1!$F$47:$F$66)</f>
        <v>17350000</v>
      </c>
      <c r="O1462" s="9">
        <f>_xlfn.XLOOKUP(_xlfn.CONCAT(Table1[[#This Row], [TEAM]],Table1[[#This Row], [ROOM]]),'ROOM TIME'!$H$2:$H$121,'ROOM TIME'!$J$2:$J$121)</f>
        <v>60.652499999999989</v>
      </c>
      <c r="P1462" s="9">
        <f>(INDEX(Sheet1!$X$48:$Z$67,MATCH(Table1[[#This Row], [ROOM]],Sheet1!$P$48:$P$67,0),MATCH(Table1[[#This Row], [WEAPON]],Sheet1!$X$47:$Z$47,0)))/Table1[[#This Row], [NUM OF MEM]]</f>
        <v>6.75</v>
      </c>
      <c r="Q1462" s="9">
        <f>Table1[[#This Row], [ROOM TIME]]+Table1[[#This Row], [GUARD TIME]]</f>
        <v>67.402499999999989</v>
      </c>
      <c r="R1462" s="4">
        <f>Sheet1!$K$3*_xlfn.XLOOKUP(Table1[[#This Row], [DISGUISE]],Sheet1!$A$21:$A$23,Sheet1!$D$21:$D$23)</f>
        <v>69</v>
      </c>
      <c r="S1462" s="9">
        <f>Table1[[#This Row], [TOTAL TIME]]-Table1[[#This Row], [TOTAL TIME TAKEN]]</f>
        <v>1.5975000000000108</v>
      </c>
      <c r="T1462" t="str">
        <f>IF(Table1[[#This Row], [TIME DIFFERENCE]]&gt;=0,"PASS","FAIL")</f>
        <v>PASS</v>
      </c>
      <c r="U1462" s="9">
        <f>Table1[[#This Row], [TRC]]+Table1[[#This Row], [DRC]]+Table1[[#This Row], [WRC]]+Table1[[#This Row], [ERC]]+Table1[[#This Row], [EQRC]]</f>
        <v>8058585.1624999996</v>
      </c>
      <c r="V1462" s="9">
        <f>Table1[[#This Row], [TOTAL COST]]+_xlfn.XLOOKUP(Table1[[#This Row], [TEAM]],Sheet1!$A$12:$A$17,Sheet1!$I$12:$I$17)</f>
        <v>8356065.1624999996</v>
      </c>
      <c r="W1462" s="9">
        <f>Table1[[#This Row], [LOOT]]-Table1[[#This Row], [TOTAL COST]]</f>
        <v>9291414.8375000004</v>
      </c>
      <c r="X1462" s="9">
        <f>IF(Table1[[#This Row], [PASS/FAIL]]="FAIL",0,Table1[[#This Row], [PROFIT]])</f>
        <v>9291414.8375000004</v>
      </c>
    </row>
    <row r="1463" spans="1:24" ht="19.5" customHeight="1" x14ac:dyDescent="0.45">
      <c r="A1463" t="s">
        <v>9</v>
      </c>
      <c r="B1463" s="14">
        <f>_xlfn.XLOOKUP(Table1[[#This Row], [TEAM]],Sheet1!$A$12:$A$17,Sheet1!$F$12:$F$17)</f>
        <v>3</v>
      </c>
      <c r="C1463" s="14">
        <f>_xlfn.XLOOKUP(Table1[[#This Row], [TEAM]],Sheet1!$A$12:$A$17,Sheet1!$G$12:$G$17)</f>
        <v>6238750</v>
      </c>
      <c r="D1463" t="s">
        <v>30</v>
      </c>
      <c r="E1463" s="4">
        <f>_xlfn.XLOOKUP(Table1[[#This Row], [ROOM]],Sheet1!$A$47:$A$66,Sheet1!$B$47:$B$66)</f>
        <v>246</v>
      </c>
      <c r="F1463" t="s">
        <v>58</v>
      </c>
      <c r="G1463" s="4">
        <f>_xlfn.XLOOKUP(Table1[[#This Row], [DISGUISE]],Sheet1!$A$21:$A$23,Sheet1!$B$21:$B$23)*Table1[[#This Row], [NUM OF MEM]]*(1+_xlfn.XLOOKUP(Table1[[#This Row], [DISGUISE]],Sheet1!$A$21:$A$23,Sheet1!$C$21:$C$23))</f>
        <v>38400</v>
      </c>
      <c r="H1463" s="13" t="s">
        <v>59</v>
      </c>
      <c r="I1463" s="4">
        <f>_xlfn.XLOOKUP(Table1[[#This Row], [WEAPON]],Sheet1!$A$27:$A$29,Sheet1!$B$27:$B$29)*Table1[[#This Row], [NUM OF MEM]]*(1+_xlfn.XLOOKUP(Table1[[#This Row], [WEAPON]],Sheet1!$A$27:$A$29,Sheet1!$C$27:$C$29))</f>
        <v>136500</v>
      </c>
      <c r="J1463" t="s">
        <v>64</v>
      </c>
      <c r="K1463" s="9">
        <f>Table1[[#This Row], [NUM OF MEM]]*Table1[[#This Row], [TOTAL TIME TAKEN]]*_xlfn.XLOOKUP(Table1[[#This Row], [EXIT]],Sheet1!$A$70:$A$71,Sheet1!$B$70:$B$71)*(1+_xlfn.XLOOKUP(Table1[[#This Row], [EXIT]],Sheet1!$A$70:$A$71,Sheet1!$C$70:$C$71))</f>
        <v>1588420.7999999996</v>
      </c>
      <c r="L1463" s="13" t="s">
        <v>65</v>
      </c>
      <c r="M1463" s="4">
        <f>IF(Table1[[#This Row], [EQUIPMENT]]="YES",Sheet1!$C$44*(1+Sheet1!$D$44),0)</f>
        <v>307500</v>
      </c>
      <c r="N1463" s="4">
        <f>_xlfn.XLOOKUP(Table1[[#This Row], [ROOM]],Sheet1!$A$47:$A$66,Sheet1!$F$47:$F$66)</f>
        <v>17600000</v>
      </c>
      <c r="O1463" s="9">
        <f>_xlfn.XLOOKUP(_xlfn.CONCAT(Table1[[#This Row], [TEAM]],Table1[[#This Row], [ROOM]]),'ROOM TIME'!$H$2:$H$121,'ROOM TIME'!$J$2:$J$121)</f>
        <v>36.254444444444438</v>
      </c>
      <c r="P1463" s="9">
        <f>(INDEX(Sheet1!$X$48:$Z$67,MATCH(Table1[[#This Row], [ROOM]],Sheet1!$P$48:$P$67,0),MATCH(Table1[[#This Row], [WEAPON]],Sheet1!$X$47:$Z$47,0)))/Table1[[#This Row], [NUM OF MEM]]</f>
        <v>4.5999999999999996</v>
      </c>
      <c r="Q1463" s="9">
        <f>Table1[[#This Row], [ROOM TIME]]+Table1[[#This Row], [GUARD TIME]]</f>
        <v>40.854444444444439</v>
      </c>
      <c r="R1463" s="4">
        <f>Sheet1!$K$3*_xlfn.XLOOKUP(Table1[[#This Row], [DISGUISE]],Sheet1!$A$21:$A$23,Sheet1!$D$21:$D$23)</f>
        <v>69</v>
      </c>
      <c r="S1463" s="9">
        <f>Table1[[#This Row], [TOTAL TIME]]-Table1[[#This Row], [TOTAL TIME TAKEN]]</f>
        <v>28.145555555555561</v>
      </c>
      <c r="T1463" t="str">
        <f>IF(Table1[[#This Row], [TIME DIFFERENCE]]&gt;=0,"PASS","FAIL")</f>
        <v>PASS</v>
      </c>
      <c r="U1463" s="9">
        <f>Table1[[#This Row], [TRC]]+Table1[[#This Row], [DRC]]+Table1[[#This Row], [WRC]]+Table1[[#This Row], [ERC]]+Table1[[#This Row], [EQRC]]</f>
        <v>8309570.7999999998</v>
      </c>
      <c r="V1463" s="9">
        <f>Table1[[#This Row], [TOTAL COST]]+_xlfn.XLOOKUP(Table1[[#This Row], [TEAM]],Sheet1!$A$12:$A$17,Sheet1!$I$12:$I$17)</f>
        <v>8621508.3000000007</v>
      </c>
      <c r="W1463" s="9">
        <f>Table1[[#This Row], [LOOT]]-Table1[[#This Row], [TOTAL COST]]</f>
        <v>9290429.1999999993</v>
      </c>
      <c r="X1463" s="9">
        <f>IF(Table1[[#This Row], [PASS/FAIL]]="FAIL",0,Table1[[#This Row], [PROFIT]])</f>
        <v>9290429.1999999993</v>
      </c>
    </row>
    <row r="1464" spans="1:24" ht="19.5" customHeight="1" x14ac:dyDescent="0.45">
      <c r="A1464" t="s">
        <v>9</v>
      </c>
      <c r="B1464" s="14">
        <f>_xlfn.XLOOKUP(Table1[[#This Row], [TEAM]],Sheet1!$A$12:$A$17,Sheet1!$F$12:$F$17)</f>
        <v>3</v>
      </c>
      <c r="C1464" s="14">
        <f>_xlfn.XLOOKUP(Table1[[#This Row], [TEAM]],Sheet1!$A$12:$A$17,Sheet1!$G$12:$G$17)</f>
        <v>6238750</v>
      </c>
      <c r="D1464" t="s">
        <v>25</v>
      </c>
      <c r="E1464" s="4">
        <f>_xlfn.XLOOKUP(Table1[[#This Row], [ROOM]],Sheet1!$A$47:$A$66,Sheet1!$B$47:$B$66)</f>
        <v>126</v>
      </c>
      <c r="F1464" t="s">
        <v>58</v>
      </c>
      <c r="G1464" s="4">
        <f>_xlfn.XLOOKUP(Table1[[#This Row], [DISGUISE]],Sheet1!$A$21:$A$23,Sheet1!$B$21:$B$23)*Table1[[#This Row], [NUM OF MEM]]*(1+_xlfn.XLOOKUP(Table1[[#This Row], [DISGUISE]],Sheet1!$A$21:$A$23,Sheet1!$C$21:$C$23))</f>
        <v>38400</v>
      </c>
      <c r="H1464" s="13" t="s">
        <v>66</v>
      </c>
      <c r="I1464" s="4">
        <f>_xlfn.XLOOKUP(Table1[[#This Row], [WEAPON]],Sheet1!$A$27:$A$29,Sheet1!$B$27:$B$29)*Table1[[#This Row], [NUM OF MEM]]*(1+_xlfn.XLOOKUP(Table1[[#This Row], [WEAPON]],Sheet1!$A$27:$A$29,Sheet1!$C$27:$C$29))</f>
        <v>108000</v>
      </c>
      <c r="J1464" t="s">
        <v>60</v>
      </c>
      <c r="K1464" s="9">
        <f>Table1[[#This Row], [NUM OF MEM]]*Table1[[#This Row], [TOTAL TIME TAKEN]]*_xlfn.XLOOKUP(Table1[[#This Row], [EXIT]],Sheet1!$A$70:$A$71,Sheet1!$B$70:$B$71)*(1+_xlfn.XLOOKUP(Table1[[#This Row], [EXIT]],Sheet1!$A$70:$A$71,Sheet1!$C$70:$C$71))</f>
        <v>1569735.5624999995</v>
      </c>
      <c r="L1464" s="13" t="s">
        <v>65</v>
      </c>
      <c r="M1464" s="4">
        <f>IF(Table1[[#This Row], [EQUIPMENT]]="YES",Sheet1!$C$44*(1+Sheet1!$D$44),0)</f>
        <v>307500</v>
      </c>
      <c r="N1464" s="4">
        <f>_xlfn.XLOOKUP(Table1[[#This Row], [ROOM]],Sheet1!$A$47:$A$66,Sheet1!$F$47:$F$66)</f>
        <v>17550000</v>
      </c>
      <c r="O1464" s="9">
        <f>_xlfn.XLOOKUP(_xlfn.CONCAT(Table1[[#This Row], [TEAM]],Table1[[#This Row], [ROOM]]),'ROOM TIME'!$H$2:$H$121,'ROOM TIME'!$J$2:$J$121)</f>
        <v>36.191666666666656</v>
      </c>
      <c r="P1464" s="9">
        <f>(INDEX(Sheet1!$X$48:$Z$67,MATCH(Table1[[#This Row], [ROOM]],Sheet1!$P$48:$P$67,0),MATCH(Table1[[#This Row], [WEAPON]],Sheet1!$X$47:$Z$47,0)))/Table1[[#This Row], [NUM OF MEM]]</f>
        <v>4.583333333333333</v>
      </c>
      <c r="Q1464" s="9">
        <f>Table1[[#This Row], [ROOM TIME]]+Table1[[#This Row], [GUARD TIME]]</f>
        <v>40.774999999999991</v>
      </c>
      <c r="R1464" s="4">
        <f>Sheet1!$K$3*_xlfn.XLOOKUP(Table1[[#This Row], [DISGUISE]],Sheet1!$A$21:$A$23,Sheet1!$D$21:$D$23)</f>
        <v>69</v>
      </c>
      <c r="S1464" s="9">
        <f>Table1[[#This Row], [TOTAL TIME]]-Table1[[#This Row], [TOTAL TIME TAKEN]]</f>
        <v>28.225000000000009</v>
      </c>
      <c r="T1464" t="str">
        <f>IF(Table1[[#This Row], [TIME DIFFERENCE]]&gt;=0,"PASS","FAIL")</f>
        <v>PASS</v>
      </c>
      <c r="U1464" s="9">
        <f>Table1[[#This Row], [TRC]]+Table1[[#This Row], [DRC]]+Table1[[#This Row], [WRC]]+Table1[[#This Row], [ERC]]+Table1[[#This Row], [EQRC]]</f>
        <v>8262385.5625</v>
      </c>
      <c r="V1464" s="9">
        <f>Table1[[#This Row], [TOTAL COST]]+_xlfn.XLOOKUP(Table1[[#This Row], [TEAM]],Sheet1!$A$12:$A$17,Sheet1!$I$12:$I$17)</f>
        <v>8574323.0625</v>
      </c>
      <c r="W1464" s="9">
        <f>Table1[[#This Row], [LOOT]]-Table1[[#This Row], [TOTAL COST]]</f>
        <v>9287614.4375</v>
      </c>
      <c r="X1464" s="9">
        <f>IF(Table1[[#This Row], [PASS/FAIL]]="FAIL",0,Table1[[#This Row], [PROFIT]])</f>
        <v>9287614.4375</v>
      </c>
    </row>
    <row r="1465" spans="1:24" ht="19.5" customHeight="1" x14ac:dyDescent="0.45">
      <c r="A1465" t="s">
        <v>15</v>
      </c>
      <c r="B1465" s="14">
        <f>_xlfn.XLOOKUP(Table1[[#This Row], [TEAM]],Sheet1!$A$12:$A$17,Sheet1!$F$12:$F$17)</f>
        <v>2</v>
      </c>
      <c r="C1465" s="14">
        <f>_xlfn.XLOOKUP(Table1[[#This Row], [TEAM]],Sheet1!$A$12:$A$17,Sheet1!$G$12:$G$17)</f>
        <v>5932950</v>
      </c>
      <c r="D1465" t="s">
        <v>17</v>
      </c>
      <c r="E1465" s="4">
        <f>_xlfn.XLOOKUP(Table1[[#This Row], [ROOM]],Sheet1!$A$47:$A$66,Sheet1!$B$47:$B$66)</f>
        <v>125</v>
      </c>
      <c r="F1465" t="s">
        <v>58</v>
      </c>
      <c r="G1465" s="4">
        <f>_xlfn.XLOOKUP(Table1[[#This Row], [DISGUISE]],Sheet1!$A$21:$A$23,Sheet1!$B$21:$B$23)*Table1[[#This Row], [NUM OF MEM]]*(1+_xlfn.XLOOKUP(Table1[[#This Row], [DISGUISE]],Sheet1!$A$21:$A$23,Sheet1!$C$21:$C$23))</f>
        <v>25600</v>
      </c>
      <c r="H1465" s="13" t="s">
        <v>66</v>
      </c>
      <c r="I1465" s="4">
        <f>_xlfn.XLOOKUP(Table1[[#This Row], [WEAPON]],Sheet1!$A$27:$A$29,Sheet1!$B$27:$B$29)*Table1[[#This Row], [NUM OF MEM]]*(1+_xlfn.XLOOKUP(Table1[[#This Row], [WEAPON]],Sheet1!$A$27:$A$29,Sheet1!$C$27:$C$29))</f>
        <v>72000</v>
      </c>
      <c r="J1465" t="s">
        <v>64</v>
      </c>
      <c r="K1465" s="9">
        <f>Table1[[#This Row], [NUM OF MEM]]*Table1[[#This Row], [TOTAL TIME TAKEN]]*_xlfn.XLOOKUP(Table1[[#This Row], [EXIT]],Sheet1!$A$70:$A$71,Sheet1!$B$70:$B$71)*(1+_xlfn.XLOOKUP(Table1[[#This Row], [EXIT]],Sheet1!$A$70:$A$71,Sheet1!$C$70:$C$71))</f>
        <v>1726336.7999999996</v>
      </c>
      <c r="L1465" s="13" t="s">
        <v>65</v>
      </c>
      <c r="M1465" s="4">
        <f>IF(Table1[[#This Row], [EQUIPMENT]]="YES",Sheet1!$C$44*(1+Sheet1!$D$44),0)</f>
        <v>307500</v>
      </c>
      <c r="N1465" s="4">
        <f>_xlfn.XLOOKUP(Table1[[#This Row], [ROOM]],Sheet1!$A$47:$A$66,Sheet1!$F$47:$F$66)</f>
        <v>17350000</v>
      </c>
      <c r="O1465" s="9">
        <f>_xlfn.XLOOKUP(_xlfn.CONCAT(Table1[[#This Row], [TEAM]],Table1[[#This Row], [ROOM]]),'ROOM TIME'!$H$2:$H$121,'ROOM TIME'!$J$2:$J$121)</f>
        <v>60.352499999999985</v>
      </c>
      <c r="P1465" s="9">
        <f>(INDEX(Sheet1!$X$48:$Z$67,MATCH(Table1[[#This Row], [ROOM]],Sheet1!$P$48:$P$67,0),MATCH(Table1[[#This Row], [WEAPON]],Sheet1!$X$47:$Z$47,0)))/Table1[[#This Row], [NUM OF MEM]]</f>
        <v>6.25</v>
      </c>
      <c r="Q1465" s="9">
        <f>Table1[[#This Row], [ROOM TIME]]+Table1[[#This Row], [GUARD TIME]]</f>
        <v>66.602499999999992</v>
      </c>
      <c r="R1465" s="4">
        <f>Sheet1!$K$3*_xlfn.XLOOKUP(Table1[[#This Row], [DISGUISE]],Sheet1!$A$21:$A$23,Sheet1!$D$21:$D$23)</f>
        <v>69</v>
      </c>
      <c r="S1465" s="9">
        <f>Table1[[#This Row], [TOTAL TIME]]-Table1[[#This Row], [TOTAL TIME TAKEN]]</f>
        <v>2.397500000000008</v>
      </c>
      <c r="T1465" t="str">
        <f>IF(Table1[[#This Row], [TIME DIFFERENCE]]&gt;=0,"PASS","FAIL")</f>
        <v>PASS</v>
      </c>
      <c r="U1465" s="9">
        <f>Table1[[#This Row], [TRC]]+Table1[[#This Row], [DRC]]+Table1[[#This Row], [WRC]]+Table1[[#This Row], [ERC]]+Table1[[#This Row], [EQRC]]</f>
        <v>8064386.7999999998</v>
      </c>
      <c r="V1465" s="9">
        <f>Table1[[#This Row], [TOTAL COST]]+_xlfn.XLOOKUP(Table1[[#This Row], [TEAM]],Sheet1!$A$12:$A$17,Sheet1!$I$12:$I$17)</f>
        <v>8361034.2999999998</v>
      </c>
      <c r="W1465" s="9">
        <f>Table1[[#This Row], [LOOT]]-Table1[[#This Row], [TOTAL COST]]</f>
        <v>9285613.1999999993</v>
      </c>
      <c r="X1465" s="9">
        <f>IF(Table1[[#This Row], [PASS/FAIL]]="FAIL",0,Table1[[#This Row], [PROFIT]])</f>
        <v>9285613.1999999993</v>
      </c>
    </row>
    <row r="1466" spans="1:24" ht="19.5" customHeight="1" x14ac:dyDescent="0.45">
      <c r="A1466" t="s">
        <v>12</v>
      </c>
      <c r="B1466" s="14">
        <f>_xlfn.XLOOKUP(Table1[[#This Row], [TEAM]],Sheet1!$A$12:$A$17,Sheet1!$F$12:$F$17)</f>
        <v>3</v>
      </c>
      <c r="C1466" s="14">
        <f>_xlfn.XLOOKUP(Table1[[#This Row], [TEAM]],Sheet1!$A$12:$A$17,Sheet1!$G$12:$G$17)</f>
        <v>5988750</v>
      </c>
      <c r="D1466" t="s">
        <v>11</v>
      </c>
      <c r="E1466" s="4">
        <f>_xlfn.XLOOKUP(Table1[[#This Row], [ROOM]],Sheet1!$A$47:$A$66,Sheet1!$B$47:$B$66)</f>
        <v>124</v>
      </c>
      <c r="F1466" t="s">
        <v>62</v>
      </c>
      <c r="G1466" s="4">
        <f>_xlfn.XLOOKUP(Table1[[#This Row], [DISGUISE]],Sheet1!$A$21:$A$23,Sheet1!$B$21:$B$23)*Table1[[#This Row], [NUM OF MEM]]*(1+_xlfn.XLOOKUP(Table1[[#This Row], [DISGUISE]],Sheet1!$A$21:$A$23,Sheet1!$C$21:$C$23))</f>
        <v>15600</v>
      </c>
      <c r="H1466" s="13" t="s">
        <v>59</v>
      </c>
      <c r="I1466" s="4">
        <f>_xlfn.XLOOKUP(Table1[[#This Row], [WEAPON]],Sheet1!$A$27:$A$29,Sheet1!$B$27:$B$29)*Table1[[#This Row], [NUM OF MEM]]*(1+_xlfn.XLOOKUP(Table1[[#This Row], [WEAPON]],Sheet1!$A$27:$A$29,Sheet1!$C$27:$C$29))</f>
        <v>136500</v>
      </c>
      <c r="J1466" t="s">
        <v>60</v>
      </c>
      <c r="K1466" s="9">
        <f>Table1[[#This Row], [NUM OF MEM]]*Table1[[#This Row], [TOTAL TIME TAKEN]]*_xlfn.XLOOKUP(Table1[[#This Row], [EXIT]],Sheet1!$A$70:$A$71,Sheet1!$B$70:$B$71)*(1+_xlfn.XLOOKUP(Table1[[#This Row], [EXIT]],Sheet1!$A$70:$A$71,Sheet1!$C$70:$C$71))</f>
        <v>1717672.8999999997</v>
      </c>
      <c r="L1466" s="13" t="s">
        <v>65</v>
      </c>
      <c r="M1466" s="4">
        <f>IF(Table1[[#This Row], [EQUIPMENT]]="YES",Sheet1!$C$44*(1+Sheet1!$D$44),0)</f>
        <v>307500</v>
      </c>
      <c r="N1466" s="4">
        <f>_xlfn.XLOOKUP(Table1[[#This Row], [ROOM]],Sheet1!$A$47:$A$66,Sheet1!$F$47:$F$66)</f>
        <v>17450000</v>
      </c>
      <c r="O1466" s="9">
        <f>_xlfn.XLOOKUP(_xlfn.CONCAT(Table1[[#This Row], [TEAM]],Table1[[#This Row], [ROOM]]),'ROOM TIME'!$H$2:$H$121,'ROOM TIME'!$J$2:$J$121)</f>
        <v>40.401111111111099</v>
      </c>
      <c r="P1466" s="9">
        <f>(INDEX(Sheet1!$X$48:$Z$67,MATCH(Table1[[#This Row], [ROOM]],Sheet1!$P$48:$P$67,0),MATCH(Table1[[#This Row], [WEAPON]],Sheet1!$X$47:$Z$47,0)))/Table1[[#This Row], [NUM OF MEM]]</f>
        <v>4.2166666666666659</v>
      </c>
      <c r="Q1466" s="9">
        <f>Table1[[#This Row], [ROOM TIME]]+Table1[[#This Row], [GUARD TIME]]</f>
        <v>44.617777777777768</v>
      </c>
      <c r="R1466" s="4">
        <f>Sheet1!$K$3*_xlfn.XLOOKUP(Table1[[#This Row], [DISGUISE]],Sheet1!$A$21:$A$23,Sheet1!$D$21:$D$23)</f>
        <v>66</v>
      </c>
      <c r="S1466" s="9">
        <f>Table1[[#This Row], [TOTAL TIME]]-Table1[[#This Row], [TOTAL TIME TAKEN]]</f>
        <v>21.382222222222232</v>
      </c>
      <c r="T1466" t="str">
        <f>IF(Table1[[#This Row], [TIME DIFFERENCE]]&gt;=0,"PASS","FAIL")</f>
        <v>PASS</v>
      </c>
      <c r="U1466" s="9">
        <f>Table1[[#This Row], [TRC]]+Table1[[#This Row], [DRC]]+Table1[[#This Row], [WRC]]+Table1[[#This Row], [ERC]]+Table1[[#This Row], [EQRC]]</f>
        <v>8166022.8999999994</v>
      </c>
      <c r="V1466" s="9">
        <f>Table1[[#This Row], [TOTAL COST]]+_xlfn.XLOOKUP(Table1[[#This Row], [TEAM]],Sheet1!$A$12:$A$17,Sheet1!$I$12:$I$17)</f>
        <v>8465460.3999999985</v>
      </c>
      <c r="W1466" s="9">
        <f>Table1[[#This Row], [LOOT]]-Table1[[#This Row], [TOTAL COST]]</f>
        <v>9283977.1000000015</v>
      </c>
      <c r="X1466" s="9">
        <f>IF(Table1[[#This Row], [PASS/FAIL]]="FAIL",0,Table1[[#This Row], [PROFIT]])</f>
        <v>9283977.1000000015</v>
      </c>
    </row>
    <row r="1467" spans="1:24" ht="19.5" customHeight="1" x14ac:dyDescent="0.45">
      <c r="A1467" t="s">
        <v>12</v>
      </c>
      <c r="B1467" s="14">
        <f>_xlfn.XLOOKUP(Table1[[#This Row], [TEAM]],Sheet1!$A$12:$A$17,Sheet1!$F$12:$F$17)</f>
        <v>3</v>
      </c>
      <c r="C1467" s="14">
        <f>_xlfn.XLOOKUP(Table1[[#This Row], [TEAM]],Sheet1!$A$12:$A$17,Sheet1!$G$12:$G$17)</f>
        <v>5988750</v>
      </c>
      <c r="D1467" t="s">
        <v>11</v>
      </c>
      <c r="E1467" s="4">
        <f>_xlfn.XLOOKUP(Table1[[#This Row], [ROOM]],Sheet1!$A$47:$A$66,Sheet1!$B$47:$B$66)</f>
        <v>124</v>
      </c>
      <c r="F1467" t="s">
        <v>58</v>
      </c>
      <c r="G1467" s="4">
        <f>_xlfn.XLOOKUP(Table1[[#This Row], [DISGUISE]],Sheet1!$A$21:$A$23,Sheet1!$B$21:$B$23)*Table1[[#This Row], [NUM OF MEM]]*(1+_xlfn.XLOOKUP(Table1[[#This Row], [DISGUISE]],Sheet1!$A$21:$A$23,Sheet1!$C$21:$C$23))</f>
        <v>38400</v>
      </c>
      <c r="H1467" s="13" t="s">
        <v>63</v>
      </c>
      <c r="I1467" s="4">
        <f>_xlfn.XLOOKUP(Table1[[#This Row], [WEAPON]],Sheet1!$A$27:$A$29,Sheet1!$B$27:$B$29)*Table1[[#This Row], [NUM OF MEM]]*(1+_xlfn.XLOOKUP(Table1[[#This Row], [WEAPON]],Sheet1!$A$27:$A$29,Sheet1!$C$27:$C$29))</f>
        <v>69000</v>
      </c>
      <c r="J1467" t="s">
        <v>64</v>
      </c>
      <c r="K1467" s="9">
        <f>Table1[[#This Row], [NUM OF MEM]]*Table1[[#This Row], [TOTAL TIME TAKEN]]*_xlfn.XLOOKUP(Table1[[#This Row], [EXIT]],Sheet1!$A$70:$A$71,Sheet1!$B$70:$B$71)*(1+_xlfn.XLOOKUP(Table1[[#This Row], [EXIT]],Sheet1!$A$70:$A$71,Sheet1!$C$70:$C$71))</f>
        <v>1763251.1999999997</v>
      </c>
      <c r="L1467" s="13" t="s">
        <v>65</v>
      </c>
      <c r="M1467" s="4">
        <f>IF(Table1[[#This Row], [EQUIPMENT]]="YES",Sheet1!$C$44*(1+Sheet1!$D$44),0)</f>
        <v>307500</v>
      </c>
      <c r="N1467" s="4">
        <f>_xlfn.XLOOKUP(Table1[[#This Row], [ROOM]],Sheet1!$A$47:$A$66,Sheet1!$F$47:$F$66)</f>
        <v>17450000</v>
      </c>
      <c r="O1467" s="9">
        <f>_xlfn.XLOOKUP(_xlfn.CONCAT(Table1[[#This Row], [TEAM]],Table1[[#This Row], [ROOM]]),'ROOM TIME'!$H$2:$H$121,'ROOM TIME'!$J$2:$J$121)</f>
        <v>40.401111111111099</v>
      </c>
      <c r="P1467" s="9">
        <f>(INDEX(Sheet1!$X$48:$Z$67,MATCH(Table1[[#This Row], [ROOM]],Sheet1!$P$48:$P$67,0),MATCH(Table1[[#This Row], [WEAPON]],Sheet1!$X$47:$Z$47,0)))/Table1[[#This Row], [NUM OF MEM]]</f>
        <v>4.95</v>
      </c>
      <c r="Q1467" s="9">
        <f>Table1[[#This Row], [ROOM TIME]]+Table1[[#This Row], [GUARD TIME]]</f>
        <v>45.351111111111102</v>
      </c>
      <c r="R1467" s="4">
        <f>Sheet1!$K$3*_xlfn.XLOOKUP(Table1[[#This Row], [DISGUISE]],Sheet1!$A$21:$A$23,Sheet1!$D$21:$D$23)</f>
        <v>69</v>
      </c>
      <c r="S1467" s="9">
        <f>Table1[[#This Row], [TOTAL TIME]]-Table1[[#This Row], [TOTAL TIME TAKEN]]</f>
        <v>23.648888888888898</v>
      </c>
      <c r="T1467" t="str">
        <f>IF(Table1[[#This Row], [TIME DIFFERENCE]]&gt;=0,"PASS","FAIL")</f>
        <v>PASS</v>
      </c>
      <c r="U1467" s="9">
        <f>Table1[[#This Row], [TRC]]+Table1[[#This Row], [DRC]]+Table1[[#This Row], [WRC]]+Table1[[#This Row], [ERC]]+Table1[[#This Row], [EQRC]]</f>
        <v>8166901.1999999993</v>
      </c>
      <c r="V1467" s="9">
        <f>Table1[[#This Row], [TOTAL COST]]+_xlfn.XLOOKUP(Table1[[#This Row], [TEAM]],Sheet1!$A$12:$A$17,Sheet1!$I$12:$I$17)</f>
        <v>8466338.6999999993</v>
      </c>
      <c r="W1467" s="9">
        <f>Table1[[#This Row], [LOOT]]-Table1[[#This Row], [TOTAL COST]]</f>
        <v>9283098.8000000007</v>
      </c>
      <c r="X1467" s="9">
        <f>IF(Table1[[#This Row], [PASS/FAIL]]="FAIL",0,Table1[[#This Row], [PROFIT]])</f>
        <v>9283098.8000000007</v>
      </c>
    </row>
    <row r="1468" spans="1:24" ht="19.5" customHeight="1" x14ac:dyDescent="0.45">
      <c r="A1468" t="s">
        <v>13</v>
      </c>
      <c r="B1468" s="14">
        <f>_xlfn.XLOOKUP(Table1[[#This Row], [TEAM]],Sheet1!$A$12:$A$17,Sheet1!$F$12:$F$17)</f>
        <v>3</v>
      </c>
      <c r="C1468" s="14">
        <f>_xlfn.XLOOKUP(Table1[[#This Row], [TEAM]],Sheet1!$A$12:$A$17,Sheet1!$G$12:$G$17)</f>
        <v>5930000</v>
      </c>
      <c r="D1468" t="s">
        <v>11</v>
      </c>
      <c r="E1468" s="4">
        <f>_xlfn.XLOOKUP(Table1[[#This Row], [ROOM]],Sheet1!$A$47:$A$66,Sheet1!$B$47:$B$66)</f>
        <v>124</v>
      </c>
      <c r="F1468" t="s">
        <v>62</v>
      </c>
      <c r="G146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68" s="13" t="s">
        <v>63</v>
      </c>
      <c r="I1468" s="4">
        <f>_xlfn.XLOOKUP(Table1[[#This Row], [WEAPON]],Sheet1!$A$27:$A$29,Sheet1!$B$27:$B$29)*Table1[[#This Row], [NUM OF MEM]]*(1+_xlfn.XLOOKUP(Table1[[#This Row], [WEAPON]],Sheet1!$A$27:$A$29,Sheet1!$C$27:$C$29))</f>
        <v>69000</v>
      </c>
      <c r="J1468" t="s">
        <v>64</v>
      </c>
      <c r="K1468" s="9">
        <f>Table1[[#This Row], [NUM OF MEM]]*Table1[[#This Row], [TOTAL TIME TAKEN]]*_xlfn.XLOOKUP(Table1[[#This Row], [EXIT]],Sheet1!$A$70:$A$71,Sheet1!$B$70:$B$71)*(1+_xlfn.XLOOKUP(Table1[[#This Row], [EXIT]],Sheet1!$A$70:$A$71,Sheet1!$C$70:$C$71))</f>
        <v>1845676.8</v>
      </c>
      <c r="L1468" s="13" t="s">
        <v>65</v>
      </c>
      <c r="M1468" s="4">
        <f>IF(Table1[[#This Row], [EQUIPMENT]]="YES",Sheet1!$C$44*(1+Sheet1!$D$44),0)</f>
        <v>307500</v>
      </c>
      <c r="N1468" s="4">
        <f>_xlfn.XLOOKUP(Table1[[#This Row], [ROOM]],Sheet1!$A$47:$A$66,Sheet1!$F$47:$F$66)</f>
        <v>17450000</v>
      </c>
      <c r="O1468" s="9">
        <f>_xlfn.XLOOKUP(_xlfn.CONCAT(Table1[[#This Row], [TEAM]],Table1[[#This Row], [ROOM]]),'ROOM TIME'!$H$2:$H$121,'ROOM TIME'!$J$2:$J$121)</f>
        <v>42.521111111111104</v>
      </c>
      <c r="P1468" s="9">
        <f>(INDEX(Sheet1!$X$48:$Z$67,MATCH(Table1[[#This Row], [ROOM]],Sheet1!$P$48:$P$67,0),MATCH(Table1[[#This Row], [WEAPON]],Sheet1!$X$47:$Z$47,0)))/Table1[[#This Row], [NUM OF MEM]]</f>
        <v>4.95</v>
      </c>
      <c r="Q1468" s="9">
        <f>Table1[[#This Row], [ROOM TIME]]+Table1[[#This Row], [GUARD TIME]]</f>
        <v>47.471111111111107</v>
      </c>
      <c r="R1468" s="4">
        <f>Sheet1!$K$3*_xlfn.XLOOKUP(Table1[[#This Row], [DISGUISE]],Sheet1!$A$21:$A$23,Sheet1!$D$21:$D$23)</f>
        <v>66</v>
      </c>
      <c r="S1468" s="9">
        <f>Table1[[#This Row], [TOTAL TIME]]-Table1[[#This Row], [TOTAL TIME TAKEN]]</f>
        <v>18.528888888888893</v>
      </c>
      <c r="T1468" t="str">
        <f>IF(Table1[[#This Row], [TIME DIFFERENCE]]&gt;=0,"PASS","FAIL")</f>
        <v>PASS</v>
      </c>
      <c r="U1468" s="9">
        <f>Table1[[#This Row], [TRC]]+Table1[[#This Row], [DRC]]+Table1[[#This Row], [WRC]]+Table1[[#This Row], [ERC]]+Table1[[#This Row], [EQRC]]</f>
        <v>8167776.7999999998</v>
      </c>
      <c r="V1468" s="9">
        <f>Table1[[#This Row], [TOTAL COST]]+_xlfn.XLOOKUP(Table1[[#This Row], [TEAM]],Sheet1!$A$12:$A$17,Sheet1!$I$12:$I$17)</f>
        <v>8464276.8000000007</v>
      </c>
      <c r="W1468" s="9">
        <f>Table1[[#This Row], [LOOT]]-Table1[[#This Row], [TOTAL COST]]</f>
        <v>9282223.1999999993</v>
      </c>
      <c r="X1468" s="9">
        <f>IF(Table1[[#This Row], [PASS/FAIL]]="FAIL",0,Table1[[#This Row], [PROFIT]])</f>
        <v>9282223.1999999993</v>
      </c>
    </row>
    <row r="1469" spans="1:24" ht="19.5" customHeight="1" x14ac:dyDescent="0.45">
      <c r="A1469" t="s">
        <v>12</v>
      </c>
      <c r="B1469" s="14">
        <f>_xlfn.XLOOKUP(Table1[[#This Row], [TEAM]],Sheet1!$A$12:$A$17,Sheet1!$F$12:$F$17)</f>
        <v>3</v>
      </c>
      <c r="C1469" s="14">
        <f>_xlfn.XLOOKUP(Table1[[#This Row], [TEAM]],Sheet1!$A$12:$A$17,Sheet1!$G$12:$G$17)</f>
        <v>5988750</v>
      </c>
      <c r="D1469" t="s">
        <v>11</v>
      </c>
      <c r="E1469" s="4">
        <f>_xlfn.XLOOKUP(Table1[[#This Row], [ROOM]],Sheet1!$A$47:$A$66,Sheet1!$B$47:$B$66)</f>
        <v>124</v>
      </c>
      <c r="F1469" t="s">
        <v>62</v>
      </c>
      <c r="G1469" s="4">
        <f>_xlfn.XLOOKUP(Table1[[#This Row], [DISGUISE]],Sheet1!$A$21:$A$23,Sheet1!$B$21:$B$23)*Table1[[#This Row], [NUM OF MEM]]*(1+_xlfn.XLOOKUP(Table1[[#This Row], [DISGUISE]],Sheet1!$A$21:$A$23,Sheet1!$C$21:$C$23))</f>
        <v>15600</v>
      </c>
      <c r="H1469" s="13" t="s">
        <v>66</v>
      </c>
      <c r="I1469" s="4">
        <f>_xlfn.XLOOKUP(Table1[[#This Row], [WEAPON]],Sheet1!$A$27:$A$29,Sheet1!$B$27:$B$29)*Table1[[#This Row], [NUM OF MEM]]*(1+_xlfn.XLOOKUP(Table1[[#This Row], [WEAPON]],Sheet1!$A$27:$A$29,Sheet1!$C$27:$C$29))</f>
        <v>108000</v>
      </c>
      <c r="J1469" t="s">
        <v>64</v>
      </c>
      <c r="K1469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1748995.1999999997</v>
      </c>
      <c r="L1469" s="13" t="s">
        <v>65</v>
      </c>
      <c r="M1469" s="4">
        <f>IF(Table1[[#This Row], [EQUIPMENT]]="YES",Sheet1!$C$44*(1+Sheet1!$D$44),0)</f>
        <v>307500</v>
      </c>
      <c r="N1469" s="4">
        <f>_xlfn.XLOOKUP(Table1[[#This Row], [ROOM]],Sheet1!$A$47:$A$66,Sheet1!$F$47:$F$66)</f>
        <v>17450000</v>
      </c>
      <c r="O1469" s="9">
        <f>_xlfn.XLOOKUP(_xlfn.CONCAT(Table1[[#This Row], [TEAM]],Table1[[#This Row], [ROOM]]),'ROOM TIME'!$H$2:$H$121,'ROOM TIME'!$J$2:$J$121)</f>
        <v>40.401111111111099</v>
      </c>
      <c r="P1469" s="9">
        <f>(INDEX(Sheet1!$X$48:$Z$67,MATCH(Table1[[#This Row], [ROOM]],Sheet1!$P$48:$P$67,0),MATCH(Table1[[#This Row], [WEAPON]],Sheet1!$X$47:$Z$47,0)))/Table1[[#This Row], [NUM OF MEM]]</f>
        <v>4.583333333333333</v>
      </c>
      <c r="Q1469" s="9">
        <f>Table1[[#This Row], [ROOM TIME]]+Table1[[#This Row], [GUARD TIME]]</f>
        <v>44.984444444444435</v>
      </c>
      <c r="R1469" s="4">
        <f>Sheet1!$K$3*_xlfn.XLOOKUP(Table1[[#This Row], [DISGUISE]],Sheet1!$A$21:$A$23,Sheet1!$D$21:$D$23)</f>
        <v>66</v>
      </c>
      <c r="S1469" s="9">
        <f>Table1[[#This Row], [TOTAL TIME]]-Table1[[#This Row], [TOTAL TIME TAKEN]]</f>
        <v>21.015555555555565</v>
      </c>
      <c r="T1469" t="str">
        <f>IF(Table1[[#This Row], [TIME DIFFERENCE]]&gt;=0,"PASS","FAIL")</f>
        <v>PASS</v>
      </c>
      <c r="U1469" s="9">
        <f>Table1[[#This Row], [TRC]]+Table1[[#This Row], [DRC]]+Table1[[#This Row], [WRC]]+Table1[[#This Row], [ERC]]+Table1[[#This Row], [EQRC]]</f>
        <v>8168845.1999999993</v>
      </c>
      <c r="V1469" s="9">
        <f>Table1[[#This Row], [TOTAL COST]]+_xlfn.XLOOKUP(Table1[[#This Row], [TEAM]],Sheet1!$A$12:$A$17,Sheet1!$I$12:$I$17)</f>
        <v>8468282.6999999993</v>
      </c>
      <c r="W1469" s="9">
        <f>Table1[[#This Row], [LOOT]]-Table1[[#This Row], [TOTAL COST]]</f>
        <v>9281154.8000000007</v>
      </c>
      <c r="X1469" s="9">
        <f>IF(Table1[[#This Row], [PASS/FAIL]]="FAIL",0,Table1[[#This Row], [PROFIT]])</f>
        <v>9281154.8000000007</v>
      </c>
    </row>
    <row r="1470" spans="1:24" ht="19.5" customHeight="1" x14ac:dyDescent="0.45">
      <c r="A1470" t="s">
        <v>9</v>
      </c>
      <c r="B1470" s="14">
        <f>_xlfn.XLOOKUP(Table1[[#This Row], [TEAM]],Sheet1!$A$12:$A$17,Sheet1!$F$12:$F$17)</f>
        <v>3</v>
      </c>
      <c r="C1470" s="14">
        <f>_xlfn.XLOOKUP(Table1[[#This Row], [TEAM]],Sheet1!$A$12:$A$17,Sheet1!$G$12:$G$17)</f>
        <v>6238750</v>
      </c>
      <c r="D1470" t="s">
        <v>31</v>
      </c>
      <c r="E1470" s="4">
        <f>_xlfn.XLOOKUP(Table1[[#This Row], [ROOM]],Sheet1!$A$47:$A$66,Sheet1!$B$47:$B$66)</f>
        <v>256</v>
      </c>
      <c r="F1470" t="s">
        <v>62</v>
      </c>
      <c r="G147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70" s="13" t="s">
        <v>63</v>
      </c>
      <c r="I1470" s="4">
        <f>_xlfn.XLOOKUP(Table1[[#This Row], [WEAPON]],Sheet1!$A$27:$A$29,Sheet1!$B$27:$B$29)*Table1[[#This Row], [NUM OF MEM]]*(1+_xlfn.XLOOKUP(Table1[[#This Row], [WEAPON]],Sheet1!$A$27:$A$29,Sheet1!$C$27:$C$29))</f>
        <v>69000</v>
      </c>
      <c r="J1470" t="s">
        <v>64</v>
      </c>
      <c r="K1470" s="9">
        <f>Table1[[#This Row], [NUM OF MEM]]*Table1[[#This Row], [TOTAL TIME TAKEN]]*_xlfn.XLOOKUP(Table1[[#This Row], [EXIT]],Sheet1!$A$70:$A$71,Sheet1!$B$70:$B$71)*(1+_xlfn.XLOOKUP(Table1[[#This Row], [EXIT]],Sheet1!$A$70:$A$71,Sheet1!$C$70:$C$71))</f>
        <v>1588247.9999999998</v>
      </c>
      <c r="L1470" s="13" t="s">
        <v>65</v>
      </c>
      <c r="M1470" s="4">
        <f>IF(Table1[[#This Row], [EQUIPMENT]]="YES",Sheet1!$C$44*(1+Sheet1!$D$44),0)</f>
        <v>307500</v>
      </c>
      <c r="N1470" s="4">
        <f>_xlfn.XLOOKUP(Table1[[#This Row], [ROOM]],Sheet1!$A$47:$A$66,Sheet1!$F$47:$F$66)</f>
        <v>17500000</v>
      </c>
      <c r="O1470" s="9">
        <f>_xlfn.XLOOKUP(_xlfn.CONCAT(Table1[[#This Row], [TEAM]],Table1[[#This Row], [ROOM]]),'ROOM TIME'!$H$2:$H$121,'ROOM TIME'!$J$2:$J$121)</f>
        <v>35.899999999999991</v>
      </c>
      <c r="P1470" s="9">
        <f>(INDEX(Sheet1!$X$48:$Z$67,MATCH(Table1[[#This Row], [ROOM]],Sheet1!$P$48:$P$67,0),MATCH(Table1[[#This Row], [WEAPON]],Sheet1!$X$47:$Z$47,0)))/Table1[[#This Row], [NUM OF MEM]]</f>
        <v>4.95</v>
      </c>
      <c r="Q1470" s="9">
        <f>Table1[[#This Row], [ROOM TIME]]+Table1[[#This Row], [GUARD TIME]]</f>
        <v>40.849999999999994</v>
      </c>
      <c r="R1470" s="4">
        <f>Sheet1!$K$3*_xlfn.XLOOKUP(Table1[[#This Row], [DISGUISE]],Sheet1!$A$21:$A$23,Sheet1!$D$21:$D$23)</f>
        <v>66</v>
      </c>
      <c r="S1470" s="9">
        <f>Table1[[#This Row], [TOTAL TIME]]-Table1[[#This Row], [TOTAL TIME TAKEN]]</f>
        <v>25.150000000000006</v>
      </c>
      <c r="T1470" t="str">
        <f>IF(Table1[[#This Row], [TIME DIFFERENCE]]&gt;=0,"PASS","FAIL")</f>
        <v>PASS</v>
      </c>
      <c r="U1470" s="4">
        <f>Table1[[#This Row], [TRC]]+Table1[[#This Row], [DRC]]+Table1[[#This Row], [WRC]]+Table1[[#This Row], [ERC]]+Table1[[#This Row], [EQRC]]</f>
        <v>8219098</v>
      </c>
      <c r="V1470" s="9">
        <f>Table1[[#This Row], [TOTAL COST]]+_xlfn.XLOOKUP(Table1[[#This Row], [TEAM]],Sheet1!$A$12:$A$17,Sheet1!$I$12:$I$17)</f>
        <v>8531035.5</v>
      </c>
      <c r="W1470" s="4">
        <f>Table1[[#This Row], [LOOT]]-Table1[[#This Row], [TOTAL COST]]</f>
        <v>9280902</v>
      </c>
      <c r="X1470" s="4">
        <f>IF(Table1[[#This Row], [PASS/FAIL]]="FAIL",0,Table1[[#This Row], [PROFIT]])</f>
        <v>9280902</v>
      </c>
    </row>
    <row r="1471" spans="1:24" ht="19.5" customHeight="1" x14ac:dyDescent="0.45">
      <c r="A1471" t="s">
        <v>9</v>
      </c>
      <c r="B1471" s="14">
        <f>_xlfn.XLOOKUP(Table1[[#This Row], [TEAM]],Sheet1!$A$12:$A$17,Sheet1!$F$12:$F$17)</f>
        <v>3</v>
      </c>
      <c r="C1471" s="14">
        <f>_xlfn.XLOOKUP(Table1[[#This Row], [TEAM]],Sheet1!$A$12:$A$17,Sheet1!$G$12:$G$17)</f>
        <v>6238750</v>
      </c>
      <c r="D1471" t="s">
        <v>25</v>
      </c>
      <c r="E1471" s="4">
        <f>_xlfn.XLOOKUP(Table1[[#This Row], [ROOM]],Sheet1!$A$47:$A$66,Sheet1!$B$47:$B$66)</f>
        <v>126</v>
      </c>
      <c r="F1471" t="s">
        <v>62</v>
      </c>
      <c r="G1471" s="4">
        <f>_xlfn.XLOOKUP(Table1[[#This Row], [DISGUISE]],Sheet1!$A$21:$A$23,Sheet1!$B$21:$B$23)*Table1[[#This Row], [NUM OF MEM]]*(1+_xlfn.XLOOKUP(Table1[[#This Row], [DISGUISE]],Sheet1!$A$21:$A$23,Sheet1!$C$21:$C$23))</f>
        <v>15600</v>
      </c>
      <c r="H1471" s="13" t="s">
        <v>59</v>
      </c>
      <c r="I1471" s="4">
        <f>_xlfn.XLOOKUP(Table1[[#This Row], [WEAPON]],Sheet1!$A$27:$A$29,Sheet1!$B$27:$B$29)*Table1[[#This Row], [NUM OF MEM]]*(1+_xlfn.XLOOKUP(Table1[[#This Row], [WEAPON]],Sheet1!$A$27:$A$29,Sheet1!$C$27:$C$29))</f>
        <v>136500</v>
      </c>
      <c r="J1471" t="s">
        <v>64</v>
      </c>
      <c r="K1471" s="9">
        <f>Table1[[#This Row], [NUM OF MEM]]*Table1[[#This Row], [TOTAL TIME TAKEN]]*_xlfn.XLOOKUP(Table1[[#This Row], [EXIT]],Sheet1!$A$70:$A$71,Sheet1!$B$70:$B$71)*(1+_xlfn.XLOOKUP(Table1[[#This Row], [EXIT]],Sheet1!$A$70:$A$71,Sheet1!$C$70:$C$71))</f>
        <v>1571075.9999999993</v>
      </c>
      <c r="L1471" s="13" t="s">
        <v>65</v>
      </c>
      <c r="M1471" s="4">
        <f>IF(Table1[[#This Row], [EQUIPMENT]]="YES",Sheet1!$C$44*(1+Sheet1!$D$44),0)</f>
        <v>307500</v>
      </c>
      <c r="N1471" s="4">
        <f>_xlfn.XLOOKUP(Table1[[#This Row], [ROOM]],Sheet1!$A$47:$A$66,Sheet1!$F$47:$F$66)</f>
        <v>17550000</v>
      </c>
      <c r="O1471" s="9">
        <f>_xlfn.XLOOKUP(_xlfn.CONCAT(Table1[[#This Row], [TEAM]],Table1[[#This Row], [ROOM]]),'ROOM TIME'!$H$2:$H$121,'ROOM TIME'!$J$2:$J$121)</f>
        <v>36.191666666666656</v>
      </c>
      <c r="P1471" s="9">
        <f>(INDEX(Sheet1!$X$48:$Z$67,MATCH(Table1[[#This Row], [ROOM]],Sheet1!$P$48:$P$67,0),MATCH(Table1[[#This Row], [WEAPON]],Sheet1!$X$47:$Z$47,0)))/Table1[[#This Row], [NUM OF MEM]]</f>
        <v>4.2166666666666659</v>
      </c>
      <c r="Q1471" s="9">
        <f>Table1[[#This Row], [ROOM TIME]]+Table1[[#This Row], [GUARD TIME]]</f>
        <v>40.408333333333324</v>
      </c>
      <c r="R1471" s="4">
        <f>Sheet1!$K$3*_xlfn.XLOOKUP(Table1[[#This Row], [DISGUISE]],Sheet1!$A$21:$A$23,Sheet1!$D$21:$D$23)</f>
        <v>66</v>
      </c>
      <c r="S1471" s="9">
        <f>Table1[[#This Row], [TOTAL TIME]]-Table1[[#This Row], [TOTAL TIME TAKEN]]</f>
        <v>25.591666666666676</v>
      </c>
      <c r="T1471" t="str">
        <f>IF(Table1[[#This Row], [TIME DIFFERENCE]]&gt;=0,"PASS","FAIL")</f>
        <v>PASS</v>
      </c>
      <c r="U1471" s="9">
        <f>Table1[[#This Row], [TRC]]+Table1[[#This Row], [DRC]]+Table1[[#This Row], [WRC]]+Table1[[#This Row], [ERC]]+Table1[[#This Row], [EQRC]]</f>
        <v>8269425.9999999991</v>
      </c>
      <c r="V1471" s="9">
        <f>Table1[[#This Row], [TOTAL COST]]+_xlfn.XLOOKUP(Table1[[#This Row], [TEAM]],Sheet1!$A$12:$A$17,Sheet1!$I$12:$I$17)</f>
        <v>8581363.5</v>
      </c>
      <c r="W1471" s="4">
        <f>Table1[[#This Row], [LOOT]]-Table1[[#This Row], [TOTAL COST]]</f>
        <v>9280574</v>
      </c>
      <c r="X1471" s="4">
        <f>IF(Table1[[#This Row], [PASS/FAIL]]="FAIL",0,Table1[[#This Row], [PROFIT]])</f>
        <v>9280574</v>
      </c>
    </row>
    <row r="1472" spans="1:24" ht="19.5" customHeight="1" x14ac:dyDescent="0.45">
      <c r="A1472" t="s">
        <v>15</v>
      </c>
      <c r="B1472" s="14">
        <f>_xlfn.XLOOKUP(Table1[[#This Row], [TEAM]],Sheet1!$A$12:$A$17,Sheet1!$F$12:$F$17)</f>
        <v>2</v>
      </c>
      <c r="C1472" s="14">
        <f>_xlfn.XLOOKUP(Table1[[#This Row], [TEAM]],Sheet1!$A$12:$A$17,Sheet1!$G$12:$G$17)</f>
        <v>5932950</v>
      </c>
      <c r="D1472" t="s">
        <v>17</v>
      </c>
      <c r="E1472" s="4">
        <f>_xlfn.XLOOKUP(Table1[[#This Row], [ROOM]],Sheet1!$A$47:$A$66,Sheet1!$B$47:$B$66)</f>
        <v>125</v>
      </c>
      <c r="F1472" t="s">
        <v>58</v>
      </c>
      <c r="G1472" s="4">
        <f>_xlfn.XLOOKUP(Table1[[#This Row], [DISGUISE]],Sheet1!$A$21:$A$23,Sheet1!$B$21:$B$23)*Table1[[#This Row], [NUM OF MEM]]*(1+_xlfn.XLOOKUP(Table1[[#This Row], [DISGUISE]],Sheet1!$A$21:$A$23,Sheet1!$C$21:$C$23))</f>
        <v>25600</v>
      </c>
      <c r="H1472" s="13" t="s">
        <v>59</v>
      </c>
      <c r="I1472" s="4">
        <f>_xlfn.XLOOKUP(Table1[[#This Row], [WEAPON]],Sheet1!$A$27:$A$29,Sheet1!$B$27:$B$29)*Table1[[#This Row], [NUM OF MEM]]*(1+_xlfn.XLOOKUP(Table1[[#This Row], [WEAPON]],Sheet1!$A$27:$A$29,Sheet1!$C$27:$C$29))</f>
        <v>91000</v>
      </c>
      <c r="J1472" t="s">
        <v>64</v>
      </c>
      <c r="K1472" s="9">
        <f>Table1[[#This Row], [NUM OF MEM]]*Table1[[#This Row], [TOTAL TIME TAKEN]]*_xlfn.XLOOKUP(Table1[[#This Row], [EXIT]],Sheet1!$A$70:$A$71,Sheet1!$B$70:$B$71)*(1+_xlfn.XLOOKUP(Table1[[#This Row], [EXIT]],Sheet1!$A$70:$A$71,Sheet1!$C$70:$C$71))</f>
        <v>1713376.7999999996</v>
      </c>
      <c r="L1472" s="13" t="s">
        <v>65</v>
      </c>
      <c r="M1472" s="4">
        <f>IF(Table1[[#This Row], [EQUIPMENT]]="YES",Sheet1!$C$44*(1+Sheet1!$D$44),0)</f>
        <v>307500</v>
      </c>
      <c r="N1472" s="4">
        <f>_xlfn.XLOOKUP(Table1[[#This Row], [ROOM]],Sheet1!$A$47:$A$66,Sheet1!$F$47:$F$66)</f>
        <v>17350000</v>
      </c>
      <c r="O1472" s="9">
        <f>_xlfn.XLOOKUP(_xlfn.CONCAT(Table1[[#This Row], [TEAM]],Table1[[#This Row], [ROOM]]),'ROOM TIME'!$H$2:$H$121,'ROOM TIME'!$J$2:$J$121)</f>
        <v>60.352499999999985</v>
      </c>
      <c r="P1472" s="9">
        <f>(INDEX(Sheet1!$X$48:$Z$67,MATCH(Table1[[#This Row], [ROOM]],Sheet1!$P$48:$P$67,0),MATCH(Table1[[#This Row], [WEAPON]],Sheet1!$X$47:$Z$47,0)))/Table1[[#This Row], [NUM OF MEM]]</f>
        <v>5.75</v>
      </c>
      <c r="Q1472" s="9">
        <f>Table1[[#This Row], [ROOM TIME]]+Table1[[#This Row], [GUARD TIME]]</f>
        <v>66.102499999999992</v>
      </c>
      <c r="R1472" s="4">
        <f>Sheet1!$K$3*_xlfn.XLOOKUP(Table1[[#This Row], [DISGUISE]],Sheet1!$A$21:$A$23,Sheet1!$D$21:$D$23)</f>
        <v>69</v>
      </c>
      <c r="S1472" s="9">
        <f>Table1[[#This Row], [TOTAL TIME]]-Table1[[#This Row], [TOTAL TIME TAKEN]]</f>
        <v>2.897500000000008</v>
      </c>
      <c r="T1472" t="str">
        <f>IF(Table1[[#This Row], [TIME DIFFERENCE]]&gt;=0,"PASS","FAIL")</f>
        <v>PASS</v>
      </c>
      <c r="U1472" s="9">
        <f>Table1[[#This Row], [TRC]]+Table1[[#This Row], [DRC]]+Table1[[#This Row], [WRC]]+Table1[[#This Row], [ERC]]+Table1[[#This Row], [EQRC]]</f>
        <v>8070426.7999999998</v>
      </c>
      <c r="V1472" s="9">
        <f>Table1[[#This Row], [TOTAL COST]]+_xlfn.XLOOKUP(Table1[[#This Row], [TEAM]],Sheet1!$A$12:$A$17,Sheet1!$I$12:$I$17)</f>
        <v>8367074.2999999998</v>
      </c>
      <c r="W1472" s="9">
        <f>Table1[[#This Row], [LOOT]]-Table1[[#This Row], [TOTAL COST]]</f>
        <v>9279573.1999999993</v>
      </c>
      <c r="X1472" s="9">
        <f>IF(Table1[[#This Row], [PASS/FAIL]]="FAIL",0,Table1[[#This Row], [PROFIT]])</f>
        <v>9279573.1999999993</v>
      </c>
    </row>
    <row r="1473" spans="1:24" ht="19.5" customHeight="1" x14ac:dyDescent="0.45">
      <c r="A1473" t="s">
        <v>14</v>
      </c>
      <c r="B1473" s="14">
        <f>_xlfn.XLOOKUP(Table1[[#This Row], [TEAM]],Sheet1!$A$12:$A$17,Sheet1!$F$12:$F$17)</f>
        <v>2</v>
      </c>
      <c r="C1473" s="14">
        <f>_xlfn.XLOOKUP(Table1[[#This Row], [TEAM]],Sheet1!$A$12:$A$17,Sheet1!$G$12:$G$17)</f>
        <v>5949600</v>
      </c>
      <c r="D1473" t="s">
        <v>17</v>
      </c>
      <c r="E1473" s="4">
        <f>_xlfn.XLOOKUP(Table1[[#This Row], [ROOM]],Sheet1!$A$47:$A$66,Sheet1!$B$47:$B$66)</f>
        <v>125</v>
      </c>
      <c r="F1473" t="s">
        <v>58</v>
      </c>
      <c r="G1473" s="4">
        <f>_xlfn.XLOOKUP(Table1[[#This Row], [DISGUISE]],Sheet1!$A$21:$A$23,Sheet1!$B$21:$B$23)*Table1[[#This Row], [NUM OF MEM]]*(1+_xlfn.XLOOKUP(Table1[[#This Row], [DISGUISE]],Sheet1!$A$21:$A$23,Sheet1!$C$21:$C$23))</f>
        <v>25600</v>
      </c>
      <c r="H1473" s="13" t="s">
        <v>66</v>
      </c>
      <c r="I1473" s="4">
        <f>_xlfn.XLOOKUP(Table1[[#This Row], [WEAPON]],Sheet1!$A$27:$A$29,Sheet1!$B$27:$B$29)*Table1[[#This Row], [NUM OF MEM]]*(1+_xlfn.XLOOKUP(Table1[[#This Row], [WEAPON]],Sheet1!$A$27:$A$29,Sheet1!$C$27:$C$29))</f>
        <v>72000</v>
      </c>
      <c r="J1473" t="s">
        <v>60</v>
      </c>
      <c r="K1473" s="9">
        <f>Table1[[#This Row], [NUM OF MEM]]*Table1[[#This Row], [TOTAL TIME TAKEN]]*_xlfn.XLOOKUP(Table1[[#This Row], [EXIT]],Sheet1!$A$70:$A$71,Sheet1!$B$70:$B$71)*(1+_xlfn.XLOOKUP(Table1[[#This Row], [EXIT]],Sheet1!$A$70:$A$71,Sheet1!$C$70:$C$71))</f>
        <v>1717052.6624999996</v>
      </c>
      <c r="L1473" s="13" t="s">
        <v>65</v>
      </c>
      <c r="M1473" s="4">
        <f>IF(Table1[[#This Row], [EQUIPMENT]]="YES",Sheet1!$C$44*(1+Sheet1!$D$44),0)</f>
        <v>307500</v>
      </c>
      <c r="N1473" s="4">
        <f>_xlfn.XLOOKUP(Table1[[#This Row], [ROOM]],Sheet1!$A$47:$A$66,Sheet1!$F$47:$F$66)</f>
        <v>17350000</v>
      </c>
      <c r="O1473" s="9">
        <f>_xlfn.XLOOKUP(_xlfn.CONCAT(Table1[[#This Row], [TEAM]],Table1[[#This Row], [ROOM]]),'ROOM TIME'!$H$2:$H$121,'ROOM TIME'!$J$2:$J$121)</f>
        <v>60.652499999999989</v>
      </c>
      <c r="P1473" s="9">
        <f>(INDEX(Sheet1!$X$48:$Z$67,MATCH(Table1[[#This Row], [ROOM]],Sheet1!$P$48:$P$67,0),MATCH(Table1[[#This Row], [WEAPON]],Sheet1!$X$47:$Z$47,0)))/Table1[[#This Row], [NUM OF MEM]]</f>
        <v>6.25</v>
      </c>
      <c r="Q1473" s="9">
        <f>Table1[[#This Row], [ROOM TIME]]+Table1[[#This Row], [GUARD TIME]]</f>
        <v>66.902499999999989</v>
      </c>
      <c r="R1473" s="4">
        <f>Sheet1!$K$3*_xlfn.XLOOKUP(Table1[[#This Row], [DISGUISE]],Sheet1!$A$21:$A$23,Sheet1!$D$21:$D$23)</f>
        <v>69</v>
      </c>
      <c r="S1473" s="9">
        <f>Table1[[#This Row], [TOTAL TIME]]-Table1[[#This Row], [TOTAL TIME TAKEN]]</f>
        <v>2.0975000000000108</v>
      </c>
      <c r="T1473" t="str">
        <f>IF(Table1[[#This Row], [TIME DIFFERENCE]]&gt;=0,"PASS","FAIL")</f>
        <v>PASS</v>
      </c>
      <c r="U1473" s="9">
        <f>Table1[[#This Row], [TRC]]+Table1[[#This Row], [DRC]]+Table1[[#This Row], [WRC]]+Table1[[#This Row], [ERC]]+Table1[[#This Row], [EQRC]]</f>
        <v>8071752.6624999996</v>
      </c>
      <c r="V1473" s="9">
        <f>Table1[[#This Row], [TOTAL COST]]+_xlfn.XLOOKUP(Table1[[#This Row], [TEAM]],Sheet1!$A$12:$A$17,Sheet1!$I$12:$I$17)</f>
        <v>8369232.6624999996</v>
      </c>
      <c r="W1473" s="9">
        <f>Table1[[#This Row], [LOOT]]-Table1[[#This Row], [TOTAL COST]]</f>
        <v>9278247.3375000004</v>
      </c>
      <c r="X1473" s="9">
        <f>IF(Table1[[#This Row], [PASS/FAIL]]="FAIL",0,Table1[[#This Row], [PROFIT]])</f>
        <v>9278247.3375000004</v>
      </c>
    </row>
    <row r="1474" spans="1:24" ht="19.5" customHeight="1" x14ac:dyDescent="0.45">
      <c r="A1474" t="s">
        <v>13</v>
      </c>
      <c r="B1474" s="14">
        <f>_xlfn.XLOOKUP(Table1[[#This Row], [TEAM]],Sheet1!$A$12:$A$17,Sheet1!$F$12:$F$17)</f>
        <v>3</v>
      </c>
      <c r="C1474" s="14">
        <f>_xlfn.XLOOKUP(Table1[[#This Row], [TEAM]],Sheet1!$A$12:$A$17,Sheet1!$G$12:$G$17)</f>
        <v>5930000</v>
      </c>
      <c r="D1474" t="s">
        <v>11</v>
      </c>
      <c r="E1474" s="4">
        <f>_xlfn.XLOOKUP(Table1[[#This Row], [ROOM]],Sheet1!$A$47:$A$66,Sheet1!$B$47:$B$66)</f>
        <v>124</v>
      </c>
      <c r="F1474" t="s">
        <v>58</v>
      </c>
      <c r="G1474" s="4">
        <f>_xlfn.XLOOKUP(Table1[[#This Row], [DISGUISE]],Sheet1!$A$21:$A$23,Sheet1!$B$21:$B$23)*Table1[[#This Row], [NUM OF MEM]]*(1+_xlfn.XLOOKUP(Table1[[#This Row], [DISGUISE]],Sheet1!$A$21:$A$23,Sheet1!$C$21:$C$23))</f>
        <v>38400</v>
      </c>
      <c r="H1474" s="13" t="s">
        <v>63</v>
      </c>
      <c r="I1474" s="4">
        <f>_xlfn.XLOOKUP(Table1[[#This Row], [WEAPON]],Sheet1!$A$27:$A$29,Sheet1!$B$27:$B$29)*Table1[[#This Row], [NUM OF MEM]]*(1+_xlfn.XLOOKUP(Table1[[#This Row], [WEAPON]],Sheet1!$A$27:$A$29,Sheet1!$C$27:$C$29))</f>
        <v>69000</v>
      </c>
      <c r="J1474" t="s">
        <v>60</v>
      </c>
      <c r="K1474" s="9">
        <f>Table1[[#This Row], [NUM OF MEM]]*Table1[[#This Row], [TOTAL TIME TAKEN]]*_xlfn.XLOOKUP(Table1[[#This Row], [EXIT]],Sheet1!$A$70:$A$71,Sheet1!$B$70:$B$71)*(1+_xlfn.XLOOKUP(Table1[[#This Row], [EXIT]],Sheet1!$A$70:$A$71,Sheet1!$C$70:$C$71))</f>
        <v>1827519.0999999999</v>
      </c>
      <c r="L1474" s="13" t="s">
        <v>65</v>
      </c>
      <c r="M1474" s="4">
        <f>IF(Table1[[#This Row], [EQUIPMENT]]="YES",Sheet1!$C$44*(1+Sheet1!$D$44),0)</f>
        <v>307500</v>
      </c>
      <c r="N1474" s="4">
        <f>_xlfn.XLOOKUP(Table1[[#This Row], [ROOM]],Sheet1!$A$47:$A$66,Sheet1!$F$47:$F$66)</f>
        <v>17450000</v>
      </c>
      <c r="O1474" s="9">
        <f>_xlfn.XLOOKUP(_xlfn.CONCAT(Table1[[#This Row], [TEAM]],Table1[[#This Row], [ROOM]]),'ROOM TIME'!$H$2:$H$121,'ROOM TIME'!$J$2:$J$121)</f>
        <v>42.521111111111104</v>
      </c>
      <c r="P1474" s="9">
        <f>(INDEX(Sheet1!$X$48:$Z$67,MATCH(Table1[[#This Row], [ROOM]],Sheet1!$P$48:$P$67,0),MATCH(Table1[[#This Row], [WEAPON]],Sheet1!$X$47:$Z$47,0)))/Table1[[#This Row], [NUM OF MEM]]</f>
        <v>4.95</v>
      </c>
      <c r="Q1474" s="9">
        <f>Table1[[#This Row], [ROOM TIME]]+Table1[[#This Row], [GUARD TIME]]</f>
        <v>47.471111111111107</v>
      </c>
      <c r="R1474" s="4">
        <f>Sheet1!$K$3*_xlfn.XLOOKUP(Table1[[#This Row], [DISGUISE]],Sheet1!$A$21:$A$23,Sheet1!$D$21:$D$23)</f>
        <v>69</v>
      </c>
      <c r="S1474" s="9">
        <f>Table1[[#This Row], [TOTAL TIME]]-Table1[[#This Row], [TOTAL TIME TAKEN]]</f>
        <v>21.528888888888893</v>
      </c>
      <c r="T1474" t="str">
        <f>IF(Table1[[#This Row], [TIME DIFFERENCE]]&gt;=0,"PASS","FAIL")</f>
        <v>PASS</v>
      </c>
      <c r="U1474" s="9">
        <f>Table1[[#This Row], [TRC]]+Table1[[#This Row], [DRC]]+Table1[[#This Row], [WRC]]+Table1[[#This Row], [ERC]]+Table1[[#This Row], [EQRC]]</f>
        <v>8172419.0999999996</v>
      </c>
      <c r="V1474" s="9">
        <f>Table1[[#This Row], [TOTAL COST]]+_xlfn.XLOOKUP(Table1[[#This Row], [TEAM]],Sheet1!$A$12:$A$17,Sheet1!$I$12:$I$17)</f>
        <v>8468919.0999999996</v>
      </c>
      <c r="W1474" s="9">
        <f>Table1[[#This Row], [LOOT]]-Table1[[#This Row], [TOTAL COST]]</f>
        <v>9277580.9000000004</v>
      </c>
      <c r="X1474" s="9">
        <f>IF(Table1[[#This Row], [PASS/FAIL]]="FAIL",0,Table1[[#This Row], [PROFIT]])</f>
        <v>9277580.9000000004</v>
      </c>
    </row>
    <row r="1475" spans="1:24" ht="19.5" customHeight="1" x14ac:dyDescent="0.45">
      <c r="A1475" t="s">
        <v>9</v>
      </c>
      <c r="B1475" s="14">
        <f>_xlfn.XLOOKUP(Table1[[#This Row], [TEAM]],Sheet1!$A$12:$A$17,Sheet1!$F$12:$F$17)</f>
        <v>3</v>
      </c>
      <c r="C1475" s="14">
        <f>_xlfn.XLOOKUP(Table1[[#This Row], [TEAM]],Sheet1!$A$12:$A$17,Sheet1!$G$12:$G$17)</f>
        <v>6238750</v>
      </c>
      <c r="D1475" t="s">
        <v>20</v>
      </c>
      <c r="E1475" s="4">
        <f>_xlfn.XLOOKUP(Table1[[#This Row], [ROOM]],Sheet1!$A$47:$A$66,Sheet1!$B$47:$B$66)</f>
        <v>145</v>
      </c>
      <c r="F1475" t="s">
        <v>62</v>
      </c>
      <c r="G1475" s="4">
        <f>_xlfn.XLOOKUP(Table1[[#This Row], [DISGUISE]],Sheet1!$A$21:$A$23,Sheet1!$B$21:$B$23)*Table1[[#This Row], [NUM OF MEM]]*(1+_xlfn.XLOOKUP(Table1[[#This Row], [DISGUISE]],Sheet1!$A$21:$A$23,Sheet1!$C$21:$C$23))</f>
        <v>15600</v>
      </c>
      <c r="H1475" s="13" t="s">
        <v>63</v>
      </c>
      <c r="I1475" s="4">
        <f>_xlfn.XLOOKUP(Table1[[#This Row], [WEAPON]],Sheet1!$A$27:$A$29,Sheet1!$B$27:$B$29)*Table1[[#This Row], [NUM OF MEM]]*(1+_xlfn.XLOOKUP(Table1[[#This Row], [WEAPON]],Sheet1!$A$27:$A$29,Sheet1!$C$27:$C$29))</f>
        <v>69000</v>
      </c>
      <c r="J1475" t="s">
        <v>64</v>
      </c>
      <c r="K1475" s="9">
        <f>Table1[[#This Row], [NUM OF MEM]]*Table1[[#This Row], [TOTAL TIME TAKEN]]*_xlfn.XLOOKUP(Table1[[#This Row], [EXIT]],Sheet1!$A$70:$A$71,Sheet1!$B$70:$B$71)*(1+_xlfn.XLOOKUP(Table1[[#This Row], [EXIT]],Sheet1!$A$70:$A$71,Sheet1!$C$70:$C$71))</f>
        <v>1643306.3999999997</v>
      </c>
      <c r="L1475" s="13" t="s">
        <v>65</v>
      </c>
      <c r="M1475" s="4">
        <f>IF(Table1[[#This Row], [EQUIPMENT]]="YES",Sheet1!$C$44*(1+Sheet1!$D$44),0)</f>
        <v>307500</v>
      </c>
      <c r="N1475" s="4">
        <f>_xlfn.XLOOKUP(Table1[[#This Row], [ROOM]],Sheet1!$A$47:$A$66,Sheet1!$F$47:$F$66)</f>
        <v>17550000</v>
      </c>
      <c r="O1475" s="9">
        <f>_xlfn.XLOOKUP(_xlfn.CONCAT(Table1[[#This Row], [TEAM]],Table1[[#This Row], [ROOM]]),'ROOM TIME'!$H$2:$H$121,'ROOM TIME'!$J$2:$J$121)</f>
        <v>37.766111111111101</v>
      </c>
      <c r="P1475" s="9">
        <f>(INDEX(Sheet1!$X$48:$Z$67,MATCH(Table1[[#This Row], [ROOM]],Sheet1!$P$48:$P$67,0),MATCH(Table1[[#This Row], [WEAPON]],Sheet1!$X$47:$Z$47,0)))/Table1[[#This Row], [NUM OF MEM]]</f>
        <v>4.5</v>
      </c>
      <c r="Q1475" s="9">
        <f>Table1[[#This Row], [ROOM TIME]]+Table1[[#This Row], [GUARD TIME]]</f>
        <v>42.266111111111101</v>
      </c>
      <c r="R1475" s="4">
        <f>Sheet1!$K$3*_xlfn.XLOOKUP(Table1[[#This Row], [DISGUISE]],Sheet1!$A$21:$A$23,Sheet1!$D$21:$D$23)</f>
        <v>66</v>
      </c>
      <c r="S1475" s="9">
        <f>Table1[[#This Row], [TOTAL TIME]]-Table1[[#This Row], [TOTAL TIME TAKEN]]</f>
        <v>23.733888888888899</v>
      </c>
      <c r="T1475" t="str">
        <f>IF(Table1[[#This Row], [TIME DIFFERENCE]]&gt;=0,"PASS","FAIL")</f>
        <v>PASS</v>
      </c>
      <c r="U1475" s="9">
        <f>Table1[[#This Row], [TRC]]+Table1[[#This Row], [DRC]]+Table1[[#This Row], [WRC]]+Table1[[#This Row], [ERC]]+Table1[[#This Row], [EQRC]]</f>
        <v>8274156.3999999994</v>
      </c>
      <c r="V1475" s="9">
        <f>Table1[[#This Row], [TOTAL COST]]+_xlfn.XLOOKUP(Table1[[#This Row], [TEAM]],Sheet1!$A$12:$A$17,Sheet1!$I$12:$I$17)</f>
        <v>8586093.8999999985</v>
      </c>
      <c r="W1475" s="9">
        <f>Table1[[#This Row], [LOOT]]-Table1[[#This Row], [TOTAL COST]]</f>
        <v>9275843.6000000015</v>
      </c>
      <c r="X1475" s="9">
        <f>IF(Table1[[#This Row], [PASS/FAIL]]="FAIL",0,Table1[[#This Row], [PROFIT]])</f>
        <v>9275843.6000000015</v>
      </c>
    </row>
    <row r="1476" spans="1:24" ht="19.5" customHeight="1" x14ac:dyDescent="0.45">
      <c r="A1476" t="s">
        <v>12</v>
      </c>
      <c r="B1476" s="14">
        <f>_xlfn.XLOOKUP(Table1[[#This Row], [TEAM]],Sheet1!$A$12:$A$17,Sheet1!$F$12:$F$17)</f>
        <v>3</v>
      </c>
      <c r="C1476" s="14">
        <f>_xlfn.XLOOKUP(Table1[[#This Row], [TEAM]],Sheet1!$A$12:$A$17,Sheet1!$G$12:$G$17)</f>
        <v>5988750</v>
      </c>
      <c r="D1476" t="s">
        <v>11</v>
      </c>
      <c r="E1476" s="4">
        <f>_xlfn.XLOOKUP(Table1[[#This Row], [ROOM]],Sheet1!$A$47:$A$66,Sheet1!$B$47:$B$66)</f>
        <v>124</v>
      </c>
      <c r="F1476" t="s">
        <v>58</v>
      </c>
      <c r="G147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76" s="13" t="s">
        <v>66</v>
      </c>
      <c r="I1476" s="4">
        <f>_xlfn.XLOOKUP(Table1[[#This Row], [WEAPON]],Sheet1!$A$27:$A$29,Sheet1!$B$27:$B$29)*Table1[[#This Row], [NUM OF MEM]]*(1+_xlfn.XLOOKUP(Table1[[#This Row], [WEAPON]],Sheet1!$A$27:$A$29,Sheet1!$C$27:$C$29))</f>
        <v>108000</v>
      </c>
      <c r="J1476" t="s">
        <v>60</v>
      </c>
      <c r="K1476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1731788.6499999997</v>
      </c>
      <c r="L1476" s="13" t="s">
        <v>65</v>
      </c>
      <c r="M1476" s="4">
        <f>IF(Table1[[#This Row], [EQUIPMENT]]="YES",Sheet1!$C$44*(1+Sheet1!$D$44),0)</f>
        <v>307500</v>
      </c>
      <c r="N1476" s="4">
        <f>_xlfn.XLOOKUP(Table1[[#This Row], [ROOM]],Sheet1!$A$47:$A$66,Sheet1!$F$47:$F$66)</f>
        <v>17450000</v>
      </c>
      <c r="O1476" s="9">
        <f>_xlfn.XLOOKUP(_xlfn.CONCAT(Table1[[#This Row], [TEAM]],Table1[[#This Row], [ROOM]]),'ROOM TIME'!$H$2:$H$121,'ROOM TIME'!$J$2:$J$121)</f>
        <v>40.401111111111099</v>
      </c>
      <c r="P1476" s="9">
        <f>(INDEX(Sheet1!$X$48:$Z$67,MATCH(Table1[[#This Row], [ROOM]],Sheet1!$P$48:$P$67,0),MATCH(Table1[[#This Row], [WEAPON]],Sheet1!$X$47:$Z$47,0)))/Table1[[#This Row], [NUM OF MEM]]</f>
        <v>4.583333333333333</v>
      </c>
      <c r="Q1476" s="9">
        <f>Table1[[#This Row], [ROOM TIME]]+Table1[[#This Row], [GUARD TIME]]</f>
        <v>44.984444444444435</v>
      </c>
      <c r="R1476" s="4">
        <f>Sheet1!$K$3*_xlfn.XLOOKUP(Table1[[#This Row], [DISGUISE]],Sheet1!$A$21:$A$23,Sheet1!$D$21:$D$23)</f>
        <v>69</v>
      </c>
      <c r="S1476" s="9">
        <f>Table1[[#This Row], [TOTAL TIME]]-Table1[[#This Row], [TOTAL TIME TAKEN]]</f>
        <v>24.015555555555565</v>
      </c>
      <c r="T1476" t="str">
        <f>IF(Table1[[#This Row], [TIME DIFFERENCE]]&gt;=0,"PASS","FAIL")</f>
        <v>PASS</v>
      </c>
      <c r="U1476" s="9">
        <f>Table1[[#This Row], [TRC]]+Table1[[#This Row], [DRC]]+Table1[[#This Row], [WRC]]+Table1[[#This Row], [ERC]]+Table1[[#This Row], [EQRC]]</f>
        <v>8174438.6499999994</v>
      </c>
      <c r="V1476" s="9">
        <f>Table1[[#This Row], [TOTAL COST]]+_xlfn.XLOOKUP(Table1[[#This Row], [TEAM]],Sheet1!$A$12:$A$17,Sheet1!$I$12:$I$17)</f>
        <v>8473876.1499999985</v>
      </c>
      <c r="W1476" s="9">
        <f>Table1[[#This Row], [LOOT]]-Table1[[#This Row], [TOTAL COST]]</f>
        <v>9275561.3500000015</v>
      </c>
      <c r="X1476" s="9">
        <f>IF(Table1[[#This Row], [PASS/FAIL]]="FAIL",0,Table1[[#This Row], [PROFIT]])</f>
        <v>9275561.3500000015</v>
      </c>
    </row>
    <row r="1477" spans="1:24" ht="19.5" customHeight="1" x14ac:dyDescent="0.45">
      <c r="A1477" t="s">
        <v>13</v>
      </c>
      <c r="B1477" s="14">
        <f>_xlfn.XLOOKUP(Table1[[#This Row], [TEAM]],Sheet1!$A$12:$A$17,Sheet1!$F$12:$F$17)</f>
        <v>3</v>
      </c>
      <c r="C1477" s="14">
        <f>_xlfn.XLOOKUP(Table1[[#This Row], [TEAM]],Sheet1!$A$12:$A$17,Sheet1!$G$12:$G$17)</f>
        <v>5930000</v>
      </c>
      <c r="D1477" t="s">
        <v>11</v>
      </c>
      <c r="E1477" s="4">
        <f>_xlfn.XLOOKUP(Table1[[#This Row], [ROOM]],Sheet1!$A$47:$A$66,Sheet1!$B$47:$B$66)</f>
        <v>124</v>
      </c>
      <c r="F1477" t="s">
        <v>62</v>
      </c>
      <c r="G1477" s="4">
        <f>_xlfn.XLOOKUP(Table1[[#This Row], [DISGUISE]],Sheet1!$A$21:$A$23,Sheet1!$B$21:$B$23)*Table1[[#This Row], [NUM OF MEM]]*(1+_xlfn.XLOOKUP(Table1[[#This Row], [DISGUISE]],Sheet1!$A$21:$A$23,Sheet1!$C$21:$C$23))</f>
        <v>15600</v>
      </c>
      <c r="H1477" s="13" t="s">
        <v>66</v>
      </c>
      <c r="I1477" s="4">
        <f>_xlfn.XLOOKUP(Table1[[#This Row], [WEAPON]],Sheet1!$A$27:$A$29,Sheet1!$B$27:$B$29)*Table1[[#This Row], [NUM OF MEM]]*(1+_xlfn.XLOOKUP(Table1[[#This Row], [WEAPON]],Sheet1!$A$27:$A$29,Sheet1!$C$27:$C$29))</f>
        <v>108000</v>
      </c>
      <c r="J1477" t="s">
        <v>60</v>
      </c>
      <c r="K1477" s="9">
        <f>Table1[[#This Row], [NUM OF MEM]]*Table1[[#This Row], [TOTAL TIME TAKEN]]*_xlfn.XLOOKUP(Table1[[#This Row], [EXIT]],Sheet1!$A$70:$A$71,Sheet1!$B$70:$B$71)*(1+_xlfn.XLOOKUP(Table1[[#This Row], [EXIT]],Sheet1!$A$70:$A$71,Sheet1!$C$70:$C$71))</f>
        <v>1813403.3499999999</v>
      </c>
      <c r="L1477" s="13" t="s">
        <v>65</v>
      </c>
      <c r="M1477" s="4">
        <f>IF(Table1[[#This Row], [EQUIPMENT]]="YES",Sheet1!$C$44*(1+Sheet1!$D$44),0)</f>
        <v>307500</v>
      </c>
      <c r="N1477" s="4">
        <f>_xlfn.XLOOKUP(Table1[[#This Row], [ROOM]],Sheet1!$A$47:$A$66,Sheet1!$F$47:$F$66)</f>
        <v>17450000</v>
      </c>
      <c r="O1477" s="9">
        <f>_xlfn.XLOOKUP(_xlfn.CONCAT(Table1[[#This Row], [TEAM]],Table1[[#This Row], [ROOM]]),'ROOM TIME'!$H$2:$H$121,'ROOM TIME'!$J$2:$J$121)</f>
        <v>42.521111111111104</v>
      </c>
      <c r="P1477" s="9">
        <f>(INDEX(Sheet1!$X$48:$Z$67,MATCH(Table1[[#This Row], [ROOM]],Sheet1!$P$48:$P$67,0),MATCH(Table1[[#This Row], [WEAPON]],Sheet1!$X$47:$Z$47,0)))/Table1[[#This Row], [NUM OF MEM]]</f>
        <v>4.583333333333333</v>
      </c>
      <c r="Q1477" s="9">
        <f>Table1[[#This Row], [ROOM TIME]]+Table1[[#This Row], [GUARD TIME]]</f>
        <v>47.104444444444439</v>
      </c>
      <c r="R1477" s="4">
        <f>Sheet1!$K$3*_xlfn.XLOOKUP(Table1[[#This Row], [DISGUISE]],Sheet1!$A$21:$A$23,Sheet1!$D$21:$D$23)</f>
        <v>66</v>
      </c>
      <c r="S1477" s="9">
        <f>Table1[[#This Row], [TOTAL TIME]]-Table1[[#This Row], [TOTAL TIME TAKEN]]</f>
        <v>18.895555555555561</v>
      </c>
      <c r="T1477" t="str">
        <f>IF(Table1[[#This Row], [TIME DIFFERENCE]]&gt;=0,"PASS","FAIL")</f>
        <v>PASS</v>
      </c>
      <c r="U1477" s="9">
        <f>Table1[[#This Row], [TRC]]+Table1[[#This Row], [DRC]]+Table1[[#This Row], [WRC]]+Table1[[#This Row], [ERC]]+Table1[[#This Row], [EQRC]]</f>
        <v>8174503.3499999996</v>
      </c>
      <c r="V1477" s="9">
        <f>Table1[[#This Row], [TOTAL COST]]+_xlfn.XLOOKUP(Table1[[#This Row], [TEAM]],Sheet1!$A$12:$A$17,Sheet1!$I$12:$I$17)</f>
        <v>8471003.3499999996</v>
      </c>
      <c r="W1477" s="9">
        <f>Table1[[#This Row], [LOOT]]-Table1[[#This Row], [TOTAL COST]]</f>
        <v>9275496.6500000004</v>
      </c>
      <c r="X1477" s="9">
        <f>IF(Table1[[#This Row], [PASS/FAIL]]="FAIL",0,Table1[[#This Row], [PROFIT]])</f>
        <v>9275496.6500000004</v>
      </c>
    </row>
    <row r="1478" spans="1:24" ht="19.5" customHeight="1" x14ac:dyDescent="0.45">
      <c r="A1478" t="s">
        <v>12</v>
      </c>
      <c r="B1478" s="14">
        <f>_xlfn.XLOOKUP(Table1[[#This Row], [TEAM]],Sheet1!$A$12:$A$17,Sheet1!$F$12:$F$17)</f>
        <v>3</v>
      </c>
      <c r="C1478" s="14">
        <f>_xlfn.XLOOKUP(Table1[[#This Row], [TEAM]],Sheet1!$A$12:$A$17,Sheet1!$G$12:$G$17)</f>
        <v>5988750</v>
      </c>
      <c r="D1478" t="s">
        <v>23</v>
      </c>
      <c r="E1478" s="4">
        <f>_xlfn.XLOOKUP(Table1[[#This Row], [ROOM]],Sheet1!$A$47:$A$66,Sheet1!$B$47:$B$66)</f>
        <v>245</v>
      </c>
      <c r="F1478" t="s">
        <v>62</v>
      </c>
      <c r="G147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78" s="13" t="s">
        <v>63</v>
      </c>
      <c r="I1478" s="4">
        <f>_xlfn.XLOOKUP(Table1[[#This Row], [WEAPON]],Sheet1!$A$27:$A$29,Sheet1!$B$27:$B$29)*Table1[[#This Row], [NUM OF MEM]]*(1+_xlfn.XLOOKUP(Table1[[#This Row], [WEAPON]],Sheet1!$A$27:$A$29,Sheet1!$C$27:$C$29))</f>
        <v>69000</v>
      </c>
      <c r="J1478" t="s">
        <v>64</v>
      </c>
      <c r="K1478" s="9">
        <f>Table1[[#This Row], [NUM OF MEM]]*Table1[[#This Row], [TOTAL TIME TAKEN]]*_xlfn.XLOOKUP(Table1[[#This Row], [EXIT]],Sheet1!$A$70:$A$71,Sheet1!$B$70:$B$71)*(1+_xlfn.XLOOKUP(Table1[[#This Row], [EXIT]],Sheet1!$A$70:$A$71,Sheet1!$C$70:$C$71))</f>
        <v>1744286.3999999997</v>
      </c>
      <c r="L1478" s="13" t="s">
        <v>65</v>
      </c>
      <c r="M1478" s="4">
        <f>IF(Table1[[#This Row], [EQUIPMENT]]="YES",Sheet1!$C$44*(1+Sheet1!$D$44),0)</f>
        <v>307500</v>
      </c>
      <c r="N1478" s="4">
        <f>_xlfn.XLOOKUP(Table1[[#This Row], [ROOM]],Sheet1!$A$47:$A$66,Sheet1!$F$47:$F$66)</f>
        <v>17400000</v>
      </c>
      <c r="O1478" s="9">
        <f>_xlfn.XLOOKUP(_xlfn.CONCAT(Table1[[#This Row], [TEAM]],Table1[[#This Row], [ROOM]]),'ROOM TIME'!$H$2:$H$121,'ROOM TIME'!$J$2:$J$121)</f>
        <v>39.91333333333332</v>
      </c>
      <c r="P1478" s="9">
        <f>(INDEX(Sheet1!$X$48:$Z$67,MATCH(Table1[[#This Row], [ROOM]],Sheet1!$P$48:$P$67,0),MATCH(Table1[[#This Row], [WEAPON]],Sheet1!$X$47:$Z$47,0)))/Table1[[#This Row], [NUM OF MEM]]</f>
        <v>4.95</v>
      </c>
      <c r="Q1478" s="9">
        <f>Table1[[#This Row], [ROOM TIME]]+Table1[[#This Row], [GUARD TIME]]</f>
        <v>44.863333333333323</v>
      </c>
      <c r="R1478" s="4">
        <f>Sheet1!$K$3*_xlfn.XLOOKUP(Table1[[#This Row], [DISGUISE]],Sheet1!$A$21:$A$23,Sheet1!$D$21:$D$23)</f>
        <v>66</v>
      </c>
      <c r="S1478" s="9">
        <f>Table1[[#This Row], [TOTAL TIME]]-Table1[[#This Row], [TOTAL TIME TAKEN]]</f>
        <v>21.136666666666677</v>
      </c>
      <c r="T1478" t="str">
        <f>IF(Table1[[#This Row], [TIME DIFFERENCE]]&gt;=0,"PASS","FAIL")</f>
        <v>PASS</v>
      </c>
      <c r="U1478" s="9">
        <f>Table1[[#This Row], [TRC]]+Table1[[#This Row], [DRC]]+Table1[[#This Row], [WRC]]+Table1[[#This Row], [ERC]]+Table1[[#This Row], [EQRC]]</f>
        <v>8125136.3999999994</v>
      </c>
      <c r="V1478" s="9">
        <f>Table1[[#This Row], [TOTAL COST]]+_xlfn.XLOOKUP(Table1[[#This Row], [TEAM]],Sheet1!$A$12:$A$17,Sheet1!$I$12:$I$17)</f>
        <v>8424573.8999999985</v>
      </c>
      <c r="W1478" s="9">
        <f>Table1[[#This Row], [LOOT]]-Table1[[#This Row], [TOTAL COST]]</f>
        <v>9274863.6000000015</v>
      </c>
      <c r="X1478" s="9">
        <f>IF(Table1[[#This Row], [PASS/FAIL]]="FAIL",0,Table1[[#This Row], [PROFIT]])</f>
        <v>9274863.6000000015</v>
      </c>
    </row>
    <row r="1479" spans="1:24" ht="19.5" customHeight="1" x14ac:dyDescent="0.45">
      <c r="A1479" t="s">
        <v>14</v>
      </c>
      <c r="B1479" s="14">
        <f>_xlfn.XLOOKUP(Table1[[#This Row], [TEAM]],Sheet1!$A$12:$A$17,Sheet1!$F$12:$F$17)</f>
        <v>2</v>
      </c>
      <c r="C1479" s="14">
        <f>_xlfn.XLOOKUP(Table1[[#This Row], [TEAM]],Sheet1!$A$12:$A$17,Sheet1!$G$12:$G$17)</f>
        <v>5949600</v>
      </c>
      <c r="D1479" t="s">
        <v>17</v>
      </c>
      <c r="E1479" s="4">
        <f>_xlfn.XLOOKUP(Table1[[#This Row], [ROOM]],Sheet1!$A$47:$A$66,Sheet1!$B$47:$B$66)</f>
        <v>125</v>
      </c>
      <c r="F1479" t="s">
        <v>58</v>
      </c>
      <c r="G1479" s="4">
        <f>_xlfn.XLOOKUP(Table1[[#This Row], [DISGUISE]],Sheet1!$A$21:$A$23,Sheet1!$B$21:$B$23)*Table1[[#This Row], [NUM OF MEM]]*(1+_xlfn.XLOOKUP(Table1[[#This Row], [DISGUISE]],Sheet1!$A$21:$A$23,Sheet1!$C$21:$C$23))</f>
        <v>25600</v>
      </c>
      <c r="H1479" s="13" t="s">
        <v>63</v>
      </c>
      <c r="I1479" s="4">
        <f>_xlfn.XLOOKUP(Table1[[#This Row], [WEAPON]],Sheet1!$A$27:$A$29,Sheet1!$B$27:$B$29)*Table1[[#This Row], [NUM OF MEM]]*(1+_xlfn.XLOOKUP(Table1[[#This Row], [WEAPON]],Sheet1!$A$27:$A$29,Sheet1!$C$27:$C$29))</f>
        <v>46000</v>
      </c>
      <c r="J1479" t="s">
        <v>64</v>
      </c>
      <c r="K1479" s="9">
        <f>Table1[[#This Row], [NUM OF MEM]]*Table1[[#This Row], [TOTAL TIME TAKEN]]*_xlfn.XLOOKUP(Table1[[#This Row], [EXIT]],Sheet1!$A$70:$A$71,Sheet1!$B$70:$B$71)*(1+_xlfn.XLOOKUP(Table1[[#This Row], [EXIT]],Sheet1!$A$70:$A$71,Sheet1!$C$70:$C$71))</f>
        <v>1747072.7999999996</v>
      </c>
      <c r="L1479" s="13" t="s">
        <v>65</v>
      </c>
      <c r="M1479" s="4">
        <f>IF(Table1[[#This Row], [EQUIPMENT]]="YES",Sheet1!$C$44*(1+Sheet1!$D$44),0)</f>
        <v>307500</v>
      </c>
      <c r="N1479" s="4">
        <f>_xlfn.XLOOKUP(Table1[[#This Row], [ROOM]],Sheet1!$A$47:$A$66,Sheet1!$F$47:$F$66)</f>
        <v>17350000</v>
      </c>
      <c r="O1479" s="9">
        <f>_xlfn.XLOOKUP(_xlfn.CONCAT(Table1[[#This Row], [TEAM]],Table1[[#This Row], [ROOM]]),'ROOM TIME'!$H$2:$H$121,'ROOM TIME'!$J$2:$J$121)</f>
        <v>60.652499999999989</v>
      </c>
      <c r="P1479" s="9">
        <f>(INDEX(Sheet1!$X$48:$Z$67,MATCH(Table1[[#This Row], [ROOM]],Sheet1!$P$48:$P$67,0),MATCH(Table1[[#This Row], [WEAPON]],Sheet1!$X$47:$Z$47,0)))/Table1[[#This Row], [NUM OF MEM]]</f>
        <v>6.75</v>
      </c>
      <c r="Q1479" s="9">
        <f>Table1[[#This Row], [ROOM TIME]]+Table1[[#This Row], [GUARD TIME]]</f>
        <v>67.402499999999989</v>
      </c>
      <c r="R1479" s="4">
        <f>Sheet1!$K$3*_xlfn.XLOOKUP(Table1[[#This Row], [DISGUISE]],Sheet1!$A$21:$A$23,Sheet1!$D$21:$D$23)</f>
        <v>69</v>
      </c>
      <c r="S1479" s="9">
        <f>Table1[[#This Row], [TOTAL TIME]]-Table1[[#This Row], [TOTAL TIME TAKEN]]</f>
        <v>1.5975000000000108</v>
      </c>
      <c r="T1479" t="str">
        <f>IF(Table1[[#This Row], [TIME DIFFERENCE]]&gt;=0,"PASS","FAIL")</f>
        <v>PASS</v>
      </c>
      <c r="U1479" s="9">
        <f>Table1[[#This Row], [TRC]]+Table1[[#This Row], [DRC]]+Table1[[#This Row], [WRC]]+Table1[[#This Row], [ERC]]+Table1[[#This Row], [EQRC]]</f>
        <v>8075772.7999999998</v>
      </c>
      <c r="V1479" s="9">
        <f>Table1[[#This Row], [TOTAL COST]]+_xlfn.XLOOKUP(Table1[[#This Row], [TEAM]],Sheet1!$A$12:$A$17,Sheet1!$I$12:$I$17)</f>
        <v>8373252.7999999998</v>
      </c>
      <c r="W1479" s="9">
        <f>Table1[[#This Row], [LOOT]]-Table1[[#This Row], [TOTAL COST]]</f>
        <v>9274227.1999999993</v>
      </c>
      <c r="X1479" s="9">
        <f>IF(Table1[[#This Row], [PASS/FAIL]]="FAIL",0,Table1[[#This Row], [PROFIT]])</f>
        <v>9274227.1999999993</v>
      </c>
    </row>
    <row r="1480" spans="1:24" ht="19.5" customHeight="1" x14ac:dyDescent="0.45">
      <c r="A1480" t="s">
        <v>9</v>
      </c>
      <c r="B1480" s="14">
        <f>_xlfn.XLOOKUP(Table1[[#This Row], [TEAM]],Sheet1!$A$12:$A$17,Sheet1!$F$12:$F$17)</f>
        <v>3</v>
      </c>
      <c r="C1480" s="14">
        <f>_xlfn.XLOOKUP(Table1[[#This Row], [TEAM]],Sheet1!$A$12:$A$17,Sheet1!$G$12:$G$17)</f>
        <v>6238750</v>
      </c>
      <c r="D1480" t="s">
        <v>31</v>
      </c>
      <c r="E1480" s="4">
        <f>_xlfn.XLOOKUP(Table1[[#This Row], [ROOM]],Sheet1!$A$47:$A$66,Sheet1!$B$47:$B$66)</f>
        <v>256</v>
      </c>
      <c r="F1480" t="s">
        <v>58</v>
      </c>
      <c r="G1480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0" s="13" t="s">
        <v>63</v>
      </c>
      <c r="I1480" s="4">
        <f>_xlfn.XLOOKUP(Table1[[#This Row], [WEAPON]],Sheet1!$A$27:$A$29,Sheet1!$B$27:$B$29)*Table1[[#This Row], [NUM OF MEM]]*(1+_xlfn.XLOOKUP(Table1[[#This Row], [WEAPON]],Sheet1!$A$27:$A$29,Sheet1!$C$27:$C$29))</f>
        <v>69000</v>
      </c>
      <c r="J1480" t="s">
        <v>60</v>
      </c>
      <c r="K1480" s="9">
        <f>Table1[[#This Row], [NUM OF MEM]]*Table1[[#This Row], [TOTAL TIME TAKEN]]*_xlfn.XLOOKUP(Table1[[#This Row], [EXIT]],Sheet1!$A$70:$A$71,Sheet1!$B$70:$B$71)*(1+_xlfn.XLOOKUP(Table1[[#This Row], [EXIT]],Sheet1!$A$70:$A$71,Sheet1!$C$70:$C$71))</f>
        <v>1572622.8749999995</v>
      </c>
      <c r="L1480" s="13" t="s">
        <v>65</v>
      </c>
      <c r="M1480" s="4">
        <f>IF(Table1[[#This Row], [EQUIPMENT]]="YES",Sheet1!$C$44*(1+Sheet1!$D$44),0)</f>
        <v>307500</v>
      </c>
      <c r="N1480" s="4">
        <f>_xlfn.XLOOKUP(Table1[[#This Row], [ROOM]],Sheet1!$A$47:$A$66,Sheet1!$F$47:$F$66)</f>
        <v>17500000</v>
      </c>
      <c r="O1480" s="9">
        <f>_xlfn.XLOOKUP(_xlfn.CONCAT(Table1[[#This Row], [TEAM]],Table1[[#This Row], [ROOM]]),'ROOM TIME'!$H$2:$H$121,'ROOM TIME'!$J$2:$J$121)</f>
        <v>35.899999999999991</v>
      </c>
      <c r="P1480" s="9">
        <f>(INDEX(Sheet1!$X$48:$Z$67,MATCH(Table1[[#This Row], [ROOM]],Sheet1!$P$48:$P$67,0),MATCH(Table1[[#This Row], [WEAPON]],Sheet1!$X$47:$Z$47,0)))/Table1[[#This Row], [NUM OF MEM]]</f>
        <v>4.95</v>
      </c>
      <c r="Q1480" s="9">
        <f>Table1[[#This Row], [ROOM TIME]]+Table1[[#This Row], [GUARD TIME]]</f>
        <v>40.849999999999994</v>
      </c>
      <c r="R1480" s="4">
        <f>Sheet1!$K$3*_xlfn.XLOOKUP(Table1[[#This Row], [DISGUISE]],Sheet1!$A$21:$A$23,Sheet1!$D$21:$D$23)</f>
        <v>69</v>
      </c>
      <c r="S1480" s="9">
        <f>Table1[[#This Row], [TOTAL TIME]]-Table1[[#This Row], [TOTAL TIME TAKEN]]</f>
        <v>28.150000000000006</v>
      </c>
      <c r="T1480" t="str">
        <f>IF(Table1[[#This Row], [TIME DIFFERENCE]]&gt;=0,"PASS","FAIL")</f>
        <v>PASS</v>
      </c>
      <c r="U1480" s="9">
        <f>Table1[[#This Row], [TRC]]+Table1[[#This Row], [DRC]]+Table1[[#This Row], [WRC]]+Table1[[#This Row], [ERC]]+Table1[[#This Row], [EQRC]]</f>
        <v>8226272.875</v>
      </c>
      <c r="V1480" s="9">
        <f>Table1[[#This Row], [TOTAL COST]]+_xlfn.XLOOKUP(Table1[[#This Row], [TEAM]],Sheet1!$A$12:$A$17,Sheet1!$I$12:$I$17)</f>
        <v>8538210.375</v>
      </c>
      <c r="W1480" s="9">
        <f>Table1[[#This Row], [LOOT]]-Table1[[#This Row], [TOTAL COST]]</f>
        <v>9273727.125</v>
      </c>
      <c r="X1480" s="9">
        <f>IF(Table1[[#This Row], [PASS/FAIL]]="FAIL",0,Table1[[#This Row], [PROFIT]])</f>
        <v>9273727.125</v>
      </c>
    </row>
    <row r="1481" spans="1:24" ht="19.5" customHeight="1" x14ac:dyDescent="0.45">
      <c r="A1481" t="s">
        <v>9</v>
      </c>
      <c r="B1481" s="14">
        <f>_xlfn.XLOOKUP(Table1[[#This Row], [TEAM]],Sheet1!$A$12:$A$17,Sheet1!$F$12:$F$17)</f>
        <v>3</v>
      </c>
      <c r="C1481" s="14">
        <f>_xlfn.XLOOKUP(Table1[[#This Row], [TEAM]],Sheet1!$A$12:$A$17,Sheet1!$G$12:$G$17)</f>
        <v>6238750</v>
      </c>
      <c r="D1481" t="s">
        <v>25</v>
      </c>
      <c r="E1481" s="4">
        <f>_xlfn.XLOOKUP(Table1[[#This Row], [ROOM]],Sheet1!$A$47:$A$66,Sheet1!$B$47:$B$66)</f>
        <v>126</v>
      </c>
      <c r="F1481" t="s">
        <v>58</v>
      </c>
      <c r="G1481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1" s="13" t="s">
        <v>59</v>
      </c>
      <c r="I1481" s="4">
        <f>_xlfn.XLOOKUP(Table1[[#This Row], [WEAPON]],Sheet1!$A$27:$A$29,Sheet1!$B$27:$B$29)*Table1[[#This Row], [NUM OF MEM]]*(1+_xlfn.XLOOKUP(Table1[[#This Row], [WEAPON]],Sheet1!$A$27:$A$29,Sheet1!$C$27:$C$29))</f>
        <v>136500</v>
      </c>
      <c r="J1481" t="s">
        <v>60</v>
      </c>
      <c r="K1481" s="9">
        <f>Table1[[#This Row], [NUM OF MEM]]*Table1[[#This Row], [TOTAL TIME TAKEN]]*_xlfn.XLOOKUP(Table1[[#This Row], [EXIT]],Sheet1!$A$70:$A$71,Sheet1!$B$70:$B$71)*(1+_xlfn.XLOOKUP(Table1[[#This Row], [EXIT]],Sheet1!$A$70:$A$71,Sheet1!$C$70:$C$71))</f>
        <v>1555619.8124999995</v>
      </c>
      <c r="L1481" s="13" t="s">
        <v>65</v>
      </c>
      <c r="M1481" s="4">
        <f>IF(Table1[[#This Row], [EQUIPMENT]]="YES",Sheet1!$C$44*(1+Sheet1!$D$44),0)</f>
        <v>307500</v>
      </c>
      <c r="N1481" s="4">
        <f>_xlfn.XLOOKUP(Table1[[#This Row], [ROOM]],Sheet1!$A$47:$A$66,Sheet1!$F$47:$F$66)</f>
        <v>17550000</v>
      </c>
      <c r="O1481" s="9">
        <f>_xlfn.XLOOKUP(_xlfn.CONCAT(Table1[[#This Row], [TEAM]],Table1[[#This Row], [ROOM]]),'ROOM TIME'!$H$2:$H$121,'ROOM TIME'!$J$2:$J$121)</f>
        <v>36.191666666666656</v>
      </c>
      <c r="P1481" s="9">
        <f>(INDEX(Sheet1!$X$48:$Z$67,MATCH(Table1[[#This Row], [ROOM]],Sheet1!$P$48:$P$67,0),MATCH(Table1[[#This Row], [WEAPON]],Sheet1!$X$47:$Z$47,0)))/Table1[[#This Row], [NUM OF MEM]]</f>
        <v>4.2166666666666659</v>
      </c>
      <c r="Q1481" s="9">
        <f>Table1[[#This Row], [ROOM TIME]]+Table1[[#This Row], [GUARD TIME]]</f>
        <v>40.408333333333324</v>
      </c>
      <c r="R1481" s="4">
        <f>Sheet1!$K$3*_xlfn.XLOOKUP(Table1[[#This Row], [DISGUISE]],Sheet1!$A$21:$A$23,Sheet1!$D$21:$D$23)</f>
        <v>69</v>
      </c>
      <c r="S1481" s="9">
        <f>Table1[[#This Row], [TOTAL TIME]]-Table1[[#This Row], [TOTAL TIME TAKEN]]</f>
        <v>28.591666666666676</v>
      </c>
      <c r="T1481" t="str">
        <f>IF(Table1[[#This Row], [TIME DIFFERENCE]]&gt;=0,"PASS","FAIL")</f>
        <v>PASS</v>
      </c>
      <c r="U1481" s="9">
        <f>Table1[[#This Row], [TRC]]+Table1[[#This Row], [DRC]]+Table1[[#This Row], [WRC]]+Table1[[#This Row], [ERC]]+Table1[[#This Row], [EQRC]]</f>
        <v>8276769.8125</v>
      </c>
      <c r="V1481" s="9">
        <f>Table1[[#This Row], [TOTAL COST]]+_xlfn.XLOOKUP(Table1[[#This Row], [TEAM]],Sheet1!$A$12:$A$17,Sheet1!$I$12:$I$17)</f>
        <v>8588707.3125</v>
      </c>
      <c r="W1481" s="9">
        <f>Table1[[#This Row], [LOOT]]-Table1[[#This Row], [TOTAL COST]]</f>
        <v>9273230.1875</v>
      </c>
      <c r="X1481" s="9">
        <f>IF(Table1[[#This Row], [PASS/FAIL]]="FAIL",0,Table1[[#This Row], [PROFIT]])</f>
        <v>9273230.1875</v>
      </c>
    </row>
    <row r="1482" spans="1:24" ht="19.5" customHeight="1" x14ac:dyDescent="0.45">
      <c r="A1482" t="s">
        <v>14</v>
      </c>
      <c r="B1482" s="14">
        <f>_xlfn.XLOOKUP(Table1[[#This Row], [TEAM]],Sheet1!$A$12:$A$17,Sheet1!$F$12:$F$17)</f>
        <v>2</v>
      </c>
      <c r="C1482" s="14">
        <f>_xlfn.XLOOKUP(Table1[[#This Row], [TEAM]],Sheet1!$A$12:$A$17,Sheet1!$G$12:$G$17)</f>
        <v>5949600</v>
      </c>
      <c r="D1482" t="s">
        <v>17</v>
      </c>
      <c r="E1482" s="4">
        <f>_xlfn.XLOOKUP(Table1[[#This Row], [ROOM]],Sheet1!$A$47:$A$66,Sheet1!$B$47:$B$66)</f>
        <v>125</v>
      </c>
      <c r="F1482" t="s">
        <v>58</v>
      </c>
      <c r="G1482" s="4">
        <f>_xlfn.XLOOKUP(Table1[[#This Row], [DISGUISE]],Sheet1!$A$21:$A$23,Sheet1!$B$21:$B$23)*Table1[[#This Row], [NUM OF MEM]]*(1+_xlfn.XLOOKUP(Table1[[#This Row], [DISGUISE]],Sheet1!$A$21:$A$23,Sheet1!$C$21:$C$23))</f>
        <v>25600</v>
      </c>
      <c r="H1482" s="13" t="s">
        <v>59</v>
      </c>
      <c r="I1482" s="4">
        <f>_xlfn.XLOOKUP(Table1[[#This Row], [WEAPON]],Sheet1!$A$27:$A$29,Sheet1!$B$27:$B$29)*Table1[[#This Row], [NUM OF MEM]]*(1+_xlfn.XLOOKUP(Table1[[#This Row], [WEAPON]],Sheet1!$A$27:$A$29,Sheet1!$C$27:$C$29))</f>
        <v>91000</v>
      </c>
      <c r="J1482" t="s">
        <v>60</v>
      </c>
      <c r="K1482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1704220.1624999996</v>
      </c>
      <c r="L1482" s="13" t="s">
        <v>65</v>
      </c>
      <c r="M1482" s="4">
        <f>IF(Table1[[#This Row], [EQUIPMENT]]="YES",Sheet1!$C$44*(1+Sheet1!$D$44),0)</f>
        <v>307500</v>
      </c>
      <c r="N1482" s="4">
        <f>_xlfn.XLOOKUP(Table1[[#This Row], [ROOM]],Sheet1!$A$47:$A$66,Sheet1!$F$47:$F$66)</f>
        <v>17350000</v>
      </c>
      <c r="O1482" s="9">
        <f>_xlfn.XLOOKUP(_xlfn.CONCAT(Table1[[#This Row], [TEAM]],Table1[[#This Row], [ROOM]]),'ROOM TIME'!$H$2:$H$121,'ROOM TIME'!$J$2:$J$121)</f>
        <v>60.652499999999989</v>
      </c>
      <c r="P1482" s="9">
        <f>(INDEX(Sheet1!$X$48:$Z$67,MATCH(Table1[[#This Row], [ROOM]],Sheet1!$P$48:$P$67,0),MATCH(Table1[[#This Row], [WEAPON]],Sheet1!$X$47:$Z$47,0)))/Table1[[#This Row], [NUM OF MEM]]</f>
        <v>5.75</v>
      </c>
      <c r="Q1482" s="9">
        <f>Table1[[#This Row], [ROOM TIME]]+Table1[[#This Row], [GUARD TIME]]</f>
        <v>66.402499999999989</v>
      </c>
      <c r="R1482" s="4">
        <f>Sheet1!$K$3*_xlfn.XLOOKUP(Table1[[#This Row], [DISGUISE]],Sheet1!$A$21:$A$23,Sheet1!$D$21:$D$23)</f>
        <v>69</v>
      </c>
      <c r="S1482" s="9">
        <f>Table1[[#This Row], [TOTAL TIME]]-Table1[[#This Row], [TOTAL TIME TAKEN]]</f>
        <v>2.5975000000000108</v>
      </c>
      <c r="T1482" t="str">
        <f>IF(Table1[[#This Row], [TIME DIFFERENCE]]&gt;=0,"PASS","FAIL")</f>
        <v>PASS</v>
      </c>
      <c r="U1482" s="9">
        <f>Table1[[#This Row], [TRC]]+Table1[[#This Row], [DRC]]+Table1[[#This Row], [WRC]]+Table1[[#This Row], [ERC]]+Table1[[#This Row], [EQRC]]</f>
        <v>8077920.1624999996</v>
      </c>
      <c r="V1482" s="9">
        <f>Table1[[#This Row], [TOTAL COST]]+_xlfn.XLOOKUP(Table1[[#This Row], [TEAM]],Sheet1!$A$12:$A$17,Sheet1!$I$12:$I$17)</f>
        <v>8375400.1624999996</v>
      </c>
      <c r="W1482" s="9">
        <f>Table1[[#This Row], [LOOT]]-Table1[[#This Row], [TOTAL COST]]</f>
        <v>9272079.8375000004</v>
      </c>
      <c r="X1482" s="9">
        <f>IF(Table1[[#This Row], [PASS/FAIL]]="FAIL",0,Table1[[#This Row], [PROFIT]])</f>
        <v>9272079.8375000004</v>
      </c>
    </row>
    <row r="1483" spans="1:24" ht="19.5" customHeight="1" x14ac:dyDescent="0.45">
      <c r="A1483" t="s">
        <v>9</v>
      </c>
      <c r="B1483" s="14">
        <f>_xlfn.XLOOKUP(Table1[[#This Row], [TEAM]],Sheet1!$A$12:$A$17,Sheet1!$F$12:$F$17)</f>
        <v>3</v>
      </c>
      <c r="C1483" s="14">
        <f>_xlfn.XLOOKUP(Table1[[#This Row], [TEAM]],Sheet1!$A$12:$A$17,Sheet1!$G$12:$G$17)</f>
        <v>6238750</v>
      </c>
      <c r="D1483" t="s">
        <v>25</v>
      </c>
      <c r="E1483" s="4">
        <f>_xlfn.XLOOKUP(Table1[[#This Row], [ROOM]],Sheet1!$A$47:$A$66,Sheet1!$B$47:$B$66)</f>
        <v>126</v>
      </c>
      <c r="F1483" t="s">
        <v>58</v>
      </c>
      <c r="G1483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3" s="13" t="s">
        <v>66</v>
      </c>
      <c r="I1483" s="4">
        <f>_xlfn.XLOOKUP(Table1[[#This Row], [WEAPON]],Sheet1!$A$27:$A$29,Sheet1!$B$27:$B$29)*Table1[[#This Row], [NUM OF MEM]]*(1+_xlfn.XLOOKUP(Table1[[#This Row], [WEAPON]],Sheet1!$A$27:$A$29,Sheet1!$C$27:$C$29))</f>
        <v>108000</v>
      </c>
      <c r="J1483" t="s">
        <v>64</v>
      </c>
      <c r="K1483" s="9">
        <f>Table1[[#This Row], [NUM OF MEM]]*Table1[[#This Row], [TOTAL TIME TAKEN]]*_xlfn.XLOOKUP(Table1[[#This Row], [EXIT]],Sheet1!$A$70:$A$71,Sheet1!$B$70:$B$71)*(1+_xlfn.XLOOKUP(Table1[[#This Row], [EXIT]],Sheet1!$A$70:$A$71,Sheet1!$C$70:$C$71))</f>
        <v>1585331.9999999998</v>
      </c>
      <c r="L1483" s="13" t="s">
        <v>65</v>
      </c>
      <c r="M1483" s="4">
        <f>IF(Table1[[#This Row], [EQUIPMENT]]="YES",Sheet1!$C$44*(1+Sheet1!$D$44),0)</f>
        <v>307500</v>
      </c>
      <c r="N1483" s="4">
        <f>_xlfn.XLOOKUP(Table1[[#This Row], [ROOM]],Sheet1!$A$47:$A$66,Sheet1!$F$47:$F$66)</f>
        <v>17550000</v>
      </c>
      <c r="O1483" s="9">
        <f>_xlfn.XLOOKUP(_xlfn.CONCAT(Table1[[#This Row], [TEAM]],Table1[[#This Row], [ROOM]]),'ROOM TIME'!$H$2:$H$121,'ROOM TIME'!$J$2:$J$121)</f>
        <v>36.191666666666656</v>
      </c>
      <c r="P1483" s="9">
        <f>(INDEX(Sheet1!$X$48:$Z$67,MATCH(Table1[[#This Row], [ROOM]],Sheet1!$P$48:$P$67,0),MATCH(Table1[[#This Row], [WEAPON]],Sheet1!$X$47:$Z$47,0)))/Table1[[#This Row], [NUM OF MEM]]</f>
        <v>4.583333333333333</v>
      </c>
      <c r="Q1483" s="9">
        <f>Table1[[#This Row], [ROOM TIME]]+Table1[[#This Row], [GUARD TIME]]</f>
        <v>40.774999999999991</v>
      </c>
      <c r="R1483" s="4">
        <f>Sheet1!$K$3*_xlfn.XLOOKUP(Table1[[#This Row], [DISGUISE]],Sheet1!$A$21:$A$23,Sheet1!$D$21:$D$23)</f>
        <v>69</v>
      </c>
      <c r="S1483" s="9">
        <f>Table1[[#This Row], [TOTAL TIME]]-Table1[[#This Row], [TOTAL TIME TAKEN]]</f>
        <v>28.225000000000009</v>
      </c>
      <c r="T1483" t="str">
        <f>IF(Table1[[#This Row], [TIME DIFFERENCE]]&gt;=0,"PASS","FAIL")</f>
        <v>PASS</v>
      </c>
      <c r="U1483" s="4">
        <f>Table1[[#This Row], [TRC]]+Table1[[#This Row], [DRC]]+Table1[[#This Row], [WRC]]+Table1[[#This Row], [ERC]]+Table1[[#This Row], [EQRC]]</f>
        <v>8277982</v>
      </c>
      <c r="V1483" s="9">
        <f>Table1[[#This Row], [TOTAL COST]]+_xlfn.XLOOKUP(Table1[[#This Row], [TEAM]],Sheet1!$A$12:$A$17,Sheet1!$I$12:$I$17)</f>
        <v>8589919.5</v>
      </c>
      <c r="W1483" s="4">
        <f>Table1[[#This Row], [LOOT]]-Table1[[#This Row], [TOTAL COST]]</f>
        <v>9272018</v>
      </c>
      <c r="X1483" s="4">
        <f>IF(Table1[[#This Row], [PASS/FAIL]]="FAIL",0,Table1[[#This Row], [PROFIT]])</f>
        <v>9272018</v>
      </c>
    </row>
    <row r="1484" spans="1:24" ht="19.5" customHeight="1" x14ac:dyDescent="0.45">
      <c r="A1484" t="s">
        <v>9</v>
      </c>
      <c r="B1484" s="14">
        <f>_xlfn.XLOOKUP(Table1[[#This Row], [TEAM]],Sheet1!$A$12:$A$17,Sheet1!$F$12:$F$17)</f>
        <v>3</v>
      </c>
      <c r="C1484" s="14">
        <f>_xlfn.XLOOKUP(Table1[[#This Row], [TEAM]],Sheet1!$A$12:$A$17,Sheet1!$G$12:$G$17)</f>
        <v>6238750</v>
      </c>
      <c r="D1484" t="s">
        <v>31</v>
      </c>
      <c r="E1484" s="4">
        <f>_xlfn.XLOOKUP(Table1[[#This Row], [ROOM]],Sheet1!$A$47:$A$66,Sheet1!$B$47:$B$66)</f>
        <v>256</v>
      </c>
      <c r="F1484" t="s">
        <v>62</v>
      </c>
      <c r="G1484" s="4">
        <f>_xlfn.XLOOKUP(Table1[[#This Row], [DISGUISE]],Sheet1!$A$21:$A$23,Sheet1!$B$21:$B$23)*Table1[[#This Row], [NUM OF MEM]]*(1+_xlfn.XLOOKUP(Table1[[#This Row], [DISGUISE]],Sheet1!$A$21:$A$23,Sheet1!$C$21:$C$23))</f>
        <v>15600</v>
      </c>
      <c r="H1484" s="13" t="s">
        <v>66</v>
      </c>
      <c r="I1484" s="4">
        <f>_xlfn.XLOOKUP(Table1[[#This Row], [WEAPON]],Sheet1!$A$27:$A$29,Sheet1!$B$27:$B$29)*Table1[[#This Row], [NUM OF MEM]]*(1+_xlfn.XLOOKUP(Table1[[#This Row], [WEAPON]],Sheet1!$A$27:$A$29,Sheet1!$C$27:$C$29))</f>
        <v>108000</v>
      </c>
      <c r="J1484" t="s">
        <v>60</v>
      </c>
      <c r="K1484" s="9">
        <f>Table1[[#This Row], [NUM OF MEM]]*Table1[[#This Row], [TOTAL TIME TAKEN]]*_xlfn.XLOOKUP(Table1[[#This Row], [EXIT]],Sheet1!$A$70:$A$71,Sheet1!$B$70:$B$71)*(1+_xlfn.XLOOKUP(Table1[[#This Row], [EXIT]],Sheet1!$A$70:$A$71,Sheet1!$C$70:$C$71))</f>
        <v>1558507.125</v>
      </c>
      <c r="L1484" s="13" t="s">
        <v>65</v>
      </c>
      <c r="M1484" s="4">
        <f>IF(Table1[[#This Row], [EQUIPMENT]]="YES",Sheet1!$C$44*(1+Sheet1!$D$44),0)</f>
        <v>307500</v>
      </c>
      <c r="N1484" s="4">
        <f>_xlfn.XLOOKUP(Table1[[#This Row], [ROOM]],Sheet1!$A$47:$A$66,Sheet1!$F$47:$F$66)</f>
        <v>17500000</v>
      </c>
      <c r="O1484" s="9">
        <f>_xlfn.XLOOKUP(_xlfn.CONCAT(Table1[[#This Row], [TEAM]],Table1[[#This Row], [ROOM]]),'ROOM TIME'!$H$2:$H$121,'ROOM TIME'!$J$2:$J$121)</f>
        <v>35.899999999999991</v>
      </c>
      <c r="P1484" s="9">
        <f>(INDEX(Sheet1!$X$48:$Z$67,MATCH(Table1[[#This Row], [ROOM]],Sheet1!$P$48:$P$67,0),MATCH(Table1[[#This Row], [WEAPON]],Sheet1!$X$47:$Z$47,0)))/Table1[[#This Row], [NUM OF MEM]]</f>
        <v>4.583333333333333</v>
      </c>
      <c r="Q1484" s="9">
        <f>Table1[[#This Row], [ROOM TIME]]+Table1[[#This Row], [GUARD TIME]]</f>
        <v>40.483333333333327</v>
      </c>
      <c r="R1484" s="4">
        <f>Sheet1!$K$3*_xlfn.XLOOKUP(Table1[[#This Row], [DISGUISE]],Sheet1!$A$21:$A$23,Sheet1!$D$21:$D$23)</f>
        <v>66</v>
      </c>
      <c r="S1484" s="9">
        <f>Table1[[#This Row], [TOTAL TIME]]-Table1[[#This Row], [TOTAL TIME TAKEN]]</f>
        <v>25.516666666666673</v>
      </c>
      <c r="T1484" t="str">
        <f>IF(Table1[[#This Row], [TIME DIFFERENCE]]&gt;=0,"PASS","FAIL")</f>
        <v>PASS</v>
      </c>
      <c r="U1484" s="9">
        <f>Table1[[#This Row], [TRC]]+Table1[[#This Row], [DRC]]+Table1[[#This Row], [WRC]]+Table1[[#This Row], [ERC]]+Table1[[#This Row], [EQRC]]</f>
        <v>8228357.125</v>
      </c>
      <c r="V1484" s="9">
        <f>Table1[[#This Row], [TOTAL COST]]+_xlfn.XLOOKUP(Table1[[#This Row], [TEAM]],Sheet1!$A$12:$A$17,Sheet1!$I$12:$I$17)</f>
        <v>8540294.625</v>
      </c>
      <c r="W1484" s="9">
        <f>Table1[[#This Row], [LOOT]]-Table1[[#This Row], [TOTAL COST]]</f>
        <v>9271642.875</v>
      </c>
      <c r="X1484" s="9">
        <f>IF(Table1[[#This Row], [PASS/FAIL]]="FAIL",0,Table1[[#This Row], [PROFIT]])</f>
        <v>9271642.875</v>
      </c>
    </row>
    <row r="1485" spans="1:24" ht="19.5" customHeight="1" x14ac:dyDescent="0.45">
      <c r="A1485" t="s">
        <v>12</v>
      </c>
      <c r="B1485" s="14">
        <f>_xlfn.XLOOKUP(Table1[[#This Row], [TEAM]],Sheet1!$A$12:$A$17,Sheet1!$F$12:$F$17)</f>
        <v>3</v>
      </c>
      <c r="C1485" s="14">
        <f>_xlfn.XLOOKUP(Table1[[#This Row], [TEAM]],Sheet1!$A$12:$A$17,Sheet1!$G$12:$G$17)</f>
        <v>5988750</v>
      </c>
      <c r="D1485" t="s">
        <v>23</v>
      </c>
      <c r="E1485" s="4">
        <f>_xlfn.XLOOKUP(Table1[[#This Row], [ROOM]],Sheet1!$A$47:$A$66,Sheet1!$B$47:$B$66)</f>
        <v>245</v>
      </c>
      <c r="F1485" t="s">
        <v>58</v>
      </c>
      <c r="G1485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5" s="13" t="s">
        <v>63</v>
      </c>
      <c r="I1485" s="4">
        <f>_xlfn.XLOOKUP(Table1[[#This Row], [WEAPON]],Sheet1!$A$27:$A$29,Sheet1!$B$27:$B$29)*Table1[[#This Row], [NUM OF MEM]]*(1+_xlfn.XLOOKUP(Table1[[#This Row], [WEAPON]],Sheet1!$A$27:$A$29,Sheet1!$C$27:$C$29))</f>
        <v>69000</v>
      </c>
      <c r="J1485" t="s">
        <v>60</v>
      </c>
      <c r="K1485" s="9">
        <f>Table1[[#This Row], [NUM OF MEM]]*Table1[[#This Row], [TOTAL TIME TAKEN]]*_xlfn.XLOOKUP(Table1[[#This Row], [EXIT]],Sheet1!$A$70:$A$71,Sheet1!$B$70:$B$71)*(1+_xlfn.XLOOKUP(Table1[[#This Row], [EXIT]],Sheet1!$A$70:$A$71,Sheet1!$C$70:$C$71))</f>
        <v>1727126.1749999996</v>
      </c>
      <c r="L1485" s="13" t="s">
        <v>65</v>
      </c>
      <c r="M1485" s="4">
        <f>IF(Table1[[#This Row], [EQUIPMENT]]="YES",Sheet1!$C$44*(1+Sheet1!$D$44),0)</f>
        <v>307500</v>
      </c>
      <c r="N1485" s="4">
        <f>_xlfn.XLOOKUP(Table1[[#This Row], [ROOM]],Sheet1!$A$47:$A$66,Sheet1!$F$47:$F$66)</f>
        <v>17400000</v>
      </c>
      <c r="O1485" s="9">
        <f>_xlfn.XLOOKUP(_xlfn.CONCAT(Table1[[#This Row], [TEAM]],Table1[[#This Row], [ROOM]]),'ROOM TIME'!$H$2:$H$121,'ROOM TIME'!$J$2:$J$121)</f>
        <v>39.91333333333332</v>
      </c>
      <c r="P1485" s="9">
        <f>(INDEX(Sheet1!$X$48:$Z$67,MATCH(Table1[[#This Row], [ROOM]],Sheet1!$P$48:$P$67,0),MATCH(Table1[[#This Row], [WEAPON]],Sheet1!$X$47:$Z$47,0)))/Table1[[#This Row], [NUM OF MEM]]</f>
        <v>4.95</v>
      </c>
      <c r="Q1485" s="9">
        <f>Table1[[#This Row], [ROOM TIME]]+Table1[[#This Row], [GUARD TIME]]</f>
        <v>44.863333333333323</v>
      </c>
      <c r="R1485" s="4">
        <f>Sheet1!$K$3*_xlfn.XLOOKUP(Table1[[#This Row], [DISGUISE]],Sheet1!$A$21:$A$23,Sheet1!$D$21:$D$23)</f>
        <v>69</v>
      </c>
      <c r="S1485" s="9">
        <f>Table1[[#This Row], [TOTAL TIME]]-Table1[[#This Row], [TOTAL TIME TAKEN]]</f>
        <v>24.136666666666677</v>
      </c>
      <c r="T1485" t="str">
        <f>IF(Table1[[#This Row], [TIME DIFFERENCE]]&gt;=0,"PASS","FAIL")</f>
        <v>PASS</v>
      </c>
      <c r="U1485" s="9">
        <f>Table1[[#This Row], [TRC]]+Table1[[#This Row], [DRC]]+Table1[[#This Row], [WRC]]+Table1[[#This Row], [ERC]]+Table1[[#This Row], [EQRC]]</f>
        <v>8130776.1749999998</v>
      </c>
      <c r="V1485" s="9">
        <f>Table1[[#This Row], [TOTAL COST]]+_xlfn.XLOOKUP(Table1[[#This Row], [TEAM]],Sheet1!$A$12:$A$17,Sheet1!$I$12:$I$17)</f>
        <v>8430213.6750000007</v>
      </c>
      <c r="W1485" s="9">
        <f>Table1[[#This Row], [LOOT]]-Table1[[#This Row], [TOTAL COST]]</f>
        <v>9269223.8249999993</v>
      </c>
      <c r="X1485" s="9">
        <f>IF(Table1[[#This Row], [PASS/FAIL]]="FAIL",0,Table1[[#This Row], [PROFIT]])</f>
        <v>9269223.8249999993</v>
      </c>
    </row>
    <row r="1486" spans="1:24" ht="19.5" customHeight="1" x14ac:dyDescent="0.45">
      <c r="A1486" t="s">
        <v>9</v>
      </c>
      <c r="B1486" s="14">
        <f>_xlfn.XLOOKUP(Table1[[#This Row], [TEAM]],Sheet1!$A$12:$A$17,Sheet1!$F$12:$F$17)</f>
        <v>3</v>
      </c>
      <c r="C1486" s="14">
        <f>_xlfn.XLOOKUP(Table1[[#This Row], [TEAM]],Sheet1!$A$12:$A$17,Sheet1!$G$12:$G$17)</f>
        <v>6238750</v>
      </c>
      <c r="D1486" t="s">
        <v>20</v>
      </c>
      <c r="E1486" s="4">
        <f>_xlfn.XLOOKUP(Table1[[#This Row], [ROOM]],Sheet1!$A$47:$A$66,Sheet1!$B$47:$B$66)</f>
        <v>145</v>
      </c>
      <c r="F1486" t="s">
        <v>58</v>
      </c>
      <c r="G148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86" s="13" t="s">
        <v>63</v>
      </c>
      <c r="I1486" s="4">
        <f>_xlfn.XLOOKUP(Table1[[#This Row], [WEAPON]],Sheet1!$A$27:$A$29,Sheet1!$B$27:$B$29)*Table1[[#This Row], [NUM OF MEM]]*(1+_xlfn.XLOOKUP(Table1[[#This Row], [WEAPON]],Sheet1!$A$27:$A$29,Sheet1!$C$27:$C$29))</f>
        <v>69000</v>
      </c>
      <c r="J1486" t="s">
        <v>60</v>
      </c>
      <c r="K1486" s="9">
        <f>Table1[[#This Row], [NUM OF MEM]]*Table1[[#This Row], [TOTAL TIME TAKEN]]*_xlfn.XLOOKUP(Table1[[#This Row], [EXIT]],Sheet1!$A$70:$A$71,Sheet1!$B$70:$B$71)*(1+_xlfn.XLOOKUP(Table1[[#This Row], [EXIT]],Sheet1!$A$70:$A$71,Sheet1!$C$70:$C$71))</f>
        <v>1627139.6124999996</v>
      </c>
      <c r="L1486" s="13" t="s">
        <v>65</v>
      </c>
      <c r="M1486" s="4">
        <f>IF(Table1[[#This Row], [EQUIPMENT]]="YES",Sheet1!$C$44*(1+Sheet1!$D$44),0)</f>
        <v>307500</v>
      </c>
      <c r="N1486" s="4">
        <f>_xlfn.XLOOKUP(Table1[[#This Row], [ROOM]],Sheet1!$A$47:$A$66,Sheet1!$F$47:$F$66)</f>
        <v>17550000</v>
      </c>
      <c r="O1486" s="9">
        <f>_xlfn.XLOOKUP(_xlfn.CONCAT(Table1[[#This Row], [TEAM]],Table1[[#This Row], [ROOM]]),'ROOM TIME'!$H$2:$H$121,'ROOM TIME'!$J$2:$J$121)</f>
        <v>37.766111111111101</v>
      </c>
      <c r="P1486" s="9">
        <f>(INDEX(Sheet1!$X$48:$Z$67,MATCH(Table1[[#This Row], [ROOM]],Sheet1!$P$48:$P$67,0),MATCH(Table1[[#This Row], [WEAPON]],Sheet1!$X$47:$Z$47,0)))/Table1[[#This Row], [NUM OF MEM]]</f>
        <v>4.5</v>
      </c>
      <c r="Q1486" s="9">
        <f>Table1[[#This Row], [ROOM TIME]]+Table1[[#This Row], [GUARD TIME]]</f>
        <v>42.266111111111101</v>
      </c>
      <c r="R1486" s="4">
        <f>Sheet1!$K$3*_xlfn.XLOOKUP(Table1[[#This Row], [DISGUISE]],Sheet1!$A$21:$A$23,Sheet1!$D$21:$D$23)</f>
        <v>69</v>
      </c>
      <c r="S1486" s="9">
        <f>Table1[[#This Row], [TOTAL TIME]]-Table1[[#This Row], [TOTAL TIME TAKEN]]</f>
        <v>26.733888888888899</v>
      </c>
      <c r="T1486" t="str">
        <f>IF(Table1[[#This Row], [TIME DIFFERENCE]]&gt;=0,"PASS","FAIL")</f>
        <v>PASS</v>
      </c>
      <c r="U1486" s="9">
        <f>Table1[[#This Row], [TRC]]+Table1[[#This Row], [DRC]]+Table1[[#This Row], [WRC]]+Table1[[#This Row], [ERC]]+Table1[[#This Row], [EQRC]]</f>
        <v>8280789.6124999998</v>
      </c>
      <c r="V1486" s="9">
        <f>Table1[[#This Row], [TOTAL COST]]+_xlfn.XLOOKUP(Table1[[#This Row], [TEAM]],Sheet1!$A$12:$A$17,Sheet1!$I$12:$I$17)</f>
        <v>8592727.1125000007</v>
      </c>
      <c r="W1486" s="9">
        <f>Table1[[#This Row], [LOOT]]-Table1[[#This Row], [TOTAL COST]]</f>
        <v>9269210.3874999993</v>
      </c>
      <c r="X1486" s="9">
        <f>IF(Table1[[#This Row], [PASS/FAIL]]="FAIL",0,Table1[[#This Row], [PROFIT]])</f>
        <v>9269210.3874999993</v>
      </c>
    </row>
    <row r="1487" spans="1:24" ht="19.5" customHeight="1" x14ac:dyDescent="0.45">
      <c r="A1487" t="s">
        <v>13</v>
      </c>
      <c r="B1487" s="14">
        <f>_xlfn.XLOOKUP(Table1[[#This Row], [TEAM]],Sheet1!$A$12:$A$17,Sheet1!$F$12:$F$17)</f>
        <v>3</v>
      </c>
      <c r="C1487" s="14">
        <f>_xlfn.XLOOKUP(Table1[[#This Row], [TEAM]],Sheet1!$A$12:$A$17,Sheet1!$G$12:$G$17)</f>
        <v>5930000</v>
      </c>
      <c r="D1487" t="s">
        <v>23</v>
      </c>
      <c r="E1487" s="4">
        <f>_xlfn.XLOOKUP(Table1[[#This Row], [ROOM]],Sheet1!$A$47:$A$66,Sheet1!$B$47:$B$66)</f>
        <v>245</v>
      </c>
      <c r="F1487" t="s">
        <v>62</v>
      </c>
      <c r="G1487" s="4">
        <f>_xlfn.XLOOKUP(Table1[[#This Row], [DISGUISE]],Sheet1!$A$21:$A$23,Sheet1!$B$21:$B$23)*Table1[[#This Row], [NUM OF MEM]]*(1+_xlfn.XLOOKUP(Table1[[#This Row], [DISGUISE]],Sheet1!$A$21:$A$23,Sheet1!$C$21:$C$23))</f>
        <v>15600</v>
      </c>
      <c r="H1487" s="13" t="s">
        <v>63</v>
      </c>
      <c r="I1487" s="4">
        <f>_xlfn.XLOOKUP(Table1[[#This Row], [WEAPON]],Sheet1!$A$27:$A$29,Sheet1!$B$27:$B$29)*Table1[[#This Row], [NUM OF MEM]]*(1+_xlfn.XLOOKUP(Table1[[#This Row], [WEAPON]],Sheet1!$A$27:$A$29,Sheet1!$C$27:$C$29))</f>
        <v>69000</v>
      </c>
      <c r="J1487" t="s">
        <v>60</v>
      </c>
      <c r="K1487" s="9">
        <f>Table1[[#This Row], [NUM OF MEM]]*Table1[[#This Row], [TOTAL TIME TAKEN]]*_xlfn.XLOOKUP(Table1[[#This Row], [EXIT]],Sheet1!$A$70:$A$71,Sheet1!$B$70:$B$71)*(1+_xlfn.XLOOKUP(Table1[[#This Row], [EXIT]],Sheet1!$A$70:$A$71,Sheet1!$C$70:$C$71))</f>
        <v>1810473.2624999997</v>
      </c>
      <c r="L1487" s="13" t="s">
        <v>65</v>
      </c>
      <c r="M1487" s="4">
        <f>IF(Table1[[#This Row], [EQUIPMENT]]="YES",Sheet1!$C$44*(1+Sheet1!$D$44),0)</f>
        <v>307500</v>
      </c>
      <c r="N1487" s="4">
        <f>_xlfn.XLOOKUP(Table1[[#This Row], [ROOM]],Sheet1!$A$47:$A$66,Sheet1!$F$47:$F$66)</f>
        <v>17400000</v>
      </c>
      <c r="O1487" s="9">
        <f>_xlfn.XLOOKUP(_xlfn.CONCAT(Table1[[#This Row], [TEAM]],Table1[[#This Row], [ROOM]]),'ROOM TIME'!$H$2:$H$121,'ROOM TIME'!$J$2:$J$121)</f>
        <v>42.078333333333326</v>
      </c>
      <c r="P1487" s="9">
        <f>(INDEX(Sheet1!$X$48:$Z$67,MATCH(Table1[[#This Row], [ROOM]],Sheet1!$P$48:$P$67,0),MATCH(Table1[[#This Row], [WEAPON]],Sheet1!$X$47:$Z$47,0)))/Table1[[#This Row], [NUM OF MEM]]</f>
        <v>4.95</v>
      </c>
      <c r="Q1487" s="9">
        <f>Table1[[#This Row], [ROOM TIME]]+Table1[[#This Row], [GUARD TIME]]</f>
        <v>47.028333333333329</v>
      </c>
      <c r="R1487" s="4">
        <f>Sheet1!$K$3*_xlfn.XLOOKUP(Table1[[#This Row], [DISGUISE]],Sheet1!$A$21:$A$23,Sheet1!$D$21:$D$23)</f>
        <v>66</v>
      </c>
      <c r="S1487" s="9">
        <f>Table1[[#This Row], [TOTAL TIME]]-Table1[[#This Row], [TOTAL TIME TAKEN]]</f>
        <v>18.971666666666671</v>
      </c>
      <c r="T1487" t="str">
        <f>IF(Table1[[#This Row], [TIME DIFFERENCE]]&gt;=0,"PASS","FAIL")</f>
        <v>PASS</v>
      </c>
      <c r="U1487" s="9">
        <f>Table1[[#This Row], [TRC]]+Table1[[#This Row], [DRC]]+Table1[[#This Row], [WRC]]+Table1[[#This Row], [ERC]]+Table1[[#This Row], [EQRC]]</f>
        <v>8132573.2624999993</v>
      </c>
      <c r="V1487" s="9">
        <f>Table1[[#This Row], [TOTAL COST]]+_xlfn.XLOOKUP(Table1[[#This Row], [TEAM]],Sheet1!$A$12:$A$17,Sheet1!$I$12:$I$17)</f>
        <v>8429073.2624999993</v>
      </c>
      <c r="W1487" s="9">
        <f>Table1[[#This Row], [LOOT]]-Table1[[#This Row], [TOTAL COST]]</f>
        <v>9267426.7375000007</v>
      </c>
      <c r="X1487" s="9">
        <f>IF(Table1[[#This Row], [PASS/FAIL]]="FAIL",0,Table1[[#This Row], [PROFIT]])</f>
        <v>9267426.7375000007</v>
      </c>
    </row>
    <row r="1488" spans="1:24" ht="19.5" customHeight="1" x14ac:dyDescent="0.45">
      <c r="A1488" t="s">
        <v>12</v>
      </c>
      <c r="B1488" s="14">
        <f>_xlfn.XLOOKUP(Table1[[#This Row], [TEAM]],Sheet1!$A$12:$A$17,Sheet1!$F$12:$F$17)</f>
        <v>3</v>
      </c>
      <c r="C1488" s="14">
        <f>_xlfn.XLOOKUP(Table1[[#This Row], [TEAM]],Sheet1!$A$12:$A$17,Sheet1!$G$12:$G$17)</f>
        <v>5988750</v>
      </c>
      <c r="D1488" t="s">
        <v>23</v>
      </c>
      <c r="E1488" s="4">
        <f>_xlfn.XLOOKUP(Table1[[#This Row], [ROOM]],Sheet1!$A$47:$A$66,Sheet1!$B$47:$B$66)</f>
        <v>245</v>
      </c>
      <c r="F1488" t="s">
        <v>62</v>
      </c>
      <c r="G148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88" s="13" t="s">
        <v>66</v>
      </c>
      <c r="I1488" s="4">
        <f>_xlfn.XLOOKUP(Table1[[#This Row], [WEAPON]],Sheet1!$A$27:$A$29,Sheet1!$B$27:$B$29)*Table1[[#This Row], [NUM OF MEM]]*(1+_xlfn.XLOOKUP(Table1[[#This Row], [WEAPON]],Sheet1!$A$27:$A$29,Sheet1!$C$27:$C$29))</f>
        <v>108000</v>
      </c>
      <c r="J1488" t="s">
        <v>60</v>
      </c>
      <c r="K1488" s="9">
        <f>Table1[[#This Row], [NUM OF MEM]]*Table1[[#This Row], [TOTAL TIME TAKEN]]*_xlfn.XLOOKUP(Table1[[#This Row], [EXIT]],Sheet1!$A$70:$A$71,Sheet1!$B$70:$B$71)*(1+_xlfn.XLOOKUP(Table1[[#This Row], [EXIT]],Sheet1!$A$70:$A$71,Sheet1!$C$70:$C$71))</f>
        <v>1713010.4249999993</v>
      </c>
      <c r="L1488" s="13" t="s">
        <v>65</v>
      </c>
      <c r="M1488" s="4">
        <f>IF(Table1[[#This Row], [EQUIPMENT]]="YES",Sheet1!$C$44*(1+Sheet1!$D$44),0)</f>
        <v>307500</v>
      </c>
      <c r="N1488" s="4">
        <f>_xlfn.XLOOKUP(Table1[[#This Row], [ROOM]],Sheet1!$A$47:$A$66,Sheet1!$F$47:$F$66)</f>
        <v>17400000</v>
      </c>
      <c r="O1488" s="9">
        <f>_xlfn.XLOOKUP(_xlfn.CONCAT(Table1[[#This Row], [TEAM]],Table1[[#This Row], [ROOM]]),'ROOM TIME'!$H$2:$H$121,'ROOM TIME'!$J$2:$J$121)</f>
        <v>39.91333333333332</v>
      </c>
      <c r="P1488" s="9">
        <f>(INDEX(Sheet1!$X$48:$Z$67,MATCH(Table1[[#This Row], [ROOM]],Sheet1!$P$48:$P$67,0),MATCH(Table1[[#This Row], [WEAPON]],Sheet1!$X$47:$Z$47,0)))/Table1[[#This Row], [NUM OF MEM]]</f>
        <v>4.583333333333333</v>
      </c>
      <c r="Q1488" s="9">
        <f>Table1[[#This Row], [ROOM TIME]]+Table1[[#This Row], [GUARD TIME]]</f>
        <v>44.496666666666655</v>
      </c>
      <c r="R1488" s="4">
        <f>Sheet1!$K$3*_xlfn.XLOOKUP(Table1[[#This Row], [DISGUISE]],Sheet1!$A$21:$A$23,Sheet1!$D$21:$D$23)</f>
        <v>66</v>
      </c>
      <c r="S1488" s="9">
        <f>Table1[[#This Row], [TOTAL TIME]]-Table1[[#This Row], [TOTAL TIME TAKEN]]</f>
        <v>21.503333333333345</v>
      </c>
      <c r="T1488" t="str">
        <f>IF(Table1[[#This Row], [TIME DIFFERENCE]]&gt;=0,"PASS","FAIL")</f>
        <v>PASS</v>
      </c>
      <c r="U1488" s="9">
        <f>Table1[[#This Row], [TRC]]+Table1[[#This Row], [DRC]]+Table1[[#This Row], [WRC]]+Table1[[#This Row], [ERC]]+Table1[[#This Row], [EQRC]]</f>
        <v>8132860.4249999989</v>
      </c>
      <c r="V1488" s="9">
        <f>Table1[[#This Row], [TOTAL COST]]+_xlfn.XLOOKUP(Table1[[#This Row], [TEAM]],Sheet1!$A$12:$A$17,Sheet1!$I$12:$I$17)</f>
        <v>8432297.9249999989</v>
      </c>
      <c r="W1488" s="9">
        <f>Table1[[#This Row], [LOOT]]-Table1[[#This Row], [TOTAL COST]]</f>
        <v>9267139.5750000011</v>
      </c>
      <c r="X1488" s="9">
        <f>IF(Table1[[#This Row], [PASS/FAIL]]="FAIL",0,Table1[[#This Row], [PROFIT]])</f>
        <v>9267139.5750000011</v>
      </c>
    </row>
    <row r="1489" spans="1:24" ht="19.5" customHeight="1" x14ac:dyDescent="0.45">
      <c r="A1489" t="s">
        <v>12</v>
      </c>
      <c r="B1489" s="14">
        <f>_xlfn.XLOOKUP(Table1[[#This Row], [TEAM]],Sheet1!$A$12:$A$17,Sheet1!$F$12:$F$17)</f>
        <v>3</v>
      </c>
      <c r="C1489" s="14">
        <f>_xlfn.XLOOKUP(Table1[[#This Row], [TEAM]],Sheet1!$A$12:$A$17,Sheet1!$G$12:$G$17)</f>
        <v>5988750</v>
      </c>
      <c r="D1489" t="s">
        <v>11</v>
      </c>
      <c r="E1489" s="4">
        <f>_xlfn.XLOOKUP(Table1[[#This Row], [ROOM]],Sheet1!$A$47:$A$66,Sheet1!$B$47:$B$66)</f>
        <v>124</v>
      </c>
      <c r="F1489" t="s">
        <v>62</v>
      </c>
      <c r="G1489" s="4">
        <f>_xlfn.XLOOKUP(Table1[[#This Row], [DISGUISE]],Sheet1!$A$21:$A$23,Sheet1!$B$21:$B$23)*Table1[[#This Row], [NUM OF MEM]]*(1+_xlfn.XLOOKUP(Table1[[#This Row], [DISGUISE]],Sheet1!$A$21:$A$23,Sheet1!$C$21:$C$23))</f>
        <v>15600</v>
      </c>
      <c r="H1489" s="13" t="s">
        <v>59</v>
      </c>
      <c r="I1489" s="4">
        <f>_xlfn.XLOOKUP(Table1[[#This Row], [WEAPON]],Sheet1!$A$27:$A$29,Sheet1!$B$27:$B$29)*Table1[[#This Row], [NUM OF MEM]]*(1+_xlfn.XLOOKUP(Table1[[#This Row], [WEAPON]],Sheet1!$A$27:$A$29,Sheet1!$C$27:$C$29))</f>
        <v>136500</v>
      </c>
      <c r="J1489" t="s">
        <v>64</v>
      </c>
      <c r="K1489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1734739.1999999995</v>
      </c>
      <c r="L1489" s="13" t="s">
        <v>65</v>
      </c>
      <c r="M1489" s="4">
        <f>IF(Table1[[#This Row], [EQUIPMENT]]="YES",Sheet1!$C$44*(1+Sheet1!$D$44),0)</f>
        <v>307500</v>
      </c>
      <c r="N1489" s="4">
        <f>_xlfn.XLOOKUP(Table1[[#This Row], [ROOM]],Sheet1!$A$47:$A$66,Sheet1!$F$47:$F$66)</f>
        <v>17450000</v>
      </c>
      <c r="O1489" s="9">
        <f>_xlfn.XLOOKUP(_xlfn.CONCAT(Table1[[#This Row], [TEAM]],Table1[[#This Row], [ROOM]]),'ROOM TIME'!$H$2:$H$121,'ROOM TIME'!$J$2:$J$121)</f>
        <v>40.401111111111099</v>
      </c>
      <c r="P1489" s="9">
        <f>(INDEX(Sheet1!$X$48:$Z$67,MATCH(Table1[[#This Row], [ROOM]],Sheet1!$P$48:$P$67,0),MATCH(Table1[[#This Row], [WEAPON]],Sheet1!$X$47:$Z$47,0)))/Table1[[#This Row], [NUM OF MEM]]</f>
        <v>4.2166666666666659</v>
      </c>
      <c r="Q1489" s="9">
        <f>Table1[[#This Row], [ROOM TIME]]+Table1[[#This Row], [GUARD TIME]]</f>
        <v>44.617777777777768</v>
      </c>
      <c r="R1489" s="4">
        <f>Sheet1!$K$3*_xlfn.XLOOKUP(Table1[[#This Row], [DISGUISE]],Sheet1!$A$21:$A$23,Sheet1!$D$21:$D$23)</f>
        <v>66</v>
      </c>
      <c r="S1489" s="9">
        <f>Table1[[#This Row], [TOTAL TIME]]-Table1[[#This Row], [TOTAL TIME TAKEN]]</f>
        <v>21.382222222222232</v>
      </c>
      <c r="T1489" t="str">
        <f>IF(Table1[[#This Row], [TIME DIFFERENCE]]&gt;=0,"PASS","FAIL")</f>
        <v>PASS</v>
      </c>
      <c r="U1489" s="9">
        <f>Table1[[#This Row], [TRC]]+Table1[[#This Row], [DRC]]+Table1[[#This Row], [WRC]]+Table1[[#This Row], [ERC]]+Table1[[#This Row], [EQRC]]</f>
        <v>8183089.1999999993</v>
      </c>
      <c r="V1489" s="9">
        <f>Table1[[#This Row], [TOTAL COST]]+_xlfn.XLOOKUP(Table1[[#This Row], [TEAM]],Sheet1!$A$12:$A$17,Sheet1!$I$12:$I$17)</f>
        <v>8482526.6999999993</v>
      </c>
      <c r="W1489" s="9">
        <f>Table1[[#This Row], [LOOT]]-Table1[[#This Row], [TOTAL COST]]</f>
        <v>9266910.8000000007</v>
      </c>
      <c r="X1489" s="9">
        <f>IF(Table1[[#This Row], [PASS/FAIL]]="FAIL",0,Table1[[#This Row], [PROFIT]])</f>
        <v>9266910.8000000007</v>
      </c>
    </row>
    <row r="1490" spans="1:24" ht="19.5" customHeight="1" x14ac:dyDescent="0.45">
      <c r="A1490" t="s">
        <v>9</v>
      </c>
      <c r="B1490" s="14">
        <f>_xlfn.XLOOKUP(Table1[[#This Row], [TEAM]],Sheet1!$A$12:$A$17,Sheet1!$F$12:$F$17)</f>
        <v>3</v>
      </c>
      <c r="C1490" s="14">
        <f>_xlfn.XLOOKUP(Table1[[#This Row], [TEAM]],Sheet1!$A$12:$A$17,Sheet1!$G$12:$G$17)</f>
        <v>6238750</v>
      </c>
      <c r="D1490" t="s">
        <v>20</v>
      </c>
      <c r="E1490" s="4">
        <f>_xlfn.XLOOKUP(Table1[[#This Row], [ROOM]],Sheet1!$A$47:$A$66,Sheet1!$B$47:$B$66)</f>
        <v>145</v>
      </c>
      <c r="F1490" t="s">
        <v>62</v>
      </c>
      <c r="G1490" s="4">
        <f>_xlfn.XLOOKUP(Table1[[#This Row], [DISGUISE]],Sheet1!$A$21:$A$23,Sheet1!$B$21:$B$23)*Table1[[#This Row], [NUM OF MEM]]*(1+_xlfn.XLOOKUP(Table1[[#This Row], [DISGUISE]],Sheet1!$A$21:$A$23,Sheet1!$C$21:$C$23))</f>
        <v>15600</v>
      </c>
      <c r="H1490" s="13" t="s">
        <v>66</v>
      </c>
      <c r="I1490" s="4">
        <f>_xlfn.XLOOKUP(Table1[[#This Row], [WEAPON]],Sheet1!$A$27:$A$29,Sheet1!$B$27:$B$29)*Table1[[#This Row], [NUM OF MEM]]*(1+_xlfn.XLOOKUP(Table1[[#This Row], [WEAPON]],Sheet1!$A$27:$A$29,Sheet1!$C$27:$C$29))</f>
        <v>108000</v>
      </c>
      <c r="J1490" t="s">
        <v>60</v>
      </c>
      <c r="K1490" s="9">
        <f>Table1[[#This Row], [NUM OF MEM]]*Table1[[#This Row], [TOTAL TIME TAKEN]]*_xlfn.XLOOKUP(Table1[[#This Row], [EXIT]],Sheet1!$A$70:$A$71,Sheet1!$B$70:$B$71)*(1+_xlfn.XLOOKUP(Table1[[#This Row], [EXIT]],Sheet1!$A$70:$A$71,Sheet1!$C$70:$C$71))</f>
        <v>1614307.1124999993</v>
      </c>
      <c r="L1490" s="13" t="s">
        <v>65</v>
      </c>
      <c r="M1490" s="4">
        <f>IF(Table1[[#This Row], [EQUIPMENT]]="YES",Sheet1!$C$44*(1+Sheet1!$D$44),0)</f>
        <v>307500</v>
      </c>
      <c r="N1490" s="4">
        <f>_xlfn.XLOOKUP(Table1[[#This Row], [ROOM]],Sheet1!$A$47:$A$66,Sheet1!$F$47:$F$66)</f>
        <v>17550000</v>
      </c>
      <c r="O1490" s="9">
        <f>_xlfn.XLOOKUP(_xlfn.CONCAT(Table1[[#This Row], [TEAM]],Table1[[#This Row], [ROOM]]),'ROOM TIME'!$H$2:$H$121,'ROOM TIME'!$J$2:$J$121)</f>
        <v>37.766111111111101</v>
      </c>
      <c r="P1490" s="9">
        <f>(INDEX(Sheet1!$X$48:$Z$67,MATCH(Table1[[#This Row], [ROOM]],Sheet1!$P$48:$P$67,0),MATCH(Table1[[#This Row], [WEAPON]],Sheet1!$X$47:$Z$47,0)))/Table1[[#This Row], [NUM OF MEM]]</f>
        <v>4.166666666666667</v>
      </c>
      <c r="Q1490" s="9">
        <f>Table1[[#This Row], [ROOM TIME]]+Table1[[#This Row], [GUARD TIME]]</f>
        <v>41.932777777777765</v>
      </c>
      <c r="R1490" s="4">
        <f>Sheet1!$K$3*_xlfn.XLOOKUP(Table1[[#This Row], [DISGUISE]],Sheet1!$A$21:$A$23,Sheet1!$D$21:$D$23)</f>
        <v>66</v>
      </c>
      <c r="S1490" s="9">
        <f>Table1[[#This Row], [TOTAL TIME]]-Table1[[#This Row], [TOTAL TIME TAKEN]]</f>
        <v>24.067222222222235</v>
      </c>
      <c r="T1490" t="str">
        <f>IF(Table1[[#This Row], [TIME DIFFERENCE]]&gt;=0,"PASS","FAIL")</f>
        <v>PASS</v>
      </c>
      <c r="U1490" s="9">
        <f>Table1[[#This Row], [TRC]]+Table1[[#This Row], [DRC]]+Table1[[#This Row], [WRC]]+Table1[[#This Row], [ERC]]+Table1[[#This Row], [EQRC]]</f>
        <v>8284157.1124999989</v>
      </c>
      <c r="V1490" s="9">
        <f>Table1[[#This Row], [TOTAL COST]]+_xlfn.XLOOKUP(Table1[[#This Row], [TEAM]],Sheet1!$A$12:$A$17,Sheet1!$I$12:$I$17)</f>
        <v>8596094.6124999989</v>
      </c>
      <c r="W1490" s="9">
        <f>Table1[[#This Row], [LOOT]]-Table1[[#This Row], [TOTAL COST]]</f>
        <v>9265842.8875000011</v>
      </c>
      <c r="X1490" s="9">
        <f>IF(Table1[[#This Row], [PASS/FAIL]]="FAIL",0,Table1[[#This Row], [PROFIT]])</f>
        <v>9265842.8875000011</v>
      </c>
    </row>
    <row r="1491" spans="1:24" ht="19.5" customHeight="1" x14ac:dyDescent="0.45">
      <c r="A1491" t="s">
        <v>14</v>
      </c>
      <c r="B1491" s="14">
        <f>_xlfn.XLOOKUP(Table1[[#This Row], [TEAM]],Sheet1!$A$12:$A$17,Sheet1!$F$12:$F$17)</f>
        <v>2</v>
      </c>
      <c r="C1491" s="14">
        <f>_xlfn.XLOOKUP(Table1[[#This Row], [TEAM]],Sheet1!$A$12:$A$17,Sheet1!$G$12:$G$17)</f>
        <v>5949600</v>
      </c>
      <c r="D1491" t="s">
        <v>17</v>
      </c>
      <c r="E1491" s="4">
        <f>_xlfn.XLOOKUP(Table1[[#This Row], [ROOM]],Sheet1!$A$47:$A$66,Sheet1!$B$47:$B$66)</f>
        <v>125</v>
      </c>
      <c r="F1491" t="s">
        <v>58</v>
      </c>
      <c r="G1491" s="4">
        <f>_xlfn.XLOOKUP(Table1[[#This Row], [DISGUISE]],Sheet1!$A$21:$A$23,Sheet1!$B$21:$B$23)*Table1[[#This Row], [NUM OF MEM]]*(1+_xlfn.XLOOKUP(Table1[[#This Row], [DISGUISE]],Sheet1!$A$21:$A$23,Sheet1!$C$21:$C$23))</f>
        <v>25600</v>
      </c>
      <c r="H1491" s="13" t="s">
        <v>66</v>
      </c>
      <c r="I1491" s="4">
        <f>_xlfn.XLOOKUP(Table1[[#This Row], [WEAPON]],Sheet1!$A$27:$A$29,Sheet1!$B$27:$B$29)*Table1[[#This Row], [NUM OF MEM]]*(1+_xlfn.XLOOKUP(Table1[[#This Row], [WEAPON]],Sheet1!$A$27:$A$29,Sheet1!$C$27:$C$29))</f>
        <v>72000</v>
      </c>
      <c r="J1491" t="s">
        <v>64</v>
      </c>
      <c r="K1491" s="9">
        <f>Table1[[#This Row], [NUM OF MEM]]*Table1[[#This Row], [TOTAL TIME TAKEN]]*_xlfn.XLOOKUP(Table1[[#This Row], [EXIT]],Sheet1!$A$70:$A$71,Sheet1!$B$70:$B$71)*(1+_xlfn.XLOOKUP(Table1[[#This Row], [EXIT]],Sheet1!$A$70:$A$71,Sheet1!$C$70:$C$71))</f>
        <v>1734112.7999999996</v>
      </c>
      <c r="L1491" s="13" t="s">
        <v>65</v>
      </c>
      <c r="M1491" s="4">
        <f>IF(Table1[[#This Row], [EQUIPMENT]]="YES",Sheet1!$C$44*(1+Sheet1!$D$44),0)</f>
        <v>307500</v>
      </c>
      <c r="N1491" s="4">
        <f>_xlfn.XLOOKUP(Table1[[#This Row], [ROOM]],Sheet1!$A$47:$A$66,Sheet1!$F$47:$F$66)</f>
        <v>17350000</v>
      </c>
      <c r="O1491" s="9">
        <f>_xlfn.XLOOKUP(_xlfn.CONCAT(Table1[[#This Row], [TEAM]],Table1[[#This Row], [ROOM]]),'ROOM TIME'!$H$2:$H$121,'ROOM TIME'!$J$2:$J$121)</f>
        <v>60.652499999999989</v>
      </c>
      <c r="P1491" s="9">
        <f>(INDEX(Sheet1!$X$48:$Z$67,MATCH(Table1[[#This Row], [ROOM]],Sheet1!$P$48:$P$67,0),MATCH(Table1[[#This Row], [WEAPON]],Sheet1!$X$47:$Z$47,0)))/Table1[[#This Row], [NUM OF MEM]]</f>
        <v>6.25</v>
      </c>
      <c r="Q1491" s="9">
        <f>Table1[[#This Row], [ROOM TIME]]+Table1[[#This Row], [GUARD TIME]]</f>
        <v>66.902499999999989</v>
      </c>
      <c r="R1491" s="4">
        <f>Sheet1!$K$3*_xlfn.XLOOKUP(Table1[[#This Row], [DISGUISE]],Sheet1!$A$21:$A$23,Sheet1!$D$21:$D$23)</f>
        <v>69</v>
      </c>
      <c r="S1491" s="9">
        <f>Table1[[#This Row], [TOTAL TIME]]-Table1[[#This Row], [TOTAL TIME TAKEN]]</f>
        <v>2.0975000000000108</v>
      </c>
      <c r="T1491" t="str">
        <f>IF(Table1[[#This Row], [TIME DIFFERENCE]]&gt;=0,"PASS","FAIL")</f>
        <v>PASS</v>
      </c>
      <c r="U1491" s="9">
        <f>Table1[[#This Row], [TRC]]+Table1[[#This Row], [DRC]]+Table1[[#This Row], [WRC]]+Table1[[#This Row], [ERC]]+Table1[[#This Row], [EQRC]]</f>
        <v>8088812.7999999998</v>
      </c>
      <c r="V1491" s="9">
        <f>Table1[[#This Row], [TOTAL COST]]+_xlfn.XLOOKUP(Table1[[#This Row], [TEAM]],Sheet1!$A$12:$A$17,Sheet1!$I$12:$I$17)</f>
        <v>8386292.7999999998</v>
      </c>
      <c r="W1491" s="9">
        <f>Table1[[#This Row], [LOOT]]-Table1[[#This Row], [TOTAL COST]]</f>
        <v>9261187.1999999993</v>
      </c>
      <c r="X1491" s="9">
        <f>IF(Table1[[#This Row], [PASS/FAIL]]="FAIL",0,Table1[[#This Row], [PROFIT]])</f>
        <v>9261187.1999999993</v>
      </c>
    </row>
    <row r="1492" spans="1:24" ht="19.5" customHeight="1" x14ac:dyDescent="0.45">
      <c r="A1492" t="s">
        <v>12</v>
      </c>
      <c r="B1492" s="14">
        <f>_xlfn.XLOOKUP(Table1[[#This Row], [TEAM]],Sheet1!$A$12:$A$17,Sheet1!$F$12:$F$17)</f>
        <v>3</v>
      </c>
      <c r="C1492" s="14">
        <f>_xlfn.XLOOKUP(Table1[[#This Row], [TEAM]],Sheet1!$A$12:$A$17,Sheet1!$G$12:$G$17)</f>
        <v>5988750</v>
      </c>
      <c r="D1492" t="s">
        <v>11</v>
      </c>
      <c r="E1492" s="4">
        <f>_xlfn.XLOOKUP(Table1[[#This Row], [ROOM]],Sheet1!$A$47:$A$66,Sheet1!$B$47:$B$66)</f>
        <v>124</v>
      </c>
      <c r="F1492" t="s">
        <v>58</v>
      </c>
      <c r="G1492" s="4">
        <f>_xlfn.XLOOKUP(Table1[[#This Row], [DISGUISE]],Sheet1!$A$21:$A$23,Sheet1!$B$21:$B$23)*Table1[[#This Row], [NUM OF MEM]]*(1+_xlfn.XLOOKUP(Table1[[#This Row], [DISGUISE]],Sheet1!$A$21:$A$23,Sheet1!$C$21:$C$23))</f>
        <v>38400</v>
      </c>
      <c r="H1492" s="13" t="s">
        <v>59</v>
      </c>
      <c r="I1492" s="4">
        <f>_xlfn.XLOOKUP(Table1[[#This Row], [WEAPON]],Sheet1!$A$27:$A$29,Sheet1!$B$27:$B$29)*Table1[[#This Row], [NUM OF MEM]]*(1+_xlfn.XLOOKUP(Table1[[#This Row], [WEAPON]],Sheet1!$A$27:$A$29,Sheet1!$C$27:$C$29))</f>
        <v>136500</v>
      </c>
      <c r="J1492" t="s">
        <v>60</v>
      </c>
      <c r="K1492" s="9">
        <f>Table1[[#This Row], [NUM OF MEM]]*Table1[[#This Row], [TOTAL TIME TAKEN]]*_xlfn.XLOOKUP(Table1[[#This Row], [EXIT]],Sheet1!$A$70:$A$71,Sheet1!$B$70:$B$71)*(1+_xlfn.XLOOKUP(Table1[[#This Row], [EXIT]],Sheet1!$A$70:$A$71,Sheet1!$C$70:$C$71))</f>
        <v>1717672.8999999997</v>
      </c>
      <c r="L1492" s="13" t="s">
        <v>65</v>
      </c>
      <c r="M1492" s="4">
        <f>IF(Table1[[#This Row], [EQUIPMENT]]="YES",Sheet1!$C$44*(1+Sheet1!$D$44),0)</f>
        <v>307500</v>
      </c>
      <c r="N1492" s="4">
        <f>_xlfn.XLOOKUP(Table1[[#This Row], [ROOM]],Sheet1!$A$47:$A$66,Sheet1!$F$47:$F$66)</f>
        <v>17450000</v>
      </c>
      <c r="O1492" s="9">
        <f>_xlfn.XLOOKUP(_xlfn.CONCAT(Table1[[#This Row], [TEAM]],Table1[[#This Row], [ROOM]]),'ROOM TIME'!$H$2:$H$121,'ROOM TIME'!$J$2:$J$121)</f>
        <v>40.401111111111099</v>
      </c>
      <c r="P1492" s="9">
        <f>(INDEX(Sheet1!$X$48:$Z$67,MATCH(Table1[[#This Row], [ROOM]],Sheet1!$P$48:$P$67,0),MATCH(Table1[[#This Row], [WEAPON]],Sheet1!$X$47:$Z$47,0)))/Table1[[#This Row], [NUM OF MEM]]</f>
        <v>4.2166666666666659</v>
      </c>
      <c r="Q1492" s="9">
        <f>Table1[[#This Row], [ROOM TIME]]+Table1[[#This Row], [GUARD TIME]]</f>
        <v>44.617777777777768</v>
      </c>
      <c r="R1492" s="4">
        <f>Sheet1!$K$3*_xlfn.XLOOKUP(Table1[[#This Row], [DISGUISE]],Sheet1!$A$21:$A$23,Sheet1!$D$21:$D$23)</f>
        <v>69</v>
      </c>
      <c r="S1492" s="9">
        <f>Table1[[#This Row], [TOTAL TIME]]-Table1[[#This Row], [TOTAL TIME TAKEN]]</f>
        <v>24.382222222222232</v>
      </c>
      <c r="T1492" t="str">
        <f>IF(Table1[[#This Row], [TIME DIFFERENCE]]&gt;=0,"PASS","FAIL")</f>
        <v>PASS</v>
      </c>
      <c r="U1492" s="9">
        <f>Table1[[#This Row], [TRC]]+Table1[[#This Row], [DRC]]+Table1[[#This Row], [WRC]]+Table1[[#This Row], [ERC]]+Table1[[#This Row], [EQRC]]</f>
        <v>8188822.8999999994</v>
      </c>
      <c r="V1492" s="9">
        <f>Table1[[#This Row], [TOTAL COST]]+_xlfn.XLOOKUP(Table1[[#This Row], [TEAM]],Sheet1!$A$12:$A$17,Sheet1!$I$12:$I$17)</f>
        <v>8488260.3999999985</v>
      </c>
      <c r="W1492" s="9">
        <f>Table1[[#This Row], [LOOT]]-Table1[[#This Row], [TOTAL COST]]</f>
        <v>9261177.1000000015</v>
      </c>
      <c r="X1492" s="9">
        <f>IF(Table1[[#This Row], [PASS/FAIL]]="FAIL",0,Table1[[#This Row], [PROFIT]])</f>
        <v>9261177.1000000015</v>
      </c>
    </row>
    <row r="1493" spans="1:24" ht="19.5" customHeight="1" x14ac:dyDescent="0.45">
      <c r="A1493" t="s">
        <v>13</v>
      </c>
      <c r="B1493" s="14">
        <f>_xlfn.XLOOKUP(Table1[[#This Row], [TEAM]],Sheet1!$A$12:$A$17,Sheet1!$F$12:$F$17)</f>
        <v>3</v>
      </c>
      <c r="C1493" s="14">
        <f>_xlfn.XLOOKUP(Table1[[#This Row], [TEAM]],Sheet1!$A$12:$A$17,Sheet1!$G$12:$G$17)</f>
        <v>5930000</v>
      </c>
      <c r="D1493" t="s">
        <v>11</v>
      </c>
      <c r="E1493" s="4">
        <f>_xlfn.XLOOKUP(Table1[[#This Row], [ROOM]],Sheet1!$A$47:$A$66,Sheet1!$B$47:$B$66)</f>
        <v>124</v>
      </c>
      <c r="F1493" t="s">
        <v>62</v>
      </c>
      <c r="G1493" s="4">
        <f>_xlfn.XLOOKUP(Table1[[#This Row], [DISGUISE]],Sheet1!$A$21:$A$23,Sheet1!$B$21:$B$23)*Table1[[#This Row], [NUM OF MEM]]*(1+_xlfn.XLOOKUP(Table1[[#This Row], [DISGUISE]],Sheet1!$A$21:$A$23,Sheet1!$C$21:$C$23))</f>
        <v>15600</v>
      </c>
      <c r="H1493" s="13" t="s">
        <v>59</v>
      </c>
      <c r="I1493" s="4">
        <f>_xlfn.XLOOKUP(Table1[[#This Row], [WEAPON]],Sheet1!$A$27:$A$29,Sheet1!$B$27:$B$29)*Table1[[#This Row], [NUM OF MEM]]*(1+_xlfn.XLOOKUP(Table1[[#This Row], [WEAPON]],Sheet1!$A$27:$A$29,Sheet1!$C$27:$C$29))</f>
        <v>136500</v>
      </c>
      <c r="J1493" t="s">
        <v>60</v>
      </c>
      <c r="K1493" s="9">
        <f>Table1[[#This Row], [NUM OF MEM]]*Table1[[#This Row], [TOTAL TIME TAKEN]]*_xlfn.XLOOKUP(Table1[[#This Row], [EXIT]],Sheet1!$A$70:$A$71,Sheet1!$B$70:$B$71)*(1+_xlfn.XLOOKUP(Table1[[#This Row], [EXIT]],Sheet1!$A$70:$A$71,Sheet1!$C$70:$C$71))</f>
        <v>1799287.5999999996</v>
      </c>
      <c r="L1493" s="13" t="s">
        <v>65</v>
      </c>
      <c r="M1493" s="4">
        <f>IF(Table1[[#This Row], [EQUIPMENT]]="YES",Sheet1!$C$44*(1+Sheet1!$D$44),0)</f>
        <v>307500</v>
      </c>
      <c r="N1493" s="4">
        <f>_xlfn.XLOOKUP(Table1[[#This Row], [ROOM]],Sheet1!$A$47:$A$66,Sheet1!$F$47:$F$66)</f>
        <v>17450000</v>
      </c>
      <c r="O1493" s="9">
        <f>_xlfn.XLOOKUP(_xlfn.CONCAT(Table1[[#This Row], [TEAM]],Table1[[#This Row], [ROOM]]),'ROOM TIME'!$H$2:$H$121,'ROOM TIME'!$J$2:$J$121)</f>
        <v>42.521111111111104</v>
      </c>
      <c r="P1493" s="9">
        <f>(INDEX(Sheet1!$X$48:$Z$67,MATCH(Table1[[#This Row], [ROOM]],Sheet1!$P$48:$P$67,0),MATCH(Table1[[#This Row], [WEAPON]],Sheet1!$X$47:$Z$47,0)))/Table1[[#This Row], [NUM OF MEM]]</f>
        <v>4.2166666666666659</v>
      </c>
      <c r="Q1493" s="9">
        <f>Table1[[#This Row], [ROOM TIME]]+Table1[[#This Row], [GUARD TIME]]</f>
        <v>46.737777777777772</v>
      </c>
      <c r="R1493" s="4">
        <f>Sheet1!$K$3*_xlfn.XLOOKUP(Table1[[#This Row], [DISGUISE]],Sheet1!$A$21:$A$23,Sheet1!$D$21:$D$23)</f>
        <v>66</v>
      </c>
      <c r="S1493" s="9">
        <f>Table1[[#This Row], [TOTAL TIME]]-Table1[[#This Row], [TOTAL TIME TAKEN]]</f>
        <v>19.262222222222228</v>
      </c>
      <c r="T1493" t="str">
        <f>IF(Table1[[#This Row], [TIME DIFFERENCE]]&gt;=0,"PASS","FAIL")</f>
        <v>PASS</v>
      </c>
      <c r="U1493" s="9">
        <f>Table1[[#This Row], [TRC]]+Table1[[#This Row], [DRC]]+Table1[[#This Row], [WRC]]+Table1[[#This Row], [ERC]]+Table1[[#This Row], [EQRC]]</f>
        <v>8188887.5999999996</v>
      </c>
      <c r="V1493" s="9">
        <f>Table1[[#This Row], [TOTAL COST]]+_xlfn.XLOOKUP(Table1[[#This Row], [TEAM]],Sheet1!$A$12:$A$17,Sheet1!$I$12:$I$17)</f>
        <v>8485387.5999999996</v>
      </c>
      <c r="W1493" s="9">
        <f>Table1[[#This Row], [LOOT]]-Table1[[#This Row], [TOTAL COST]]</f>
        <v>9261112.4000000004</v>
      </c>
      <c r="X1493" s="9">
        <f>IF(Table1[[#This Row], [PASS/FAIL]]="FAIL",0,Table1[[#This Row], [PROFIT]])</f>
        <v>9261112.4000000004</v>
      </c>
    </row>
    <row r="1494" spans="1:24" ht="19.5" customHeight="1" x14ac:dyDescent="0.45">
      <c r="A1494" t="s">
        <v>13</v>
      </c>
      <c r="B1494" s="14">
        <f>_xlfn.XLOOKUP(Table1[[#This Row], [TEAM]],Sheet1!$A$12:$A$17,Sheet1!$F$12:$F$17)</f>
        <v>3</v>
      </c>
      <c r="C1494" s="14">
        <f>_xlfn.XLOOKUP(Table1[[#This Row], [TEAM]],Sheet1!$A$12:$A$17,Sheet1!$G$12:$G$17)</f>
        <v>5930000</v>
      </c>
      <c r="D1494" t="s">
        <v>11</v>
      </c>
      <c r="E1494" s="4">
        <f>_xlfn.XLOOKUP(Table1[[#This Row], [ROOM]],Sheet1!$A$47:$A$66,Sheet1!$B$47:$B$66)</f>
        <v>124</v>
      </c>
      <c r="F1494" t="s">
        <v>58</v>
      </c>
      <c r="G1494" s="4">
        <f>_xlfn.XLOOKUP(Table1[[#This Row], [DISGUISE]],Sheet1!$A$21:$A$23,Sheet1!$B$21:$B$23)*Table1[[#This Row], [NUM OF MEM]]*(1+_xlfn.XLOOKUP(Table1[[#This Row], [DISGUISE]],Sheet1!$A$21:$A$23,Sheet1!$C$21:$C$23))</f>
        <v>38400</v>
      </c>
      <c r="H1494" s="13" t="s">
        <v>63</v>
      </c>
      <c r="I1494" s="4">
        <f>_xlfn.XLOOKUP(Table1[[#This Row], [WEAPON]],Sheet1!$A$27:$A$29,Sheet1!$B$27:$B$29)*Table1[[#This Row], [NUM OF MEM]]*(1+_xlfn.XLOOKUP(Table1[[#This Row], [WEAPON]],Sheet1!$A$27:$A$29,Sheet1!$C$27:$C$29))</f>
        <v>69000</v>
      </c>
      <c r="J1494" t="s">
        <v>64</v>
      </c>
      <c r="K1494" s="9">
        <f>Table1[[#This Row], [NUM OF MEM]]*Table1[[#This Row], [TOTAL TIME TAKEN]]*_xlfn.XLOOKUP(Table1[[#This Row], [EXIT]],Sheet1!$A$70:$A$71,Sheet1!$B$70:$B$71)*(1+_xlfn.XLOOKUP(Table1[[#This Row], [EXIT]],Sheet1!$A$70:$A$71,Sheet1!$C$70:$C$71))</f>
        <v>1845676.8</v>
      </c>
      <c r="L1494" s="13" t="s">
        <v>65</v>
      </c>
      <c r="M1494" s="4">
        <f>IF(Table1[[#This Row], [EQUIPMENT]]="YES",Sheet1!$C$44*(1+Sheet1!$D$44),0)</f>
        <v>307500</v>
      </c>
      <c r="N1494" s="4">
        <f>_xlfn.XLOOKUP(Table1[[#This Row], [ROOM]],Sheet1!$A$47:$A$66,Sheet1!$F$47:$F$66)</f>
        <v>17450000</v>
      </c>
      <c r="O1494" s="9">
        <f>_xlfn.XLOOKUP(_xlfn.CONCAT(Table1[[#This Row], [TEAM]],Table1[[#This Row], [ROOM]]),'ROOM TIME'!$H$2:$H$121,'ROOM TIME'!$J$2:$J$121)</f>
        <v>42.521111111111104</v>
      </c>
      <c r="P1494" s="9">
        <f>(INDEX(Sheet1!$X$48:$Z$67,MATCH(Table1[[#This Row], [ROOM]],Sheet1!$P$48:$P$67,0),MATCH(Table1[[#This Row], [WEAPON]],Sheet1!$X$47:$Z$47,0)))/Table1[[#This Row], [NUM OF MEM]]</f>
        <v>4.95</v>
      </c>
      <c r="Q1494" s="9">
        <f>Table1[[#This Row], [ROOM TIME]]+Table1[[#This Row], [GUARD TIME]]</f>
        <v>47.471111111111107</v>
      </c>
      <c r="R1494" s="4">
        <f>Sheet1!$K$3*_xlfn.XLOOKUP(Table1[[#This Row], [DISGUISE]],Sheet1!$A$21:$A$23,Sheet1!$D$21:$D$23)</f>
        <v>69</v>
      </c>
      <c r="S1494" s="9">
        <f>Table1[[#This Row], [TOTAL TIME]]-Table1[[#This Row], [TOTAL TIME TAKEN]]</f>
        <v>21.528888888888893</v>
      </c>
      <c r="T1494" t="str">
        <f>IF(Table1[[#This Row], [TIME DIFFERENCE]]&gt;=0,"PASS","FAIL")</f>
        <v>PASS</v>
      </c>
      <c r="U1494" s="9">
        <f>Table1[[#This Row], [TRC]]+Table1[[#This Row], [DRC]]+Table1[[#This Row], [WRC]]+Table1[[#This Row], [ERC]]+Table1[[#This Row], [EQRC]]</f>
        <v>8190576.7999999998</v>
      </c>
      <c r="V1494" s="9">
        <f>Table1[[#This Row], [TOTAL COST]]+_xlfn.XLOOKUP(Table1[[#This Row], [TEAM]],Sheet1!$A$12:$A$17,Sheet1!$I$12:$I$17)</f>
        <v>8487076.8000000007</v>
      </c>
      <c r="W1494" s="9">
        <f>Table1[[#This Row], [LOOT]]-Table1[[#This Row], [TOTAL COST]]</f>
        <v>9259423.1999999993</v>
      </c>
      <c r="X1494" s="9">
        <f>IF(Table1[[#This Row], [PASS/FAIL]]="FAIL",0,Table1[[#This Row], [PROFIT]])</f>
        <v>9259423.1999999993</v>
      </c>
    </row>
    <row r="1495" spans="1:24" ht="19.5" customHeight="1" x14ac:dyDescent="0.45">
      <c r="A1495" t="s">
        <v>12</v>
      </c>
      <c r="B1495" s="14">
        <f>_xlfn.XLOOKUP(Table1[[#This Row], [TEAM]],Sheet1!$A$12:$A$17,Sheet1!$F$12:$F$17)</f>
        <v>3</v>
      </c>
      <c r="C1495" s="14">
        <f>_xlfn.XLOOKUP(Table1[[#This Row], [TEAM]],Sheet1!$A$12:$A$17,Sheet1!$G$12:$G$17)</f>
        <v>5988750</v>
      </c>
      <c r="D1495" t="s">
        <v>11</v>
      </c>
      <c r="E1495" s="4">
        <f>_xlfn.XLOOKUP(Table1[[#This Row], [ROOM]],Sheet1!$A$47:$A$66,Sheet1!$B$47:$B$66)</f>
        <v>124</v>
      </c>
      <c r="F1495" t="s">
        <v>58</v>
      </c>
      <c r="G1495" s="4">
        <f>_xlfn.XLOOKUP(Table1[[#This Row], [DISGUISE]],Sheet1!$A$21:$A$23,Sheet1!$B$21:$B$23)*Table1[[#This Row], [NUM OF MEM]]*(1+_xlfn.XLOOKUP(Table1[[#This Row], [DISGUISE]],Sheet1!$A$21:$A$23,Sheet1!$C$21:$C$23))</f>
        <v>38400</v>
      </c>
      <c r="H1495" s="13" t="s">
        <v>66</v>
      </c>
      <c r="I1495" s="4">
        <f>_xlfn.XLOOKUP(Table1[[#This Row], [WEAPON]],Sheet1!$A$27:$A$29,Sheet1!$B$27:$B$29)*Table1[[#This Row], [NUM OF MEM]]*(1+_xlfn.XLOOKUP(Table1[[#This Row], [WEAPON]],Sheet1!$A$27:$A$29,Sheet1!$C$27:$C$29))</f>
        <v>108000</v>
      </c>
      <c r="J1495" t="s">
        <v>64</v>
      </c>
      <c r="K1495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1748995.1999999997</v>
      </c>
      <c r="L1495" s="13" t="s">
        <v>65</v>
      </c>
      <c r="M1495" s="4">
        <f>IF(Table1[[#This Row], [EQUIPMENT]]="YES",Sheet1!$C$44*(1+Sheet1!$D$44),0)</f>
        <v>307500</v>
      </c>
      <c r="N1495" s="4">
        <f>_xlfn.XLOOKUP(Table1[[#This Row], [ROOM]],Sheet1!$A$47:$A$66,Sheet1!$F$47:$F$66)</f>
        <v>17450000</v>
      </c>
      <c r="O1495" s="9">
        <f>_xlfn.XLOOKUP(_xlfn.CONCAT(Table1[[#This Row], [TEAM]],Table1[[#This Row], [ROOM]]),'ROOM TIME'!$H$2:$H$121,'ROOM TIME'!$J$2:$J$121)</f>
        <v>40.401111111111099</v>
      </c>
      <c r="P1495" s="9">
        <f>(INDEX(Sheet1!$X$48:$Z$67,MATCH(Table1[[#This Row], [ROOM]],Sheet1!$P$48:$P$67,0),MATCH(Table1[[#This Row], [WEAPON]],Sheet1!$X$47:$Z$47,0)))/Table1[[#This Row], [NUM OF MEM]]</f>
        <v>4.583333333333333</v>
      </c>
      <c r="Q1495" s="9">
        <f>Table1[[#This Row], [ROOM TIME]]+Table1[[#This Row], [GUARD TIME]]</f>
        <v>44.984444444444435</v>
      </c>
      <c r="R1495" s="4">
        <f>Sheet1!$K$3*_xlfn.XLOOKUP(Table1[[#This Row], [DISGUISE]],Sheet1!$A$21:$A$23,Sheet1!$D$21:$D$23)</f>
        <v>69</v>
      </c>
      <c r="S1495" s="9">
        <f>Table1[[#This Row], [TOTAL TIME]]-Table1[[#This Row], [TOTAL TIME TAKEN]]</f>
        <v>24.015555555555565</v>
      </c>
      <c r="T1495" t="str">
        <f>IF(Table1[[#This Row], [TIME DIFFERENCE]]&gt;=0,"PASS","FAIL")</f>
        <v>PASS</v>
      </c>
      <c r="U1495" s="9">
        <f>Table1[[#This Row], [TRC]]+Table1[[#This Row], [DRC]]+Table1[[#This Row], [WRC]]+Table1[[#This Row], [ERC]]+Table1[[#This Row], [EQRC]]</f>
        <v>8191645.1999999993</v>
      </c>
      <c r="V1495" s="9">
        <f>Table1[[#This Row], [TOTAL COST]]+_xlfn.XLOOKUP(Table1[[#This Row], [TEAM]],Sheet1!$A$12:$A$17,Sheet1!$I$12:$I$17)</f>
        <v>8491082.6999999993</v>
      </c>
      <c r="W1495" s="9">
        <f>Table1[[#This Row], [LOOT]]-Table1[[#This Row], [TOTAL COST]]</f>
        <v>9258354.8000000007</v>
      </c>
      <c r="X1495" s="9">
        <f>IF(Table1[[#This Row], [PASS/FAIL]]="FAIL",0,Table1[[#This Row], [PROFIT]])</f>
        <v>9258354.8000000007</v>
      </c>
    </row>
    <row r="1496" spans="1:24" ht="19.5" customHeight="1" x14ac:dyDescent="0.45">
      <c r="A1496" t="s">
        <v>9</v>
      </c>
      <c r="B1496" s="14">
        <f>_xlfn.XLOOKUP(Table1[[#This Row], [TEAM]],Sheet1!$A$12:$A$17,Sheet1!$F$12:$F$17)</f>
        <v>3</v>
      </c>
      <c r="C1496" s="14">
        <f>_xlfn.XLOOKUP(Table1[[#This Row], [TEAM]],Sheet1!$A$12:$A$17,Sheet1!$G$12:$G$17)</f>
        <v>6238750</v>
      </c>
      <c r="D1496" t="s">
        <v>31</v>
      </c>
      <c r="E1496" s="4">
        <f>_xlfn.XLOOKUP(Table1[[#This Row], [ROOM]],Sheet1!$A$47:$A$66,Sheet1!$B$47:$B$66)</f>
        <v>256</v>
      </c>
      <c r="F1496" t="s">
        <v>58</v>
      </c>
      <c r="G1496" s="4">
        <f>_xlfn.XLOOKUP(Table1[[#This Row], [DISGUISE]],Sheet1!$A$21:$A$23,Sheet1!$B$21:$B$23)*Table1[[#This Row], [NUM OF MEM]]*(1+_xlfn.XLOOKUP(Table1[[#This Row], [DISGUISE]],Sheet1!$A$21:$A$23,Sheet1!$C$21:$C$23))</f>
        <v>38400</v>
      </c>
      <c r="H1496" s="13" t="s">
        <v>63</v>
      </c>
      <c r="I1496" s="4">
        <f>_xlfn.XLOOKUP(Table1[[#This Row], [WEAPON]],Sheet1!$A$27:$A$29,Sheet1!$B$27:$B$29)*Table1[[#This Row], [NUM OF MEM]]*(1+_xlfn.XLOOKUP(Table1[[#This Row], [WEAPON]],Sheet1!$A$27:$A$29,Sheet1!$C$27:$C$29))</f>
        <v>69000</v>
      </c>
      <c r="J1496" t="s">
        <v>64</v>
      </c>
      <c r="K1496" s="9">
        <f>Table1[[#This Row], [NUM OF MEM]]*Table1[[#This Row], [TOTAL TIME TAKEN]]*_xlfn.XLOOKUP(Table1[[#This Row], [EXIT]],Sheet1!$A$70:$A$71,Sheet1!$B$70:$B$71)*(1+_xlfn.XLOOKUP(Table1[[#This Row], [EXIT]],Sheet1!$A$70:$A$71,Sheet1!$C$70:$C$71))</f>
        <v>1588247.9999999998</v>
      </c>
      <c r="L1496" s="13" t="s">
        <v>65</v>
      </c>
      <c r="M1496" s="4">
        <f>IF(Table1[[#This Row], [EQUIPMENT]]="YES",Sheet1!$C$44*(1+Sheet1!$D$44),0)</f>
        <v>307500</v>
      </c>
      <c r="N1496" s="4">
        <f>_xlfn.XLOOKUP(Table1[[#This Row], [ROOM]],Sheet1!$A$47:$A$66,Sheet1!$F$47:$F$66)</f>
        <v>17500000</v>
      </c>
      <c r="O1496" s="9">
        <f>_xlfn.XLOOKUP(_xlfn.CONCAT(Table1[[#This Row], [TEAM]],Table1[[#This Row], [ROOM]]),'ROOM TIME'!$H$2:$H$121,'ROOM TIME'!$J$2:$J$121)</f>
        <v>35.899999999999991</v>
      </c>
      <c r="P1496" s="9">
        <f>(INDEX(Sheet1!$X$48:$Z$67,MATCH(Table1[[#This Row], [ROOM]],Sheet1!$P$48:$P$67,0),MATCH(Table1[[#This Row], [WEAPON]],Sheet1!$X$47:$Z$47,0)))/Table1[[#This Row], [NUM OF MEM]]</f>
        <v>4.95</v>
      </c>
      <c r="Q1496" s="9">
        <f>Table1[[#This Row], [ROOM TIME]]+Table1[[#This Row], [GUARD TIME]]</f>
        <v>40.849999999999994</v>
      </c>
      <c r="R1496" s="4">
        <f>Sheet1!$K$3*_xlfn.XLOOKUP(Table1[[#This Row], [DISGUISE]],Sheet1!$A$21:$A$23,Sheet1!$D$21:$D$23)</f>
        <v>69</v>
      </c>
      <c r="S1496" s="9">
        <f>Table1[[#This Row], [TOTAL TIME]]-Table1[[#This Row], [TOTAL TIME TAKEN]]</f>
        <v>28.150000000000006</v>
      </c>
      <c r="T1496" t="str">
        <f>IF(Table1[[#This Row], [TIME DIFFERENCE]]&gt;=0,"PASS","FAIL")</f>
        <v>PASS</v>
      </c>
      <c r="U1496" s="4">
        <f>Table1[[#This Row], [TRC]]+Table1[[#This Row], [DRC]]+Table1[[#This Row], [WRC]]+Table1[[#This Row], [ERC]]+Table1[[#This Row], [EQRC]]</f>
        <v>8241898</v>
      </c>
      <c r="V1496" s="9">
        <f>Table1[[#This Row], [TOTAL COST]]+_xlfn.XLOOKUP(Table1[[#This Row], [TEAM]],Sheet1!$A$12:$A$17,Sheet1!$I$12:$I$17)</f>
        <v>8553835.5</v>
      </c>
      <c r="W1496" s="4">
        <f>Table1[[#This Row], [LOOT]]-Table1[[#This Row], [TOTAL COST]]</f>
        <v>9258102</v>
      </c>
      <c r="X1496" s="4">
        <f>IF(Table1[[#This Row], [PASS/FAIL]]="FAIL",0,Table1[[#This Row], [PROFIT]])</f>
        <v>9258102</v>
      </c>
    </row>
    <row r="1497" spans="1:24" ht="19.5" customHeight="1" x14ac:dyDescent="0.45">
      <c r="A1497" t="s">
        <v>9</v>
      </c>
      <c r="B1497" s="14">
        <f>_xlfn.XLOOKUP(Table1[[#This Row], [TEAM]],Sheet1!$A$12:$A$17,Sheet1!$F$12:$F$17)</f>
        <v>3</v>
      </c>
      <c r="C1497" s="14">
        <f>_xlfn.XLOOKUP(Table1[[#This Row], [TEAM]],Sheet1!$A$12:$A$17,Sheet1!$G$12:$G$17)</f>
        <v>6238750</v>
      </c>
      <c r="D1497" t="s">
        <v>25</v>
      </c>
      <c r="E1497" s="4">
        <f>_xlfn.XLOOKUP(Table1[[#This Row], [ROOM]],Sheet1!$A$47:$A$66,Sheet1!$B$47:$B$66)</f>
        <v>126</v>
      </c>
      <c r="F1497" t="s">
        <v>58</v>
      </c>
      <c r="G1497" s="4">
        <f>_xlfn.XLOOKUP(Table1[[#This Row], [DISGUISE]],Sheet1!$A$21:$A$23,Sheet1!$B$21:$B$23)*Table1[[#This Row], [NUM OF MEM]]*(1+_xlfn.XLOOKUP(Table1[[#This Row], [DISGUISE]],Sheet1!$A$21:$A$23,Sheet1!$C$21:$C$23))</f>
        <v>38400</v>
      </c>
      <c r="H1497" s="13" t="s">
        <v>59</v>
      </c>
      <c r="I1497" s="4">
        <f>_xlfn.XLOOKUP(Table1[[#This Row], [WEAPON]],Sheet1!$A$27:$A$29,Sheet1!$B$27:$B$29)*Table1[[#This Row], [NUM OF MEM]]*(1+_xlfn.XLOOKUP(Table1[[#This Row], [WEAPON]],Sheet1!$A$27:$A$29,Sheet1!$C$27:$C$29))</f>
        <v>136500</v>
      </c>
      <c r="J1497" t="s">
        <v>64</v>
      </c>
      <c r="K1497" s="9">
        <f>Table1[[#This Row], [NUM OF MEM]]*Table1[[#This Row], [TOTAL TIME TAKEN]]*_xlfn.XLOOKUP(Table1[[#This Row], [EXIT]],Sheet1!$A$70:$A$71,Sheet1!$B$70:$B$71)*(1+_xlfn.XLOOKUP(Table1[[#This Row], [EXIT]],Sheet1!$A$70:$A$71,Sheet1!$C$70:$C$71))</f>
        <v>1571075.9999999993</v>
      </c>
      <c r="L1497" s="13" t="s">
        <v>65</v>
      </c>
      <c r="M1497" s="4">
        <f>IF(Table1[[#This Row], [EQUIPMENT]]="YES",Sheet1!$C$44*(1+Sheet1!$D$44),0)</f>
        <v>307500</v>
      </c>
      <c r="N1497" s="4">
        <f>_xlfn.XLOOKUP(Table1[[#This Row], [ROOM]],Sheet1!$A$47:$A$66,Sheet1!$F$47:$F$66)</f>
        <v>17550000</v>
      </c>
      <c r="O1497" s="9">
        <f>_xlfn.XLOOKUP(_xlfn.CONCAT(Table1[[#This Row], [TEAM]],Table1[[#This Row], [ROOM]]),'ROOM TIME'!$H$2:$H$121,'ROOM TIME'!$J$2:$J$121)</f>
        <v>36.191666666666656</v>
      </c>
      <c r="P1497" s="9">
        <f>(INDEX(Sheet1!$X$48:$Z$67,MATCH(Table1[[#This Row], [ROOM]],Sheet1!$P$48:$P$67,0),MATCH(Table1[[#This Row], [WEAPON]],Sheet1!$X$47:$Z$47,0)))/Table1[[#This Row], [NUM OF MEM]]</f>
        <v>4.2166666666666659</v>
      </c>
      <c r="Q1497" s="9">
        <f>Table1[[#This Row], [ROOM TIME]]+Table1[[#This Row], [GUARD TIME]]</f>
        <v>40.408333333333324</v>
      </c>
      <c r="R1497" s="4">
        <f>Sheet1!$K$3*_xlfn.XLOOKUP(Table1[[#This Row], [DISGUISE]],Sheet1!$A$21:$A$23,Sheet1!$D$21:$D$23)</f>
        <v>69</v>
      </c>
      <c r="S1497" s="9">
        <f>Table1[[#This Row], [TOTAL TIME]]-Table1[[#This Row], [TOTAL TIME TAKEN]]</f>
        <v>28.591666666666676</v>
      </c>
      <c r="T1497" t="str">
        <f>IF(Table1[[#This Row], [TIME DIFFERENCE]]&gt;=0,"PASS","FAIL")</f>
        <v>PASS</v>
      </c>
      <c r="U1497" s="9">
        <f>Table1[[#This Row], [TRC]]+Table1[[#This Row], [DRC]]+Table1[[#This Row], [WRC]]+Table1[[#This Row], [ERC]]+Table1[[#This Row], [EQRC]]</f>
        <v>8292225.9999999991</v>
      </c>
      <c r="V1497" s="9">
        <f>Table1[[#This Row], [TOTAL COST]]+_xlfn.XLOOKUP(Table1[[#This Row], [TEAM]],Sheet1!$A$12:$A$17,Sheet1!$I$12:$I$17)</f>
        <v>8604163.5</v>
      </c>
      <c r="W1497" s="4">
        <f>Table1[[#This Row], [LOOT]]-Table1[[#This Row], [TOTAL COST]]</f>
        <v>9257774</v>
      </c>
      <c r="X1497" s="4">
        <f>IF(Table1[[#This Row], [PASS/FAIL]]="FAIL",0,Table1[[#This Row], [PROFIT]])</f>
        <v>9257774</v>
      </c>
    </row>
    <row r="1498" spans="1:24" ht="19.5" customHeight="1" x14ac:dyDescent="0.45">
      <c r="A1498" t="s">
        <v>13</v>
      </c>
      <c r="B1498" s="14">
        <f>_xlfn.XLOOKUP(Table1[[#This Row], [TEAM]],Sheet1!$A$12:$A$17,Sheet1!$F$12:$F$17)</f>
        <v>3</v>
      </c>
      <c r="C1498" s="14">
        <f>_xlfn.XLOOKUP(Table1[[#This Row], [TEAM]],Sheet1!$A$12:$A$17,Sheet1!$G$12:$G$17)</f>
        <v>5930000</v>
      </c>
      <c r="D1498" t="s">
        <v>11</v>
      </c>
      <c r="E1498" s="4">
        <f>_xlfn.XLOOKUP(Table1[[#This Row], [ROOM]],Sheet1!$A$47:$A$66,Sheet1!$B$47:$B$66)</f>
        <v>124</v>
      </c>
      <c r="F1498" t="s">
        <v>62</v>
      </c>
      <c r="G1498" s="4">
        <f>_xlfn.XLOOKUP(Table1[[#This Row], [DISGUISE]],Sheet1!$A$21:$A$23,Sheet1!$B$21:$B$23)*Table1[[#This Row], [NUM OF MEM]]*(1+_xlfn.XLOOKUP(Table1[[#This Row], [DISGUISE]],Sheet1!$A$21:$A$23,Sheet1!$C$21:$C$23))</f>
        <v>15600</v>
      </c>
      <c r="H1498" s="13" t="s">
        <v>66</v>
      </c>
      <c r="I1498" s="4">
        <f>_xlfn.XLOOKUP(Table1[[#This Row], [WEAPON]],Sheet1!$A$27:$A$29,Sheet1!$B$27:$B$29)*Table1[[#This Row], [NUM OF MEM]]*(1+_xlfn.XLOOKUP(Table1[[#This Row], [WEAPON]],Sheet1!$A$27:$A$29,Sheet1!$C$27:$C$29))</f>
        <v>108000</v>
      </c>
      <c r="J1498" t="s">
        <v>64</v>
      </c>
      <c r="K1498" s="9">
        <f>Table1[[#This Row], [NUM OF MEM]]*Table1[[#This Row], [TOTAL TIME TAKEN]]*_xlfn.XLOOKUP(Table1[[#This Row], [EXIT]],Sheet1!$A$70:$A$71,Sheet1!$B$70:$B$71)*(1+_xlfn.XLOOKUP(Table1[[#This Row], [EXIT]],Sheet1!$A$70:$A$71,Sheet1!$C$70:$C$71))</f>
        <v>1831420.8</v>
      </c>
      <c r="L1498" s="13" t="s">
        <v>65</v>
      </c>
      <c r="M1498" s="4">
        <f>IF(Table1[[#This Row], [EQUIPMENT]]="YES",Sheet1!$C$44*(1+Sheet1!$D$44),0)</f>
        <v>307500</v>
      </c>
      <c r="N1498" s="4">
        <f>_xlfn.XLOOKUP(Table1[[#This Row], [ROOM]],Sheet1!$A$47:$A$66,Sheet1!$F$47:$F$66)</f>
        <v>17450000</v>
      </c>
      <c r="O1498" s="9">
        <f>_xlfn.XLOOKUP(_xlfn.CONCAT(Table1[[#This Row], [TEAM]],Table1[[#This Row], [ROOM]]),'ROOM TIME'!$H$2:$H$121,'ROOM TIME'!$J$2:$J$121)</f>
        <v>42.521111111111104</v>
      </c>
      <c r="P1498" s="9">
        <f>(INDEX(Sheet1!$X$48:$Z$67,MATCH(Table1[[#This Row], [ROOM]],Sheet1!$P$48:$P$67,0),MATCH(Table1[[#This Row], [WEAPON]],Sheet1!$X$47:$Z$47,0)))/Table1[[#This Row], [NUM OF MEM]]</f>
        <v>4.583333333333333</v>
      </c>
      <c r="Q1498" s="9">
        <f>Table1[[#This Row], [ROOM TIME]]+Table1[[#This Row], [GUARD TIME]]</f>
        <v>47.104444444444439</v>
      </c>
      <c r="R1498" s="4">
        <f>Sheet1!$K$3*_xlfn.XLOOKUP(Table1[[#This Row], [DISGUISE]],Sheet1!$A$21:$A$23,Sheet1!$D$21:$D$23)</f>
        <v>66</v>
      </c>
      <c r="S1498" s="9">
        <f>Table1[[#This Row], [TOTAL TIME]]-Table1[[#This Row], [TOTAL TIME TAKEN]]</f>
        <v>18.895555555555561</v>
      </c>
      <c r="T1498" t="str">
        <f>IF(Table1[[#This Row], [TIME DIFFERENCE]]&gt;=0,"PASS","FAIL")</f>
        <v>PASS</v>
      </c>
      <c r="U1498" s="9">
        <f>Table1[[#This Row], [TRC]]+Table1[[#This Row], [DRC]]+Table1[[#This Row], [WRC]]+Table1[[#This Row], [ERC]]+Table1[[#This Row], [EQRC]]</f>
        <v>8192520.7999999998</v>
      </c>
      <c r="V1498" s="9">
        <f>Table1[[#This Row], [TOTAL COST]]+_xlfn.XLOOKUP(Table1[[#This Row], [TEAM]],Sheet1!$A$12:$A$17,Sheet1!$I$12:$I$17)</f>
        <v>8489020.8000000007</v>
      </c>
      <c r="W1498" s="9">
        <f>Table1[[#This Row], [LOOT]]-Table1[[#This Row], [TOTAL COST]]</f>
        <v>9257479.1999999993</v>
      </c>
      <c r="X1498" s="9">
        <f>IF(Table1[[#This Row], [PASS/FAIL]]="FAIL",0,Table1[[#This Row], [PROFIT]])</f>
        <v>9257479.1999999993</v>
      </c>
    </row>
    <row r="1499" spans="1:24" ht="19.5" customHeight="1" x14ac:dyDescent="0.45">
      <c r="A1499" t="s">
        <v>9</v>
      </c>
      <c r="B1499" s="14">
        <f>_xlfn.XLOOKUP(Table1[[#This Row], [TEAM]],Sheet1!$A$12:$A$17,Sheet1!$F$12:$F$17)</f>
        <v>3</v>
      </c>
      <c r="C1499" s="14">
        <f>_xlfn.XLOOKUP(Table1[[#This Row], [TEAM]],Sheet1!$A$12:$A$17,Sheet1!$G$12:$G$17)</f>
        <v>6238750</v>
      </c>
      <c r="D1499" t="s">
        <v>31</v>
      </c>
      <c r="E1499" s="4">
        <f>_xlfn.XLOOKUP(Table1[[#This Row], [ROOM]],Sheet1!$A$47:$A$66,Sheet1!$B$47:$B$66)</f>
        <v>256</v>
      </c>
      <c r="F1499" t="s">
        <v>62</v>
      </c>
      <c r="G1499" s="4">
        <f>_xlfn.XLOOKUP(Table1[[#This Row], [DISGUISE]],Sheet1!$A$21:$A$23,Sheet1!$B$21:$B$23)*Table1[[#This Row], [NUM OF MEM]]*(1+_xlfn.XLOOKUP(Table1[[#This Row], [DISGUISE]],Sheet1!$A$21:$A$23,Sheet1!$C$21:$C$23))</f>
        <v>15600</v>
      </c>
      <c r="H1499" s="13" t="s">
        <v>59</v>
      </c>
      <c r="I1499" s="4">
        <f>_xlfn.XLOOKUP(Table1[[#This Row], [WEAPON]],Sheet1!$A$27:$A$29,Sheet1!$B$27:$B$29)*Table1[[#This Row], [NUM OF MEM]]*(1+_xlfn.XLOOKUP(Table1[[#This Row], [WEAPON]],Sheet1!$A$27:$A$29,Sheet1!$C$27:$C$29))</f>
        <v>136500</v>
      </c>
      <c r="J1499" t="s">
        <v>60</v>
      </c>
      <c r="K1499" s="9">
        <f>Table1[[#This Row], [NUM OF MEM]]*Table1[[#This Row], [TOTAL TIME TAKEN]]*_xlfn.XLOOKUP(Table1[[#This Row], [EXIT]],Sheet1!$A$70:$A$71,Sheet1!$B$70:$B$71)*(1+_xlfn.XLOOKUP(Table1[[#This Row], [EXIT]],Sheet1!$A$70:$A$71,Sheet1!$C$70:$C$71))</f>
        <v>1544391.3749999995</v>
      </c>
      <c r="L1499" s="13" t="s">
        <v>65</v>
      </c>
      <c r="M1499" s="4">
        <f>IF(Table1[[#This Row], [EQUIPMENT]]="YES",Sheet1!$C$44*(1+Sheet1!$D$44),0)</f>
        <v>307500</v>
      </c>
      <c r="N1499" s="4">
        <f>_xlfn.XLOOKUP(Table1[[#This Row], [ROOM]],Sheet1!$A$47:$A$66,Sheet1!$F$47:$F$66)</f>
        <v>17500000</v>
      </c>
      <c r="O1499" s="9">
        <f>_xlfn.XLOOKUP(_xlfn.CONCAT(Table1[[#This Row], [TEAM]],Table1[[#This Row], [ROOM]]),'ROOM TIME'!$H$2:$H$121,'ROOM TIME'!$J$2:$J$121)</f>
        <v>35.899999999999991</v>
      </c>
      <c r="P1499" s="9">
        <f>(INDEX(Sheet1!$X$48:$Z$67,MATCH(Table1[[#This Row], [ROOM]],Sheet1!$P$48:$P$67,0),MATCH(Table1[[#This Row], [WEAPON]],Sheet1!$X$47:$Z$47,0)))/Table1[[#This Row], [NUM OF MEM]]</f>
        <v>4.2166666666666659</v>
      </c>
      <c r="Q1499" s="9">
        <f>Table1[[#This Row], [ROOM TIME]]+Table1[[#This Row], [GUARD TIME]]</f>
        <v>40.11666666666666</v>
      </c>
      <c r="R1499" s="4">
        <f>Sheet1!$K$3*_xlfn.XLOOKUP(Table1[[#This Row], [DISGUISE]],Sheet1!$A$21:$A$23,Sheet1!$D$21:$D$23)</f>
        <v>66</v>
      </c>
      <c r="S1499" s="9">
        <f>Table1[[#This Row], [TOTAL TIME]]-Table1[[#This Row], [TOTAL TIME TAKEN]]</f>
        <v>25.88333333333334</v>
      </c>
      <c r="T1499" t="str">
        <f>IF(Table1[[#This Row], [TIME DIFFERENCE]]&gt;=0,"PASS","FAIL")</f>
        <v>PASS</v>
      </c>
      <c r="U1499" s="9">
        <f>Table1[[#This Row], [TRC]]+Table1[[#This Row], [DRC]]+Table1[[#This Row], [WRC]]+Table1[[#This Row], [ERC]]+Table1[[#This Row], [EQRC]]</f>
        <v>8242741.375</v>
      </c>
      <c r="V1499" s="9">
        <f>Table1[[#This Row], [TOTAL COST]]+_xlfn.XLOOKUP(Table1[[#This Row], [TEAM]],Sheet1!$A$12:$A$17,Sheet1!$I$12:$I$17)</f>
        <v>8554678.875</v>
      </c>
      <c r="W1499" s="9">
        <f>Table1[[#This Row], [LOOT]]-Table1[[#This Row], [TOTAL COST]]</f>
        <v>9257258.625</v>
      </c>
      <c r="X1499" s="9">
        <f>IF(Table1[[#This Row], [PASS/FAIL]]="FAIL",0,Table1[[#This Row], [PROFIT]])</f>
        <v>9257258.625</v>
      </c>
    </row>
    <row r="1500" spans="1:24" ht="19.5" customHeight="1" x14ac:dyDescent="0.45">
      <c r="A1500" t="s">
        <v>9</v>
      </c>
      <c r="B1500" s="14">
        <f>_xlfn.XLOOKUP(Table1[[#This Row], [TEAM]],Sheet1!$A$12:$A$17,Sheet1!$F$12:$F$17)</f>
        <v>3</v>
      </c>
      <c r="C1500" s="14">
        <f>_xlfn.XLOOKUP(Table1[[#This Row], [TEAM]],Sheet1!$A$12:$A$17,Sheet1!$G$12:$G$17)</f>
        <v>6238750</v>
      </c>
      <c r="D1500" t="s">
        <v>31</v>
      </c>
      <c r="E1500" s="4">
        <f>_xlfn.XLOOKUP(Table1[[#This Row], [ROOM]],Sheet1!$A$47:$A$66,Sheet1!$B$47:$B$66)</f>
        <v>256</v>
      </c>
      <c r="F1500" t="s">
        <v>62</v>
      </c>
      <c r="G150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0" s="13" t="s">
        <v>66</v>
      </c>
      <c r="I1500" s="4">
        <f>_xlfn.XLOOKUP(Table1[[#This Row], [WEAPON]],Sheet1!$A$27:$A$29,Sheet1!$B$27:$B$29)*Table1[[#This Row], [NUM OF MEM]]*(1+_xlfn.XLOOKUP(Table1[[#This Row], [WEAPON]],Sheet1!$A$27:$A$29,Sheet1!$C$27:$C$29))</f>
        <v>108000</v>
      </c>
      <c r="J1500" t="s">
        <v>64</v>
      </c>
      <c r="K1500" s="9">
        <f>Table1[[#This Row], [NUM OF MEM]]*Table1[[#This Row], [TOTAL TIME TAKEN]]*_xlfn.XLOOKUP(Table1[[#This Row], [EXIT]],Sheet1!$A$70:$A$71,Sheet1!$B$70:$B$71)*(1+_xlfn.XLOOKUP(Table1[[#This Row], [EXIT]],Sheet1!$A$70:$A$71,Sheet1!$C$70:$C$71))</f>
        <v>1573991.9999999998</v>
      </c>
      <c r="L1500" s="13" t="s">
        <v>65</v>
      </c>
      <c r="M1500" s="4">
        <f>IF(Table1[[#This Row], [EQUIPMENT]]="YES",Sheet1!$C$44*(1+Sheet1!$D$44),0)</f>
        <v>307500</v>
      </c>
      <c r="N1500" s="4">
        <f>_xlfn.XLOOKUP(Table1[[#This Row], [ROOM]],Sheet1!$A$47:$A$66,Sheet1!$F$47:$F$66)</f>
        <v>17500000</v>
      </c>
      <c r="O1500" s="9">
        <f>_xlfn.XLOOKUP(_xlfn.CONCAT(Table1[[#This Row], [TEAM]],Table1[[#This Row], [ROOM]]),'ROOM TIME'!$H$2:$H$121,'ROOM TIME'!$J$2:$J$121)</f>
        <v>35.899999999999991</v>
      </c>
      <c r="P1500" s="9">
        <f>(INDEX(Sheet1!$X$48:$Z$67,MATCH(Table1[[#This Row], [ROOM]],Sheet1!$P$48:$P$67,0),MATCH(Table1[[#This Row], [WEAPON]],Sheet1!$X$47:$Z$47,0)))/Table1[[#This Row], [NUM OF MEM]]</f>
        <v>4.583333333333333</v>
      </c>
      <c r="Q1500" s="9">
        <f>Table1[[#This Row], [ROOM TIME]]+Table1[[#This Row], [GUARD TIME]]</f>
        <v>40.483333333333327</v>
      </c>
      <c r="R1500" s="4">
        <f>Sheet1!$K$3*_xlfn.XLOOKUP(Table1[[#This Row], [DISGUISE]],Sheet1!$A$21:$A$23,Sheet1!$D$21:$D$23)</f>
        <v>66</v>
      </c>
      <c r="S1500" s="9">
        <f>Table1[[#This Row], [TOTAL TIME]]-Table1[[#This Row], [TOTAL TIME TAKEN]]</f>
        <v>25.516666666666673</v>
      </c>
      <c r="T1500" t="str">
        <f>IF(Table1[[#This Row], [TIME DIFFERENCE]]&gt;=0,"PASS","FAIL")</f>
        <v>PASS</v>
      </c>
      <c r="U1500" s="4">
        <f>Table1[[#This Row], [TRC]]+Table1[[#This Row], [DRC]]+Table1[[#This Row], [WRC]]+Table1[[#This Row], [ERC]]+Table1[[#This Row], [EQRC]]</f>
        <v>8243842</v>
      </c>
      <c r="V1500" s="9">
        <f>Table1[[#This Row], [TOTAL COST]]+_xlfn.XLOOKUP(Table1[[#This Row], [TEAM]],Sheet1!$A$12:$A$17,Sheet1!$I$12:$I$17)</f>
        <v>8555779.5</v>
      </c>
      <c r="W1500" s="4">
        <f>Table1[[#This Row], [LOOT]]-Table1[[#This Row], [TOTAL COST]]</f>
        <v>9256158</v>
      </c>
      <c r="X1500" s="4">
        <f>IF(Table1[[#This Row], [PASS/FAIL]]="FAIL",0,Table1[[#This Row], [PROFIT]])</f>
        <v>9256158</v>
      </c>
    </row>
    <row r="1501" spans="1:24" ht="19.5" customHeight="1" x14ac:dyDescent="0.45">
      <c r="A1501" t="s">
        <v>14</v>
      </c>
      <c r="B1501" s="14">
        <f>_xlfn.XLOOKUP(Table1[[#This Row], [TEAM]],Sheet1!$A$12:$A$17,Sheet1!$F$12:$F$17)</f>
        <v>2</v>
      </c>
      <c r="C1501" s="14">
        <f>_xlfn.XLOOKUP(Table1[[#This Row], [TEAM]],Sheet1!$A$12:$A$17,Sheet1!$G$12:$G$17)</f>
        <v>5949600</v>
      </c>
      <c r="D1501" t="s">
        <v>17</v>
      </c>
      <c r="E1501" s="4">
        <f>_xlfn.XLOOKUP(Table1[[#This Row], [ROOM]],Sheet1!$A$47:$A$66,Sheet1!$B$47:$B$66)</f>
        <v>125</v>
      </c>
      <c r="F1501" t="s">
        <v>58</v>
      </c>
      <c r="G1501" s="4">
        <f>_xlfn.XLOOKUP(Table1[[#This Row], [DISGUISE]],Sheet1!$A$21:$A$23,Sheet1!$B$21:$B$23)*Table1[[#This Row], [NUM OF MEM]]*(1+_xlfn.XLOOKUP(Table1[[#This Row], [DISGUISE]],Sheet1!$A$21:$A$23,Sheet1!$C$21:$C$23))</f>
        <v>25600</v>
      </c>
      <c r="H1501" s="13" t="s">
        <v>59</v>
      </c>
      <c r="I1501" s="4">
        <f>_xlfn.XLOOKUP(Table1[[#This Row], [WEAPON]],Sheet1!$A$27:$A$29,Sheet1!$B$27:$B$29)*Table1[[#This Row], [NUM OF MEM]]*(1+_xlfn.XLOOKUP(Table1[[#This Row], [WEAPON]],Sheet1!$A$27:$A$29,Sheet1!$C$27:$C$29))</f>
        <v>91000</v>
      </c>
      <c r="J1501" t="s">
        <v>64</v>
      </c>
      <c r="K1501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1721152.7999999996</v>
      </c>
      <c r="L1501" s="13" t="s">
        <v>65</v>
      </c>
      <c r="M1501" s="4">
        <f>IF(Table1[[#This Row], [EQUIPMENT]]="YES",Sheet1!$C$44*(1+Sheet1!$D$44),0)</f>
        <v>307500</v>
      </c>
      <c r="N1501" s="4">
        <f>_xlfn.XLOOKUP(Table1[[#This Row], [ROOM]],Sheet1!$A$47:$A$66,Sheet1!$F$47:$F$66)</f>
        <v>17350000</v>
      </c>
      <c r="O1501" s="9">
        <f>_xlfn.XLOOKUP(_xlfn.CONCAT(Table1[[#This Row], [TEAM]],Table1[[#This Row], [ROOM]]),'ROOM TIME'!$H$2:$H$121,'ROOM TIME'!$J$2:$J$121)</f>
        <v>60.652499999999989</v>
      </c>
      <c r="P1501" s="9">
        <f>(INDEX(Sheet1!$X$48:$Z$67,MATCH(Table1[[#This Row], [ROOM]],Sheet1!$P$48:$P$67,0),MATCH(Table1[[#This Row], [WEAPON]],Sheet1!$X$47:$Z$47,0)))/Table1[[#This Row], [NUM OF MEM]]</f>
        <v>5.75</v>
      </c>
      <c r="Q1501" s="9">
        <f>Table1[[#This Row], [ROOM TIME]]+Table1[[#This Row], [GUARD TIME]]</f>
        <v>66.402499999999989</v>
      </c>
      <c r="R1501" s="4">
        <f>Sheet1!$K$3*_xlfn.XLOOKUP(Table1[[#This Row], [DISGUISE]],Sheet1!$A$21:$A$23,Sheet1!$D$21:$D$23)</f>
        <v>69</v>
      </c>
      <c r="S1501" s="9">
        <f>Table1[[#This Row], [TOTAL TIME]]-Table1[[#This Row], [TOTAL TIME TAKEN]]</f>
        <v>2.5975000000000108</v>
      </c>
      <c r="T1501" t="str">
        <f>IF(Table1[[#This Row], [TIME DIFFERENCE]]&gt;=0,"PASS","FAIL")</f>
        <v>PASS</v>
      </c>
      <c r="U1501" s="9">
        <f>Table1[[#This Row], [TRC]]+Table1[[#This Row], [DRC]]+Table1[[#This Row], [WRC]]+Table1[[#This Row], [ERC]]+Table1[[#This Row], [EQRC]]</f>
        <v>8094852.7999999998</v>
      </c>
      <c r="V1501" s="9">
        <f>Table1[[#This Row], [TOTAL COST]]+_xlfn.XLOOKUP(Table1[[#This Row], [TEAM]],Sheet1!$A$12:$A$17,Sheet1!$I$12:$I$17)</f>
        <v>8392332.8000000007</v>
      </c>
      <c r="W1501" s="9">
        <f>Table1[[#This Row], [LOOT]]-Table1[[#This Row], [TOTAL COST]]</f>
        <v>9255147.1999999993</v>
      </c>
      <c r="X1501" s="9">
        <f>IF(Table1[[#This Row], [PASS/FAIL]]="FAIL",0,Table1[[#This Row], [PROFIT]])</f>
        <v>9255147.1999999993</v>
      </c>
    </row>
    <row r="1502" spans="1:24" ht="19.5" customHeight="1" x14ac:dyDescent="0.45">
      <c r="A1502" t="s">
        <v>9</v>
      </c>
      <c r="B1502" s="14">
        <f>_xlfn.XLOOKUP(Table1[[#This Row], [TEAM]],Sheet1!$A$12:$A$17,Sheet1!$F$12:$F$17)</f>
        <v>3</v>
      </c>
      <c r="C1502" s="14">
        <f>_xlfn.XLOOKUP(Table1[[#This Row], [TEAM]],Sheet1!$A$12:$A$17,Sheet1!$G$12:$G$17)</f>
        <v>6238750</v>
      </c>
      <c r="D1502" t="s">
        <v>20</v>
      </c>
      <c r="E1502" s="4">
        <f>_xlfn.XLOOKUP(Table1[[#This Row], [ROOM]],Sheet1!$A$47:$A$66,Sheet1!$B$47:$B$66)</f>
        <v>145</v>
      </c>
      <c r="F1502" t="s">
        <v>58</v>
      </c>
      <c r="G150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02" s="13" t="s">
        <v>63</v>
      </c>
      <c r="I1502" s="4">
        <f>_xlfn.XLOOKUP(Table1[[#This Row], [WEAPON]],Sheet1!$A$27:$A$29,Sheet1!$B$27:$B$29)*Table1[[#This Row], [NUM OF MEM]]*(1+_xlfn.XLOOKUP(Table1[[#This Row], [WEAPON]],Sheet1!$A$27:$A$29,Sheet1!$C$27:$C$29))</f>
        <v>69000</v>
      </c>
      <c r="J1502" t="s">
        <v>64</v>
      </c>
      <c r="K1502" s="9">
        <f>Table1[[#This Row], [NUM OF MEM]]*Table1[[#This Row], [TOTAL TIME TAKEN]]*_xlfn.XLOOKUP(Table1[[#This Row], [EXIT]],Sheet1!$A$70:$A$71,Sheet1!$B$70:$B$71)*(1+_xlfn.XLOOKUP(Table1[[#This Row], [EXIT]],Sheet1!$A$70:$A$71,Sheet1!$C$70:$C$71))</f>
        <v>1643306.3999999997</v>
      </c>
      <c r="L1502" s="13" t="s">
        <v>65</v>
      </c>
      <c r="M1502" s="4">
        <f>IF(Table1[[#This Row], [EQUIPMENT]]="YES",Sheet1!$C$44*(1+Sheet1!$D$44),0)</f>
        <v>307500</v>
      </c>
      <c r="N1502" s="4">
        <f>_xlfn.XLOOKUP(Table1[[#This Row], [ROOM]],Sheet1!$A$47:$A$66,Sheet1!$F$47:$F$66)</f>
        <v>17550000</v>
      </c>
      <c r="O1502" s="9">
        <f>_xlfn.XLOOKUP(_xlfn.CONCAT(Table1[[#This Row], [TEAM]],Table1[[#This Row], [ROOM]]),'ROOM TIME'!$H$2:$H$121,'ROOM TIME'!$J$2:$J$121)</f>
        <v>37.766111111111101</v>
      </c>
      <c r="P1502" s="9">
        <f>(INDEX(Sheet1!$X$48:$Z$67,MATCH(Table1[[#This Row], [ROOM]],Sheet1!$P$48:$P$67,0),MATCH(Table1[[#This Row], [WEAPON]],Sheet1!$X$47:$Z$47,0)))/Table1[[#This Row], [NUM OF MEM]]</f>
        <v>4.5</v>
      </c>
      <c r="Q1502" s="9">
        <f>Table1[[#This Row], [ROOM TIME]]+Table1[[#This Row], [GUARD TIME]]</f>
        <v>42.266111111111101</v>
      </c>
      <c r="R1502" s="4">
        <f>Sheet1!$K$3*_xlfn.XLOOKUP(Table1[[#This Row], [DISGUISE]],Sheet1!$A$21:$A$23,Sheet1!$D$21:$D$23)</f>
        <v>69</v>
      </c>
      <c r="S1502" s="9">
        <f>Table1[[#This Row], [TOTAL TIME]]-Table1[[#This Row], [TOTAL TIME TAKEN]]</f>
        <v>26.733888888888899</v>
      </c>
      <c r="T1502" t="str">
        <f>IF(Table1[[#This Row], [TIME DIFFERENCE]]&gt;=0,"PASS","FAIL")</f>
        <v>PASS</v>
      </c>
      <c r="U1502" s="9">
        <f>Table1[[#This Row], [TRC]]+Table1[[#This Row], [DRC]]+Table1[[#This Row], [WRC]]+Table1[[#This Row], [ERC]]+Table1[[#This Row], [EQRC]]</f>
        <v>8296956.3999999994</v>
      </c>
      <c r="V1502" s="9">
        <f>Table1[[#This Row], [TOTAL COST]]+_xlfn.XLOOKUP(Table1[[#This Row], [TEAM]],Sheet1!$A$12:$A$17,Sheet1!$I$12:$I$17)</f>
        <v>8608893.8999999985</v>
      </c>
      <c r="W1502" s="9">
        <f>Table1[[#This Row], [LOOT]]-Table1[[#This Row], [TOTAL COST]]</f>
        <v>9253043.6000000015</v>
      </c>
      <c r="X1502" s="9">
        <f>IF(Table1[[#This Row], [PASS/FAIL]]="FAIL",0,Table1[[#This Row], [PROFIT]])</f>
        <v>9253043.6000000015</v>
      </c>
    </row>
    <row r="1503" spans="1:24" ht="19.5" customHeight="1" x14ac:dyDescent="0.45">
      <c r="A1503" t="s">
        <v>12</v>
      </c>
      <c r="B1503" s="14">
        <f>_xlfn.XLOOKUP(Table1[[#This Row], [TEAM]],Sheet1!$A$12:$A$17,Sheet1!$F$12:$F$17)</f>
        <v>3</v>
      </c>
      <c r="C1503" s="14">
        <f>_xlfn.XLOOKUP(Table1[[#This Row], [TEAM]],Sheet1!$A$12:$A$17,Sheet1!$G$12:$G$17)</f>
        <v>5988750</v>
      </c>
      <c r="D1503" t="s">
        <v>23</v>
      </c>
      <c r="E1503" s="4">
        <f>_xlfn.XLOOKUP(Table1[[#This Row], [ROOM]],Sheet1!$A$47:$A$66,Sheet1!$B$47:$B$66)</f>
        <v>245</v>
      </c>
      <c r="F1503" t="s">
        <v>62</v>
      </c>
      <c r="G15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3" s="13" t="s">
        <v>59</v>
      </c>
      <c r="I1503" s="4">
        <f>_xlfn.XLOOKUP(Table1[[#This Row], [WEAPON]],Sheet1!$A$27:$A$29,Sheet1!$B$27:$B$29)*Table1[[#This Row], [NUM OF MEM]]*(1+_xlfn.XLOOKUP(Table1[[#This Row], [WEAPON]],Sheet1!$A$27:$A$29,Sheet1!$C$27:$C$29))</f>
        <v>136500</v>
      </c>
      <c r="J1503" t="s">
        <v>60</v>
      </c>
      <c r="K1503" s="9">
        <f>Table1[[#This Row], [NUM OF MEM]]*Table1[[#This Row], [TOTAL TIME TAKEN]]*_xlfn.XLOOKUP(Table1[[#This Row], [EXIT]],Sheet1!$A$70:$A$71,Sheet1!$B$70:$B$71)*(1+_xlfn.XLOOKUP(Table1[[#This Row], [EXIT]],Sheet1!$A$70:$A$71,Sheet1!$C$70:$C$71))</f>
        <v>1698894.6749999993</v>
      </c>
      <c r="L1503" s="13" t="s">
        <v>65</v>
      </c>
      <c r="M1503" s="4">
        <f>IF(Table1[[#This Row], [EQUIPMENT]]="YES",Sheet1!$C$44*(1+Sheet1!$D$44),0)</f>
        <v>307500</v>
      </c>
      <c r="N1503" s="4">
        <f>_xlfn.XLOOKUP(Table1[[#This Row], [ROOM]],Sheet1!$A$47:$A$66,Sheet1!$F$47:$F$66)</f>
        <v>17400000</v>
      </c>
      <c r="O1503" s="9">
        <f>_xlfn.XLOOKUP(_xlfn.CONCAT(Table1[[#This Row], [TEAM]],Table1[[#This Row], [ROOM]]),'ROOM TIME'!$H$2:$H$121,'ROOM TIME'!$J$2:$J$121)</f>
        <v>39.91333333333332</v>
      </c>
      <c r="P1503" s="9">
        <f>(INDEX(Sheet1!$X$48:$Z$67,MATCH(Table1[[#This Row], [ROOM]],Sheet1!$P$48:$P$67,0),MATCH(Table1[[#This Row], [WEAPON]],Sheet1!$X$47:$Z$47,0)))/Table1[[#This Row], [NUM OF MEM]]</f>
        <v>4.2166666666666659</v>
      </c>
      <c r="Q1503" s="9">
        <f>Table1[[#This Row], [ROOM TIME]]+Table1[[#This Row], [GUARD TIME]]</f>
        <v>44.129999999999988</v>
      </c>
      <c r="R1503" s="4">
        <f>Sheet1!$K$3*_xlfn.XLOOKUP(Table1[[#This Row], [DISGUISE]],Sheet1!$A$21:$A$23,Sheet1!$D$21:$D$23)</f>
        <v>66</v>
      </c>
      <c r="S1503" s="9">
        <f>Table1[[#This Row], [TOTAL TIME]]-Table1[[#This Row], [TOTAL TIME TAKEN]]</f>
        <v>21.870000000000012</v>
      </c>
      <c r="T1503" t="str">
        <f>IF(Table1[[#This Row], [TIME DIFFERENCE]]&gt;=0,"PASS","FAIL")</f>
        <v>PASS</v>
      </c>
      <c r="U1503" s="9">
        <f>Table1[[#This Row], [TRC]]+Table1[[#This Row], [DRC]]+Table1[[#This Row], [WRC]]+Table1[[#This Row], [ERC]]+Table1[[#This Row], [EQRC]]</f>
        <v>8147244.6749999989</v>
      </c>
      <c r="V1503" s="9">
        <f>Table1[[#This Row], [TOTAL COST]]+_xlfn.XLOOKUP(Table1[[#This Row], [TEAM]],Sheet1!$A$12:$A$17,Sheet1!$I$12:$I$17)</f>
        <v>8446682.1749999989</v>
      </c>
      <c r="W1503" s="9">
        <f>Table1[[#This Row], [LOOT]]-Table1[[#This Row], [TOTAL COST]]</f>
        <v>9252755.3250000011</v>
      </c>
      <c r="X1503" s="9">
        <f>IF(Table1[[#This Row], [PASS/FAIL]]="FAIL",0,Table1[[#This Row], [PROFIT]])</f>
        <v>9252755.3250000011</v>
      </c>
    </row>
    <row r="1504" spans="1:24" ht="19.5" customHeight="1" x14ac:dyDescent="0.45">
      <c r="A1504" t="s">
        <v>13</v>
      </c>
      <c r="B1504" s="14">
        <f>_xlfn.XLOOKUP(Table1[[#This Row], [TEAM]],Sheet1!$A$12:$A$17,Sheet1!$F$12:$F$17)</f>
        <v>3</v>
      </c>
      <c r="C1504" s="14">
        <f>_xlfn.XLOOKUP(Table1[[#This Row], [TEAM]],Sheet1!$A$12:$A$17,Sheet1!$G$12:$G$17)</f>
        <v>5930000</v>
      </c>
      <c r="D1504" t="s">
        <v>11</v>
      </c>
      <c r="E1504" s="4">
        <f>_xlfn.XLOOKUP(Table1[[#This Row], [ROOM]],Sheet1!$A$47:$A$66,Sheet1!$B$47:$B$66)</f>
        <v>124</v>
      </c>
      <c r="F1504" t="s">
        <v>58</v>
      </c>
      <c r="G1504" s="4">
        <f>_xlfn.XLOOKUP(Table1[[#This Row], [DISGUISE]],Sheet1!$A$21:$A$23,Sheet1!$B$21:$B$23)*Table1[[#This Row], [NUM OF MEM]]*(1+_xlfn.XLOOKUP(Table1[[#This Row], [DISGUISE]],Sheet1!$A$21:$A$23,Sheet1!$C$21:$C$23))</f>
        <v>38400</v>
      </c>
      <c r="H1504" s="13" t="s">
        <v>66</v>
      </c>
      <c r="I1504" s="4">
        <f>_xlfn.XLOOKUP(Table1[[#This Row], [WEAPON]],Sheet1!$A$27:$A$29,Sheet1!$B$27:$B$29)*Table1[[#This Row], [NUM OF MEM]]*(1+_xlfn.XLOOKUP(Table1[[#This Row], [WEAPON]],Sheet1!$A$27:$A$29,Sheet1!$C$27:$C$29))</f>
        <v>108000</v>
      </c>
      <c r="J1504" t="s">
        <v>60</v>
      </c>
      <c r="K1504" s="9">
        <f>Table1[[#This Row], [NUM OF MEM]]*Table1[[#This Row], [TOTAL TIME TAKEN]]*_xlfn.XLOOKUP(Table1[[#This Row], [EXIT]],Sheet1!$A$70:$A$71,Sheet1!$B$70:$B$71)*(1+_xlfn.XLOOKUP(Table1[[#This Row], [EXIT]],Sheet1!$A$70:$A$71,Sheet1!$C$70:$C$71))</f>
        <v>1813403.3499999999</v>
      </c>
      <c r="L1504" s="13" t="s">
        <v>65</v>
      </c>
      <c r="M1504" s="4">
        <f>IF(Table1[[#This Row], [EQUIPMENT]]="YES",Sheet1!$C$44*(1+Sheet1!$D$44),0)</f>
        <v>307500</v>
      </c>
      <c r="N1504" s="4">
        <f>_xlfn.XLOOKUP(Table1[[#This Row], [ROOM]],Sheet1!$A$47:$A$66,Sheet1!$F$47:$F$66)</f>
        <v>17450000</v>
      </c>
      <c r="O1504" s="9">
        <f>_xlfn.XLOOKUP(_xlfn.CONCAT(Table1[[#This Row], [TEAM]],Table1[[#This Row], [ROOM]]),'ROOM TIME'!$H$2:$H$121,'ROOM TIME'!$J$2:$J$121)</f>
        <v>42.521111111111104</v>
      </c>
      <c r="P1504" s="9">
        <f>(INDEX(Sheet1!$X$48:$Z$67,MATCH(Table1[[#This Row], [ROOM]],Sheet1!$P$48:$P$67,0),MATCH(Table1[[#This Row], [WEAPON]],Sheet1!$X$47:$Z$47,0)))/Table1[[#This Row], [NUM OF MEM]]</f>
        <v>4.583333333333333</v>
      </c>
      <c r="Q1504" s="9">
        <f>Table1[[#This Row], [ROOM TIME]]+Table1[[#This Row], [GUARD TIME]]</f>
        <v>47.104444444444439</v>
      </c>
      <c r="R1504" s="4">
        <f>Sheet1!$K$3*_xlfn.XLOOKUP(Table1[[#This Row], [DISGUISE]],Sheet1!$A$21:$A$23,Sheet1!$D$21:$D$23)</f>
        <v>69</v>
      </c>
      <c r="S1504" s="9">
        <f>Table1[[#This Row], [TOTAL TIME]]-Table1[[#This Row], [TOTAL TIME TAKEN]]</f>
        <v>21.895555555555561</v>
      </c>
      <c r="T1504" t="str">
        <f>IF(Table1[[#This Row], [TIME DIFFERENCE]]&gt;=0,"PASS","FAIL")</f>
        <v>PASS</v>
      </c>
      <c r="U1504" s="9">
        <f>Table1[[#This Row], [TRC]]+Table1[[#This Row], [DRC]]+Table1[[#This Row], [WRC]]+Table1[[#This Row], [ERC]]+Table1[[#This Row], [EQRC]]</f>
        <v>8197303.3499999996</v>
      </c>
      <c r="V1504" s="9">
        <f>Table1[[#This Row], [TOTAL COST]]+_xlfn.XLOOKUP(Table1[[#This Row], [TEAM]],Sheet1!$A$12:$A$17,Sheet1!$I$12:$I$17)</f>
        <v>8493803.3499999996</v>
      </c>
      <c r="W1504" s="9">
        <f>Table1[[#This Row], [LOOT]]-Table1[[#This Row], [TOTAL COST]]</f>
        <v>9252696.6500000004</v>
      </c>
      <c r="X1504" s="9">
        <f>IF(Table1[[#This Row], [PASS/FAIL]]="FAIL",0,Table1[[#This Row], [PROFIT]])</f>
        <v>9252696.6500000004</v>
      </c>
    </row>
    <row r="1505" spans="1:24" ht="19.5" customHeight="1" x14ac:dyDescent="0.45">
      <c r="A1505" t="s">
        <v>12</v>
      </c>
      <c r="B1505" s="14">
        <f>_xlfn.XLOOKUP(Table1[[#This Row], [TEAM]],Sheet1!$A$12:$A$17,Sheet1!$F$12:$F$17)</f>
        <v>3</v>
      </c>
      <c r="C1505" s="14">
        <f>_xlfn.XLOOKUP(Table1[[#This Row], [TEAM]],Sheet1!$A$12:$A$17,Sheet1!$G$12:$G$17)</f>
        <v>5988750</v>
      </c>
      <c r="D1505" t="s">
        <v>23</v>
      </c>
      <c r="E1505" s="4">
        <f>_xlfn.XLOOKUP(Table1[[#This Row], [ROOM]],Sheet1!$A$47:$A$66,Sheet1!$B$47:$B$66)</f>
        <v>245</v>
      </c>
      <c r="F1505" t="s">
        <v>58</v>
      </c>
      <c r="G1505" s="4">
        <f>_xlfn.XLOOKUP(Table1[[#This Row], [DISGUISE]],Sheet1!$A$21:$A$23,Sheet1!$B$21:$B$23)*Table1[[#This Row], [NUM OF MEM]]*(1+_xlfn.XLOOKUP(Table1[[#This Row], [DISGUISE]],Sheet1!$A$21:$A$23,Sheet1!$C$21:$C$23))</f>
        <v>38400</v>
      </c>
      <c r="H1505" s="13" t="s">
        <v>63</v>
      </c>
      <c r="I1505" s="4">
        <f>_xlfn.XLOOKUP(Table1[[#This Row], [WEAPON]],Sheet1!$A$27:$A$29,Sheet1!$B$27:$B$29)*Table1[[#This Row], [NUM OF MEM]]*(1+_xlfn.XLOOKUP(Table1[[#This Row], [WEAPON]],Sheet1!$A$27:$A$29,Sheet1!$C$27:$C$29))</f>
        <v>69000</v>
      </c>
      <c r="J1505" t="s">
        <v>64</v>
      </c>
      <c r="K1505" s="9">
        <f>Table1[[#This Row], [NUM OF MEM]]*Table1[[#This Row], [TOTAL TIME TAKEN]]*_xlfn.XLOOKUP(Table1[[#This Row], [EXIT]],Sheet1!$A$70:$A$71,Sheet1!$B$70:$B$71)*(1+_xlfn.XLOOKUP(Table1[[#This Row], [EXIT]],Sheet1!$A$70:$A$71,Sheet1!$C$70:$C$71))</f>
        <v>1744286.3999999997</v>
      </c>
      <c r="L1505" s="13" t="s">
        <v>65</v>
      </c>
      <c r="M1505" s="4">
        <f>IF(Table1[[#This Row], [EQUIPMENT]]="YES",Sheet1!$C$44*(1+Sheet1!$D$44),0)</f>
        <v>307500</v>
      </c>
      <c r="N1505" s="4">
        <f>_xlfn.XLOOKUP(Table1[[#This Row], [ROOM]],Sheet1!$A$47:$A$66,Sheet1!$F$47:$F$66)</f>
        <v>17400000</v>
      </c>
      <c r="O1505" s="9">
        <f>_xlfn.XLOOKUP(_xlfn.CONCAT(Table1[[#This Row], [TEAM]],Table1[[#This Row], [ROOM]]),'ROOM TIME'!$H$2:$H$121,'ROOM TIME'!$J$2:$J$121)</f>
        <v>39.91333333333332</v>
      </c>
      <c r="P1505" s="9">
        <f>(INDEX(Sheet1!$X$48:$Z$67,MATCH(Table1[[#This Row], [ROOM]],Sheet1!$P$48:$P$67,0),MATCH(Table1[[#This Row], [WEAPON]],Sheet1!$X$47:$Z$47,0)))/Table1[[#This Row], [NUM OF MEM]]</f>
        <v>4.95</v>
      </c>
      <c r="Q1505" s="9">
        <f>Table1[[#This Row], [ROOM TIME]]+Table1[[#This Row], [GUARD TIME]]</f>
        <v>44.863333333333323</v>
      </c>
      <c r="R1505" s="4">
        <f>Sheet1!$K$3*_xlfn.XLOOKUP(Table1[[#This Row], [DISGUISE]],Sheet1!$A$21:$A$23,Sheet1!$D$21:$D$23)</f>
        <v>69</v>
      </c>
      <c r="S1505" s="9">
        <f>Table1[[#This Row], [TOTAL TIME]]-Table1[[#This Row], [TOTAL TIME TAKEN]]</f>
        <v>24.136666666666677</v>
      </c>
      <c r="T1505" t="str">
        <f>IF(Table1[[#This Row], [TIME DIFFERENCE]]&gt;=0,"PASS","FAIL")</f>
        <v>PASS</v>
      </c>
      <c r="U1505" s="9">
        <f>Table1[[#This Row], [TRC]]+Table1[[#This Row], [DRC]]+Table1[[#This Row], [WRC]]+Table1[[#This Row], [ERC]]+Table1[[#This Row], [EQRC]]</f>
        <v>8147936.3999999994</v>
      </c>
      <c r="V1505" s="9">
        <f>Table1[[#This Row], [TOTAL COST]]+_xlfn.XLOOKUP(Table1[[#This Row], [TEAM]],Sheet1!$A$12:$A$17,Sheet1!$I$12:$I$17)</f>
        <v>8447373.8999999985</v>
      </c>
      <c r="W1505" s="9">
        <f>Table1[[#This Row], [LOOT]]-Table1[[#This Row], [TOTAL COST]]</f>
        <v>9252063.6000000015</v>
      </c>
      <c r="X1505" s="9">
        <f>IF(Table1[[#This Row], [PASS/FAIL]]="FAIL",0,Table1[[#This Row], [PROFIT]])</f>
        <v>9252063.6000000015</v>
      </c>
    </row>
    <row r="1506" spans="1:24" ht="19.5" customHeight="1" x14ac:dyDescent="0.45">
      <c r="A1506" t="s">
        <v>12</v>
      </c>
      <c r="B1506" s="14">
        <f>_xlfn.XLOOKUP(Table1[[#This Row], [TEAM]],Sheet1!$A$12:$A$17,Sheet1!$F$12:$F$17)</f>
        <v>3</v>
      </c>
      <c r="C1506" s="14">
        <f>_xlfn.XLOOKUP(Table1[[#This Row], [TEAM]],Sheet1!$A$12:$A$17,Sheet1!$G$12:$G$17)</f>
        <v>5988750</v>
      </c>
      <c r="D1506" t="s">
        <v>17</v>
      </c>
      <c r="E1506" s="4">
        <f>_xlfn.XLOOKUP(Table1[[#This Row], [ROOM]],Sheet1!$A$47:$A$66,Sheet1!$B$47:$B$66)</f>
        <v>125</v>
      </c>
      <c r="F1506" t="s">
        <v>62</v>
      </c>
      <c r="G1506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6" s="13" t="s">
        <v>63</v>
      </c>
      <c r="I1506" s="4">
        <f>_xlfn.XLOOKUP(Table1[[#This Row], [WEAPON]],Sheet1!$A$27:$A$29,Sheet1!$B$27:$B$29)*Table1[[#This Row], [NUM OF MEM]]*(1+_xlfn.XLOOKUP(Table1[[#This Row], [WEAPON]],Sheet1!$A$27:$A$29,Sheet1!$C$27:$C$29))</f>
        <v>69000</v>
      </c>
      <c r="J1506" t="s">
        <v>60</v>
      </c>
      <c r="K1506" s="9">
        <f>Table1[[#This Row], [NUM OF MEM]]*Table1[[#This Row], [TOTAL TIME TAKEN]]*_xlfn.XLOOKUP(Table1[[#This Row], [EXIT]],Sheet1!$A$70:$A$71,Sheet1!$B$70:$B$71)*(1+_xlfn.XLOOKUP(Table1[[#This Row], [EXIT]],Sheet1!$A$70:$A$71,Sheet1!$C$70:$C$71))</f>
        <v>1718228.9749999992</v>
      </c>
      <c r="L1506" s="13" t="s">
        <v>65</v>
      </c>
      <c r="M1506" s="4">
        <f>IF(Table1[[#This Row], [EQUIPMENT]]="YES",Sheet1!$C$44*(1+Sheet1!$D$44),0)</f>
        <v>307500</v>
      </c>
      <c r="N1506" s="4">
        <f>_xlfn.XLOOKUP(Table1[[#This Row], [ROOM]],Sheet1!$A$47:$A$66,Sheet1!$F$47:$F$66)</f>
        <v>17350000</v>
      </c>
      <c r="O1506" s="9">
        <f>_xlfn.XLOOKUP(_xlfn.CONCAT(Table1[[#This Row], [TEAM]],Table1[[#This Row], [ROOM]]),'ROOM TIME'!$H$2:$H$121,'ROOM TIME'!$J$2:$J$121)</f>
        <v>40.132222222222204</v>
      </c>
      <c r="P1506" s="9">
        <f>(INDEX(Sheet1!$X$48:$Z$67,MATCH(Table1[[#This Row], [ROOM]],Sheet1!$P$48:$P$67,0),MATCH(Table1[[#This Row], [WEAPON]],Sheet1!$X$47:$Z$47,0)))/Table1[[#This Row], [NUM OF MEM]]</f>
        <v>4.5</v>
      </c>
      <c r="Q1506" s="9">
        <f>Table1[[#This Row], [ROOM TIME]]+Table1[[#This Row], [GUARD TIME]]</f>
        <v>44.632222222222204</v>
      </c>
      <c r="R1506" s="4">
        <f>Sheet1!$K$3*_xlfn.XLOOKUP(Table1[[#This Row], [DISGUISE]],Sheet1!$A$21:$A$23,Sheet1!$D$21:$D$23)</f>
        <v>66</v>
      </c>
      <c r="S1506" s="9">
        <f>Table1[[#This Row], [TOTAL TIME]]-Table1[[#This Row], [TOTAL TIME TAKEN]]</f>
        <v>21.367777777777796</v>
      </c>
      <c r="T1506" t="str">
        <f>IF(Table1[[#This Row], [TIME DIFFERENCE]]&gt;=0,"PASS","FAIL")</f>
        <v>PASS</v>
      </c>
      <c r="U1506" s="9">
        <f>Table1[[#This Row], [TRC]]+Table1[[#This Row], [DRC]]+Table1[[#This Row], [WRC]]+Table1[[#This Row], [ERC]]+Table1[[#This Row], [EQRC]]</f>
        <v>8099078.9749999996</v>
      </c>
      <c r="V1506" s="9">
        <f>Table1[[#This Row], [TOTAL COST]]+_xlfn.XLOOKUP(Table1[[#This Row], [TEAM]],Sheet1!$A$12:$A$17,Sheet1!$I$12:$I$17)</f>
        <v>8398516.4749999996</v>
      </c>
      <c r="W1506" s="9">
        <f>Table1[[#This Row], [LOOT]]-Table1[[#This Row], [TOTAL COST]]</f>
        <v>9250921.0250000004</v>
      </c>
      <c r="X1506" s="9">
        <f>IF(Table1[[#This Row], [PASS/FAIL]]="FAIL",0,Table1[[#This Row], [PROFIT]])</f>
        <v>9250921.0250000004</v>
      </c>
    </row>
    <row r="1507" spans="1:24" ht="19.5" customHeight="1" x14ac:dyDescent="0.45">
      <c r="A1507" t="s">
        <v>9</v>
      </c>
      <c r="B1507" s="14">
        <f>_xlfn.XLOOKUP(Table1[[#This Row], [TEAM]],Sheet1!$A$12:$A$17,Sheet1!$F$12:$F$17)</f>
        <v>3</v>
      </c>
      <c r="C1507" s="14">
        <f>_xlfn.XLOOKUP(Table1[[#This Row], [TEAM]],Sheet1!$A$12:$A$17,Sheet1!$G$12:$G$17)</f>
        <v>6238750</v>
      </c>
      <c r="D1507" t="s">
        <v>20</v>
      </c>
      <c r="E1507" s="4">
        <f>_xlfn.XLOOKUP(Table1[[#This Row], [ROOM]],Sheet1!$A$47:$A$66,Sheet1!$B$47:$B$66)</f>
        <v>145</v>
      </c>
      <c r="F1507" t="s">
        <v>62</v>
      </c>
      <c r="G1507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7" s="13" t="s">
        <v>59</v>
      </c>
      <c r="I1507" s="4">
        <f>_xlfn.XLOOKUP(Table1[[#This Row], [WEAPON]],Sheet1!$A$27:$A$29,Sheet1!$B$27:$B$29)*Table1[[#This Row], [NUM OF MEM]]*(1+_xlfn.XLOOKUP(Table1[[#This Row], [WEAPON]],Sheet1!$A$27:$A$29,Sheet1!$C$27:$C$29))</f>
        <v>136500</v>
      </c>
      <c r="J1507" t="s">
        <v>60</v>
      </c>
      <c r="K1507" s="9">
        <f>Table1[[#This Row], [NUM OF MEM]]*Table1[[#This Row], [TOTAL TIME TAKEN]]*_xlfn.XLOOKUP(Table1[[#This Row], [EXIT]],Sheet1!$A$70:$A$71,Sheet1!$B$70:$B$71)*(1+_xlfn.XLOOKUP(Table1[[#This Row], [EXIT]],Sheet1!$A$70:$A$71,Sheet1!$C$70:$C$71))</f>
        <v>1601474.6124999996</v>
      </c>
      <c r="L1507" s="13" t="s">
        <v>65</v>
      </c>
      <c r="M1507" s="4">
        <f>IF(Table1[[#This Row], [EQUIPMENT]]="YES",Sheet1!$C$44*(1+Sheet1!$D$44),0)</f>
        <v>307500</v>
      </c>
      <c r="N1507" s="4">
        <f>_xlfn.XLOOKUP(Table1[[#This Row], [ROOM]],Sheet1!$A$47:$A$66,Sheet1!$F$47:$F$66)</f>
        <v>17550000</v>
      </c>
      <c r="O1507" s="9">
        <f>_xlfn.XLOOKUP(_xlfn.CONCAT(Table1[[#This Row], [TEAM]],Table1[[#This Row], [ROOM]]),'ROOM TIME'!$H$2:$H$121,'ROOM TIME'!$J$2:$J$121)</f>
        <v>37.766111111111101</v>
      </c>
      <c r="P1507" s="9">
        <f>(INDEX(Sheet1!$X$48:$Z$67,MATCH(Table1[[#This Row], [ROOM]],Sheet1!$P$48:$P$67,0),MATCH(Table1[[#This Row], [WEAPON]],Sheet1!$X$47:$Z$47,0)))/Table1[[#This Row], [NUM OF MEM]]</f>
        <v>3.8333333333333335</v>
      </c>
      <c r="Q1507" s="9">
        <f>Table1[[#This Row], [ROOM TIME]]+Table1[[#This Row], [GUARD TIME]]</f>
        <v>41.599444444444437</v>
      </c>
      <c r="R1507" s="4">
        <f>Sheet1!$K$3*_xlfn.XLOOKUP(Table1[[#This Row], [DISGUISE]],Sheet1!$A$21:$A$23,Sheet1!$D$21:$D$23)</f>
        <v>66</v>
      </c>
      <c r="S1507" s="9">
        <f>Table1[[#This Row], [TOTAL TIME]]-Table1[[#This Row], [TOTAL TIME TAKEN]]</f>
        <v>24.400555555555563</v>
      </c>
      <c r="T1507" t="str">
        <f>IF(Table1[[#This Row], [TIME DIFFERENCE]]&gt;=0,"PASS","FAIL")</f>
        <v>PASS</v>
      </c>
      <c r="U1507" s="9">
        <f>Table1[[#This Row], [TRC]]+Table1[[#This Row], [DRC]]+Table1[[#This Row], [WRC]]+Table1[[#This Row], [ERC]]+Table1[[#This Row], [EQRC]]</f>
        <v>8299824.6124999998</v>
      </c>
      <c r="V1507" s="9">
        <f>Table1[[#This Row], [TOTAL COST]]+_xlfn.XLOOKUP(Table1[[#This Row], [TEAM]],Sheet1!$A$12:$A$17,Sheet1!$I$12:$I$17)</f>
        <v>8611762.1125000007</v>
      </c>
      <c r="W1507" s="9">
        <f>Table1[[#This Row], [LOOT]]-Table1[[#This Row], [TOTAL COST]]</f>
        <v>9250175.3874999993</v>
      </c>
      <c r="X1507" s="9">
        <f>IF(Table1[[#This Row], [PASS/FAIL]]="FAIL",0,Table1[[#This Row], [PROFIT]])</f>
        <v>9250175.3874999993</v>
      </c>
    </row>
    <row r="1508" spans="1:24" ht="19.5" customHeight="1" x14ac:dyDescent="0.45">
      <c r="A1508" t="s">
        <v>12</v>
      </c>
      <c r="B1508" s="14">
        <f>_xlfn.XLOOKUP(Table1[[#This Row], [TEAM]],Sheet1!$A$12:$A$17,Sheet1!$F$12:$F$17)</f>
        <v>3</v>
      </c>
      <c r="C1508" s="14">
        <f>_xlfn.XLOOKUP(Table1[[#This Row], [TEAM]],Sheet1!$A$12:$A$17,Sheet1!$G$12:$G$17)</f>
        <v>5988750</v>
      </c>
      <c r="D1508" t="s">
        <v>23</v>
      </c>
      <c r="E1508" s="4">
        <f>_xlfn.XLOOKUP(Table1[[#This Row], [ROOM]],Sheet1!$A$47:$A$66,Sheet1!$B$47:$B$66)</f>
        <v>245</v>
      </c>
      <c r="F1508" t="s">
        <v>62</v>
      </c>
      <c r="G1508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8" s="13" t="s">
        <v>66</v>
      </c>
      <c r="I1508" s="4">
        <f>_xlfn.XLOOKUP(Table1[[#This Row], [WEAPON]],Sheet1!$A$27:$A$29,Sheet1!$B$27:$B$29)*Table1[[#This Row], [NUM OF MEM]]*(1+_xlfn.XLOOKUP(Table1[[#This Row], [WEAPON]],Sheet1!$A$27:$A$29,Sheet1!$C$27:$C$29))</f>
        <v>108000</v>
      </c>
      <c r="J1508" t="s">
        <v>64</v>
      </c>
      <c r="K1508" s="9">
        <f>Table1[[#This Row], [NUM OF MEM]]*Table1[[#This Row], [TOTAL TIME TAKEN]]*_xlfn.XLOOKUP(Table1[[#This Row], [EXIT]],Sheet1!$A$70:$A$71,Sheet1!$B$70:$B$71)*(1+_xlfn.XLOOKUP(Table1[[#This Row], [EXIT]],Sheet1!$A$70:$A$71,Sheet1!$C$70:$C$71))</f>
        <v>1730030.3999999994</v>
      </c>
      <c r="L1508" s="13" t="s">
        <v>65</v>
      </c>
      <c r="M1508" s="4">
        <f>IF(Table1[[#This Row], [EQUIPMENT]]="YES",Sheet1!$C$44*(1+Sheet1!$D$44),0)</f>
        <v>307500</v>
      </c>
      <c r="N1508" s="4">
        <f>_xlfn.XLOOKUP(Table1[[#This Row], [ROOM]],Sheet1!$A$47:$A$66,Sheet1!$F$47:$F$66)</f>
        <v>17400000</v>
      </c>
      <c r="O1508" s="9">
        <f>_xlfn.XLOOKUP(_xlfn.CONCAT(Table1[[#This Row], [TEAM]],Table1[[#This Row], [ROOM]]),'ROOM TIME'!$H$2:$H$121,'ROOM TIME'!$J$2:$J$121)</f>
        <v>39.91333333333332</v>
      </c>
      <c r="P1508" s="9">
        <f>(INDEX(Sheet1!$X$48:$Z$67,MATCH(Table1[[#This Row], [ROOM]],Sheet1!$P$48:$P$67,0),MATCH(Table1[[#This Row], [WEAPON]],Sheet1!$X$47:$Z$47,0)))/Table1[[#This Row], [NUM OF MEM]]</f>
        <v>4.583333333333333</v>
      </c>
      <c r="Q1508" s="9">
        <f>Table1[[#This Row], [ROOM TIME]]+Table1[[#This Row], [GUARD TIME]]</f>
        <v>44.496666666666655</v>
      </c>
      <c r="R1508" s="4">
        <f>Sheet1!$K$3*_xlfn.XLOOKUP(Table1[[#This Row], [DISGUISE]],Sheet1!$A$21:$A$23,Sheet1!$D$21:$D$23)</f>
        <v>66</v>
      </c>
      <c r="S1508" s="9">
        <f>Table1[[#This Row], [TOTAL TIME]]-Table1[[#This Row], [TOTAL TIME TAKEN]]</f>
        <v>21.503333333333345</v>
      </c>
      <c r="T1508" t="str">
        <f>IF(Table1[[#This Row], [TIME DIFFERENCE]]&gt;=0,"PASS","FAIL")</f>
        <v>PASS</v>
      </c>
      <c r="U1508" s="9">
        <f>Table1[[#This Row], [TRC]]+Table1[[#This Row], [DRC]]+Table1[[#This Row], [WRC]]+Table1[[#This Row], [ERC]]+Table1[[#This Row], [EQRC]]</f>
        <v>8149880.3999999994</v>
      </c>
      <c r="V1508" s="9">
        <f>Table1[[#This Row], [TOTAL COST]]+_xlfn.XLOOKUP(Table1[[#This Row], [TEAM]],Sheet1!$A$12:$A$17,Sheet1!$I$12:$I$17)</f>
        <v>8449317.8999999985</v>
      </c>
      <c r="W1508" s="9">
        <f>Table1[[#This Row], [LOOT]]-Table1[[#This Row], [TOTAL COST]]</f>
        <v>9250119.6000000015</v>
      </c>
      <c r="X1508" s="9">
        <f>IF(Table1[[#This Row], [PASS/FAIL]]="FAIL",0,Table1[[#This Row], [PROFIT]])</f>
        <v>9250119.6000000015</v>
      </c>
    </row>
    <row r="1509" spans="1:24" ht="19.5" customHeight="1" x14ac:dyDescent="0.45">
      <c r="A1509" t="s">
        <v>9</v>
      </c>
      <c r="B1509" s="14">
        <f>_xlfn.XLOOKUP(Table1[[#This Row], [TEAM]],Sheet1!$A$12:$A$17,Sheet1!$F$12:$F$17)</f>
        <v>3</v>
      </c>
      <c r="C1509" s="14">
        <f>_xlfn.XLOOKUP(Table1[[#This Row], [TEAM]],Sheet1!$A$12:$A$17,Sheet1!$G$12:$G$17)</f>
        <v>6238750</v>
      </c>
      <c r="D1509" t="s">
        <v>20</v>
      </c>
      <c r="E1509" s="4">
        <f>_xlfn.XLOOKUP(Table1[[#This Row], [ROOM]],Sheet1!$A$47:$A$66,Sheet1!$B$47:$B$66)</f>
        <v>145</v>
      </c>
      <c r="F1509" t="s">
        <v>62</v>
      </c>
      <c r="G1509" s="4">
        <f>_xlfn.XLOOKUP(Table1[[#This Row], [DISGUISE]],Sheet1!$A$21:$A$23,Sheet1!$B$21:$B$23)*Table1[[#This Row], [NUM OF MEM]]*(1+_xlfn.XLOOKUP(Table1[[#This Row], [DISGUISE]],Sheet1!$A$21:$A$23,Sheet1!$C$21:$C$23))</f>
        <v>15600</v>
      </c>
      <c r="H1509" s="13" t="s">
        <v>66</v>
      </c>
      <c r="I1509" s="4">
        <f>_xlfn.XLOOKUP(Table1[[#This Row], [WEAPON]],Sheet1!$A$27:$A$29,Sheet1!$B$27:$B$29)*Table1[[#This Row], [NUM OF MEM]]*(1+_xlfn.XLOOKUP(Table1[[#This Row], [WEAPON]],Sheet1!$A$27:$A$29,Sheet1!$C$27:$C$29))</f>
        <v>108000</v>
      </c>
      <c r="J1509" t="s">
        <v>64</v>
      </c>
      <c r="K1509" s="9">
        <f>Table1[[#This Row], [NUM OF MEM]]*Table1[[#This Row], [TOTAL TIME TAKEN]]*_xlfn.XLOOKUP(Table1[[#This Row], [EXIT]],Sheet1!$A$70:$A$71,Sheet1!$B$70:$B$71)*(1+_xlfn.XLOOKUP(Table1[[#This Row], [EXIT]],Sheet1!$A$70:$A$71,Sheet1!$C$70:$C$71))</f>
        <v>1630346.3999999994</v>
      </c>
      <c r="L1509" s="13" t="s">
        <v>65</v>
      </c>
      <c r="M1509" s="4">
        <f>IF(Table1[[#This Row], [EQUIPMENT]]="YES",Sheet1!$C$44*(1+Sheet1!$D$44),0)</f>
        <v>307500</v>
      </c>
      <c r="N1509" s="4">
        <f>_xlfn.XLOOKUP(Table1[[#This Row], [ROOM]],Sheet1!$A$47:$A$66,Sheet1!$F$47:$F$66)</f>
        <v>17550000</v>
      </c>
      <c r="O1509" s="9">
        <f>_xlfn.XLOOKUP(_xlfn.CONCAT(Table1[[#This Row], [TEAM]],Table1[[#This Row], [ROOM]]),'ROOM TIME'!$H$2:$H$121,'ROOM TIME'!$J$2:$J$121)</f>
        <v>37.766111111111101</v>
      </c>
      <c r="P1509" s="9">
        <f>(INDEX(Sheet1!$X$48:$Z$67,MATCH(Table1[[#This Row], [ROOM]],Sheet1!$P$48:$P$67,0),MATCH(Table1[[#This Row], [WEAPON]],Sheet1!$X$47:$Z$47,0)))/Table1[[#This Row], [NUM OF MEM]]</f>
        <v>4.166666666666667</v>
      </c>
      <c r="Q1509" s="9">
        <f>Table1[[#This Row], [ROOM TIME]]+Table1[[#This Row], [GUARD TIME]]</f>
        <v>41.932777777777765</v>
      </c>
      <c r="R1509" s="4">
        <f>Sheet1!$K$3*_xlfn.XLOOKUP(Table1[[#This Row], [DISGUISE]],Sheet1!$A$21:$A$23,Sheet1!$D$21:$D$23)</f>
        <v>66</v>
      </c>
      <c r="S1509" s="9">
        <f>Table1[[#This Row], [TOTAL TIME]]-Table1[[#This Row], [TOTAL TIME TAKEN]]</f>
        <v>24.067222222222235</v>
      </c>
      <c r="T1509" t="str">
        <f>IF(Table1[[#This Row], [TIME DIFFERENCE]]&gt;=0,"PASS","FAIL")</f>
        <v>PASS</v>
      </c>
      <c r="U1509" s="9">
        <f>Table1[[#This Row], [TRC]]+Table1[[#This Row], [DRC]]+Table1[[#This Row], [WRC]]+Table1[[#This Row], [ERC]]+Table1[[#This Row], [EQRC]]</f>
        <v>8300196.3999999994</v>
      </c>
      <c r="V1509" s="9">
        <f>Table1[[#This Row], [TOTAL COST]]+_xlfn.XLOOKUP(Table1[[#This Row], [TEAM]],Sheet1!$A$12:$A$17,Sheet1!$I$12:$I$17)</f>
        <v>8612133.8999999985</v>
      </c>
      <c r="W1509" s="9">
        <f>Table1[[#This Row], [LOOT]]-Table1[[#This Row], [TOTAL COST]]</f>
        <v>9249803.6000000015</v>
      </c>
      <c r="X1509" s="9">
        <f>IF(Table1[[#This Row], [PASS/FAIL]]="FAIL",0,Table1[[#This Row], [PROFIT]])</f>
        <v>9249803.6000000015</v>
      </c>
    </row>
    <row r="1510" spans="1:24" ht="19.5" customHeight="1" x14ac:dyDescent="0.45">
      <c r="A1510" t="s">
        <v>13</v>
      </c>
      <c r="B1510" s="14">
        <f>_xlfn.XLOOKUP(Table1[[#This Row], [TEAM]],Sheet1!$A$12:$A$17,Sheet1!$F$12:$F$17)</f>
        <v>3</v>
      </c>
      <c r="C1510" s="14">
        <f>_xlfn.XLOOKUP(Table1[[#This Row], [TEAM]],Sheet1!$A$12:$A$17,Sheet1!$G$12:$G$17)</f>
        <v>5930000</v>
      </c>
      <c r="D1510" t="s">
        <v>23</v>
      </c>
      <c r="E1510" s="4">
        <f>_xlfn.XLOOKUP(Table1[[#This Row], [ROOM]],Sheet1!$A$47:$A$66,Sheet1!$B$47:$B$66)</f>
        <v>245</v>
      </c>
      <c r="F1510" t="s">
        <v>62</v>
      </c>
      <c r="G151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10" s="13" t="s">
        <v>63</v>
      </c>
      <c r="I1510" s="4">
        <f>_xlfn.XLOOKUP(Table1[[#This Row], [WEAPON]],Sheet1!$A$27:$A$29,Sheet1!$B$27:$B$29)*Table1[[#This Row], [NUM OF MEM]]*(1+_xlfn.XLOOKUP(Table1[[#This Row], [WEAPON]],Sheet1!$A$27:$A$29,Sheet1!$C$27:$C$29))</f>
        <v>69000</v>
      </c>
      <c r="J1510" t="s">
        <v>64</v>
      </c>
      <c r="K1510" s="9">
        <f>Table1[[#This Row], [NUM OF MEM]]*Table1[[#This Row], [TOTAL TIME TAKEN]]*_xlfn.XLOOKUP(Table1[[#This Row], [EXIT]],Sheet1!$A$70:$A$71,Sheet1!$B$70:$B$71)*(1+_xlfn.XLOOKUP(Table1[[#This Row], [EXIT]],Sheet1!$A$70:$A$71,Sheet1!$C$70:$C$71))</f>
        <v>1828461.5999999996</v>
      </c>
      <c r="L1510" s="13" t="s">
        <v>65</v>
      </c>
      <c r="M1510" s="4">
        <f>IF(Table1[[#This Row], [EQUIPMENT]]="YES",Sheet1!$C$44*(1+Sheet1!$D$44),0)</f>
        <v>307500</v>
      </c>
      <c r="N1510" s="4">
        <f>_xlfn.XLOOKUP(Table1[[#This Row], [ROOM]],Sheet1!$A$47:$A$66,Sheet1!$F$47:$F$66)</f>
        <v>17400000</v>
      </c>
      <c r="O1510" s="9">
        <f>_xlfn.XLOOKUP(_xlfn.CONCAT(Table1[[#This Row], [TEAM]],Table1[[#This Row], [ROOM]]),'ROOM TIME'!$H$2:$H$121,'ROOM TIME'!$J$2:$J$121)</f>
        <v>42.078333333333326</v>
      </c>
      <c r="P1510" s="9">
        <f>(INDEX(Sheet1!$X$48:$Z$67,MATCH(Table1[[#This Row], [ROOM]],Sheet1!$P$48:$P$67,0),MATCH(Table1[[#This Row], [WEAPON]],Sheet1!$X$47:$Z$47,0)))/Table1[[#This Row], [NUM OF MEM]]</f>
        <v>4.95</v>
      </c>
      <c r="Q1510" s="9">
        <f>Table1[[#This Row], [ROOM TIME]]+Table1[[#This Row], [GUARD TIME]]</f>
        <v>47.028333333333329</v>
      </c>
      <c r="R1510" s="4">
        <f>Sheet1!$K$3*_xlfn.XLOOKUP(Table1[[#This Row], [DISGUISE]],Sheet1!$A$21:$A$23,Sheet1!$D$21:$D$23)</f>
        <v>66</v>
      </c>
      <c r="S1510" s="9">
        <f>Table1[[#This Row], [TOTAL TIME]]-Table1[[#This Row], [TOTAL TIME TAKEN]]</f>
        <v>18.971666666666671</v>
      </c>
      <c r="T1510" t="str">
        <f>IF(Table1[[#This Row], [TIME DIFFERENCE]]&gt;=0,"PASS","FAIL")</f>
        <v>PASS</v>
      </c>
      <c r="U1510" s="9">
        <f>Table1[[#This Row], [TRC]]+Table1[[#This Row], [DRC]]+Table1[[#This Row], [WRC]]+Table1[[#This Row], [ERC]]+Table1[[#This Row], [EQRC]]</f>
        <v>8150561.5999999996</v>
      </c>
      <c r="V1510" s="9">
        <f>Table1[[#This Row], [TOTAL COST]]+_xlfn.XLOOKUP(Table1[[#This Row], [TEAM]],Sheet1!$A$12:$A$17,Sheet1!$I$12:$I$17)</f>
        <v>8447061.5999999996</v>
      </c>
      <c r="W1510" s="9">
        <f>Table1[[#This Row], [LOOT]]-Table1[[#This Row], [TOTAL COST]]</f>
        <v>9249438.4000000004</v>
      </c>
      <c r="X1510" s="9">
        <f>IF(Table1[[#This Row], [PASS/FAIL]]="FAIL",0,Table1[[#This Row], [PROFIT]])</f>
        <v>9249438.4000000004</v>
      </c>
    </row>
    <row r="1511" spans="1:24" ht="19.5" customHeight="1" x14ac:dyDescent="0.45">
      <c r="A1511" t="s">
        <v>9</v>
      </c>
      <c r="B1511" s="14">
        <f>_xlfn.XLOOKUP(Table1[[#This Row], [TEAM]],Sheet1!$A$12:$A$17,Sheet1!$F$12:$F$17)</f>
        <v>3</v>
      </c>
      <c r="C1511" s="14">
        <f>_xlfn.XLOOKUP(Table1[[#This Row], [TEAM]],Sheet1!$A$12:$A$17,Sheet1!$G$12:$G$17)</f>
        <v>6238750</v>
      </c>
      <c r="D1511" t="s">
        <v>31</v>
      </c>
      <c r="E1511" s="4">
        <f>_xlfn.XLOOKUP(Table1[[#This Row], [ROOM]],Sheet1!$A$47:$A$66,Sheet1!$B$47:$B$66)</f>
        <v>256</v>
      </c>
      <c r="F1511" t="s">
        <v>58</v>
      </c>
      <c r="G151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1" s="13" t="s">
        <v>66</v>
      </c>
      <c r="I1511" s="4">
        <f>_xlfn.XLOOKUP(Table1[[#This Row], [WEAPON]],Sheet1!$A$27:$A$29,Sheet1!$B$27:$B$29)*Table1[[#This Row], [NUM OF MEM]]*(1+_xlfn.XLOOKUP(Table1[[#This Row], [WEAPON]],Sheet1!$A$27:$A$29,Sheet1!$C$27:$C$29))</f>
        <v>108000</v>
      </c>
      <c r="J1511" t="s">
        <v>60</v>
      </c>
      <c r="K1511" s="9">
        <f>Table1[[#This Row], [NUM OF MEM]]*Table1[[#This Row], [TOTAL TIME TAKEN]]*_xlfn.XLOOKUP(Table1[[#This Row], [EXIT]],Sheet1!$A$70:$A$71,Sheet1!$B$70:$B$71)*(1+_xlfn.XLOOKUP(Table1[[#This Row], [EXIT]],Sheet1!$A$70:$A$71,Sheet1!$C$70:$C$71))</f>
        <v>1558507.125</v>
      </c>
      <c r="L1511" s="13" t="s">
        <v>65</v>
      </c>
      <c r="M1511" s="4">
        <f>IF(Table1[[#This Row], [EQUIPMENT]]="YES",Sheet1!$C$44*(1+Sheet1!$D$44),0)</f>
        <v>307500</v>
      </c>
      <c r="N1511" s="4">
        <f>_xlfn.XLOOKUP(Table1[[#This Row], [ROOM]],Sheet1!$A$47:$A$66,Sheet1!$F$47:$F$66)</f>
        <v>17500000</v>
      </c>
      <c r="O1511" s="9">
        <f>_xlfn.XLOOKUP(_xlfn.CONCAT(Table1[[#This Row], [TEAM]],Table1[[#This Row], [ROOM]]),'ROOM TIME'!$H$2:$H$121,'ROOM TIME'!$J$2:$J$121)</f>
        <v>35.899999999999991</v>
      </c>
      <c r="P1511" s="9">
        <f>(INDEX(Sheet1!$X$48:$Z$67,MATCH(Table1[[#This Row], [ROOM]],Sheet1!$P$48:$P$67,0),MATCH(Table1[[#This Row], [WEAPON]],Sheet1!$X$47:$Z$47,0)))/Table1[[#This Row], [NUM OF MEM]]</f>
        <v>4.583333333333333</v>
      </c>
      <c r="Q1511" s="9">
        <f>Table1[[#This Row], [ROOM TIME]]+Table1[[#This Row], [GUARD TIME]]</f>
        <v>40.483333333333327</v>
      </c>
      <c r="R1511" s="4">
        <f>Sheet1!$K$3*_xlfn.XLOOKUP(Table1[[#This Row], [DISGUISE]],Sheet1!$A$21:$A$23,Sheet1!$D$21:$D$23)</f>
        <v>69</v>
      </c>
      <c r="S1511" s="9">
        <f>Table1[[#This Row], [TOTAL TIME]]-Table1[[#This Row], [TOTAL TIME TAKEN]]</f>
        <v>28.516666666666673</v>
      </c>
      <c r="T1511" t="str">
        <f>IF(Table1[[#This Row], [TIME DIFFERENCE]]&gt;=0,"PASS","FAIL")</f>
        <v>PASS</v>
      </c>
      <c r="U1511" s="9">
        <f>Table1[[#This Row], [TRC]]+Table1[[#This Row], [DRC]]+Table1[[#This Row], [WRC]]+Table1[[#This Row], [ERC]]+Table1[[#This Row], [EQRC]]</f>
        <v>8251157.125</v>
      </c>
      <c r="V1511" s="9">
        <f>Table1[[#This Row], [TOTAL COST]]+_xlfn.XLOOKUP(Table1[[#This Row], [TEAM]],Sheet1!$A$12:$A$17,Sheet1!$I$12:$I$17)</f>
        <v>8563094.625</v>
      </c>
      <c r="W1511" s="9">
        <f>Table1[[#This Row], [LOOT]]-Table1[[#This Row], [TOTAL COST]]</f>
        <v>9248842.875</v>
      </c>
      <c r="X1511" s="9">
        <f>IF(Table1[[#This Row], [PASS/FAIL]]="FAIL",0,Table1[[#This Row], [PROFIT]])</f>
        <v>9248842.875</v>
      </c>
    </row>
    <row r="1512" spans="1:24" ht="19.5" customHeight="1" x14ac:dyDescent="0.45">
      <c r="A1512" t="s">
        <v>13</v>
      </c>
      <c r="B1512" s="14">
        <f>_xlfn.XLOOKUP(Table1[[#This Row], [TEAM]],Sheet1!$A$12:$A$17,Sheet1!$F$12:$F$17)</f>
        <v>3</v>
      </c>
      <c r="C1512" s="14">
        <f>_xlfn.XLOOKUP(Table1[[#This Row], [TEAM]],Sheet1!$A$12:$A$17,Sheet1!$G$12:$G$17)</f>
        <v>5930000</v>
      </c>
      <c r="D1512" t="s">
        <v>23</v>
      </c>
      <c r="E1512" s="4">
        <f>_xlfn.XLOOKUP(Table1[[#This Row], [ROOM]],Sheet1!$A$47:$A$66,Sheet1!$B$47:$B$66)</f>
        <v>245</v>
      </c>
      <c r="F1512" t="s">
        <v>58</v>
      </c>
      <c r="G151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2" s="13" t="s">
        <v>63</v>
      </c>
      <c r="I1512" s="4">
        <f>_xlfn.XLOOKUP(Table1[[#This Row], [WEAPON]],Sheet1!$A$27:$A$29,Sheet1!$B$27:$B$29)*Table1[[#This Row], [NUM OF MEM]]*(1+_xlfn.XLOOKUP(Table1[[#This Row], [WEAPON]],Sheet1!$A$27:$A$29,Sheet1!$C$27:$C$29))</f>
        <v>69000</v>
      </c>
      <c r="J1512" t="s">
        <v>60</v>
      </c>
      <c r="K1512" s="9">
        <f>Table1[[#This Row], [NUM OF MEM]]*Table1[[#This Row], [TOTAL TIME TAKEN]]*_xlfn.XLOOKUP(Table1[[#This Row], [EXIT]],Sheet1!$A$70:$A$71,Sheet1!$B$70:$B$71)*(1+_xlfn.XLOOKUP(Table1[[#This Row], [EXIT]],Sheet1!$A$70:$A$71,Sheet1!$C$70:$C$71))</f>
        <v>1810473.2624999997</v>
      </c>
      <c r="L1512" s="13" t="s">
        <v>65</v>
      </c>
      <c r="M1512" s="4">
        <f>IF(Table1[[#This Row], [EQUIPMENT]]="YES",Sheet1!$C$44*(1+Sheet1!$D$44),0)</f>
        <v>307500</v>
      </c>
      <c r="N1512" s="4">
        <f>_xlfn.XLOOKUP(Table1[[#This Row], [ROOM]],Sheet1!$A$47:$A$66,Sheet1!$F$47:$F$66)</f>
        <v>17400000</v>
      </c>
      <c r="O1512" s="9">
        <f>_xlfn.XLOOKUP(_xlfn.CONCAT(Table1[[#This Row], [TEAM]],Table1[[#This Row], [ROOM]]),'ROOM TIME'!$H$2:$H$121,'ROOM TIME'!$J$2:$J$121)</f>
        <v>42.078333333333326</v>
      </c>
      <c r="P1512" s="9">
        <f>(INDEX(Sheet1!$X$48:$Z$67,MATCH(Table1[[#This Row], [ROOM]],Sheet1!$P$48:$P$67,0),MATCH(Table1[[#This Row], [WEAPON]],Sheet1!$X$47:$Z$47,0)))/Table1[[#This Row], [NUM OF MEM]]</f>
        <v>4.95</v>
      </c>
      <c r="Q1512" s="9">
        <f>Table1[[#This Row], [ROOM TIME]]+Table1[[#This Row], [GUARD TIME]]</f>
        <v>47.028333333333329</v>
      </c>
      <c r="R1512" s="4">
        <f>Sheet1!$K$3*_xlfn.XLOOKUP(Table1[[#This Row], [DISGUISE]],Sheet1!$A$21:$A$23,Sheet1!$D$21:$D$23)</f>
        <v>69</v>
      </c>
      <c r="S1512" s="9">
        <f>Table1[[#This Row], [TOTAL TIME]]-Table1[[#This Row], [TOTAL TIME TAKEN]]</f>
        <v>21.971666666666671</v>
      </c>
      <c r="T1512" t="str">
        <f>IF(Table1[[#This Row], [TIME DIFFERENCE]]&gt;=0,"PASS","FAIL")</f>
        <v>PASS</v>
      </c>
      <c r="U1512" s="9">
        <f>Table1[[#This Row], [TRC]]+Table1[[#This Row], [DRC]]+Table1[[#This Row], [WRC]]+Table1[[#This Row], [ERC]]+Table1[[#This Row], [EQRC]]</f>
        <v>8155373.2624999993</v>
      </c>
      <c r="V1512" s="9">
        <f>Table1[[#This Row], [TOTAL COST]]+_xlfn.XLOOKUP(Table1[[#This Row], [TEAM]],Sheet1!$A$12:$A$17,Sheet1!$I$12:$I$17)</f>
        <v>8451873.2624999993</v>
      </c>
      <c r="W1512" s="9">
        <f>Table1[[#This Row], [LOOT]]-Table1[[#This Row], [TOTAL COST]]</f>
        <v>9244626.7375000007</v>
      </c>
      <c r="X1512" s="9">
        <f>IF(Table1[[#This Row], [PASS/FAIL]]="FAIL",0,Table1[[#This Row], [PROFIT]])</f>
        <v>9244626.7375000007</v>
      </c>
    </row>
    <row r="1513" spans="1:24" ht="19.5" customHeight="1" x14ac:dyDescent="0.45">
      <c r="A1513" t="s">
        <v>12</v>
      </c>
      <c r="B1513" s="14">
        <f>_xlfn.XLOOKUP(Table1[[#This Row], [TEAM]],Sheet1!$A$12:$A$17,Sheet1!$F$12:$F$17)</f>
        <v>3</v>
      </c>
      <c r="C1513" s="14">
        <f>_xlfn.XLOOKUP(Table1[[#This Row], [TEAM]],Sheet1!$A$12:$A$17,Sheet1!$G$12:$G$17)</f>
        <v>5988750</v>
      </c>
      <c r="D1513" t="s">
        <v>23</v>
      </c>
      <c r="E1513" s="4">
        <f>_xlfn.XLOOKUP(Table1[[#This Row], [ROOM]],Sheet1!$A$47:$A$66,Sheet1!$B$47:$B$66)</f>
        <v>245</v>
      </c>
      <c r="F1513" t="s">
        <v>58</v>
      </c>
      <c r="G1513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3" s="13" t="s">
        <v>66</v>
      </c>
      <c r="I1513" s="4">
        <f>_xlfn.XLOOKUP(Table1[[#This Row], [WEAPON]],Sheet1!$A$27:$A$29,Sheet1!$B$27:$B$29)*Table1[[#This Row], [NUM OF MEM]]*(1+_xlfn.XLOOKUP(Table1[[#This Row], [WEAPON]],Sheet1!$A$27:$A$29,Sheet1!$C$27:$C$29))</f>
        <v>108000</v>
      </c>
      <c r="J1513" t="s">
        <v>60</v>
      </c>
      <c r="K1513" s="9">
        <f>Table1[[#This Row], [NUM OF MEM]]*Table1[[#This Row], [TOTAL TIME TAKEN]]*_xlfn.XLOOKUP(Table1[[#This Row], [EXIT]],Sheet1!$A$70:$A$71,Sheet1!$B$70:$B$71)*(1+_xlfn.XLOOKUP(Table1[[#This Row], [EXIT]],Sheet1!$A$70:$A$71,Sheet1!$C$70:$C$71))</f>
        <v>1713010.4249999993</v>
      </c>
      <c r="L1513" s="13" t="s">
        <v>65</v>
      </c>
      <c r="M1513" s="4">
        <f>IF(Table1[[#This Row], [EQUIPMENT]]="YES",Sheet1!$C$44*(1+Sheet1!$D$44),0)</f>
        <v>307500</v>
      </c>
      <c r="N1513" s="4">
        <f>_xlfn.XLOOKUP(Table1[[#This Row], [ROOM]],Sheet1!$A$47:$A$66,Sheet1!$F$47:$F$66)</f>
        <v>17400000</v>
      </c>
      <c r="O1513" s="9">
        <f>_xlfn.XLOOKUP(_xlfn.CONCAT(Table1[[#This Row], [TEAM]],Table1[[#This Row], [ROOM]]),'ROOM TIME'!$H$2:$H$121,'ROOM TIME'!$J$2:$J$121)</f>
        <v>39.91333333333332</v>
      </c>
      <c r="P1513" s="9">
        <f>(INDEX(Sheet1!$X$48:$Z$67,MATCH(Table1[[#This Row], [ROOM]],Sheet1!$P$48:$P$67,0),MATCH(Table1[[#This Row], [WEAPON]],Sheet1!$X$47:$Z$47,0)))/Table1[[#This Row], [NUM OF MEM]]</f>
        <v>4.583333333333333</v>
      </c>
      <c r="Q1513" s="9">
        <f>Table1[[#This Row], [ROOM TIME]]+Table1[[#This Row], [GUARD TIME]]</f>
        <v>44.496666666666655</v>
      </c>
      <c r="R1513" s="4">
        <f>Sheet1!$K$3*_xlfn.XLOOKUP(Table1[[#This Row], [DISGUISE]],Sheet1!$A$21:$A$23,Sheet1!$D$21:$D$23)</f>
        <v>69</v>
      </c>
      <c r="S1513" s="9">
        <f>Table1[[#This Row], [TOTAL TIME]]-Table1[[#This Row], [TOTAL TIME TAKEN]]</f>
        <v>24.503333333333345</v>
      </c>
      <c r="T1513" t="str">
        <f>IF(Table1[[#This Row], [TIME DIFFERENCE]]&gt;=0,"PASS","FAIL")</f>
        <v>PASS</v>
      </c>
      <c r="U1513" s="9">
        <f>Table1[[#This Row], [TRC]]+Table1[[#This Row], [DRC]]+Table1[[#This Row], [WRC]]+Table1[[#This Row], [ERC]]+Table1[[#This Row], [EQRC]]</f>
        <v>8155660.4249999989</v>
      </c>
      <c r="V1513" s="9">
        <f>Table1[[#This Row], [TOTAL COST]]+_xlfn.XLOOKUP(Table1[[#This Row], [TEAM]],Sheet1!$A$12:$A$17,Sheet1!$I$12:$I$17)</f>
        <v>8455097.9249999989</v>
      </c>
      <c r="W1513" s="9">
        <f>Table1[[#This Row], [LOOT]]-Table1[[#This Row], [TOTAL COST]]</f>
        <v>9244339.5750000011</v>
      </c>
      <c r="X1513" s="9">
        <f>IF(Table1[[#This Row], [PASS/FAIL]]="FAIL",0,Table1[[#This Row], [PROFIT]])</f>
        <v>9244339.5750000011</v>
      </c>
    </row>
    <row r="1514" spans="1:24" ht="19.5" customHeight="1" x14ac:dyDescent="0.45">
      <c r="A1514" t="s">
        <v>12</v>
      </c>
      <c r="B1514" s="14">
        <f>_xlfn.XLOOKUP(Table1[[#This Row], [TEAM]],Sheet1!$A$12:$A$17,Sheet1!$F$12:$F$17)</f>
        <v>3</v>
      </c>
      <c r="C1514" s="14">
        <f>_xlfn.XLOOKUP(Table1[[#This Row], [TEAM]],Sheet1!$A$12:$A$17,Sheet1!$G$12:$G$17)</f>
        <v>5988750</v>
      </c>
      <c r="D1514" t="s">
        <v>11</v>
      </c>
      <c r="E1514" s="4">
        <f>_xlfn.XLOOKUP(Table1[[#This Row], [ROOM]],Sheet1!$A$47:$A$66,Sheet1!$B$47:$B$66)</f>
        <v>124</v>
      </c>
      <c r="F1514" t="s">
        <v>58</v>
      </c>
      <c r="G1514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4" s="13" t="s">
        <v>59</v>
      </c>
      <c r="I1514" s="4">
        <f>_xlfn.XLOOKUP(Table1[[#This Row], [WEAPON]],Sheet1!$A$27:$A$29,Sheet1!$B$27:$B$29)*Table1[[#This Row], [NUM OF MEM]]*(1+_xlfn.XLOOKUP(Table1[[#This Row], [WEAPON]],Sheet1!$A$27:$A$29,Sheet1!$C$27:$C$29))</f>
        <v>136500</v>
      </c>
      <c r="J1514" t="s">
        <v>64</v>
      </c>
      <c r="K1514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1734739.1999999995</v>
      </c>
      <c r="L1514" s="13" t="s">
        <v>65</v>
      </c>
      <c r="M1514" s="4">
        <f>IF(Table1[[#This Row], [EQUIPMENT]]="YES",Sheet1!$C$44*(1+Sheet1!$D$44),0)</f>
        <v>307500</v>
      </c>
      <c r="N1514" s="4">
        <f>_xlfn.XLOOKUP(Table1[[#This Row], [ROOM]],Sheet1!$A$47:$A$66,Sheet1!$F$47:$F$66)</f>
        <v>17450000</v>
      </c>
      <c r="O1514" s="9">
        <f>_xlfn.XLOOKUP(_xlfn.CONCAT(Table1[[#This Row], [TEAM]],Table1[[#This Row], [ROOM]]),'ROOM TIME'!$H$2:$H$121,'ROOM TIME'!$J$2:$J$121)</f>
        <v>40.401111111111099</v>
      </c>
      <c r="P1514" s="9">
        <f>(INDEX(Sheet1!$X$48:$Z$67,MATCH(Table1[[#This Row], [ROOM]],Sheet1!$P$48:$P$67,0),MATCH(Table1[[#This Row], [WEAPON]],Sheet1!$X$47:$Z$47,0)))/Table1[[#This Row], [NUM OF MEM]]</f>
        <v>4.2166666666666659</v>
      </c>
      <c r="Q1514" s="9">
        <f>Table1[[#This Row], [ROOM TIME]]+Table1[[#This Row], [GUARD TIME]]</f>
        <v>44.617777777777768</v>
      </c>
      <c r="R1514" s="4">
        <f>Sheet1!$K$3*_xlfn.XLOOKUP(Table1[[#This Row], [DISGUISE]],Sheet1!$A$21:$A$23,Sheet1!$D$21:$D$23)</f>
        <v>69</v>
      </c>
      <c r="S1514" s="9">
        <f>Table1[[#This Row], [TOTAL TIME]]-Table1[[#This Row], [TOTAL TIME TAKEN]]</f>
        <v>24.382222222222232</v>
      </c>
      <c r="T1514" t="str">
        <f>IF(Table1[[#This Row], [TIME DIFFERENCE]]&gt;=0,"PASS","FAIL")</f>
        <v>PASS</v>
      </c>
      <c r="U1514" s="9">
        <f>Table1[[#This Row], [TRC]]+Table1[[#This Row], [DRC]]+Table1[[#This Row], [WRC]]+Table1[[#This Row], [ERC]]+Table1[[#This Row], [EQRC]]</f>
        <v>8205889.1999999993</v>
      </c>
      <c r="V1514" s="9">
        <f>Table1[[#This Row], [TOTAL COST]]+_xlfn.XLOOKUP(Table1[[#This Row], [TEAM]],Sheet1!$A$12:$A$17,Sheet1!$I$12:$I$17)</f>
        <v>8505326.6999999993</v>
      </c>
      <c r="W1514" s="9">
        <f>Table1[[#This Row], [LOOT]]-Table1[[#This Row], [TOTAL COST]]</f>
        <v>9244110.8000000007</v>
      </c>
      <c r="X1514" s="9">
        <f>IF(Table1[[#This Row], [PASS/FAIL]]="FAIL",0,Table1[[#This Row], [PROFIT]])</f>
        <v>9244110.8000000007</v>
      </c>
    </row>
    <row r="1515" spans="1:24" ht="19.5" customHeight="1" x14ac:dyDescent="0.45">
      <c r="A1515" t="s">
        <v>13</v>
      </c>
      <c r="B1515" s="14">
        <f>_xlfn.XLOOKUP(Table1[[#This Row], [TEAM]],Sheet1!$A$12:$A$17,Sheet1!$F$12:$F$17)</f>
        <v>3</v>
      </c>
      <c r="C1515" s="14">
        <f>_xlfn.XLOOKUP(Table1[[#This Row], [TEAM]],Sheet1!$A$12:$A$17,Sheet1!$G$12:$G$17)</f>
        <v>5930000</v>
      </c>
      <c r="D1515" t="s">
        <v>11</v>
      </c>
      <c r="E1515" s="4">
        <f>_xlfn.XLOOKUP(Table1[[#This Row], [ROOM]],Sheet1!$A$47:$A$66,Sheet1!$B$47:$B$66)</f>
        <v>124</v>
      </c>
      <c r="F1515" t="s">
        <v>62</v>
      </c>
      <c r="G1515" s="4">
        <f>_xlfn.XLOOKUP(Table1[[#This Row], [DISGUISE]],Sheet1!$A$21:$A$23,Sheet1!$B$21:$B$23)*Table1[[#This Row], [NUM OF MEM]]*(1+_xlfn.XLOOKUP(Table1[[#This Row], [DISGUISE]],Sheet1!$A$21:$A$23,Sheet1!$C$21:$C$23))</f>
        <v>15600</v>
      </c>
      <c r="H1515" s="13" t="s">
        <v>59</v>
      </c>
      <c r="I1515" s="4">
        <f>_xlfn.XLOOKUP(Table1[[#This Row], [WEAPON]],Sheet1!$A$27:$A$29,Sheet1!$B$27:$B$29)*Table1[[#This Row], [NUM OF MEM]]*(1+_xlfn.XLOOKUP(Table1[[#This Row], [WEAPON]],Sheet1!$A$27:$A$29,Sheet1!$C$27:$C$29))</f>
        <v>136500</v>
      </c>
      <c r="J1515" t="s">
        <v>64</v>
      </c>
      <c r="K1515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1817164.7999999996</v>
      </c>
      <c r="L1515" s="13" t="s">
        <v>65</v>
      </c>
      <c r="M1515" s="4">
        <f>IF(Table1[[#This Row], [EQUIPMENT]]="YES",Sheet1!$C$44*(1+Sheet1!$D$44),0)</f>
        <v>307500</v>
      </c>
      <c r="N1515" s="4">
        <f>_xlfn.XLOOKUP(Table1[[#This Row], [ROOM]],Sheet1!$A$47:$A$66,Sheet1!$F$47:$F$66)</f>
        <v>17450000</v>
      </c>
      <c r="O1515" s="9">
        <f>_xlfn.XLOOKUP(_xlfn.CONCAT(Table1[[#This Row], [TEAM]],Table1[[#This Row], [ROOM]]),'ROOM TIME'!$H$2:$H$121,'ROOM TIME'!$J$2:$J$121)</f>
        <v>42.521111111111104</v>
      </c>
      <c r="P1515" s="9">
        <f>(INDEX(Sheet1!$X$48:$Z$67,MATCH(Table1[[#This Row], [ROOM]],Sheet1!$P$48:$P$67,0),MATCH(Table1[[#This Row], [WEAPON]],Sheet1!$X$47:$Z$47,0)))/Table1[[#This Row], [NUM OF MEM]]</f>
        <v>4.2166666666666659</v>
      </c>
      <c r="Q1515" s="9">
        <f>Table1[[#This Row], [ROOM TIME]]+Table1[[#This Row], [GUARD TIME]]</f>
        <v>46.737777777777772</v>
      </c>
      <c r="R1515" s="4">
        <f>Sheet1!$K$3*_xlfn.XLOOKUP(Table1[[#This Row], [DISGUISE]],Sheet1!$A$21:$A$23,Sheet1!$D$21:$D$23)</f>
        <v>66</v>
      </c>
      <c r="S1515" s="9">
        <f>Table1[[#This Row], [TOTAL TIME]]-Table1[[#This Row], [TOTAL TIME TAKEN]]</f>
        <v>19.262222222222228</v>
      </c>
      <c r="T1515" t="str">
        <f>IF(Table1[[#This Row], [TIME DIFFERENCE]]&gt;=0,"PASS","FAIL")</f>
        <v>PASS</v>
      </c>
      <c r="U1515" s="9">
        <f>Table1[[#This Row], [TRC]]+Table1[[#This Row], [DRC]]+Table1[[#This Row], [WRC]]+Table1[[#This Row], [ERC]]+Table1[[#This Row], [EQRC]]</f>
        <v>8206764.7999999998</v>
      </c>
      <c r="V1515" s="9">
        <f>Table1[[#This Row], [TOTAL COST]]+_xlfn.XLOOKUP(Table1[[#This Row], [TEAM]],Sheet1!$A$12:$A$17,Sheet1!$I$12:$I$17)</f>
        <v>8503264.8000000007</v>
      </c>
      <c r="W1515" s="9">
        <f>Table1[[#This Row], [LOOT]]-Table1[[#This Row], [TOTAL COST]]</f>
        <v>9243235.1999999993</v>
      </c>
      <c r="X1515" s="9">
        <f>IF(Table1[[#This Row], [PASS/FAIL]]="FAIL",0,Table1[[#This Row], [PROFIT]])</f>
        <v>9243235.1999999993</v>
      </c>
    </row>
    <row r="1516" spans="1:24" ht="19.5" customHeight="1" x14ac:dyDescent="0.45">
      <c r="A1516" t="s">
        <v>9</v>
      </c>
      <c r="B1516" s="14">
        <f>_xlfn.XLOOKUP(Table1[[#This Row], [TEAM]],Sheet1!$A$12:$A$17,Sheet1!$F$12:$F$17)</f>
        <v>3</v>
      </c>
      <c r="C1516" s="14">
        <f>_xlfn.XLOOKUP(Table1[[#This Row], [TEAM]],Sheet1!$A$12:$A$17,Sheet1!$G$12:$G$17)</f>
        <v>6238750</v>
      </c>
      <c r="D1516" t="s">
        <v>20</v>
      </c>
      <c r="E1516" s="4">
        <f>_xlfn.XLOOKUP(Table1[[#This Row], [ROOM]],Sheet1!$A$47:$A$66,Sheet1!$B$47:$B$66)</f>
        <v>145</v>
      </c>
      <c r="F1516" t="s">
        <v>58</v>
      </c>
      <c r="G1516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6" s="13" t="s">
        <v>66</v>
      </c>
      <c r="I1516" s="4">
        <f>_xlfn.XLOOKUP(Table1[[#This Row], [WEAPON]],Sheet1!$A$27:$A$29,Sheet1!$B$27:$B$29)*Table1[[#This Row], [NUM OF MEM]]*(1+_xlfn.XLOOKUP(Table1[[#This Row], [WEAPON]],Sheet1!$A$27:$A$29,Sheet1!$C$27:$C$29))</f>
        <v>108000</v>
      </c>
      <c r="J1516" t="s">
        <v>60</v>
      </c>
      <c r="K1516" s="9">
        <f>Table1[[#This Row], [NUM OF MEM]]*Table1[[#This Row], [TOTAL TIME TAKEN]]*_xlfn.XLOOKUP(Table1[[#This Row], [EXIT]],Sheet1!$A$70:$A$71,Sheet1!$B$70:$B$71)*(1+_xlfn.XLOOKUP(Table1[[#This Row], [EXIT]],Sheet1!$A$70:$A$71,Sheet1!$C$70:$C$71))</f>
        <v>1614307.1124999993</v>
      </c>
      <c r="L1516" s="13" t="s">
        <v>65</v>
      </c>
      <c r="M1516" s="4">
        <f>IF(Table1[[#This Row], [EQUIPMENT]]="YES",Sheet1!$C$44*(1+Sheet1!$D$44),0)</f>
        <v>307500</v>
      </c>
      <c r="N1516" s="4">
        <f>_xlfn.XLOOKUP(Table1[[#This Row], [ROOM]],Sheet1!$A$47:$A$66,Sheet1!$F$47:$F$66)</f>
        <v>17550000</v>
      </c>
      <c r="O1516" s="9">
        <f>_xlfn.XLOOKUP(_xlfn.CONCAT(Table1[[#This Row], [TEAM]],Table1[[#This Row], [ROOM]]),'ROOM TIME'!$H$2:$H$121,'ROOM TIME'!$J$2:$J$121)</f>
        <v>37.766111111111101</v>
      </c>
      <c r="P1516" s="9">
        <f>(INDEX(Sheet1!$X$48:$Z$67,MATCH(Table1[[#This Row], [ROOM]],Sheet1!$P$48:$P$67,0),MATCH(Table1[[#This Row], [WEAPON]],Sheet1!$X$47:$Z$47,0)))/Table1[[#This Row], [NUM OF MEM]]</f>
        <v>4.166666666666667</v>
      </c>
      <c r="Q1516" s="9">
        <f>Table1[[#This Row], [ROOM TIME]]+Table1[[#This Row], [GUARD TIME]]</f>
        <v>41.932777777777765</v>
      </c>
      <c r="R1516" s="4">
        <f>Sheet1!$K$3*_xlfn.XLOOKUP(Table1[[#This Row], [DISGUISE]],Sheet1!$A$21:$A$23,Sheet1!$D$21:$D$23)</f>
        <v>69</v>
      </c>
      <c r="S1516" s="9">
        <f>Table1[[#This Row], [TOTAL TIME]]-Table1[[#This Row], [TOTAL TIME TAKEN]]</f>
        <v>27.067222222222235</v>
      </c>
      <c r="T1516" t="str">
        <f>IF(Table1[[#This Row], [TIME DIFFERENCE]]&gt;=0,"PASS","FAIL")</f>
        <v>PASS</v>
      </c>
      <c r="U1516" s="9">
        <f>Table1[[#This Row], [TRC]]+Table1[[#This Row], [DRC]]+Table1[[#This Row], [WRC]]+Table1[[#This Row], [ERC]]+Table1[[#This Row], [EQRC]]</f>
        <v>8306957.1124999989</v>
      </c>
      <c r="V1516" s="9">
        <f>Table1[[#This Row], [TOTAL COST]]+_xlfn.XLOOKUP(Table1[[#This Row], [TEAM]],Sheet1!$A$12:$A$17,Sheet1!$I$12:$I$17)</f>
        <v>8618894.6124999989</v>
      </c>
      <c r="W1516" s="9">
        <f>Table1[[#This Row], [LOOT]]-Table1[[#This Row], [TOTAL COST]]</f>
        <v>9243042.8875000011</v>
      </c>
      <c r="X1516" s="9">
        <f>IF(Table1[[#This Row], [PASS/FAIL]]="FAIL",0,Table1[[#This Row], [PROFIT]])</f>
        <v>9243042.8875000011</v>
      </c>
    </row>
    <row r="1517" spans="1:24" ht="19.5" customHeight="1" x14ac:dyDescent="0.45">
      <c r="A1517" t="s">
        <v>13</v>
      </c>
      <c r="B1517" s="14">
        <f>_xlfn.XLOOKUP(Table1[[#This Row], [TEAM]],Sheet1!$A$12:$A$17,Sheet1!$F$12:$F$17)</f>
        <v>3</v>
      </c>
      <c r="C1517" s="14">
        <f>_xlfn.XLOOKUP(Table1[[#This Row], [TEAM]],Sheet1!$A$12:$A$17,Sheet1!$G$12:$G$17)</f>
        <v>5930000</v>
      </c>
      <c r="D1517" t="s">
        <v>23</v>
      </c>
      <c r="E1517" s="4">
        <f>_xlfn.XLOOKUP(Table1[[#This Row], [ROOM]],Sheet1!$A$47:$A$66,Sheet1!$B$47:$B$66)</f>
        <v>245</v>
      </c>
      <c r="F1517" t="s">
        <v>62</v>
      </c>
      <c r="G1517" s="4">
        <f>_xlfn.XLOOKUP(Table1[[#This Row], [DISGUISE]],Sheet1!$A$21:$A$23,Sheet1!$B$21:$B$23)*Table1[[#This Row], [NUM OF MEM]]*(1+_xlfn.XLOOKUP(Table1[[#This Row], [DISGUISE]],Sheet1!$A$21:$A$23,Sheet1!$C$21:$C$23))</f>
        <v>15600</v>
      </c>
      <c r="H1517" s="13" t="s">
        <v>66</v>
      </c>
      <c r="I1517" s="4">
        <f>_xlfn.XLOOKUP(Table1[[#This Row], [WEAPON]],Sheet1!$A$27:$A$29,Sheet1!$B$27:$B$29)*Table1[[#This Row], [NUM OF MEM]]*(1+_xlfn.XLOOKUP(Table1[[#This Row], [WEAPON]],Sheet1!$A$27:$A$29,Sheet1!$C$27:$C$29))</f>
        <v>108000</v>
      </c>
      <c r="J1517" t="s">
        <v>60</v>
      </c>
      <c r="K1517" s="9">
        <f>Table1[[#This Row], [NUM OF MEM]]*Table1[[#This Row], [TOTAL TIME TAKEN]]*_xlfn.XLOOKUP(Table1[[#This Row], [EXIT]],Sheet1!$A$70:$A$71,Sheet1!$B$70:$B$71)*(1+_xlfn.XLOOKUP(Table1[[#This Row], [EXIT]],Sheet1!$A$70:$A$71,Sheet1!$C$70:$C$71))</f>
        <v>1796357.5124999997</v>
      </c>
      <c r="L1517" s="13" t="s">
        <v>65</v>
      </c>
      <c r="M1517" s="4">
        <f>IF(Table1[[#This Row], [EQUIPMENT]]="YES",Sheet1!$C$44*(1+Sheet1!$D$44),0)</f>
        <v>307500</v>
      </c>
      <c r="N1517" s="4">
        <f>_xlfn.XLOOKUP(Table1[[#This Row], [ROOM]],Sheet1!$A$47:$A$66,Sheet1!$F$47:$F$66)</f>
        <v>17400000</v>
      </c>
      <c r="O1517" s="9">
        <f>_xlfn.XLOOKUP(_xlfn.CONCAT(Table1[[#This Row], [TEAM]],Table1[[#This Row], [ROOM]]),'ROOM TIME'!$H$2:$H$121,'ROOM TIME'!$J$2:$J$121)</f>
        <v>42.078333333333326</v>
      </c>
      <c r="P1517" s="9">
        <f>(INDEX(Sheet1!$X$48:$Z$67,MATCH(Table1[[#This Row], [ROOM]],Sheet1!$P$48:$P$67,0),MATCH(Table1[[#This Row], [WEAPON]],Sheet1!$X$47:$Z$47,0)))/Table1[[#This Row], [NUM OF MEM]]</f>
        <v>4.583333333333333</v>
      </c>
      <c r="Q1517" s="9">
        <f>Table1[[#This Row], [ROOM TIME]]+Table1[[#This Row], [GUARD TIME]]</f>
        <v>46.661666666666662</v>
      </c>
      <c r="R1517" s="4">
        <f>Sheet1!$K$3*_xlfn.XLOOKUP(Table1[[#This Row], [DISGUISE]],Sheet1!$A$21:$A$23,Sheet1!$D$21:$D$23)</f>
        <v>66</v>
      </c>
      <c r="S1517" s="9">
        <f>Table1[[#This Row], [TOTAL TIME]]-Table1[[#This Row], [TOTAL TIME TAKEN]]</f>
        <v>19.338333333333338</v>
      </c>
      <c r="T1517" t="str">
        <f>IF(Table1[[#This Row], [TIME DIFFERENCE]]&gt;=0,"PASS","FAIL")</f>
        <v>PASS</v>
      </c>
      <c r="U1517" s="9">
        <f>Table1[[#This Row], [TRC]]+Table1[[#This Row], [DRC]]+Table1[[#This Row], [WRC]]+Table1[[#This Row], [ERC]]+Table1[[#This Row], [EQRC]]</f>
        <v>8157457.5124999993</v>
      </c>
      <c r="V1517" s="9">
        <f>Table1[[#This Row], [TOTAL COST]]+_xlfn.XLOOKUP(Table1[[#This Row], [TEAM]],Sheet1!$A$12:$A$17,Sheet1!$I$12:$I$17)</f>
        <v>8453957.5124999993</v>
      </c>
      <c r="W1517" s="9">
        <f>Table1[[#This Row], [LOOT]]-Table1[[#This Row], [TOTAL COST]]</f>
        <v>9242542.4875000007</v>
      </c>
      <c r="X1517" s="9">
        <f>IF(Table1[[#This Row], [PASS/FAIL]]="FAIL",0,Table1[[#This Row], [PROFIT]])</f>
        <v>9242542.4875000007</v>
      </c>
    </row>
    <row r="1518" spans="1:24" ht="19.5" customHeight="1" x14ac:dyDescent="0.45">
      <c r="A1518" t="s">
        <v>9</v>
      </c>
      <c r="B1518" s="14">
        <f>_xlfn.XLOOKUP(Table1[[#This Row], [TEAM]],Sheet1!$A$12:$A$17,Sheet1!$F$12:$F$17)</f>
        <v>3</v>
      </c>
      <c r="C1518" s="14">
        <f>_xlfn.XLOOKUP(Table1[[#This Row], [TEAM]],Sheet1!$A$12:$A$17,Sheet1!$G$12:$G$17)</f>
        <v>6238750</v>
      </c>
      <c r="D1518" t="s">
        <v>31</v>
      </c>
      <c r="E1518" s="4">
        <f>_xlfn.XLOOKUP(Table1[[#This Row], [ROOM]],Sheet1!$A$47:$A$66,Sheet1!$B$47:$B$66)</f>
        <v>256</v>
      </c>
      <c r="F1518" t="s">
        <v>62</v>
      </c>
      <c r="G1518" s="4">
        <f>_xlfn.XLOOKUP(Table1[[#This Row], [DISGUISE]],Sheet1!$A$21:$A$23,Sheet1!$B$21:$B$23)*Table1[[#This Row], [NUM OF MEM]]*(1+_xlfn.XLOOKUP(Table1[[#This Row], [DISGUISE]],Sheet1!$A$21:$A$23,Sheet1!$C$21:$C$23))</f>
        <v>15600</v>
      </c>
      <c r="H1518" s="13" t="s">
        <v>59</v>
      </c>
      <c r="I1518" s="4">
        <f>_xlfn.XLOOKUP(Table1[[#This Row], [WEAPON]],Sheet1!$A$27:$A$29,Sheet1!$B$27:$B$29)*Table1[[#This Row], [NUM OF MEM]]*(1+_xlfn.XLOOKUP(Table1[[#This Row], [WEAPON]],Sheet1!$A$27:$A$29,Sheet1!$C$27:$C$29))</f>
        <v>136500</v>
      </c>
      <c r="J1518" t="s">
        <v>64</v>
      </c>
      <c r="K1518" s="9">
        <f>Table1[[#This Row], [NUM OF MEM]]*Table1[[#This Row], [TOTAL TIME TAKEN]]*_xlfn.XLOOKUP(Table1[[#This Row], [EXIT]],Sheet1!$A$70:$A$71,Sheet1!$B$70:$B$71)*(1+_xlfn.XLOOKUP(Table1[[#This Row], [EXIT]],Sheet1!$A$70:$A$71,Sheet1!$C$70:$C$71))</f>
        <v>1559735.9999999998</v>
      </c>
      <c r="L1518" s="13" t="s">
        <v>65</v>
      </c>
      <c r="M1518" s="4">
        <f>IF(Table1[[#This Row], [EQUIPMENT]]="YES",Sheet1!$C$44*(1+Sheet1!$D$44),0)</f>
        <v>307500</v>
      </c>
      <c r="N1518" s="4">
        <f>_xlfn.XLOOKUP(Table1[[#This Row], [ROOM]],Sheet1!$A$47:$A$66,Sheet1!$F$47:$F$66)</f>
        <v>17500000</v>
      </c>
      <c r="O1518" s="9">
        <f>_xlfn.XLOOKUP(_xlfn.CONCAT(Table1[[#This Row], [TEAM]],Table1[[#This Row], [ROOM]]),'ROOM TIME'!$H$2:$H$121,'ROOM TIME'!$J$2:$J$121)</f>
        <v>35.899999999999991</v>
      </c>
      <c r="P1518" s="9">
        <f>(INDEX(Sheet1!$X$48:$Z$67,MATCH(Table1[[#This Row], [ROOM]],Sheet1!$P$48:$P$67,0),MATCH(Table1[[#This Row], [WEAPON]],Sheet1!$X$47:$Z$47,0)))/Table1[[#This Row], [NUM OF MEM]]</f>
        <v>4.2166666666666659</v>
      </c>
      <c r="Q1518" s="9">
        <f>Table1[[#This Row], [ROOM TIME]]+Table1[[#This Row], [GUARD TIME]]</f>
        <v>40.11666666666666</v>
      </c>
      <c r="R1518" s="4">
        <f>Sheet1!$K$3*_xlfn.XLOOKUP(Table1[[#This Row], [DISGUISE]],Sheet1!$A$21:$A$23,Sheet1!$D$21:$D$23)</f>
        <v>66</v>
      </c>
      <c r="S1518" s="9">
        <f>Table1[[#This Row], [TOTAL TIME]]-Table1[[#This Row], [TOTAL TIME TAKEN]]</f>
        <v>25.88333333333334</v>
      </c>
      <c r="T1518" t="str">
        <f>IF(Table1[[#This Row], [TIME DIFFERENCE]]&gt;=0,"PASS","FAIL")</f>
        <v>PASS</v>
      </c>
      <c r="U1518" s="4">
        <f>Table1[[#This Row], [TRC]]+Table1[[#This Row], [DRC]]+Table1[[#This Row], [WRC]]+Table1[[#This Row], [ERC]]+Table1[[#This Row], [EQRC]]</f>
        <v>8258086</v>
      </c>
      <c r="V1518" s="9">
        <f>Table1[[#This Row], [TOTAL COST]]+_xlfn.XLOOKUP(Table1[[#This Row], [TEAM]],Sheet1!$A$12:$A$17,Sheet1!$I$12:$I$17)</f>
        <v>8570023.5</v>
      </c>
      <c r="W1518" s="4">
        <f>Table1[[#This Row], [LOOT]]-Table1[[#This Row], [TOTAL COST]]</f>
        <v>9241914</v>
      </c>
      <c r="X1518" s="4">
        <f>IF(Table1[[#This Row], [PASS/FAIL]]="FAIL",0,Table1[[#This Row], [PROFIT]])</f>
        <v>9241914</v>
      </c>
    </row>
    <row r="1519" spans="1:24" ht="19.5" customHeight="1" x14ac:dyDescent="0.45">
      <c r="A1519" t="s">
        <v>13</v>
      </c>
      <c r="B1519" s="14">
        <f>_xlfn.XLOOKUP(Table1[[#This Row], [TEAM]],Sheet1!$A$12:$A$17,Sheet1!$F$12:$F$17)</f>
        <v>3</v>
      </c>
      <c r="C1519" s="14">
        <f>_xlfn.XLOOKUP(Table1[[#This Row], [TEAM]],Sheet1!$A$12:$A$17,Sheet1!$G$12:$G$17)</f>
        <v>5930000</v>
      </c>
      <c r="D1519" t="s">
        <v>11</v>
      </c>
      <c r="E1519" s="4">
        <f>_xlfn.XLOOKUP(Table1[[#This Row], [ROOM]],Sheet1!$A$47:$A$66,Sheet1!$B$47:$B$66)</f>
        <v>124</v>
      </c>
      <c r="F1519" t="s">
        <v>58</v>
      </c>
      <c r="G1519" s="4">
        <f>_xlfn.XLOOKUP(Table1[[#This Row], [DISGUISE]],Sheet1!$A$21:$A$23,Sheet1!$B$21:$B$23)*Table1[[#This Row], [NUM OF MEM]]*(1+_xlfn.XLOOKUP(Table1[[#This Row], [DISGUISE]],Sheet1!$A$21:$A$23,Sheet1!$C$21:$C$23))</f>
        <v>38400</v>
      </c>
      <c r="H1519" s="13" t="s">
        <v>59</v>
      </c>
      <c r="I1519" s="4">
        <f>_xlfn.XLOOKUP(Table1[[#This Row], [WEAPON]],Sheet1!$A$27:$A$29,Sheet1!$B$27:$B$29)*Table1[[#This Row], [NUM OF MEM]]*(1+_xlfn.XLOOKUP(Table1[[#This Row], [WEAPON]],Sheet1!$A$27:$A$29,Sheet1!$C$27:$C$29))</f>
        <v>136500</v>
      </c>
      <c r="J1519" t="s">
        <v>60</v>
      </c>
      <c r="K1519" s="9">
        <f>Table1[[#This Row], [NUM OF MEM]]*Table1[[#This Row], [TOTAL TIME TAKEN]]*_xlfn.XLOOKUP(Table1[[#This Row], [EXIT]],Sheet1!$A$70:$A$71,Sheet1!$B$70:$B$71)*(1+_xlfn.XLOOKUP(Table1[[#This Row], [EXIT]],Sheet1!$A$70:$A$71,Sheet1!$C$70:$C$71))</f>
        <v>1799287.5999999996</v>
      </c>
      <c r="L1519" s="13" t="s">
        <v>65</v>
      </c>
      <c r="M1519" s="4">
        <f>IF(Table1[[#This Row], [EQUIPMENT]]="YES",Sheet1!$C$44*(1+Sheet1!$D$44),0)</f>
        <v>307500</v>
      </c>
      <c r="N1519" s="4">
        <f>_xlfn.XLOOKUP(Table1[[#This Row], [ROOM]],Sheet1!$A$47:$A$66,Sheet1!$F$47:$F$66)</f>
        <v>17450000</v>
      </c>
      <c r="O1519" s="9">
        <f>_xlfn.XLOOKUP(_xlfn.CONCAT(Table1[[#This Row], [TEAM]],Table1[[#This Row], [ROOM]]),'ROOM TIME'!$H$2:$H$121,'ROOM TIME'!$J$2:$J$121)</f>
        <v>42.521111111111104</v>
      </c>
      <c r="P1519" s="9">
        <f>(INDEX(Sheet1!$X$48:$Z$67,MATCH(Table1[[#This Row], [ROOM]],Sheet1!$P$48:$P$67,0),MATCH(Table1[[#This Row], [WEAPON]],Sheet1!$X$47:$Z$47,0)))/Table1[[#This Row], [NUM OF MEM]]</f>
        <v>4.2166666666666659</v>
      </c>
      <c r="Q1519" s="9">
        <f>Table1[[#This Row], [ROOM TIME]]+Table1[[#This Row], [GUARD TIME]]</f>
        <v>46.737777777777772</v>
      </c>
      <c r="R1519" s="4">
        <f>Sheet1!$K$3*_xlfn.XLOOKUP(Table1[[#This Row], [DISGUISE]],Sheet1!$A$21:$A$23,Sheet1!$D$21:$D$23)</f>
        <v>69</v>
      </c>
      <c r="S1519" s="9">
        <f>Table1[[#This Row], [TOTAL TIME]]-Table1[[#This Row], [TOTAL TIME TAKEN]]</f>
        <v>22.262222222222228</v>
      </c>
      <c r="T1519" t="str">
        <f>IF(Table1[[#This Row], [TIME DIFFERENCE]]&gt;=0,"PASS","FAIL")</f>
        <v>PASS</v>
      </c>
      <c r="U1519" s="9">
        <f>Table1[[#This Row], [TRC]]+Table1[[#This Row], [DRC]]+Table1[[#This Row], [WRC]]+Table1[[#This Row], [ERC]]+Table1[[#This Row], [EQRC]]</f>
        <v>8211687.5999999996</v>
      </c>
      <c r="V1519" s="9">
        <f>Table1[[#This Row], [TOTAL COST]]+_xlfn.XLOOKUP(Table1[[#This Row], [TEAM]],Sheet1!$A$12:$A$17,Sheet1!$I$12:$I$17)</f>
        <v>8508187.5999999996</v>
      </c>
      <c r="W1519" s="9">
        <f>Table1[[#This Row], [LOOT]]-Table1[[#This Row], [TOTAL COST]]</f>
        <v>9238312.4000000004</v>
      </c>
      <c r="X1519" s="9">
        <f>IF(Table1[[#This Row], [PASS/FAIL]]="FAIL",0,Table1[[#This Row], [PROFIT]])</f>
        <v>9238312.4000000004</v>
      </c>
    </row>
    <row r="1520" spans="1:24" ht="19.5" customHeight="1" x14ac:dyDescent="0.45">
      <c r="A1520" t="s">
        <v>12</v>
      </c>
      <c r="B1520" s="14">
        <f>_xlfn.XLOOKUP(Table1[[#This Row], [TEAM]],Sheet1!$A$12:$A$17,Sheet1!$F$12:$F$17)</f>
        <v>3</v>
      </c>
      <c r="C1520" s="14">
        <f>_xlfn.XLOOKUP(Table1[[#This Row], [TEAM]],Sheet1!$A$12:$A$17,Sheet1!$G$12:$G$17)</f>
        <v>5988750</v>
      </c>
      <c r="D1520" t="s">
        <v>23</v>
      </c>
      <c r="E1520" s="4">
        <f>_xlfn.XLOOKUP(Table1[[#This Row], [ROOM]],Sheet1!$A$47:$A$66,Sheet1!$B$47:$B$66)</f>
        <v>245</v>
      </c>
      <c r="F1520" t="s">
        <v>62</v>
      </c>
      <c r="G152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0" s="13" t="s">
        <v>59</v>
      </c>
      <c r="I1520" s="4">
        <f>_xlfn.XLOOKUP(Table1[[#This Row], [WEAPON]],Sheet1!$A$27:$A$29,Sheet1!$B$27:$B$29)*Table1[[#This Row], [NUM OF MEM]]*(1+_xlfn.XLOOKUP(Table1[[#This Row], [WEAPON]],Sheet1!$A$27:$A$29,Sheet1!$C$27:$C$29))</f>
        <v>136500</v>
      </c>
      <c r="J1520" t="s">
        <v>64</v>
      </c>
      <c r="K1520" s="9">
        <f>Table1[[#This Row], [NUM OF MEM]]*Table1[[#This Row], [TOTAL TIME TAKEN]]*_xlfn.XLOOKUP(Table1[[#This Row], [EXIT]],Sheet1!$A$70:$A$71,Sheet1!$B$70:$B$71)*(1+_xlfn.XLOOKUP(Table1[[#This Row], [EXIT]],Sheet1!$A$70:$A$71,Sheet1!$C$70:$C$71))</f>
        <v>1715774.3999999994</v>
      </c>
      <c r="L1520" s="13" t="s">
        <v>65</v>
      </c>
      <c r="M1520" s="4">
        <f>IF(Table1[[#This Row], [EQUIPMENT]]="YES",Sheet1!$C$44*(1+Sheet1!$D$44),0)</f>
        <v>307500</v>
      </c>
      <c r="N1520" s="4">
        <f>_xlfn.XLOOKUP(Table1[[#This Row], [ROOM]],Sheet1!$A$47:$A$66,Sheet1!$F$47:$F$66)</f>
        <v>17400000</v>
      </c>
      <c r="O1520" s="9">
        <f>_xlfn.XLOOKUP(_xlfn.CONCAT(Table1[[#This Row], [TEAM]],Table1[[#This Row], [ROOM]]),'ROOM TIME'!$H$2:$H$121,'ROOM TIME'!$J$2:$J$121)</f>
        <v>39.91333333333332</v>
      </c>
      <c r="P1520" s="9">
        <f>(INDEX(Sheet1!$X$48:$Z$67,MATCH(Table1[[#This Row], [ROOM]],Sheet1!$P$48:$P$67,0),MATCH(Table1[[#This Row], [WEAPON]],Sheet1!$X$47:$Z$47,0)))/Table1[[#This Row], [NUM OF MEM]]</f>
        <v>4.2166666666666659</v>
      </c>
      <c r="Q1520" s="9">
        <f>Table1[[#This Row], [ROOM TIME]]+Table1[[#This Row], [GUARD TIME]]</f>
        <v>44.129999999999988</v>
      </c>
      <c r="R1520" s="4">
        <f>Sheet1!$K$3*_xlfn.XLOOKUP(Table1[[#This Row], [DISGUISE]],Sheet1!$A$21:$A$23,Sheet1!$D$21:$D$23)</f>
        <v>66</v>
      </c>
      <c r="S1520" s="9">
        <f>Table1[[#This Row], [TOTAL TIME]]-Table1[[#This Row], [TOTAL TIME TAKEN]]</f>
        <v>21.870000000000012</v>
      </c>
      <c r="T1520" t="str">
        <f>IF(Table1[[#This Row], [TIME DIFFERENCE]]&gt;=0,"PASS","FAIL")</f>
        <v>PASS</v>
      </c>
      <c r="U1520" s="9">
        <f>Table1[[#This Row], [TRC]]+Table1[[#This Row], [DRC]]+Table1[[#This Row], [WRC]]+Table1[[#This Row], [ERC]]+Table1[[#This Row], [EQRC]]</f>
        <v>8164124.3999999994</v>
      </c>
      <c r="V1520" s="9">
        <f>Table1[[#This Row], [TOTAL COST]]+_xlfn.XLOOKUP(Table1[[#This Row], [TEAM]],Sheet1!$A$12:$A$17,Sheet1!$I$12:$I$17)</f>
        <v>8463561.8999999985</v>
      </c>
      <c r="W1520" s="9">
        <f>Table1[[#This Row], [LOOT]]-Table1[[#This Row], [TOTAL COST]]</f>
        <v>9235875.6000000015</v>
      </c>
      <c r="X1520" s="9">
        <f>IF(Table1[[#This Row], [PASS/FAIL]]="FAIL",0,Table1[[#This Row], [PROFIT]])</f>
        <v>9235875.6000000015</v>
      </c>
    </row>
    <row r="1521" spans="1:24" ht="19.5" customHeight="1" x14ac:dyDescent="0.45">
      <c r="A1521" t="s">
        <v>13</v>
      </c>
      <c r="B1521" s="14">
        <f>_xlfn.XLOOKUP(Table1[[#This Row], [TEAM]],Sheet1!$A$12:$A$17,Sheet1!$F$12:$F$17)</f>
        <v>3</v>
      </c>
      <c r="C1521" s="14">
        <f>_xlfn.XLOOKUP(Table1[[#This Row], [TEAM]],Sheet1!$A$12:$A$17,Sheet1!$G$12:$G$17)</f>
        <v>5930000</v>
      </c>
      <c r="D1521" t="s">
        <v>11</v>
      </c>
      <c r="E1521" s="4">
        <f>_xlfn.XLOOKUP(Table1[[#This Row], [ROOM]],Sheet1!$A$47:$A$66,Sheet1!$B$47:$B$66)</f>
        <v>124</v>
      </c>
      <c r="F1521" t="s">
        <v>58</v>
      </c>
      <c r="G152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21" s="13" t="s">
        <v>66</v>
      </c>
      <c r="I1521" s="4">
        <f>_xlfn.XLOOKUP(Table1[[#This Row], [WEAPON]],Sheet1!$A$27:$A$29,Sheet1!$B$27:$B$29)*Table1[[#This Row], [NUM OF MEM]]*(1+_xlfn.XLOOKUP(Table1[[#This Row], [WEAPON]],Sheet1!$A$27:$A$29,Sheet1!$C$27:$C$29))</f>
        <v>108000</v>
      </c>
      <c r="J1521" t="s">
        <v>64</v>
      </c>
      <c r="K1521" s="9">
        <f>Table1[[#This Row], [NUM OF MEM]]*Table1[[#This Row], [TOTAL TIME TAKEN]]*_xlfn.XLOOKUP(Table1[[#This Row], [EXIT]],Sheet1!$A$70:$A$71,Sheet1!$B$70:$B$71)*(1+_xlfn.XLOOKUP(Table1[[#This Row], [EXIT]],Sheet1!$A$70:$A$71,Sheet1!$C$70:$C$71))</f>
        <v>1831420.8</v>
      </c>
      <c r="L1521" s="13" t="s">
        <v>65</v>
      </c>
      <c r="M1521" s="4">
        <f>IF(Table1[[#This Row], [EQUIPMENT]]="YES",Sheet1!$C$44*(1+Sheet1!$D$44),0)</f>
        <v>307500</v>
      </c>
      <c r="N1521" s="4">
        <f>_xlfn.XLOOKUP(Table1[[#This Row], [ROOM]],Sheet1!$A$47:$A$66,Sheet1!$F$47:$F$66)</f>
        <v>17450000</v>
      </c>
      <c r="O1521" s="9">
        <f>_xlfn.XLOOKUP(_xlfn.CONCAT(Table1[[#This Row], [TEAM]],Table1[[#This Row], [ROOM]]),'ROOM TIME'!$H$2:$H$121,'ROOM TIME'!$J$2:$J$121)</f>
        <v>42.521111111111104</v>
      </c>
      <c r="P1521" s="9">
        <f>(INDEX(Sheet1!$X$48:$Z$67,MATCH(Table1[[#This Row], [ROOM]],Sheet1!$P$48:$P$67,0),MATCH(Table1[[#This Row], [WEAPON]],Sheet1!$X$47:$Z$47,0)))/Table1[[#This Row], [NUM OF MEM]]</f>
        <v>4.583333333333333</v>
      </c>
      <c r="Q1521" s="9">
        <f>Table1[[#This Row], [ROOM TIME]]+Table1[[#This Row], [GUARD TIME]]</f>
        <v>47.104444444444439</v>
      </c>
      <c r="R1521" s="4">
        <f>Sheet1!$K$3*_xlfn.XLOOKUP(Table1[[#This Row], [DISGUISE]],Sheet1!$A$21:$A$23,Sheet1!$D$21:$D$23)</f>
        <v>69</v>
      </c>
      <c r="S1521" s="9">
        <f>Table1[[#This Row], [TOTAL TIME]]-Table1[[#This Row], [TOTAL TIME TAKEN]]</f>
        <v>21.895555555555561</v>
      </c>
      <c r="T1521" t="str">
        <f>IF(Table1[[#This Row], [TIME DIFFERENCE]]&gt;=0,"PASS","FAIL")</f>
        <v>PASS</v>
      </c>
      <c r="U1521" s="9">
        <f>Table1[[#This Row], [TRC]]+Table1[[#This Row], [DRC]]+Table1[[#This Row], [WRC]]+Table1[[#This Row], [ERC]]+Table1[[#This Row], [EQRC]]</f>
        <v>8215320.7999999998</v>
      </c>
      <c r="V1521" s="9">
        <f>Table1[[#This Row], [TOTAL COST]]+_xlfn.XLOOKUP(Table1[[#This Row], [TEAM]],Sheet1!$A$12:$A$17,Sheet1!$I$12:$I$17)</f>
        <v>8511820.8000000007</v>
      </c>
      <c r="W1521" s="9">
        <f>Table1[[#This Row], [LOOT]]-Table1[[#This Row], [TOTAL COST]]</f>
        <v>9234679.1999999993</v>
      </c>
      <c r="X1521" s="9">
        <f>IF(Table1[[#This Row], [PASS/FAIL]]="FAIL",0,Table1[[#This Row], [PROFIT]])</f>
        <v>9234679.1999999993</v>
      </c>
    </row>
    <row r="1522" spans="1:24" ht="19.5" customHeight="1" x14ac:dyDescent="0.45">
      <c r="A1522" t="s">
        <v>9</v>
      </c>
      <c r="B1522" s="14">
        <f>_xlfn.XLOOKUP(Table1[[#This Row], [TEAM]],Sheet1!$A$12:$A$17,Sheet1!$F$12:$F$17)</f>
        <v>3</v>
      </c>
      <c r="C1522" s="14">
        <f>_xlfn.XLOOKUP(Table1[[#This Row], [TEAM]],Sheet1!$A$12:$A$17,Sheet1!$G$12:$G$17)</f>
        <v>6238750</v>
      </c>
      <c r="D1522" t="s">
        <v>31</v>
      </c>
      <c r="E1522" s="4">
        <f>_xlfn.XLOOKUP(Table1[[#This Row], [ROOM]],Sheet1!$A$47:$A$66,Sheet1!$B$47:$B$66)</f>
        <v>256</v>
      </c>
      <c r="F1522" t="s">
        <v>58</v>
      </c>
      <c r="G152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22" s="13" t="s">
        <v>59</v>
      </c>
      <c r="I1522" s="4">
        <f>_xlfn.XLOOKUP(Table1[[#This Row], [WEAPON]],Sheet1!$A$27:$A$29,Sheet1!$B$27:$B$29)*Table1[[#This Row], [NUM OF MEM]]*(1+_xlfn.XLOOKUP(Table1[[#This Row], [WEAPON]],Sheet1!$A$27:$A$29,Sheet1!$C$27:$C$29))</f>
        <v>136500</v>
      </c>
      <c r="J1522" t="s">
        <v>60</v>
      </c>
      <c r="K1522" s="9">
        <f>Table1[[#This Row], [NUM OF MEM]]*Table1[[#This Row], [TOTAL TIME TAKEN]]*_xlfn.XLOOKUP(Table1[[#This Row], [EXIT]],Sheet1!$A$70:$A$71,Sheet1!$B$70:$B$71)*(1+_xlfn.XLOOKUP(Table1[[#This Row], [EXIT]],Sheet1!$A$70:$A$71,Sheet1!$C$70:$C$71))</f>
        <v>1544391.3749999995</v>
      </c>
      <c r="L1522" s="13" t="s">
        <v>65</v>
      </c>
      <c r="M1522" s="4">
        <f>IF(Table1[[#This Row], [EQUIPMENT]]="YES",Sheet1!$C$44*(1+Sheet1!$D$44),0)</f>
        <v>307500</v>
      </c>
      <c r="N1522" s="4">
        <f>_xlfn.XLOOKUP(Table1[[#This Row], [ROOM]],Sheet1!$A$47:$A$66,Sheet1!$F$47:$F$66)</f>
        <v>17500000</v>
      </c>
      <c r="O1522" s="9">
        <f>_xlfn.XLOOKUP(_xlfn.CONCAT(Table1[[#This Row], [TEAM]],Table1[[#This Row], [ROOM]]),'ROOM TIME'!$H$2:$H$121,'ROOM TIME'!$J$2:$J$121)</f>
        <v>35.899999999999991</v>
      </c>
      <c r="P1522" s="9">
        <f>(INDEX(Sheet1!$X$48:$Z$67,MATCH(Table1[[#This Row], [ROOM]],Sheet1!$P$48:$P$67,0),MATCH(Table1[[#This Row], [WEAPON]],Sheet1!$X$47:$Z$47,0)))/Table1[[#This Row], [NUM OF MEM]]</f>
        <v>4.2166666666666659</v>
      </c>
      <c r="Q1522" s="9">
        <f>Table1[[#This Row], [ROOM TIME]]+Table1[[#This Row], [GUARD TIME]]</f>
        <v>40.11666666666666</v>
      </c>
      <c r="R1522" s="4">
        <f>Sheet1!$K$3*_xlfn.XLOOKUP(Table1[[#This Row], [DISGUISE]],Sheet1!$A$21:$A$23,Sheet1!$D$21:$D$23)</f>
        <v>69</v>
      </c>
      <c r="S1522" s="9">
        <f>Table1[[#This Row], [TOTAL TIME]]-Table1[[#This Row], [TOTAL TIME TAKEN]]</f>
        <v>28.88333333333334</v>
      </c>
      <c r="T1522" t="str">
        <f>IF(Table1[[#This Row], [TIME DIFFERENCE]]&gt;=0,"PASS","FAIL")</f>
        <v>PASS</v>
      </c>
      <c r="U1522" s="9">
        <f>Table1[[#This Row], [TRC]]+Table1[[#This Row], [DRC]]+Table1[[#This Row], [WRC]]+Table1[[#This Row], [ERC]]+Table1[[#This Row], [EQRC]]</f>
        <v>8265541.375</v>
      </c>
      <c r="V1522" s="9">
        <f>Table1[[#This Row], [TOTAL COST]]+_xlfn.XLOOKUP(Table1[[#This Row], [TEAM]],Sheet1!$A$12:$A$17,Sheet1!$I$12:$I$17)</f>
        <v>8577478.875</v>
      </c>
      <c r="W1522" s="9">
        <f>Table1[[#This Row], [LOOT]]-Table1[[#This Row], [TOTAL COST]]</f>
        <v>9234458.625</v>
      </c>
      <c r="X1522" s="9">
        <f>IF(Table1[[#This Row], [PASS/FAIL]]="FAIL",0,Table1[[#This Row], [PROFIT]])</f>
        <v>9234458.625</v>
      </c>
    </row>
    <row r="1523" spans="1:24" ht="19.5" customHeight="1" x14ac:dyDescent="0.45">
      <c r="A1523" t="s">
        <v>9</v>
      </c>
      <c r="B1523" s="14">
        <f>_xlfn.XLOOKUP(Table1[[#This Row], [TEAM]],Sheet1!$A$12:$A$17,Sheet1!$F$12:$F$17)</f>
        <v>3</v>
      </c>
      <c r="C1523" s="14">
        <f>_xlfn.XLOOKUP(Table1[[#This Row], [TEAM]],Sheet1!$A$12:$A$17,Sheet1!$G$12:$G$17)</f>
        <v>6238750</v>
      </c>
      <c r="D1523" t="s">
        <v>20</v>
      </c>
      <c r="E1523" s="4">
        <f>_xlfn.XLOOKUP(Table1[[#This Row], [ROOM]],Sheet1!$A$47:$A$66,Sheet1!$B$47:$B$66)</f>
        <v>145</v>
      </c>
      <c r="F1523" t="s">
        <v>62</v>
      </c>
      <c r="G152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3" s="13" t="s">
        <v>59</v>
      </c>
      <c r="I1523" s="4">
        <f>_xlfn.XLOOKUP(Table1[[#This Row], [WEAPON]],Sheet1!$A$27:$A$29,Sheet1!$B$27:$B$29)*Table1[[#This Row], [NUM OF MEM]]*(1+_xlfn.XLOOKUP(Table1[[#This Row], [WEAPON]],Sheet1!$A$27:$A$29,Sheet1!$C$27:$C$29))</f>
        <v>136500</v>
      </c>
      <c r="J1523" t="s">
        <v>64</v>
      </c>
      <c r="K1523" s="9">
        <f>Table1[[#This Row], [NUM OF MEM]]*Table1[[#This Row], [TOTAL TIME TAKEN]]*_xlfn.XLOOKUP(Table1[[#This Row], [EXIT]],Sheet1!$A$70:$A$71,Sheet1!$B$70:$B$71)*(1+_xlfn.XLOOKUP(Table1[[#This Row], [EXIT]],Sheet1!$A$70:$A$71,Sheet1!$C$70:$C$71))</f>
        <v>1617386.3999999997</v>
      </c>
      <c r="L1523" s="13" t="s">
        <v>65</v>
      </c>
      <c r="M1523" s="4">
        <f>IF(Table1[[#This Row], [EQUIPMENT]]="YES",Sheet1!$C$44*(1+Sheet1!$D$44),0)</f>
        <v>307500</v>
      </c>
      <c r="N1523" s="4">
        <f>_xlfn.XLOOKUP(Table1[[#This Row], [ROOM]],Sheet1!$A$47:$A$66,Sheet1!$F$47:$F$66)</f>
        <v>17550000</v>
      </c>
      <c r="O1523" s="9">
        <f>_xlfn.XLOOKUP(_xlfn.CONCAT(Table1[[#This Row], [TEAM]],Table1[[#This Row], [ROOM]]),'ROOM TIME'!$H$2:$H$121,'ROOM TIME'!$J$2:$J$121)</f>
        <v>37.766111111111101</v>
      </c>
      <c r="P1523" s="9">
        <f>(INDEX(Sheet1!$X$48:$Z$67,MATCH(Table1[[#This Row], [ROOM]],Sheet1!$P$48:$P$67,0),MATCH(Table1[[#This Row], [WEAPON]],Sheet1!$X$47:$Z$47,0)))/Table1[[#This Row], [NUM OF MEM]]</f>
        <v>3.8333333333333335</v>
      </c>
      <c r="Q1523" s="9">
        <f>Table1[[#This Row], [ROOM TIME]]+Table1[[#This Row], [GUARD TIME]]</f>
        <v>41.599444444444437</v>
      </c>
      <c r="R1523" s="4">
        <f>Sheet1!$K$3*_xlfn.XLOOKUP(Table1[[#This Row], [DISGUISE]],Sheet1!$A$21:$A$23,Sheet1!$D$21:$D$23)</f>
        <v>66</v>
      </c>
      <c r="S1523" s="9">
        <f>Table1[[#This Row], [TOTAL TIME]]-Table1[[#This Row], [TOTAL TIME TAKEN]]</f>
        <v>24.400555555555563</v>
      </c>
      <c r="T1523" t="str">
        <f>IF(Table1[[#This Row], [TIME DIFFERENCE]]&gt;=0,"PASS","FAIL")</f>
        <v>PASS</v>
      </c>
      <c r="U1523" s="9">
        <f>Table1[[#This Row], [TRC]]+Table1[[#This Row], [DRC]]+Table1[[#This Row], [WRC]]+Table1[[#This Row], [ERC]]+Table1[[#This Row], [EQRC]]</f>
        <v>8315736.3999999994</v>
      </c>
      <c r="V1523" s="9">
        <f>Table1[[#This Row], [TOTAL COST]]+_xlfn.XLOOKUP(Table1[[#This Row], [TEAM]],Sheet1!$A$12:$A$17,Sheet1!$I$12:$I$17)</f>
        <v>8627673.8999999985</v>
      </c>
      <c r="W1523" s="9">
        <f>Table1[[#This Row], [LOOT]]-Table1[[#This Row], [TOTAL COST]]</f>
        <v>9234263.6000000015</v>
      </c>
      <c r="X1523" s="9">
        <f>IF(Table1[[#This Row], [PASS/FAIL]]="FAIL",0,Table1[[#This Row], [PROFIT]])</f>
        <v>9234263.6000000015</v>
      </c>
    </row>
    <row r="1524" spans="1:24" ht="19.5" customHeight="1" x14ac:dyDescent="0.45">
      <c r="A1524" t="s">
        <v>12</v>
      </c>
      <c r="B1524" s="14">
        <f>_xlfn.XLOOKUP(Table1[[#This Row], [TEAM]],Sheet1!$A$12:$A$17,Sheet1!$F$12:$F$17)</f>
        <v>3</v>
      </c>
      <c r="C1524" s="14">
        <f>_xlfn.XLOOKUP(Table1[[#This Row], [TEAM]],Sheet1!$A$12:$A$17,Sheet1!$G$12:$G$17)</f>
        <v>5988750</v>
      </c>
      <c r="D1524" t="s">
        <v>17</v>
      </c>
      <c r="E1524" s="4">
        <f>_xlfn.XLOOKUP(Table1[[#This Row], [ROOM]],Sheet1!$A$47:$A$66,Sheet1!$B$47:$B$66)</f>
        <v>125</v>
      </c>
      <c r="F1524" t="s">
        <v>62</v>
      </c>
      <c r="G152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4" s="13" t="s">
        <v>63</v>
      </c>
      <c r="I1524" s="4">
        <f>_xlfn.XLOOKUP(Table1[[#This Row], [WEAPON]],Sheet1!$A$27:$A$29,Sheet1!$B$27:$B$29)*Table1[[#This Row], [NUM OF MEM]]*(1+_xlfn.XLOOKUP(Table1[[#This Row], [WEAPON]],Sheet1!$A$27:$A$29,Sheet1!$C$27:$C$29))</f>
        <v>69000</v>
      </c>
      <c r="J1524" t="s">
        <v>64</v>
      </c>
      <c r="K1524" s="9">
        <f>Table1[[#This Row], [NUM OF MEM]]*Table1[[#This Row], [TOTAL TIME TAKEN]]*_xlfn.XLOOKUP(Table1[[#This Row], [EXIT]],Sheet1!$A$70:$A$71,Sheet1!$B$70:$B$71)*(1+_xlfn.XLOOKUP(Table1[[#This Row], [EXIT]],Sheet1!$A$70:$A$71,Sheet1!$C$70:$C$71))</f>
        <v>1735300.7999999993</v>
      </c>
      <c r="L1524" s="13" t="s">
        <v>65</v>
      </c>
      <c r="M1524" s="4">
        <f>IF(Table1[[#This Row], [EQUIPMENT]]="YES",Sheet1!$C$44*(1+Sheet1!$D$44),0)</f>
        <v>307500</v>
      </c>
      <c r="N1524" s="4">
        <f>_xlfn.XLOOKUP(Table1[[#This Row], [ROOM]],Sheet1!$A$47:$A$66,Sheet1!$F$47:$F$66)</f>
        <v>17350000</v>
      </c>
      <c r="O1524" s="9">
        <f>_xlfn.XLOOKUP(_xlfn.CONCAT(Table1[[#This Row], [TEAM]],Table1[[#This Row], [ROOM]]),'ROOM TIME'!$H$2:$H$121,'ROOM TIME'!$J$2:$J$121)</f>
        <v>40.132222222222204</v>
      </c>
      <c r="P1524" s="9">
        <f>(INDEX(Sheet1!$X$48:$Z$67,MATCH(Table1[[#This Row], [ROOM]],Sheet1!$P$48:$P$67,0),MATCH(Table1[[#This Row], [WEAPON]],Sheet1!$X$47:$Z$47,0)))/Table1[[#This Row], [NUM OF MEM]]</f>
        <v>4.5</v>
      </c>
      <c r="Q1524" s="9">
        <f>Table1[[#This Row], [ROOM TIME]]+Table1[[#This Row], [GUARD TIME]]</f>
        <v>44.632222222222204</v>
      </c>
      <c r="R1524" s="4">
        <f>Sheet1!$K$3*_xlfn.XLOOKUP(Table1[[#This Row], [DISGUISE]],Sheet1!$A$21:$A$23,Sheet1!$D$21:$D$23)</f>
        <v>66</v>
      </c>
      <c r="S1524" s="9">
        <f>Table1[[#This Row], [TOTAL TIME]]-Table1[[#This Row], [TOTAL TIME TAKEN]]</f>
        <v>21.367777777777796</v>
      </c>
      <c r="T1524" t="str">
        <f>IF(Table1[[#This Row], [TIME DIFFERENCE]]&gt;=0,"PASS","FAIL")</f>
        <v>PASS</v>
      </c>
      <c r="U1524" s="9">
        <f>Table1[[#This Row], [TRC]]+Table1[[#This Row], [DRC]]+Table1[[#This Row], [WRC]]+Table1[[#This Row], [ERC]]+Table1[[#This Row], [EQRC]]</f>
        <v>8116150.7999999989</v>
      </c>
      <c r="V1524" s="9">
        <f>Table1[[#This Row], [TOTAL COST]]+_xlfn.XLOOKUP(Table1[[#This Row], [TEAM]],Sheet1!$A$12:$A$17,Sheet1!$I$12:$I$17)</f>
        <v>8415588.2999999989</v>
      </c>
      <c r="W1524" s="9">
        <f>Table1[[#This Row], [LOOT]]-Table1[[#This Row], [TOTAL COST]]</f>
        <v>9233849.2000000011</v>
      </c>
      <c r="X1524" s="9">
        <f>IF(Table1[[#This Row], [PASS/FAIL]]="FAIL",0,Table1[[#This Row], [PROFIT]])</f>
        <v>9233849.2000000011</v>
      </c>
    </row>
    <row r="1525" spans="1:24" ht="19.5" customHeight="1" x14ac:dyDescent="0.45">
      <c r="A1525" t="s">
        <v>9</v>
      </c>
      <c r="B1525" s="14">
        <f>_xlfn.XLOOKUP(Table1[[#This Row], [TEAM]],Sheet1!$A$12:$A$17,Sheet1!$F$12:$F$17)</f>
        <v>3</v>
      </c>
      <c r="C1525" s="14">
        <f>_xlfn.XLOOKUP(Table1[[#This Row], [TEAM]],Sheet1!$A$12:$A$17,Sheet1!$G$12:$G$17)</f>
        <v>6238750</v>
      </c>
      <c r="D1525" t="s">
        <v>31</v>
      </c>
      <c r="E1525" s="4">
        <f>_xlfn.XLOOKUP(Table1[[#This Row], [ROOM]],Sheet1!$A$47:$A$66,Sheet1!$B$47:$B$66)</f>
        <v>256</v>
      </c>
      <c r="F1525" t="s">
        <v>58</v>
      </c>
      <c r="G1525" s="4">
        <f>_xlfn.XLOOKUP(Table1[[#This Row], [DISGUISE]],Sheet1!$A$21:$A$23,Sheet1!$B$21:$B$23)*Table1[[#This Row], [NUM OF MEM]]*(1+_xlfn.XLOOKUP(Table1[[#This Row], [DISGUISE]],Sheet1!$A$21:$A$23,Sheet1!$C$21:$C$23))</f>
        <v>38400</v>
      </c>
      <c r="H1525" s="13" t="s">
        <v>66</v>
      </c>
      <c r="I1525" s="4">
        <f>_xlfn.XLOOKUP(Table1[[#This Row], [WEAPON]],Sheet1!$A$27:$A$29,Sheet1!$B$27:$B$29)*Table1[[#This Row], [NUM OF MEM]]*(1+_xlfn.XLOOKUP(Table1[[#This Row], [WEAPON]],Sheet1!$A$27:$A$29,Sheet1!$C$27:$C$29))</f>
        <v>108000</v>
      </c>
      <c r="J1525" t="s">
        <v>64</v>
      </c>
      <c r="K1525" s="9">
        <f>Table1[[#This Row], [NUM OF MEM]]*Table1[[#This Row], [TOTAL TIME TAKEN]]*_xlfn.XLOOKUP(Table1[[#This Row], [EXIT]],Sheet1!$A$70:$A$71,Sheet1!$B$70:$B$71)*(1+_xlfn.XLOOKUP(Table1[[#This Row], [EXIT]],Sheet1!$A$70:$A$71,Sheet1!$C$70:$C$71))</f>
        <v>1573991.9999999998</v>
      </c>
      <c r="L1525" s="13" t="s">
        <v>65</v>
      </c>
      <c r="M1525" s="4">
        <f>IF(Table1[[#This Row], [EQUIPMENT]]="YES",Sheet1!$C$44*(1+Sheet1!$D$44),0)</f>
        <v>307500</v>
      </c>
      <c r="N1525" s="4">
        <f>_xlfn.XLOOKUP(Table1[[#This Row], [ROOM]],Sheet1!$A$47:$A$66,Sheet1!$F$47:$F$66)</f>
        <v>17500000</v>
      </c>
      <c r="O1525" s="9">
        <f>_xlfn.XLOOKUP(_xlfn.CONCAT(Table1[[#This Row], [TEAM]],Table1[[#This Row], [ROOM]]),'ROOM TIME'!$H$2:$H$121,'ROOM TIME'!$J$2:$J$121)</f>
        <v>35.899999999999991</v>
      </c>
      <c r="P1525" s="9">
        <f>(INDEX(Sheet1!$X$48:$Z$67,MATCH(Table1[[#This Row], [ROOM]],Sheet1!$P$48:$P$67,0),MATCH(Table1[[#This Row], [WEAPON]],Sheet1!$X$47:$Z$47,0)))/Table1[[#This Row], [NUM OF MEM]]</f>
        <v>4.583333333333333</v>
      </c>
      <c r="Q1525" s="9">
        <f>Table1[[#This Row], [ROOM TIME]]+Table1[[#This Row], [GUARD TIME]]</f>
        <v>40.483333333333327</v>
      </c>
      <c r="R1525" s="4">
        <f>Sheet1!$K$3*_xlfn.XLOOKUP(Table1[[#This Row], [DISGUISE]],Sheet1!$A$21:$A$23,Sheet1!$D$21:$D$23)</f>
        <v>69</v>
      </c>
      <c r="S1525" s="9">
        <f>Table1[[#This Row], [TOTAL TIME]]-Table1[[#This Row], [TOTAL TIME TAKEN]]</f>
        <v>28.516666666666673</v>
      </c>
      <c r="T1525" t="str">
        <f>IF(Table1[[#This Row], [TIME DIFFERENCE]]&gt;=0,"PASS","FAIL")</f>
        <v>PASS</v>
      </c>
      <c r="U1525" s="4">
        <f>Table1[[#This Row], [TRC]]+Table1[[#This Row], [DRC]]+Table1[[#This Row], [WRC]]+Table1[[#This Row], [ERC]]+Table1[[#This Row], [EQRC]]</f>
        <v>8266642</v>
      </c>
      <c r="V1525" s="9">
        <f>Table1[[#This Row], [TOTAL COST]]+_xlfn.XLOOKUP(Table1[[#This Row], [TEAM]],Sheet1!$A$12:$A$17,Sheet1!$I$12:$I$17)</f>
        <v>8578579.5</v>
      </c>
      <c r="W1525" s="4">
        <f>Table1[[#This Row], [LOOT]]-Table1[[#This Row], [TOTAL COST]]</f>
        <v>9233358</v>
      </c>
      <c r="X1525" s="4">
        <f>IF(Table1[[#This Row], [PASS/FAIL]]="FAIL",0,Table1[[#This Row], [PROFIT]])</f>
        <v>9233358</v>
      </c>
    </row>
    <row r="1526" spans="1:24" ht="19.5" customHeight="1" x14ac:dyDescent="0.45">
      <c r="A1526" t="s">
        <v>13</v>
      </c>
      <c r="B1526" s="14">
        <f>_xlfn.XLOOKUP(Table1[[#This Row], [TEAM]],Sheet1!$A$12:$A$17,Sheet1!$F$12:$F$17)</f>
        <v>3</v>
      </c>
      <c r="C1526" s="14">
        <f>_xlfn.XLOOKUP(Table1[[#This Row], [TEAM]],Sheet1!$A$12:$A$17,Sheet1!$G$12:$G$17)</f>
        <v>5930000</v>
      </c>
      <c r="D1526" t="s">
        <v>17</v>
      </c>
      <c r="E1526" s="4">
        <f>_xlfn.XLOOKUP(Table1[[#This Row], [ROOM]],Sheet1!$A$47:$A$66,Sheet1!$B$47:$B$66)</f>
        <v>125</v>
      </c>
      <c r="F1526" t="s">
        <v>62</v>
      </c>
      <c r="G1526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6" s="13" t="s">
        <v>63</v>
      </c>
      <c r="I1526" s="4">
        <f>_xlfn.XLOOKUP(Table1[[#This Row], [WEAPON]],Sheet1!$A$27:$A$29,Sheet1!$B$27:$B$29)*Table1[[#This Row], [NUM OF MEM]]*(1+_xlfn.XLOOKUP(Table1[[#This Row], [WEAPON]],Sheet1!$A$27:$A$29,Sheet1!$C$27:$C$29))</f>
        <v>69000</v>
      </c>
      <c r="J1526" t="s">
        <v>60</v>
      </c>
      <c r="K1526" s="9">
        <f>Table1[[#This Row], [NUM OF MEM]]*Table1[[#This Row], [TOTAL TIME TAKEN]]*_xlfn.XLOOKUP(Table1[[#This Row], [EXIT]],Sheet1!$A$70:$A$71,Sheet1!$B$70:$B$71)*(1+_xlfn.XLOOKUP(Table1[[#This Row], [EXIT]],Sheet1!$A$70:$A$71,Sheet1!$C$70:$C$71))</f>
        <v>1796571.3874999997</v>
      </c>
      <c r="L1526" s="13" t="s">
        <v>65</v>
      </c>
      <c r="M1526" s="4">
        <f>IF(Table1[[#This Row], [EQUIPMENT]]="YES",Sheet1!$C$44*(1+Sheet1!$D$44),0)</f>
        <v>307500</v>
      </c>
      <c r="N1526" s="4">
        <f>_xlfn.XLOOKUP(Table1[[#This Row], [ROOM]],Sheet1!$A$47:$A$66,Sheet1!$F$47:$F$66)</f>
        <v>17350000</v>
      </c>
      <c r="O1526" s="9">
        <f>_xlfn.XLOOKUP(_xlfn.CONCAT(Table1[[#This Row], [TEAM]],Table1[[#This Row], [ROOM]]),'ROOM TIME'!$H$2:$H$121,'ROOM TIME'!$J$2:$J$121)</f>
        <v>42.167222222222215</v>
      </c>
      <c r="P1526" s="9">
        <f>(INDEX(Sheet1!$X$48:$Z$67,MATCH(Table1[[#This Row], [ROOM]],Sheet1!$P$48:$P$67,0),MATCH(Table1[[#This Row], [WEAPON]],Sheet1!$X$47:$Z$47,0)))/Table1[[#This Row], [NUM OF MEM]]</f>
        <v>4.5</v>
      </c>
      <c r="Q1526" s="9">
        <f>Table1[[#This Row], [ROOM TIME]]+Table1[[#This Row], [GUARD TIME]]</f>
        <v>46.667222222222215</v>
      </c>
      <c r="R1526" s="4">
        <f>Sheet1!$K$3*_xlfn.XLOOKUP(Table1[[#This Row], [DISGUISE]],Sheet1!$A$21:$A$23,Sheet1!$D$21:$D$23)</f>
        <v>66</v>
      </c>
      <c r="S1526" s="9">
        <f>Table1[[#This Row], [TOTAL TIME]]-Table1[[#This Row], [TOTAL TIME TAKEN]]</f>
        <v>19.332777777777785</v>
      </c>
      <c r="T1526" t="str">
        <f>IF(Table1[[#This Row], [TIME DIFFERENCE]]&gt;=0,"PASS","FAIL")</f>
        <v>PASS</v>
      </c>
      <c r="U1526" s="9">
        <f>Table1[[#This Row], [TRC]]+Table1[[#This Row], [DRC]]+Table1[[#This Row], [WRC]]+Table1[[#This Row], [ERC]]+Table1[[#This Row], [EQRC]]</f>
        <v>8118671.3874999993</v>
      </c>
      <c r="V1526" s="9">
        <f>Table1[[#This Row], [TOTAL COST]]+_xlfn.XLOOKUP(Table1[[#This Row], [TEAM]],Sheet1!$A$12:$A$17,Sheet1!$I$12:$I$17)</f>
        <v>8415171.3874999993</v>
      </c>
      <c r="W1526" s="9">
        <f>Table1[[#This Row], [LOOT]]-Table1[[#This Row], [TOTAL COST]]</f>
        <v>9231328.6125000007</v>
      </c>
      <c r="X1526" s="9">
        <f>IF(Table1[[#This Row], [PASS/FAIL]]="FAIL",0,Table1[[#This Row], [PROFIT]])</f>
        <v>9231328.6125000007</v>
      </c>
    </row>
    <row r="1527" spans="1:24" ht="19.5" customHeight="1" x14ac:dyDescent="0.45">
      <c r="A1527" t="s">
        <v>12</v>
      </c>
      <c r="B1527" s="14">
        <f>_xlfn.XLOOKUP(Table1[[#This Row], [TEAM]],Sheet1!$A$12:$A$17,Sheet1!$F$12:$F$17)</f>
        <v>3</v>
      </c>
      <c r="C1527" s="14">
        <f>_xlfn.XLOOKUP(Table1[[#This Row], [TEAM]],Sheet1!$A$12:$A$17,Sheet1!$G$12:$G$17)</f>
        <v>5988750</v>
      </c>
      <c r="D1527" t="s">
        <v>23</v>
      </c>
      <c r="E1527" s="4">
        <f>_xlfn.XLOOKUP(Table1[[#This Row], [ROOM]],Sheet1!$A$47:$A$66,Sheet1!$B$47:$B$66)</f>
        <v>245</v>
      </c>
      <c r="F1527" t="s">
        <v>58</v>
      </c>
      <c r="G152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27" s="13" t="s">
        <v>59</v>
      </c>
      <c r="I1527" s="4">
        <f>_xlfn.XLOOKUP(Table1[[#This Row], [WEAPON]],Sheet1!$A$27:$A$29,Sheet1!$B$27:$B$29)*Table1[[#This Row], [NUM OF MEM]]*(1+_xlfn.XLOOKUP(Table1[[#This Row], [WEAPON]],Sheet1!$A$27:$A$29,Sheet1!$C$27:$C$29))</f>
        <v>136500</v>
      </c>
      <c r="J1527" t="s">
        <v>60</v>
      </c>
      <c r="K1527" s="9">
        <f>Table1[[#This Row], [NUM OF MEM]]*Table1[[#This Row], [TOTAL TIME TAKEN]]*_xlfn.XLOOKUP(Table1[[#This Row], [EXIT]],Sheet1!$A$70:$A$71,Sheet1!$B$70:$B$71)*(1+_xlfn.XLOOKUP(Table1[[#This Row], [EXIT]],Sheet1!$A$70:$A$71,Sheet1!$C$70:$C$71))</f>
        <v>1698894.6749999993</v>
      </c>
      <c r="L1527" s="13" t="s">
        <v>65</v>
      </c>
      <c r="M1527" s="4">
        <f>IF(Table1[[#This Row], [EQUIPMENT]]="YES",Sheet1!$C$44*(1+Sheet1!$D$44),0)</f>
        <v>307500</v>
      </c>
      <c r="N1527" s="4">
        <f>_xlfn.XLOOKUP(Table1[[#This Row], [ROOM]],Sheet1!$A$47:$A$66,Sheet1!$F$47:$F$66)</f>
        <v>17400000</v>
      </c>
      <c r="O1527" s="9">
        <f>_xlfn.XLOOKUP(_xlfn.CONCAT(Table1[[#This Row], [TEAM]],Table1[[#This Row], [ROOM]]),'ROOM TIME'!$H$2:$H$121,'ROOM TIME'!$J$2:$J$121)</f>
        <v>39.91333333333332</v>
      </c>
      <c r="P1527" s="9">
        <f>(INDEX(Sheet1!$X$48:$Z$67,MATCH(Table1[[#This Row], [ROOM]],Sheet1!$P$48:$P$67,0),MATCH(Table1[[#This Row], [WEAPON]],Sheet1!$X$47:$Z$47,0)))/Table1[[#This Row], [NUM OF MEM]]</f>
        <v>4.2166666666666659</v>
      </c>
      <c r="Q1527" s="9">
        <f>Table1[[#This Row], [ROOM TIME]]+Table1[[#This Row], [GUARD TIME]]</f>
        <v>44.129999999999988</v>
      </c>
      <c r="R1527" s="4">
        <f>Sheet1!$K$3*_xlfn.XLOOKUP(Table1[[#This Row], [DISGUISE]],Sheet1!$A$21:$A$23,Sheet1!$D$21:$D$23)</f>
        <v>69</v>
      </c>
      <c r="S1527" s="9">
        <f>Table1[[#This Row], [TOTAL TIME]]-Table1[[#This Row], [TOTAL TIME TAKEN]]</f>
        <v>24.870000000000012</v>
      </c>
      <c r="T1527" t="str">
        <f>IF(Table1[[#This Row], [TIME DIFFERENCE]]&gt;=0,"PASS","FAIL")</f>
        <v>PASS</v>
      </c>
      <c r="U1527" s="9">
        <f>Table1[[#This Row], [TRC]]+Table1[[#This Row], [DRC]]+Table1[[#This Row], [WRC]]+Table1[[#This Row], [ERC]]+Table1[[#This Row], [EQRC]]</f>
        <v>8170044.6749999989</v>
      </c>
      <c r="V1527" s="9">
        <f>Table1[[#This Row], [TOTAL COST]]+_xlfn.XLOOKUP(Table1[[#This Row], [TEAM]],Sheet1!$A$12:$A$17,Sheet1!$I$12:$I$17)</f>
        <v>8469482.1749999989</v>
      </c>
      <c r="W1527" s="9">
        <f>Table1[[#This Row], [LOOT]]-Table1[[#This Row], [TOTAL COST]]</f>
        <v>9229955.3250000011</v>
      </c>
      <c r="X1527" s="9">
        <f>IF(Table1[[#This Row], [PASS/FAIL]]="FAIL",0,Table1[[#This Row], [PROFIT]])</f>
        <v>9229955.3250000011</v>
      </c>
    </row>
    <row r="1528" spans="1:24" ht="19.5" customHeight="1" x14ac:dyDescent="0.45">
      <c r="A1528" t="s">
        <v>13</v>
      </c>
      <c r="B1528" s="14">
        <f>_xlfn.XLOOKUP(Table1[[#This Row], [TEAM]],Sheet1!$A$12:$A$17,Sheet1!$F$12:$F$17)</f>
        <v>3</v>
      </c>
      <c r="C1528" s="14">
        <f>_xlfn.XLOOKUP(Table1[[#This Row], [TEAM]],Sheet1!$A$12:$A$17,Sheet1!$G$12:$G$17)</f>
        <v>5930000</v>
      </c>
      <c r="D1528" t="s">
        <v>23</v>
      </c>
      <c r="E1528" s="4">
        <f>_xlfn.XLOOKUP(Table1[[#This Row], [ROOM]],Sheet1!$A$47:$A$66,Sheet1!$B$47:$B$66)</f>
        <v>245</v>
      </c>
      <c r="F1528" t="s">
        <v>62</v>
      </c>
      <c r="G1528" s="4">
        <f>_xlfn.XLOOKUP(Table1[[#This Row], [DISGUISE]],Sheet1!$A$21:$A$23,Sheet1!$B$21:$B$23)*Table1[[#This Row], [NUM OF MEM]]*(1+_xlfn.XLOOKUP(Table1[[#This Row], [DISGUISE]],Sheet1!$A$21:$A$23,Sheet1!$C$21:$C$23))</f>
        <v>15600</v>
      </c>
      <c r="H1528" s="13" t="s">
        <v>59</v>
      </c>
      <c r="I1528" s="4">
        <f>_xlfn.XLOOKUP(Table1[[#This Row], [WEAPON]],Sheet1!$A$27:$A$29,Sheet1!$B$27:$B$29)*Table1[[#This Row], [NUM OF MEM]]*(1+_xlfn.XLOOKUP(Table1[[#This Row], [WEAPON]],Sheet1!$A$27:$A$29,Sheet1!$C$27:$C$29))</f>
        <v>136500</v>
      </c>
      <c r="J1528" t="s">
        <v>60</v>
      </c>
      <c r="K1528" s="9">
        <f>Table1[[#This Row], [NUM OF MEM]]*Table1[[#This Row], [TOTAL TIME TAKEN]]*_xlfn.XLOOKUP(Table1[[#This Row], [EXIT]],Sheet1!$A$70:$A$71,Sheet1!$B$70:$B$71)*(1+_xlfn.XLOOKUP(Table1[[#This Row], [EXIT]],Sheet1!$A$70:$A$71,Sheet1!$C$70:$C$71))</f>
        <v>1782241.7625</v>
      </c>
      <c r="L1528" s="13" t="s">
        <v>65</v>
      </c>
      <c r="M1528" s="4">
        <f>IF(Table1[[#This Row], [EQUIPMENT]]="YES",Sheet1!$C$44*(1+Sheet1!$D$44),0)</f>
        <v>307500</v>
      </c>
      <c r="N1528" s="4">
        <f>_xlfn.XLOOKUP(Table1[[#This Row], [ROOM]],Sheet1!$A$47:$A$66,Sheet1!$F$47:$F$66)</f>
        <v>17400000</v>
      </c>
      <c r="O1528" s="9">
        <f>_xlfn.XLOOKUP(_xlfn.CONCAT(Table1[[#This Row], [TEAM]],Table1[[#This Row], [ROOM]]),'ROOM TIME'!$H$2:$H$121,'ROOM TIME'!$J$2:$J$121)</f>
        <v>42.078333333333326</v>
      </c>
      <c r="P1528" s="9">
        <f>(INDEX(Sheet1!$X$48:$Z$67,MATCH(Table1[[#This Row], [ROOM]],Sheet1!$P$48:$P$67,0),MATCH(Table1[[#This Row], [WEAPON]],Sheet1!$X$47:$Z$47,0)))/Table1[[#This Row], [NUM OF MEM]]</f>
        <v>4.2166666666666659</v>
      </c>
      <c r="Q1528" s="9">
        <f>Table1[[#This Row], [ROOM TIME]]+Table1[[#This Row], [GUARD TIME]]</f>
        <v>46.294999999999995</v>
      </c>
      <c r="R1528" s="4">
        <f>Sheet1!$K$3*_xlfn.XLOOKUP(Table1[[#This Row], [DISGUISE]],Sheet1!$A$21:$A$23,Sheet1!$D$21:$D$23)</f>
        <v>66</v>
      </c>
      <c r="S1528" s="9">
        <f>Table1[[#This Row], [TOTAL TIME]]-Table1[[#This Row], [TOTAL TIME TAKEN]]</f>
        <v>19.705000000000005</v>
      </c>
      <c r="T1528" t="str">
        <f>IF(Table1[[#This Row], [TIME DIFFERENCE]]&gt;=0,"PASS","FAIL")</f>
        <v>PASS</v>
      </c>
      <c r="U1528" s="9">
        <f>Table1[[#This Row], [TRC]]+Table1[[#This Row], [DRC]]+Table1[[#This Row], [WRC]]+Table1[[#This Row], [ERC]]+Table1[[#This Row], [EQRC]]</f>
        <v>8171841.7625000002</v>
      </c>
      <c r="V1528" s="9">
        <f>Table1[[#This Row], [TOTAL COST]]+_xlfn.XLOOKUP(Table1[[#This Row], [TEAM]],Sheet1!$A$12:$A$17,Sheet1!$I$12:$I$17)</f>
        <v>8468341.7624999993</v>
      </c>
      <c r="W1528" s="9">
        <f>Table1[[#This Row], [LOOT]]-Table1[[#This Row], [TOTAL COST]]</f>
        <v>9228158.2375000007</v>
      </c>
      <c r="X1528" s="9">
        <f>IF(Table1[[#This Row], [PASS/FAIL]]="FAIL",0,Table1[[#This Row], [PROFIT]])</f>
        <v>9228158.2375000007</v>
      </c>
    </row>
    <row r="1529" spans="1:24" ht="19.5" customHeight="1" x14ac:dyDescent="0.45">
      <c r="A1529" t="s">
        <v>12</v>
      </c>
      <c r="B1529" s="14">
        <f>_xlfn.XLOOKUP(Table1[[#This Row], [TEAM]],Sheet1!$A$12:$A$17,Sheet1!$F$12:$F$17)</f>
        <v>3</v>
      </c>
      <c r="C1529" s="14">
        <f>_xlfn.XLOOKUP(Table1[[#This Row], [TEAM]],Sheet1!$A$12:$A$17,Sheet1!$G$12:$G$17)</f>
        <v>5988750</v>
      </c>
      <c r="D1529" t="s">
        <v>17</v>
      </c>
      <c r="E1529" s="4">
        <f>_xlfn.XLOOKUP(Table1[[#This Row], [ROOM]],Sheet1!$A$47:$A$66,Sheet1!$B$47:$B$66)</f>
        <v>125</v>
      </c>
      <c r="F1529" t="s">
        <v>58</v>
      </c>
      <c r="G1529" s="4">
        <f>_xlfn.XLOOKUP(Table1[[#This Row], [DISGUISE]],Sheet1!$A$21:$A$23,Sheet1!$B$21:$B$23)*Table1[[#This Row], [NUM OF MEM]]*(1+_xlfn.XLOOKUP(Table1[[#This Row], [DISGUISE]],Sheet1!$A$21:$A$23,Sheet1!$C$21:$C$23))</f>
        <v>38400</v>
      </c>
      <c r="H1529" s="13" t="s">
        <v>63</v>
      </c>
      <c r="I1529" s="4">
        <f>_xlfn.XLOOKUP(Table1[[#This Row], [WEAPON]],Sheet1!$A$27:$A$29,Sheet1!$B$27:$B$29)*Table1[[#This Row], [NUM OF MEM]]*(1+_xlfn.XLOOKUP(Table1[[#This Row], [WEAPON]],Sheet1!$A$27:$A$29,Sheet1!$C$27:$C$29))</f>
        <v>69000</v>
      </c>
      <c r="J1529" t="s">
        <v>60</v>
      </c>
      <c r="K1529" s="9">
        <f>Table1[[#This Row], [NUM OF MEM]]*Table1[[#This Row], [TOTAL TIME TAKEN]]*_xlfn.XLOOKUP(Table1[[#This Row], [EXIT]],Sheet1!$A$70:$A$71,Sheet1!$B$70:$B$71)*(1+_xlfn.XLOOKUP(Table1[[#This Row], [EXIT]],Sheet1!$A$70:$A$71,Sheet1!$C$70:$C$71))</f>
        <v>1718228.9749999992</v>
      </c>
      <c r="L1529" s="13" t="s">
        <v>65</v>
      </c>
      <c r="M1529" s="4">
        <f>IF(Table1[[#This Row], [EQUIPMENT]]="YES",Sheet1!$C$44*(1+Sheet1!$D$44),0)</f>
        <v>307500</v>
      </c>
      <c r="N1529" s="4">
        <f>_xlfn.XLOOKUP(Table1[[#This Row], [ROOM]],Sheet1!$A$47:$A$66,Sheet1!$F$47:$F$66)</f>
        <v>17350000</v>
      </c>
      <c r="O1529" s="9">
        <f>_xlfn.XLOOKUP(_xlfn.CONCAT(Table1[[#This Row], [TEAM]],Table1[[#This Row], [ROOM]]),'ROOM TIME'!$H$2:$H$121,'ROOM TIME'!$J$2:$J$121)</f>
        <v>40.132222222222204</v>
      </c>
      <c r="P1529" s="9">
        <f>(INDEX(Sheet1!$X$48:$Z$67,MATCH(Table1[[#This Row], [ROOM]],Sheet1!$P$48:$P$67,0),MATCH(Table1[[#This Row], [WEAPON]],Sheet1!$X$47:$Z$47,0)))/Table1[[#This Row], [NUM OF MEM]]</f>
        <v>4.5</v>
      </c>
      <c r="Q1529" s="9">
        <f>Table1[[#This Row], [ROOM TIME]]+Table1[[#This Row], [GUARD TIME]]</f>
        <v>44.632222222222204</v>
      </c>
      <c r="R1529" s="4">
        <f>Sheet1!$K$3*_xlfn.XLOOKUP(Table1[[#This Row], [DISGUISE]],Sheet1!$A$21:$A$23,Sheet1!$D$21:$D$23)</f>
        <v>69</v>
      </c>
      <c r="S1529" s="9">
        <f>Table1[[#This Row], [TOTAL TIME]]-Table1[[#This Row], [TOTAL TIME TAKEN]]</f>
        <v>24.367777777777796</v>
      </c>
      <c r="T1529" t="str">
        <f>IF(Table1[[#This Row], [TIME DIFFERENCE]]&gt;=0,"PASS","FAIL")</f>
        <v>PASS</v>
      </c>
      <c r="U1529" s="9">
        <f>Table1[[#This Row], [TRC]]+Table1[[#This Row], [DRC]]+Table1[[#This Row], [WRC]]+Table1[[#This Row], [ERC]]+Table1[[#This Row], [EQRC]]</f>
        <v>8121878.9749999996</v>
      </c>
      <c r="V1529" s="9">
        <f>Table1[[#This Row], [TOTAL COST]]+_xlfn.XLOOKUP(Table1[[#This Row], [TEAM]],Sheet1!$A$12:$A$17,Sheet1!$I$12:$I$17)</f>
        <v>8421316.4749999996</v>
      </c>
      <c r="W1529" s="9">
        <f>Table1[[#This Row], [LOOT]]-Table1[[#This Row], [TOTAL COST]]</f>
        <v>9228121.0250000004</v>
      </c>
      <c r="X1529" s="9">
        <f>IF(Table1[[#This Row], [PASS/FAIL]]="FAIL",0,Table1[[#This Row], [PROFIT]])</f>
        <v>9228121.0250000004</v>
      </c>
    </row>
    <row r="1530" spans="1:24" ht="19.5" customHeight="1" x14ac:dyDescent="0.45">
      <c r="A1530" t="s">
        <v>9</v>
      </c>
      <c r="B1530" s="14">
        <f>_xlfn.XLOOKUP(Table1[[#This Row], [TEAM]],Sheet1!$A$12:$A$17,Sheet1!$F$12:$F$17)</f>
        <v>3</v>
      </c>
      <c r="C1530" s="14">
        <f>_xlfn.XLOOKUP(Table1[[#This Row], [TEAM]],Sheet1!$A$12:$A$17,Sheet1!$G$12:$G$17)</f>
        <v>6238750</v>
      </c>
      <c r="D1530" t="s">
        <v>20</v>
      </c>
      <c r="E1530" s="4">
        <f>_xlfn.XLOOKUP(Table1[[#This Row], [ROOM]],Sheet1!$A$47:$A$66,Sheet1!$B$47:$B$66)</f>
        <v>145</v>
      </c>
      <c r="F1530" t="s">
        <v>58</v>
      </c>
      <c r="G1530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0" s="13" t="s">
        <v>59</v>
      </c>
      <c r="I1530" s="4">
        <f>_xlfn.XLOOKUP(Table1[[#This Row], [WEAPON]],Sheet1!$A$27:$A$29,Sheet1!$B$27:$B$29)*Table1[[#This Row], [NUM OF MEM]]*(1+_xlfn.XLOOKUP(Table1[[#This Row], [WEAPON]],Sheet1!$A$27:$A$29,Sheet1!$C$27:$C$29))</f>
        <v>136500</v>
      </c>
      <c r="J1530" t="s">
        <v>60</v>
      </c>
      <c r="K1530" s="9">
        <f>Table1[[#This Row], [NUM OF MEM]]*Table1[[#This Row], [TOTAL TIME TAKEN]]*_xlfn.XLOOKUP(Table1[[#This Row], [EXIT]],Sheet1!$A$70:$A$71,Sheet1!$B$70:$B$71)*(1+_xlfn.XLOOKUP(Table1[[#This Row], [EXIT]],Sheet1!$A$70:$A$71,Sheet1!$C$70:$C$71))</f>
        <v>1601474.6124999996</v>
      </c>
      <c r="L1530" s="13" t="s">
        <v>65</v>
      </c>
      <c r="M1530" s="4">
        <f>IF(Table1[[#This Row], [EQUIPMENT]]="YES",Sheet1!$C$44*(1+Sheet1!$D$44),0)</f>
        <v>307500</v>
      </c>
      <c r="N1530" s="4">
        <f>_xlfn.XLOOKUP(Table1[[#This Row], [ROOM]],Sheet1!$A$47:$A$66,Sheet1!$F$47:$F$66)</f>
        <v>17550000</v>
      </c>
      <c r="O1530" s="9">
        <f>_xlfn.XLOOKUP(_xlfn.CONCAT(Table1[[#This Row], [TEAM]],Table1[[#This Row], [ROOM]]),'ROOM TIME'!$H$2:$H$121,'ROOM TIME'!$J$2:$J$121)</f>
        <v>37.766111111111101</v>
      </c>
      <c r="P1530" s="9">
        <f>(INDEX(Sheet1!$X$48:$Z$67,MATCH(Table1[[#This Row], [ROOM]],Sheet1!$P$48:$P$67,0),MATCH(Table1[[#This Row], [WEAPON]],Sheet1!$X$47:$Z$47,0)))/Table1[[#This Row], [NUM OF MEM]]</f>
        <v>3.8333333333333335</v>
      </c>
      <c r="Q1530" s="9">
        <f>Table1[[#This Row], [ROOM TIME]]+Table1[[#This Row], [GUARD TIME]]</f>
        <v>41.599444444444437</v>
      </c>
      <c r="R1530" s="4">
        <f>Sheet1!$K$3*_xlfn.XLOOKUP(Table1[[#This Row], [DISGUISE]],Sheet1!$A$21:$A$23,Sheet1!$D$21:$D$23)</f>
        <v>69</v>
      </c>
      <c r="S1530" s="9">
        <f>Table1[[#This Row], [TOTAL TIME]]-Table1[[#This Row], [TOTAL TIME TAKEN]]</f>
        <v>27.400555555555563</v>
      </c>
      <c r="T1530" t="str">
        <f>IF(Table1[[#This Row], [TIME DIFFERENCE]]&gt;=0,"PASS","FAIL")</f>
        <v>PASS</v>
      </c>
      <c r="U1530" s="9">
        <f>Table1[[#This Row], [TRC]]+Table1[[#This Row], [DRC]]+Table1[[#This Row], [WRC]]+Table1[[#This Row], [ERC]]+Table1[[#This Row], [EQRC]]</f>
        <v>8322624.6124999998</v>
      </c>
      <c r="V1530" s="9">
        <f>Table1[[#This Row], [TOTAL COST]]+_xlfn.XLOOKUP(Table1[[#This Row], [TEAM]],Sheet1!$A$12:$A$17,Sheet1!$I$12:$I$17)</f>
        <v>8634562.1125000007</v>
      </c>
      <c r="W1530" s="9">
        <f>Table1[[#This Row], [LOOT]]-Table1[[#This Row], [TOTAL COST]]</f>
        <v>9227375.3874999993</v>
      </c>
      <c r="X1530" s="9">
        <f>IF(Table1[[#This Row], [PASS/FAIL]]="FAIL",0,Table1[[#This Row], [PROFIT]])</f>
        <v>9227375.3874999993</v>
      </c>
    </row>
    <row r="1531" spans="1:24" ht="19.5" customHeight="1" x14ac:dyDescent="0.45">
      <c r="A1531" t="s">
        <v>12</v>
      </c>
      <c r="B1531" s="14">
        <f>_xlfn.XLOOKUP(Table1[[#This Row], [TEAM]],Sheet1!$A$12:$A$17,Sheet1!$F$12:$F$17)</f>
        <v>3</v>
      </c>
      <c r="C1531" s="14">
        <f>_xlfn.XLOOKUP(Table1[[#This Row], [TEAM]],Sheet1!$A$12:$A$17,Sheet1!$G$12:$G$17)</f>
        <v>5988750</v>
      </c>
      <c r="D1531" t="s">
        <v>23</v>
      </c>
      <c r="E1531" s="4">
        <f>_xlfn.XLOOKUP(Table1[[#This Row], [ROOM]],Sheet1!$A$47:$A$66,Sheet1!$B$47:$B$66)</f>
        <v>245</v>
      </c>
      <c r="F1531" t="s">
        <v>58</v>
      </c>
      <c r="G153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1" s="13" t="s">
        <v>66</v>
      </c>
      <c r="I1531" s="4">
        <f>_xlfn.XLOOKUP(Table1[[#This Row], [WEAPON]],Sheet1!$A$27:$A$29,Sheet1!$B$27:$B$29)*Table1[[#This Row], [NUM OF MEM]]*(1+_xlfn.XLOOKUP(Table1[[#This Row], [WEAPON]],Sheet1!$A$27:$A$29,Sheet1!$C$27:$C$29))</f>
        <v>108000</v>
      </c>
      <c r="J1531" t="s">
        <v>64</v>
      </c>
      <c r="K1531" s="9">
        <f>Table1[[#This Row], [NUM OF MEM]]*Table1[[#This Row], [TOTAL TIME TAKEN]]*_xlfn.XLOOKUP(Table1[[#This Row], [EXIT]],Sheet1!$A$70:$A$71,Sheet1!$B$70:$B$71)*(1+_xlfn.XLOOKUP(Table1[[#This Row], [EXIT]],Sheet1!$A$70:$A$71,Sheet1!$C$70:$C$71))</f>
        <v>1730030.3999999994</v>
      </c>
      <c r="L1531" s="13" t="s">
        <v>65</v>
      </c>
      <c r="M1531" s="4">
        <f>IF(Table1[[#This Row], [EQUIPMENT]]="YES",Sheet1!$C$44*(1+Sheet1!$D$44),0)</f>
        <v>307500</v>
      </c>
      <c r="N1531" s="4">
        <f>_xlfn.XLOOKUP(Table1[[#This Row], [ROOM]],Sheet1!$A$47:$A$66,Sheet1!$F$47:$F$66)</f>
        <v>17400000</v>
      </c>
      <c r="O1531" s="9">
        <f>_xlfn.XLOOKUP(_xlfn.CONCAT(Table1[[#This Row], [TEAM]],Table1[[#This Row], [ROOM]]),'ROOM TIME'!$H$2:$H$121,'ROOM TIME'!$J$2:$J$121)</f>
        <v>39.91333333333332</v>
      </c>
      <c r="P1531" s="9">
        <f>(INDEX(Sheet1!$X$48:$Z$67,MATCH(Table1[[#This Row], [ROOM]],Sheet1!$P$48:$P$67,0),MATCH(Table1[[#This Row], [WEAPON]],Sheet1!$X$47:$Z$47,0)))/Table1[[#This Row], [NUM OF MEM]]</f>
        <v>4.583333333333333</v>
      </c>
      <c r="Q1531" s="9">
        <f>Table1[[#This Row], [ROOM TIME]]+Table1[[#This Row], [GUARD TIME]]</f>
        <v>44.496666666666655</v>
      </c>
      <c r="R1531" s="4">
        <f>Sheet1!$K$3*_xlfn.XLOOKUP(Table1[[#This Row], [DISGUISE]],Sheet1!$A$21:$A$23,Sheet1!$D$21:$D$23)</f>
        <v>69</v>
      </c>
      <c r="S1531" s="9">
        <f>Table1[[#This Row], [TOTAL TIME]]-Table1[[#This Row], [TOTAL TIME TAKEN]]</f>
        <v>24.503333333333345</v>
      </c>
      <c r="T1531" t="str">
        <f>IF(Table1[[#This Row], [TIME DIFFERENCE]]&gt;=0,"PASS","FAIL")</f>
        <v>PASS</v>
      </c>
      <c r="U1531" s="9">
        <f>Table1[[#This Row], [TRC]]+Table1[[#This Row], [DRC]]+Table1[[#This Row], [WRC]]+Table1[[#This Row], [ERC]]+Table1[[#This Row], [EQRC]]</f>
        <v>8172680.3999999994</v>
      </c>
      <c r="V1531" s="9">
        <f>Table1[[#This Row], [TOTAL COST]]+_xlfn.XLOOKUP(Table1[[#This Row], [TEAM]],Sheet1!$A$12:$A$17,Sheet1!$I$12:$I$17)</f>
        <v>8472117.8999999985</v>
      </c>
      <c r="W1531" s="9">
        <f>Table1[[#This Row], [LOOT]]-Table1[[#This Row], [TOTAL COST]]</f>
        <v>9227319.6000000015</v>
      </c>
      <c r="X1531" s="9">
        <f>IF(Table1[[#This Row], [PASS/FAIL]]="FAIL",0,Table1[[#This Row], [PROFIT]])</f>
        <v>9227319.6000000015</v>
      </c>
    </row>
    <row r="1532" spans="1:24" ht="19.5" customHeight="1" x14ac:dyDescent="0.45">
      <c r="A1532" t="s">
        <v>9</v>
      </c>
      <c r="B1532" s="14">
        <f>_xlfn.XLOOKUP(Table1[[#This Row], [TEAM]],Sheet1!$A$12:$A$17,Sheet1!$F$12:$F$17)</f>
        <v>3</v>
      </c>
      <c r="C1532" s="14">
        <f>_xlfn.XLOOKUP(Table1[[#This Row], [TEAM]],Sheet1!$A$12:$A$17,Sheet1!$G$12:$G$17)</f>
        <v>6238750</v>
      </c>
      <c r="D1532" t="s">
        <v>20</v>
      </c>
      <c r="E1532" s="4">
        <f>_xlfn.XLOOKUP(Table1[[#This Row], [ROOM]],Sheet1!$A$47:$A$66,Sheet1!$B$47:$B$66)</f>
        <v>145</v>
      </c>
      <c r="F1532" t="s">
        <v>58</v>
      </c>
      <c r="G153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2" s="13" t="s">
        <v>66</v>
      </c>
      <c r="I1532" s="4">
        <f>_xlfn.XLOOKUP(Table1[[#This Row], [WEAPON]],Sheet1!$A$27:$A$29,Sheet1!$B$27:$B$29)*Table1[[#This Row], [NUM OF MEM]]*(1+_xlfn.XLOOKUP(Table1[[#This Row], [WEAPON]],Sheet1!$A$27:$A$29,Sheet1!$C$27:$C$29))</f>
        <v>108000</v>
      </c>
      <c r="J1532" t="s">
        <v>64</v>
      </c>
      <c r="K1532" s="9">
        <f>Table1[[#This Row], [NUM OF MEM]]*Table1[[#This Row], [TOTAL TIME TAKEN]]*_xlfn.XLOOKUP(Table1[[#This Row], [EXIT]],Sheet1!$A$70:$A$71,Sheet1!$B$70:$B$71)*(1+_xlfn.XLOOKUP(Table1[[#This Row], [EXIT]],Sheet1!$A$70:$A$71,Sheet1!$C$70:$C$71))</f>
        <v>1630346.3999999994</v>
      </c>
      <c r="L1532" s="13" t="s">
        <v>65</v>
      </c>
      <c r="M1532" s="4">
        <f>IF(Table1[[#This Row], [EQUIPMENT]]="YES",Sheet1!$C$44*(1+Sheet1!$D$44),0)</f>
        <v>307500</v>
      </c>
      <c r="N1532" s="4">
        <f>_xlfn.XLOOKUP(Table1[[#This Row], [ROOM]],Sheet1!$A$47:$A$66,Sheet1!$F$47:$F$66)</f>
        <v>17550000</v>
      </c>
      <c r="O1532" s="9">
        <f>_xlfn.XLOOKUP(_xlfn.CONCAT(Table1[[#This Row], [TEAM]],Table1[[#This Row], [ROOM]]),'ROOM TIME'!$H$2:$H$121,'ROOM TIME'!$J$2:$J$121)</f>
        <v>37.766111111111101</v>
      </c>
      <c r="P1532" s="9">
        <f>(INDEX(Sheet1!$X$48:$Z$67,MATCH(Table1[[#This Row], [ROOM]],Sheet1!$P$48:$P$67,0),MATCH(Table1[[#This Row], [WEAPON]],Sheet1!$X$47:$Z$47,0)))/Table1[[#This Row], [NUM OF MEM]]</f>
        <v>4.166666666666667</v>
      </c>
      <c r="Q1532" s="9">
        <f>Table1[[#This Row], [ROOM TIME]]+Table1[[#This Row], [GUARD TIME]]</f>
        <v>41.932777777777765</v>
      </c>
      <c r="R1532" s="4">
        <f>Sheet1!$K$3*_xlfn.XLOOKUP(Table1[[#This Row], [DISGUISE]],Sheet1!$A$21:$A$23,Sheet1!$D$21:$D$23)</f>
        <v>69</v>
      </c>
      <c r="S1532" s="9">
        <f>Table1[[#This Row], [TOTAL TIME]]-Table1[[#This Row], [TOTAL TIME TAKEN]]</f>
        <v>27.067222222222235</v>
      </c>
      <c r="T1532" t="str">
        <f>IF(Table1[[#This Row], [TIME DIFFERENCE]]&gt;=0,"PASS","FAIL")</f>
        <v>PASS</v>
      </c>
      <c r="U1532" s="9">
        <f>Table1[[#This Row], [TRC]]+Table1[[#This Row], [DRC]]+Table1[[#This Row], [WRC]]+Table1[[#This Row], [ERC]]+Table1[[#This Row], [EQRC]]</f>
        <v>8322996.3999999994</v>
      </c>
      <c r="V1532" s="9">
        <f>Table1[[#This Row], [TOTAL COST]]+_xlfn.XLOOKUP(Table1[[#This Row], [TEAM]],Sheet1!$A$12:$A$17,Sheet1!$I$12:$I$17)</f>
        <v>8634933.8999999985</v>
      </c>
      <c r="W1532" s="9">
        <f>Table1[[#This Row], [LOOT]]-Table1[[#This Row], [TOTAL COST]]</f>
        <v>9227003.6000000015</v>
      </c>
      <c r="X1532" s="9">
        <f>IF(Table1[[#This Row], [PASS/FAIL]]="FAIL",0,Table1[[#This Row], [PROFIT]])</f>
        <v>9227003.6000000015</v>
      </c>
    </row>
    <row r="1533" spans="1:24" ht="19.5" customHeight="1" x14ac:dyDescent="0.45">
      <c r="A1533" t="s">
        <v>13</v>
      </c>
      <c r="B1533" s="14">
        <f>_xlfn.XLOOKUP(Table1[[#This Row], [TEAM]],Sheet1!$A$12:$A$17,Sheet1!$F$12:$F$17)</f>
        <v>3</v>
      </c>
      <c r="C1533" s="14">
        <f>_xlfn.XLOOKUP(Table1[[#This Row], [TEAM]],Sheet1!$A$12:$A$17,Sheet1!$G$12:$G$17)</f>
        <v>5930000</v>
      </c>
      <c r="D1533" t="s">
        <v>23</v>
      </c>
      <c r="E1533" s="4">
        <f>_xlfn.XLOOKUP(Table1[[#This Row], [ROOM]],Sheet1!$A$47:$A$66,Sheet1!$B$47:$B$66)</f>
        <v>245</v>
      </c>
      <c r="F1533" t="s">
        <v>58</v>
      </c>
      <c r="G1533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3" s="13" t="s">
        <v>63</v>
      </c>
      <c r="I1533" s="4">
        <f>_xlfn.XLOOKUP(Table1[[#This Row], [WEAPON]],Sheet1!$A$27:$A$29,Sheet1!$B$27:$B$29)*Table1[[#This Row], [NUM OF MEM]]*(1+_xlfn.XLOOKUP(Table1[[#This Row], [WEAPON]],Sheet1!$A$27:$A$29,Sheet1!$C$27:$C$29))</f>
        <v>69000</v>
      </c>
      <c r="J1533" t="s">
        <v>64</v>
      </c>
      <c r="K1533" s="9">
        <f>Table1[[#This Row], [NUM OF MEM]]*Table1[[#This Row], [TOTAL TIME TAKEN]]*_xlfn.XLOOKUP(Table1[[#This Row], [EXIT]],Sheet1!$A$70:$A$71,Sheet1!$B$70:$B$71)*(1+_xlfn.XLOOKUP(Table1[[#This Row], [EXIT]],Sheet1!$A$70:$A$71,Sheet1!$C$70:$C$71))</f>
        <v>1828461.5999999996</v>
      </c>
      <c r="L1533" s="13" t="s">
        <v>65</v>
      </c>
      <c r="M1533" s="4">
        <f>IF(Table1[[#This Row], [EQUIPMENT]]="YES",Sheet1!$C$44*(1+Sheet1!$D$44),0)</f>
        <v>307500</v>
      </c>
      <c r="N1533" s="4">
        <f>_xlfn.XLOOKUP(Table1[[#This Row], [ROOM]],Sheet1!$A$47:$A$66,Sheet1!$F$47:$F$66)</f>
        <v>17400000</v>
      </c>
      <c r="O1533" s="9">
        <f>_xlfn.XLOOKUP(_xlfn.CONCAT(Table1[[#This Row], [TEAM]],Table1[[#This Row], [ROOM]]),'ROOM TIME'!$H$2:$H$121,'ROOM TIME'!$J$2:$J$121)</f>
        <v>42.078333333333326</v>
      </c>
      <c r="P1533" s="9">
        <f>(INDEX(Sheet1!$X$48:$Z$67,MATCH(Table1[[#This Row], [ROOM]],Sheet1!$P$48:$P$67,0),MATCH(Table1[[#This Row], [WEAPON]],Sheet1!$X$47:$Z$47,0)))/Table1[[#This Row], [NUM OF MEM]]</f>
        <v>4.95</v>
      </c>
      <c r="Q1533" s="9">
        <f>Table1[[#This Row], [ROOM TIME]]+Table1[[#This Row], [GUARD TIME]]</f>
        <v>47.028333333333329</v>
      </c>
      <c r="R1533" s="4">
        <f>Sheet1!$K$3*_xlfn.XLOOKUP(Table1[[#This Row], [DISGUISE]],Sheet1!$A$21:$A$23,Sheet1!$D$21:$D$23)</f>
        <v>69</v>
      </c>
      <c r="S1533" s="9">
        <f>Table1[[#This Row], [TOTAL TIME]]-Table1[[#This Row], [TOTAL TIME TAKEN]]</f>
        <v>21.971666666666671</v>
      </c>
      <c r="T1533" t="str">
        <f>IF(Table1[[#This Row], [TIME DIFFERENCE]]&gt;=0,"PASS","FAIL")</f>
        <v>PASS</v>
      </c>
      <c r="U1533" s="9">
        <f>Table1[[#This Row], [TRC]]+Table1[[#This Row], [DRC]]+Table1[[#This Row], [WRC]]+Table1[[#This Row], [ERC]]+Table1[[#This Row], [EQRC]]</f>
        <v>8173361.5999999996</v>
      </c>
      <c r="V1533" s="9">
        <f>Table1[[#This Row], [TOTAL COST]]+_xlfn.XLOOKUP(Table1[[#This Row], [TEAM]],Sheet1!$A$12:$A$17,Sheet1!$I$12:$I$17)</f>
        <v>8469861.5999999996</v>
      </c>
      <c r="W1533" s="9">
        <f>Table1[[#This Row], [LOOT]]-Table1[[#This Row], [TOTAL COST]]</f>
        <v>9226638.4000000004</v>
      </c>
      <c r="X1533" s="9">
        <f>IF(Table1[[#This Row], [PASS/FAIL]]="FAIL",0,Table1[[#This Row], [PROFIT]])</f>
        <v>9226638.4000000004</v>
      </c>
    </row>
    <row r="1534" spans="1:24" ht="19.5" customHeight="1" x14ac:dyDescent="0.45">
      <c r="A1534" t="s">
        <v>12</v>
      </c>
      <c r="B1534" s="14">
        <f>_xlfn.XLOOKUP(Table1[[#This Row], [TEAM]],Sheet1!$A$12:$A$17,Sheet1!$F$12:$F$17)</f>
        <v>3</v>
      </c>
      <c r="C1534" s="14">
        <f>_xlfn.XLOOKUP(Table1[[#This Row], [TEAM]],Sheet1!$A$12:$A$17,Sheet1!$G$12:$G$17)</f>
        <v>5988750</v>
      </c>
      <c r="D1534" t="s">
        <v>17</v>
      </c>
      <c r="E1534" s="4">
        <f>_xlfn.XLOOKUP(Table1[[#This Row], [ROOM]],Sheet1!$A$47:$A$66,Sheet1!$B$47:$B$66)</f>
        <v>125</v>
      </c>
      <c r="F1534" t="s">
        <v>62</v>
      </c>
      <c r="G153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34" s="13" t="s">
        <v>66</v>
      </c>
      <c r="I1534" s="4">
        <f>_xlfn.XLOOKUP(Table1[[#This Row], [WEAPON]],Sheet1!$A$27:$A$29,Sheet1!$B$27:$B$29)*Table1[[#This Row], [NUM OF MEM]]*(1+_xlfn.XLOOKUP(Table1[[#This Row], [WEAPON]],Sheet1!$A$27:$A$29,Sheet1!$C$27:$C$29))</f>
        <v>108000</v>
      </c>
      <c r="J1534" t="s">
        <v>60</v>
      </c>
      <c r="K1534" s="9">
        <f>Table1[[#This Row], [NUM OF MEM]]*Table1[[#This Row], [TOTAL TIME TAKEN]]*_xlfn.XLOOKUP(Table1[[#This Row], [EXIT]],Sheet1!$A$70:$A$71,Sheet1!$B$70:$B$71)*(1+_xlfn.XLOOKUP(Table1[[#This Row], [EXIT]],Sheet1!$A$70:$A$71,Sheet1!$C$70:$C$71))</f>
        <v>1705396.4749999989</v>
      </c>
      <c r="L1534" s="13" t="s">
        <v>65</v>
      </c>
      <c r="M1534" s="4">
        <f>IF(Table1[[#This Row], [EQUIPMENT]]="YES",Sheet1!$C$44*(1+Sheet1!$D$44),0)</f>
        <v>307500</v>
      </c>
      <c r="N1534" s="4">
        <f>_xlfn.XLOOKUP(Table1[[#This Row], [ROOM]],Sheet1!$A$47:$A$66,Sheet1!$F$47:$F$66)</f>
        <v>17350000</v>
      </c>
      <c r="O1534" s="9">
        <f>_xlfn.XLOOKUP(_xlfn.CONCAT(Table1[[#This Row], [TEAM]],Table1[[#This Row], [ROOM]]),'ROOM TIME'!$H$2:$H$121,'ROOM TIME'!$J$2:$J$121)</f>
        <v>40.132222222222204</v>
      </c>
      <c r="P1534" s="9">
        <f>(INDEX(Sheet1!$X$48:$Z$67,MATCH(Table1[[#This Row], [ROOM]],Sheet1!$P$48:$P$67,0),MATCH(Table1[[#This Row], [WEAPON]],Sheet1!$X$47:$Z$47,0)))/Table1[[#This Row], [NUM OF MEM]]</f>
        <v>4.166666666666667</v>
      </c>
      <c r="Q1534" s="9">
        <f>Table1[[#This Row], [ROOM TIME]]+Table1[[#This Row], [GUARD TIME]]</f>
        <v>44.298888888888868</v>
      </c>
      <c r="R1534" s="4">
        <f>Sheet1!$K$3*_xlfn.XLOOKUP(Table1[[#This Row], [DISGUISE]],Sheet1!$A$21:$A$23,Sheet1!$D$21:$D$23)</f>
        <v>66</v>
      </c>
      <c r="S1534" s="9">
        <f>Table1[[#This Row], [TOTAL TIME]]-Table1[[#This Row], [TOTAL TIME TAKEN]]</f>
        <v>21.701111111111132</v>
      </c>
      <c r="T1534" t="str">
        <f>IF(Table1[[#This Row], [TIME DIFFERENCE]]&gt;=0,"PASS","FAIL")</f>
        <v>PASS</v>
      </c>
      <c r="U1534" s="9">
        <f>Table1[[#This Row], [TRC]]+Table1[[#This Row], [DRC]]+Table1[[#This Row], [WRC]]+Table1[[#This Row], [ERC]]+Table1[[#This Row], [EQRC]]</f>
        <v>8125246.4749999987</v>
      </c>
      <c r="V1534" s="9">
        <f>Table1[[#This Row], [TOTAL COST]]+_xlfn.XLOOKUP(Table1[[#This Row], [TEAM]],Sheet1!$A$12:$A$17,Sheet1!$I$12:$I$17)</f>
        <v>8424683.9749999978</v>
      </c>
      <c r="W1534" s="9">
        <f>Table1[[#This Row], [LOOT]]-Table1[[#This Row], [TOTAL COST]]</f>
        <v>9224753.5250000022</v>
      </c>
      <c r="X1534" s="9">
        <f>IF(Table1[[#This Row], [PASS/FAIL]]="FAIL",0,Table1[[#This Row], [PROFIT]])</f>
        <v>9224753.5250000022</v>
      </c>
    </row>
    <row r="1535" spans="1:24" ht="19.5" customHeight="1" x14ac:dyDescent="0.45">
      <c r="A1535" t="s">
        <v>13</v>
      </c>
      <c r="B1535" s="14">
        <f>_xlfn.XLOOKUP(Table1[[#This Row], [TEAM]],Sheet1!$A$12:$A$17,Sheet1!$F$12:$F$17)</f>
        <v>3</v>
      </c>
      <c r="C1535" s="14">
        <f>_xlfn.XLOOKUP(Table1[[#This Row], [TEAM]],Sheet1!$A$12:$A$17,Sheet1!$G$12:$G$17)</f>
        <v>5930000</v>
      </c>
      <c r="D1535" t="s">
        <v>23</v>
      </c>
      <c r="E1535" s="4">
        <f>_xlfn.XLOOKUP(Table1[[#This Row], [ROOM]],Sheet1!$A$47:$A$66,Sheet1!$B$47:$B$66)</f>
        <v>245</v>
      </c>
      <c r="F1535" t="s">
        <v>62</v>
      </c>
      <c r="G1535" s="4">
        <f>_xlfn.XLOOKUP(Table1[[#This Row], [DISGUISE]],Sheet1!$A$21:$A$23,Sheet1!$B$21:$B$23)*Table1[[#This Row], [NUM OF MEM]]*(1+_xlfn.XLOOKUP(Table1[[#This Row], [DISGUISE]],Sheet1!$A$21:$A$23,Sheet1!$C$21:$C$23))</f>
        <v>15600</v>
      </c>
      <c r="H1535" s="13" t="s">
        <v>66</v>
      </c>
      <c r="I1535" s="4">
        <f>_xlfn.XLOOKUP(Table1[[#This Row], [WEAPON]],Sheet1!$A$27:$A$29,Sheet1!$B$27:$B$29)*Table1[[#This Row], [NUM OF MEM]]*(1+_xlfn.XLOOKUP(Table1[[#This Row], [WEAPON]],Sheet1!$A$27:$A$29,Sheet1!$C$27:$C$29))</f>
        <v>108000</v>
      </c>
      <c r="J1535" t="s">
        <v>64</v>
      </c>
      <c r="K1535" s="9">
        <f>Table1[[#This Row], [NUM OF MEM]]*Table1[[#This Row], [TOTAL TIME TAKEN]]*_xlfn.XLOOKUP(Table1[[#This Row], [EXIT]],Sheet1!$A$70:$A$71,Sheet1!$B$70:$B$71)*(1+_xlfn.XLOOKUP(Table1[[#This Row], [EXIT]],Sheet1!$A$70:$A$71,Sheet1!$C$70:$C$71))</f>
        <v>1814205.5999999996</v>
      </c>
      <c r="L1535" s="13" t="s">
        <v>65</v>
      </c>
      <c r="M1535" s="4">
        <f>IF(Table1[[#This Row], [EQUIPMENT]]="YES",Sheet1!$C$44*(1+Sheet1!$D$44),0)</f>
        <v>307500</v>
      </c>
      <c r="N1535" s="4">
        <f>_xlfn.XLOOKUP(Table1[[#This Row], [ROOM]],Sheet1!$A$47:$A$66,Sheet1!$F$47:$F$66)</f>
        <v>17400000</v>
      </c>
      <c r="O1535" s="9">
        <f>_xlfn.XLOOKUP(_xlfn.CONCAT(Table1[[#This Row], [TEAM]],Table1[[#This Row], [ROOM]]),'ROOM TIME'!$H$2:$H$121,'ROOM TIME'!$J$2:$J$121)</f>
        <v>42.078333333333326</v>
      </c>
      <c r="P1535" s="9">
        <f>(INDEX(Sheet1!$X$48:$Z$67,MATCH(Table1[[#This Row], [ROOM]],Sheet1!$P$48:$P$67,0),MATCH(Table1[[#This Row], [WEAPON]],Sheet1!$X$47:$Z$47,0)))/Table1[[#This Row], [NUM OF MEM]]</f>
        <v>4.583333333333333</v>
      </c>
      <c r="Q1535" s="9">
        <f>Table1[[#This Row], [ROOM TIME]]+Table1[[#This Row], [GUARD TIME]]</f>
        <v>46.661666666666662</v>
      </c>
      <c r="R1535" s="4">
        <f>Sheet1!$K$3*_xlfn.XLOOKUP(Table1[[#This Row], [DISGUISE]],Sheet1!$A$21:$A$23,Sheet1!$D$21:$D$23)</f>
        <v>66</v>
      </c>
      <c r="S1535" s="9">
        <f>Table1[[#This Row], [TOTAL TIME]]-Table1[[#This Row], [TOTAL TIME TAKEN]]</f>
        <v>19.338333333333338</v>
      </c>
      <c r="T1535" t="str">
        <f>IF(Table1[[#This Row], [TIME DIFFERENCE]]&gt;=0,"PASS","FAIL")</f>
        <v>PASS</v>
      </c>
      <c r="U1535" s="9">
        <f>Table1[[#This Row], [TRC]]+Table1[[#This Row], [DRC]]+Table1[[#This Row], [WRC]]+Table1[[#This Row], [ERC]]+Table1[[#This Row], [EQRC]]</f>
        <v>8175305.5999999996</v>
      </c>
      <c r="V1535" s="9">
        <f>Table1[[#This Row], [TOTAL COST]]+_xlfn.XLOOKUP(Table1[[#This Row], [TEAM]],Sheet1!$A$12:$A$17,Sheet1!$I$12:$I$17)</f>
        <v>8471805.5999999996</v>
      </c>
      <c r="W1535" s="9">
        <f>Table1[[#This Row], [LOOT]]-Table1[[#This Row], [TOTAL COST]]</f>
        <v>9224694.4000000004</v>
      </c>
      <c r="X1535" s="9">
        <f>IF(Table1[[#This Row], [PASS/FAIL]]="FAIL",0,Table1[[#This Row], [PROFIT]])</f>
        <v>9224694.4000000004</v>
      </c>
    </row>
    <row r="1536" spans="1:24" ht="19.5" customHeight="1" x14ac:dyDescent="0.45">
      <c r="A1536" t="s">
        <v>13</v>
      </c>
      <c r="B1536" s="14">
        <f>_xlfn.XLOOKUP(Table1[[#This Row], [TEAM]],Sheet1!$A$12:$A$17,Sheet1!$F$12:$F$17)</f>
        <v>3</v>
      </c>
      <c r="C1536" s="14">
        <f>_xlfn.XLOOKUP(Table1[[#This Row], [TEAM]],Sheet1!$A$12:$A$17,Sheet1!$G$12:$G$17)</f>
        <v>5930000</v>
      </c>
      <c r="D1536" t="s">
        <v>11</v>
      </c>
      <c r="E1536" s="4">
        <f>_xlfn.XLOOKUP(Table1[[#This Row], [ROOM]],Sheet1!$A$47:$A$66,Sheet1!$B$47:$B$66)</f>
        <v>124</v>
      </c>
      <c r="F1536" t="s">
        <v>58</v>
      </c>
      <c r="G1536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6" s="13" t="s">
        <v>59</v>
      </c>
      <c r="I1536" s="4">
        <f>_xlfn.XLOOKUP(Table1[[#This Row], [WEAPON]],Sheet1!$A$27:$A$29,Sheet1!$B$27:$B$29)*Table1[[#This Row], [NUM OF MEM]]*(1+_xlfn.XLOOKUP(Table1[[#This Row], [WEAPON]],Sheet1!$A$27:$A$29,Sheet1!$C$27:$C$29))</f>
        <v>136500</v>
      </c>
      <c r="J1536" t="s">
        <v>64</v>
      </c>
      <c r="K1536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1817164.7999999996</v>
      </c>
      <c r="L1536" s="13" t="s">
        <v>65</v>
      </c>
      <c r="M1536" s="4">
        <f>IF(Table1[[#This Row], [EQUIPMENT]]="YES",Sheet1!$C$44*(1+Sheet1!$D$44),0)</f>
        <v>307500</v>
      </c>
      <c r="N1536" s="4">
        <f>_xlfn.XLOOKUP(Table1[[#This Row], [ROOM]],Sheet1!$A$47:$A$66,Sheet1!$F$47:$F$66)</f>
        <v>17450000</v>
      </c>
      <c r="O1536" s="9">
        <f>_xlfn.XLOOKUP(_xlfn.CONCAT(Table1[[#This Row], [TEAM]],Table1[[#This Row], [ROOM]]),'ROOM TIME'!$H$2:$H$121,'ROOM TIME'!$J$2:$J$121)</f>
        <v>42.521111111111104</v>
      </c>
      <c r="P1536" s="9">
        <f>(INDEX(Sheet1!$X$48:$Z$67,MATCH(Table1[[#This Row], [ROOM]],Sheet1!$P$48:$P$67,0),MATCH(Table1[[#This Row], [WEAPON]],Sheet1!$X$47:$Z$47,0)))/Table1[[#This Row], [NUM OF MEM]]</f>
        <v>4.2166666666666659</v>
      </c>
      <c r="Q1536" s="9">
        <f>Table1[[#This Row], [ROOM TIME]]+Table1[[#This Row], [GUARD TIME]]</f>
        <v>46.737777777777772</v>
      </c>
      <c r="R1536" s="4">
        <f>Sheet1!$K$3*_xlfn.XLOOKUP(Table1[[#This Row], [DISGUISE]],Sheet1!$A$21:$A$23,Sheet1!$D$21:$D$23)</f>
        <v>69</v>
      </c>
      <c r="S1536" s="9">
        <f>Table1[[#This Row], [TOTAL TIME]]-Table1[[#This Row], [TOTAL TIME TAKEN]]</f>
        <v>22.262222222222228</v>
      </c>
      <c r="T1536" t="str">
        <f>IF(Table1[[#This Row], [TIME DIFFERENCE]]&gt;=0,"PASS","FAIL")</f>
        <v>PASS</v>
      </c>
      <c r="U1536" s="9">
        <f>Table1[[#This Row], [TRC]]+Table1[[#This Row], [DRC]]+Table1[[#This Row], [WRC]]+Table1[[#This Row], [ERC]]+Table1[[#This Row], [EQRC]]</f>
        <v>8229564.7999999998</v>
      </c>
      <c r="V1536" s="9">
        <f>Table1[[#This Row], [TOTAL COST]]+_xlfn.XLOOKUP(Table1[[#This Row], [TEAM]],Sheet1!$A$12:$A$17,Sheet1!$I$12:$I$17)</f>
        <v>8526064.8000000007</v>
      </c>
      <c r="W1536" s="9">
        <f>Table1[[#This Row], [LOOT]]-Table1[[#This Row], [TOTAL COST]]</f>
        <v>9220435.1999999993</v>
      </c>
      <c r="X1536" s="9">
        <f>IF(Table1[[#This Row], [PASS/FAIL]]="FAIL",0,Table1[[#This Row], [PROFIT]])</f>
        <v>9220435.1999999993</v>
      </c>
    </row>
    <row r="1537" spans="1:24" ht="19.5" customHeight="1" x14ac:dyDescent="0.45">
      <c r="A1537" t="s">
        <v>13</v>
      </c>
      <c r="B1537" s="14">
        <f>_xlfn.XLOOKUP(Table1[[#This Row], [TEAM]],Sheet1!$A$12:$A$17,Sheet1!$F$12:$F$17)</f>
        <v>3</v>
      </c>
      <c r="C1537" s="14">
        <f>_xlfn.XLOOKUP(Table1[[#This Row], [TEAM]],Sheet1!$A$12:$A$17,Sheet1!$G$12:$G$17)</f>
        <v>5930000</v>
      </c>
      <c r="D1537" t="s">
        <v>23</v>
      </c>
      <c r="E1537" s="4">
        <f>_xlfn.XLOOKUP(Table1[[#This Row], [ROOM]],Sheet1!$A$47:$A$66,Sheet1!$B$47:$B$66)</f>
        <v>245</v>
      </c>
      <c r="F1537" t="s">
        <v>58</v>
      </c>
      <c r="G153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7" s="13" t="s">
        <v>66</v>
      </c>
      <c r="I1537" s="4">
        <f>_xlfn.XLOOKUP(Table1[[#This Row], [WEAPON]],Sheet1!$A$27:$A$29,Sheet1!$B$27:$B$29)*Table1[[#This Row], [NUM OF MEM]]*(1+_xlfn.XLOOKUP(Table1[[#This Row], [WEAPON]],Sheet1!$A$27:$A$29,Sheet1!$C$27:$C$29))</f>
        <v>108000</v>
      </c>
      <c r="J1537" t="s">
        <v>60</v>
      </c>
      <c r="K1537" s="9">
        <f>Table1[[#This Row], [NUM OF MEM]]*Table1[[#This Row], [TOTAL TIME TAKEN]]*_xlfn.XLOOKUP(Table1[[#This Row], [EXIT]],Sheet1!$A$70:$A$71,Sheet1!$B$70:$B$71)*(1+_xlfn.XLOOKUP(Table1[[#This Row], [EXIT]],Sheet1!$A$70:$A$71,Sheet1!$C$70:$C$71))</f>
        <v>1796357.5124999997</v>
      </c>
      <c r="L1537" s="13" t="s">
        <v>65</v>
      </c>
      <c r="M1537" s="4">
        <f>IF(Table1[[#This Row], [EQUIPMENT]]="YES",Sheet1!$C$44*(1+Sheet1!$D$44),0)</f>
        <v>307500</v>
      </c>
      <c r="N1537" s="4">
        <f>_xlfn.XLOOKUP(Table1[[#This Row], [ROOM]],Sheet1!$A$47:$A$66,Sheet1!$F$47:$F$66)</f>
        <v>17400000</v>
      </c>
      <c r="O1537" s="9">
        <f>_xlfn.XLOOKUP(_xlfn.CONCAT(Table1[[#This Row], [TEAM]],Table1[[#This Row], [ROOM]]),'ROOM TIME'!$H$2:$H$121,'ROOM TIME'!$J$2:$J$121)</f>
        <v>42.078333333333326</v>
      </c>
      <c r="P1537" s="9">
        <f>(INDEX(Sheet1!$X$48:$Z$67,MATCH(Table1[[#This Row], [ROOM]],Sheet1!$P$48:$P$67,0),MATCH(Table1[[#This Row], [WEAPON]],Sheet1!$X$47:$Z$47,0)))/Table1[[#This Row], [NUM OF MEM]]</f>
        <v>4.583333333333333</v>
      </c>
      <c r="Q1537" s="9">
        <f>Table1[[#This Row], [ROOM TIME]]+Table1[[#This Row], [GUARD TIME]]</f>
        <v>46.661666666666662</v>
      </c>
      <c r="R1537" s="4">
        <f>Sheet1!$K$3*_xlfn.XLOOKUP(Table1[[#This Row], [DISGUISE]],Sheet1!$A$21:$A$23,Sheet1!$D$21:$D$23)</f>
        <v>69</v>
      </c>
      <c r="S1537" s="9">
        <f>Table1[[#This Row], [TOTAL TIME]]-Table1[[#This Row], [TOTAL TIME TAKEN]]</f>
        <v>22.338333333333338</v>
      </c>
      <c r="T1537" t="str">
        <f>IF(Table1[[#This Row], [TIME DIFFERENCE]]&gt;=0,"PASS","FAIL")</f>
        <v>PASS</v>
      </c>
      <c r="U1537" s="9">
        <f>Table1[[#This Row], [TRC]]+Table1[[#This Row], [DRC]]+Table1[[#This Row], [WRC]]+Table1[[#This Row], [ERC]]+Table1[[#This Row], [EQRC]]</f>
        <v>8180257.5124999993</v>
      </c>
      <c r="V1537" s="9">
        <f>Table1[[#This Row], [TOTAL COST]]+_xlfn.XLOOKUP(Table1[[#This Row], [TEAM]],Sheet1!$A$12:$A$17,Sheet1!$I$12:$I$17)</f>
        <v>8476757.5124999993</v>
      </c>
      <c r="W1537" s="9">
        <f>Table1[[#This Row], [LOOT]]-Table1[[#This Row], [TOTAL COST]]</f>
        <v>9219742.4875000007</v>
      </c>
      <c r="X1537" s="9">
        <f>IF(Table1[[#This Row], [PASS/FAIL]]="FAIL",0,Table1[[#This Row], [PROFIT]])</f>
        <v>9219742.4875000007</v>
      </c>
    </row>
    <row r="1538" spans="1:24" ht="19.5" customHeight="1" x14ac:dyDescent="0.45">
      <c r="A1538" t="s">
        <v>9</v>
      </c>
      <c r="B1538" s="14">
        <f>_xlfn.XLOOKUP(Table1[[#This Row], [TEAM]],Sheet1!$A$12:$A$17,Sheet1!$F$12:$F$17)</f>
        <v>3</v>
      </c>
      <c r="C1538" s="14">
        <f>_xlfn.XLOOKUP(Table1[[#This Row], [TEAM]],Sheet1!$A$12:$A$17,Sheet1!$G$12:$G$17)</f>
        <v>6238750</v>
      </c>
      <c r="D1538" t="s">
        <v>31</v>
      </c>
      <c r="E1538" s="4">
        <f>_xlfn.XLOOKUP(Table1[[#This Row], [ROOM]],Sheet1!$A$47:$A$66,Sheet1!$B$47:$B$66)</f>
        <v>256</v>
      </c>
      <c r="F1538" t="s">
        <v>58</v>
      </c>
      <c r="G1538" s="4">
        <f>_xlfn.XLOOKUP(Table1[[#This Row], [DISGUISE]],Sheet1!$A$21:$A$23,Sheet1!$B$21:$B$23)*Table1[[#This Row], [NUM OF MEM]]*(1+_xlfn.XLOOKUP(Table1[[#This Row], [DISGUISE]],Sheet1!$A$21:$A$23,Sheet1!$C$21:$C$23))</f>
        <v>38400</v>
      </c>
      <c r="H1538" s="13" t="s">
        <v>59</v>
      </c>
      <c r="I1538" s="4">
        <f>_xlfn.XLOOKUP(Table1[[#This Row], [WEAPON]],Sheet1!$A$27:$A$29,Sheet1!$B$27:$B$29)*Table1[[#This Row], [NUM OF MEM]]*(1+_xlfn.XLOOKUP(Table1[[#This Row], [WEAPON]],Sheet1!$A$27:$A$29,Sheet1!$C$27:$C$29))</f>
        <v>136500</v>
      </c>
      <c r="J1538" t="s">
        <v>64</v>
      </c>
      <c r="K1538" s="9">
        <f>Table1[[#This Row], [NUM OF MEM]]*Table1[[#This Row], [TOTAL TIME TAKEN]]*_xlfn.XLOOKUP(Table1[[#This Row], [EXIT]],Sheet1!$A$70:$A$71,Sheet1!$B$70:$B$71)*(1+_xlfn.XLOOKUP(Table1[[#This Row], [EXIT]],Sheet1!$A$70:$A$71,Sheet1!$C$70:$C$71))</f>
        <v>1559735.9999999998</v>
      </c>
      <c r="L1538" s="13" t="s">
        <v>65</v>
      </c>
      <c r="M1538" s="4">
        <f>IF(Table1[[#This Row], [EQUIPMENT]]="YES",Sheet1!$C$44*(1+Sheet1!$D$44),0)</f>
        <v>307500</v>
      </c>
      <c r="N1538" s="4">
        <f>_xlfn.XLOOKUP(Table1[[#This Row], [ROOM]],Sheet1!$A$47:$A$66,Sheet1!$F$47:$F$66)</f>
        <v>17500000</v>
      </c>
      <c r="O1538" s="9">
        <f>_xlfn.XLOOKUP(_xlfn.CONCAT(Table1[[#This Row], [TEAM]],Table1[[#This Row], [ROOM]]),'ROOM TIME'!$H$2:$H$121,'ROOM TIME'!$J$2:$J$121)</f>
        <v>35.899999999999991</v>
      </c>
      <c r="P1538" s="9">
        <f>(INDEX(Sheet1!$X$48:$Z$67,MATCH(Table1[[#This Row], [ROOM]],Sheet1!$P$48:$P$67,0),MATCH(Table1[[#This Row], [WEAPON]],Sheet1!$X$47:$Z$47,0)))/Table1[[#This Row], [NUM OF MEM]]</f>
        <v>4.2166666666666659</v>
      </c>
      <c r="Q1538" s="9">
        <f>Table1[[#This Row], [ROOM TIME]]+Table1[[#This Row], [GUARD TIME]]</f>
        <v>40.11666666666666</v>
      </c>
      <c r="R1538" s="4">
        <f>Sheet1!$K$3*_xlfn.XLOOKUP(Table1[[#This Row], [DISGUISE]],Sheet1!$A$21:$A$23,Sheet1!$D$21:$D$23)</f>
        <v>69</v>
      </c>
      <c r="S1538" s="9">
        <f>Table1[[#This Row], [TOTAL TIME]]-Table1[[#This Row], [TOTAL TIME TAKEN]]</f>
        <v>28.88333333333334</v>
      </c>
      <c r="T1538" t="str">
        <f>IF(Table1[[#This Row], [TIME DIFFERENCE]]&gt;=0,"PASS","FAIL")</f>
        <v>PASS</v>
      </c>
      <c r="U1538" s="4">
        <f>Table1[[#This Row], [TRC]]+Table1[[#This Row], [DRC]]+Table1[[#This Row], [WRC]]+Table1[[#This Row], [ERC]]+Table1[[#This Row], [EQRC]]</f>
        <v>8280886</v>
      </c>
      <c r="V1538" s="9">
        <f>Table1[[#This Row], [TOTAL COST]]+_xlfn.XLOOKUP(Table1[[#This Row], [TEAM]],Sheet1!$A$12:$A$17,Sheet1!$I$12:$I$17)</f>
        <v>8592823.5</v>
      </c>
      <c r="W1538" s="4">
        <f>Table1[[#This Row], [LOOT]]-Table1[[#This Row], [TOTAL COST]]</f>
        <v>9219114</v>
      </c>
      <c r="X1538" s="4">
        <f>IF(Table1[[#This Row], [PASS/FAIL]]="FAIL",0,Table1[[#This Row], [PROFIT]])</f>
        <v>9219114</v>
      </c>
    </row>
    <row r="1539" spans="1:24" ht="19.5" customHeight="1" x14ac:dyDescent="0.45">
      <c r="A1539" t="s">
        <v>13</v>
      </c>
      <c r="B1539" s="14">
        <f>_xlfn.XLOOKUP(Table1[[#This Row], [TEAM]],Sheet1!$A$12:$A$17,Sheet1!$F$12:$F$17)</f>
        <v>3</v>
      </c>
      <c r="C1539" s="14">
        <f>_xlfn.XLOOKUP(Table1[[#This Row], [TEAM]],Sheet1!$A$12:$A$17,Sheet1!$G$12:$G$17)</f>
        <v>5930000</v>
      </c>
      <c r="D1539" t="s">
        <v>17</v>
      </c>
      <c r="E1539" s="4">
        <f>_xlfn.XLOOKUP(Table1[[#This Row], [ROOM]],Sheet1!$A$47:$A$66,Sheet1!$B$47:$B$66)</f>
        <v>125</v>
      </c>
      <c r="F1539" t="s">
        <v>62</v>
      </c>
      <c r="G1539" s="4">
        <f>_xlfn.XLOOKUP(Table1[[#This Row], [DISGUISE]],Sheet1!$A$21:$A$23,Sheet1!$B$21:$B$23)*Table1[[#This Row], [NUM OF MEM]]*(1+_xlfn.XLOOKUP(Table1[[#This Row], [DISGUISE]],Sheet1!$A$21:$A$23,Sheet1!$C$21:$C$23))</f>
        <v>15600</v>
      </c>
      <c r="H1539" s="13" t="s">
        <v>63</v>
      </c>
      <c r="I1539" s="4">
        <f>_xlfn.XLOOKUP(Table1[[#This Row], [WEAPON]],Sheet1!$A$27:$A$29,Sheet1!$B$27:$B$29)*Table1[[#This Row], [NUM OF MEM]]*(1+_xlfn.XLOOKUP(Table1[[#This Row], [WEAPON]],Sheet1!$A$27:$A$29,Sheet1!$C$27:$C$29))</f>
        <v>69000</v>
      </c>
      <c r="J1539" t="s">
        <v>64</v>
      </c>
      <c r="K1539" s="9">
        <f>Table1[[#This Row], [NUM OF MEM]]*Table1[[#This Row], [TOTAL TIME TAKEN]]*_xlfn.XLOOKUP(Table1[[#This Row], [EXIT]],Sheet1!$A$70:$A$71,Sheet1!$B$70:$B$71)*(1+_xlfn.XLOOKUP(Table1[[#This Row], [EXIT]],Sheet1!$A$70:$A$71,Sheet1!$C$70:$C$71))</f>
        <v>1814421.5999999996</v>
      </c>
      <c r="L1539" s="13" t="s">
        <v>65</v>
      </c>
      <c r="M1539" s="4">
        <f>IF(Table1[[#This Row], [EQUIPMENT]]="YES",Sheet1!$C$44*(1+Sheet1!$D$44),0)</f>
        <v>307500</v>
      </c>
      <c r="N1539" s="4">
        <f>_xlfn.XLOOKUP(Table1[[#This Row], [ROOM]],Sheet1!$A$47:$A$66,Sheet1!$F$47:$F$66)</f>
        <v>17350000</v>
      </c>
      <c r="O1539" s="9">
        <f>_xlfn.XLOOKUP(_xlfn.CONCAT(Table1[[#This Row], [TEAM]],Table1[[#This Row], [ROOM]]),'ROOM TIME'!$H$2:$H$121,'ROOM TIME'!$J$2:$J$121)</f>
        <v>42.167222222222215</v>
      </c>
      <c r="P1539" s="9">
        <f>(INDEX(Sheet1!$X$48:$Z$67,MATCH(Table1[[#This Row], [ROOM]],Sheet1!$P$48:$P$67,0),MATCH(Table1[[#This Row], [WEAPON]],Sheet1!$X$47:$Z$47,0)))/Table1[[#This Row], [NUM OF MEM]]</f>
        <v>4.5</v>
      </c>
      <c r="Q1539" s="9">
        <f>Table1[[#This Row], [ROOM TIME]]+Table1[[#This Row], [GUARD TIME]]</f>
        <v>46.667222222222215</v>
      </c>
      <c r="R1539" s="4">
        <f>Sheet1!$K$3*_xlfn.XLOOKUP(Table1[[#This Row], [DISGUISE]],Sheet1!$A$21:$A$23,Sheet1!$D$21:$D$23)</f>
        <v>66</v>
      </c>
      <c r="S1539" s="9">
        <f>Table1[[#This Row], [TOTAL TIME]]-Table1[[#This Row], [TOTAL TIME TAKEN]]</f>
        <v>19.332777777777785</v>
      </c>
      <c r="T1539" t="str">
        <f>IF(Table1[[#This Row], [TIME DIFFERENCE]]&gt;=0,"PASS","FAIL")</f>
        <v>PASS</v>
      </c>
      <c r="U1539" s="9">
        <f>Table1[[#This Row], [TRC]]+Table1[[#This Row], [DRC]]+Table1[[#This Row], [WRC]]+Table1[[#This Row], [ERC]]+Table1[[#This Row], [EQRC]]</f>
        <v>8136521.5999999996</v>
      </c>
      <c r="V1539" s="9">
        <f>Table1[[#This Row], [TOTAL COST]]+_xlfn.XLOOKUP(Table1[[#This Row], [TEAM]],Sheet1!$A$12:$A$17,Sheet1!$I$12:$I$17)</f>
        <v>8433021.5999999996</v>
      </c>
      <c r="W1539" s="9">
        <f>Table1[[#This Row], [LOOT]]-Table1[[#This Row], [TOTAL COST]]</f>
        <v>9213478.4000000004</v>
      </c>
      <c r="X1539" s="9">
        <f>IF(Table1[[#This Row], [PASS/FAIL]]="FAIL",0,Table1[[#This Row], [PROFIT]])</f>
        <v>9213478.4000000004</v>
      </c>
    </row>
    <row r="1540" spans="1:24" ht="19.5" customHeight="1" x14ac:dyDescent="0.45">
      <c r="A1540" t="s">
        <v>12</v>
      </c>
      <c r="B1540" s="14">
        <f>_xlfn.XLOOKUP(Table1[[#This Row], [TEAM]],Sheet1!$A$12:$A$17,Sheet1!$F$12:$F$17)</f>
        <v>3</v>
      </c>
      <c r="C1540" s="14">
        <f>_xlfn.XLOOKUP(Table1[[#This Row], [TEAM]],Sheet1!$A$12:$A$17,Sheet1!$G$12:$G$17)</f>
        <v>5988750</v>
      </c>
      <c r="D1540" t="s">
        <v>23</v>
      </c>
      <c r="E1540" s="4">
        <f>_xlfn.XLOOKUP(Table1[[#This Row], [ROOM]],Sheet1!$A$47:$A$66,Sheet1!$B$47:$B$66)</f>
        <v>245</v>
      </c>
      <c r="F1540" t="s">
        <v>58</v>
      </c>
      <c r="G1540" s="4">
        <f>_xlfn.XLOOKUP(Table1[[#This Row], [DISGUISE]],Sheet1!$A$21:$A$23,Sheet1!$B$21:$B$23)*Table1[[#This Row], [NUM OF MEM]]*(1+_xlfn.XLOOKUP(Table1[[#This Row], [DISGUISE]],Sheet1!$A$21:$A$23,Sheet1!$C$21:$C$23))</f>
        <v>38400</v>
      </c>
      <c r="H1540" s="13" t="s">
        <v>59</v>
      </c>
      <c r="I1540" s="4">
        <f>_xlfn.XLOOKUP(Table1[[#This Row], [WEAPON]],Sheet1!$A$27:$A$29,Sheet1!$B$27:$B$29)*Table1[[#This Row], [NUM OF MEM]]*(1+_xlfn.XLOOKUP(Table1[[#This Row], [WEAPON]],Sheet1!$A$27:$A$29,Sheet1!$C$27:$C$29))</f>
        <v>136500</v>
      </c>
      <c r="J1540" t="s">
        <v>64</v>
      </c>
      <c r="K1540" s="9">
        <f>Table1[[#This Row], [NUM OF MEM]]*Table1[[#This Row], [TOTAL TIME TAKEN]]*_xlfn.XLOOKUP(Table1[[#This Row], [EXIT]],Sheet1!$A$70:$A$71,Sheet1!$B$70:$B$71)*(1+_xlfn.XLOOKUP(Table1[[#This Row], [EXIT]],Sheet1!$A$70:$A$71,Sheet1!$C$70:$C$71))</f>
        <v>1715774.3999999994</v>
      </c>
      <c r="L1540" s="13" t="s">
        <v>65</v>
      </c>
      <c r="M1540" s="4">
        <f>IF(Table1[[#This Row], [EQUIPMENT]]="YES",Sheet1!$C$44*(1+Sheet1!$D$44),0)</f>
        <v>307500</v>
      </c>
      <c r="N1540" s="4">
        <f>_xlfn.XLOOKUP(Table1[[#This Row], [ROOM]],Sheet1!$A$47:$A$66,Sheet1!$F$47:$F$66)</f>
        <v>17400000</v>
      </c>
      <c r="O1540" s="9">
        <f>_xlfn.XLOOKUP(_xlfn.CONCAT(Table1[[#This Row], [TEAM]],Table1[[#This Row], [ROOM]]),'ROOM TIME'!$H$2:$H$121,'ROOM TIME'!$J$2:$J$121)</f>
        <v>39.91333333333332</v>
      </c>
      <c r="P1540" s="9">
        <f>(INDEX(Sheet1!$X$48:$Z$67,MATCH(Table1[[#This Row], [ROOM]],Sheet1!$P$48:$P$67,0),MATCH(Table1[[#This Row], [WEAPON]],Sheet1!$X$47:$Z$47,0)))/Table1[[#This Row], [NUM OF MEM]]</f>
        <v>4.2166666666666659</v>
      </c>
      <c r="Q1540" s="9">
        <f>Table1[[#This Row], [ROOM TIME]]+Table1[[#This Row], [GUARD TIME]]</f>
        <v>44.129999999999988</v>
      </c>
      <c r="R1540" s="4">
        <f>Sheet1!$K$3*_xlfn.XLOOKUP(Table1[[#This Row], [DISGUISE]],Sheet1!$A$21:$A$23,Sheet1!$D$21:$D$23)</f>
        <v>69</v>
      </c>
      <c r="S1540" s="9">
        <f>Table1[[#This Row], [TOTAL TIME]]-Table1[[#This Row], [TOTAL TIME TAKEN]]</f>
        <v>24.870000000000012</v>
      </c>
      <c r="T1540" t="str">
        <f>IF(Table1[[#This Row], [TIME DIFFERENCE]]&gt;=0,"PASS","FAIL")</f>
        <v>PASS</v>
      </c>
      <c r="U1540" s="9">
        <f>Table1[[#This Row], [TRC]]+Table1[[#This Row], [DRC]]+Table1[[#This Row], [WRC]]+Table1[[#This Row], [ERC]]+Table1[[#This Row], [EQRC]]</f>
        <v>8186924.3999999994</v>
      </c>
      <c r="V1540" s="9">
        <f>Table1[[#This Row], [TOTAL COST]]+_xlfn.XLOOKUP(Table1[[#This Row], [TEAM]],Sheet1!$A$12:$A$17,Sheet1!$I$12:$I$17)</f>
        <v>8486361.8999999985</v>
      </c>
      <c r="W1540" s="9">
        <f>Table1[[#This Row], [LOOT]]-Table1[[#This Row], [TOTAL COST]]</f>
        <v>9213075.6000000015</v>
      </c>
      <c r="X1540" s="9">
        <f>IF(Table1[[#This Row], [PASS/FAIL]]="FAIL",0,Table1[[#This Row], [PROFIT]])</f>
        <v>9213075.6000000015</v>
      </c>
    </row>
    <row r="1541" spans="1:24" ht="19.5" customHeight="1" x14ac:dyDescent="0.45">
      <c r="A1541" t="s">
        <v>9</v>
      </c>
      <c r="B1541" s="14">
        <f>_xlfn.XLOOKUP(Table1[[#This Row], [TEAM]],Sheet1!$A$12:$A$17,Sheet1!$F$12:$F$17)</f>
        <v>3</v>
      </c>
      <c r="C1541" s="14">
        <f>_xlfn.XLOOKUP(Table1[[#This Row], [TEAM]],Sheet1!$A$12:$A$17,Sheet1!$G$12:$G$17)</f>
        <v>6238750</v>
      </c>
      <c r="D1541" t="s">
        <v>20</v>
      </c>
      <c r="E1541" s="4">
        <f>_xlfn.XLOOKUP(Table1[[#This Row], [ROOM]],Sheet1!$A$47:$A$66,Sheet1!$B$47:$B$66)</f>
        <v>145</v>
      </c>
      <c r="F1541" t="s">
        <v>58</v>
      </c>
      <c r="G154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41" s="13" t="s">
        <v>59</v>
      </c>
      <c r="I1541" s="4">
        <f>_xlfn.XLOOKUP(Table1[[#This Row], [WEAPON]],Sheet1!$A$27:$A$29,Sheet1!$B$27:$B$29)*Table1[[#This Row], [NUM OF MEM]]*(1+_xlfn.XLOOKUP(Table1[[#This Row], [WEAPON]],Sheet1!$A$27:$A$29,Sheet1!$C$27:$C$29))</f>
        <v>136500</v>
      </c>
      <c r="J1541" t="s">
        <v>64</v>
      </c>
      <c r="K1541" s="9">
        <f>Table1[[#This Row], [NUM OF MEM]]*Table1[[#This Row], [TOTAL TIME TAKEN]]*_xlfn.XLOOKUP(Table1[[#This Row], [EXIT]],Sheet1!$A$70:$A$71,Sheet1!$B$70:$B$71)*(1+_xlfn.XLOOKUP(Table1[[#This Row], [EXIT]],Sheet1!$A$70:$A$71,Sheet1!$C$70:$C$71))</f>
        <v>1617386.3999999997</v>
      </c>
      <c r="L1541" s="13" t="s">
        <v>65</v>
      </c>
      <c r="M1541" s="4">
        <f>IF(Table1[[#This Row], [EQUIPMENT]]="YES",Sheet1!$C$44*(1+Sheet1!$D$44),0)</f>
        <v>307500</v>
      </c>
      <c r="N1541" s="4">
        <f>_xlfn.XLOOKUP(Table1[[#This Row], [ROOM]],Sheet1!$A$47:$A$66,Sheet1!$F$47:$F$66)</f>
        <v>17550000</v>
      </c>
      <c r="O1541" s="9">
        <f>_xlfn.XLOOKUP(_xlfn.CONCAT(Table1[[#This Row], [TEAM]],Table1[[#This Row], [ROOM]]),'ROOM TIME'!$H$2:$H$121,'ROOM TIME'!$J$2:$J$121)</f>
        <v>37.766111111111101</v>
      </c>
      <c r="P1541" s="9">
        <f>(INDEX(Sheet1!$X$48:$Z$67,MATCH(Table1[[#This Row], [ROOM]],Sheet1!$P$48:$P$67,0),MATCH(Table1[[#This Row], [WEAPON]],Sheet1!$X$47:$Z$47,0)))/Table1[[#This Row], [NUM OF MEM]]</f>
        <v>3.8333333333333335</v>
      </c>
      <c r="Q1541" s="9">
        <f>Table1[[#This Row], [ROOM TIME]]+Table1[[#This Row], [GUARD TIME]]</f>
        <v>41.599444444444437</v>
      </c>
      <c r="R1541" s="4">
        <f>Sheet1!$K$3*_xlfn.XLOOKUP(Table1[[#This Row], [DISGUISE]],Sheet1!$A$21:$A$23,Sheet1!$D$21:$D$23)</f>
        <v>69</v>
      </c>
      <c r="S1541" s="9">
        <f>Table1[[#This Row], [TOTAL TIME]]-Table1[[#This Row], [TOTAL TIME TAKEN]]</f>
        <v>27.400555555555563</v>
      </c>
      <c r="T1541" t="str">
        <f>IF(Table1[[#This Row], [TIME DIFFERENCE]]&gt;=0,"PASS","FAIL")</f>
        <v>PASS</v>
      </c>
      <c r="U1541" s="9">
        <f>Table1[[#This Row], [TRC]]+Table1[[#This Row], [DRC]]+Table1[[#This Row], [WRC]]+Table1[[#This Row], [ERC]]+Table1[[#This Row], [EQRC]]</f>
        <v>8338536.3999999994</v>
      </c>
      <c r="V1541" s="9">
        <f>Table1[[#This Row], [TOTAL COST]]+_xlfn.XLOOKUP(Table1[[#This Row], [TEAM]],Sheet1!$A$12:$A$17,Sheet1!$I$12:$I$17)</f>
        <v>8650473.8999999985</v>
      </c>
      <c r="W1541" s="9">
        <f>Table1[[#This Row], [LOOT]]-Table1[[#This Row], [TOTAL COST]]</f>
        <v>9211463.6000000015</v>
      </c>
      <c r="X1541" s="9">
        <f>IF(Table1[[#This Row], [PASS/FAIL]]="FAIL",0,Table1[[#This Row], [PROFIT]])</f>
        <v>9211463.6000000015</v>
      </c>
    </row>
    <row r="1542" spans="1:24" ht="19.5" customHeight="1" x14ac:dyDescent="0.45">
      <c r="A1542" t="s">
        <v>12</v>
      </c>
      <c r="B1542" s="14">
        <f>_xlfn.XLOOKUP(Table1[[#This Row], [TEAM]],Sheet1!$A$12:$A$17,Sheet1!$F$12:$F$17)</f>
        <v>3</v>
      </c>
      <c r="C1542" s="14">
        <f>_xlfn.XLOOKUP(Table1[[#This Row], [TEAM]],Sheet1!$A$12:$A$17,Sheet1!$G$12:$G$17)</f>
        <v>5988750</v>
      </c>
      <c r="D1542" t="s">
        <v>17</v>
      </c>
      <c r="E1542" s="4">
        <f>_xlfn.XLOOKUP(Table1[[#This Row], [ROOM]],Sheet1!$A$47:$A$66,Sheet1!$B$47:$B$66)</f>
        <v>125</v>
      </c>
      <c r="F1542" t="s">
        <v>58</v>
      </c>
      <c r="G154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42" s="13" t="s">
        <v>63</v>
      </c>
      <c r="I1542" s="4">
        <f>_xlfn.XLOOKUP(Table1[[#This Row], [WEAPON]],Sheet1!$A$27:$A$29,Sheet1!$B$27:$B$29)*Table1[[#This Row], [NUM OF MEM]]*(1+_xlfn.XLOOKUP(Table1[[#This Row], [WEAPON]],Sheet1!$A$27:$A$29,Sheet1!$C$27:$C$29))</f>
        <v>69000</v>
      </c>
      <c r="J1542" t="s">
        <v>64</v>
      </c>
      <c r="K1542" s="9">
        <f>Table1[[#This Row], [NUM OF MEM]]*Table1[[#This Row], [TOTAL TIME TAKEN]]*_xlfn.XLOOKUP(Table1[[#This Row], [EXIT]],Sheet1!$A$70:$A$71,Sheet1!$B$70:$B$71)*(1+_xlfn.XLOOKUP(Table1[[#This Row], [EXIT]],Sheet1!$A$70:$A$71,Sheet1!$C$70:$C$71))</f>
        <v>1735300.7999999993</v>
      </c>
      <c r="L1542" s="13" t="s">
        <v>65</v>
      </c>
      <c r="M1542" s="4">
        <f>IF(Table1[[#This Row], [EQUIPMENT]]="YES",Sheet1!$C$44*(1+Sheet1!$D$44),0)</f>
        <v>307500</v>
      </c>
      <c r="N1542" s="4">
        <f>_xlfn.XLOOKUP(Table1[[#This Row], [ROOM]],Sheet1!$A$47:$A$66,Sheet1!$F$47:$F$66)</f>
        <v>17350000</v>
      </c>
      <c r="O1542" s="9">
        <f>_xlfn.XLOOKUP(_xlfn.CONCAT(Table1[[#This Row], [TEAM]],Table1[[#This Row], [ROOM]]),'ROOM TIME'!$H$2:$H$121,'ROOM TIME'!$J$2:$J$121)</f>
        <v>40.132222222222204</v>
      </c>
      <c r="P1542" s="9">
        <f>(INDEX(Sheet1!$X$48:$Z$67,MATCH(Table1[[#This Row], [ROOM]],Sheet1!$P$48:$P$67,0),MATCH(Table1[[#This Row], [WEAPON]],Sheet1!$X$47:$Z$47,0)))/Table1[[#This Row], [NUM OF MEM]]</f>
        <v>4.5</v>
      </c>
      <c r="Q1542" s="9">
        <f>Table1[[#This Row], [ROOM TIME]]+Table1[[#This Row], [GUARD TIME]]</f>
        <v>44.632222222222204</v>
      </c>
      <c r="R1542" s="4">
        <f>Sheet1!$K$3*_xlfn.XLOOKUP(Table1[[#This Row], [DISGUISE]],Sheet1!$A$21:$A$23,Sheet1!$D$21:$D$23)</f>
        <v>69</v>
      </c>
      <c r="S1542" s="9">
        <f>Table1[[#This Row], [TOTAL TIME]]-Table1[[#This Row], [TOTAL TIME TAKEN]]</f>
        <v>24.367777777777796</v>
      </c>
      <c r="T1542" t="str">
        <f>IF(Table1[[#This Row], [TIME DIFFERENCE]]&gt;=0,"PASS","FAIL")</f>
        <v>PASS</v>
      </c>
      <c r="U1542" s="9">
        <f>Table1[[#This Row], [TRC]]+Table1[[#This Row], [DRC]]+Table1[[#This Row], [WRC]]+Table1[[#This Row], [ERC]]+Table1[[#This Row], [EQRC]]</f>
        <v>8138950.7999999989</v>
      </c>
      <c r="V1542" s="9">
        <f>Table1[[#This Row], [TOTAL COST]]+_xlfn.XLOOKUP(Table1[[#This Row], [TEAM]],Sheet1!$A$12:$A$17,Sheet1!$I$12:$I$17)</f>
        <v>8438388.2999999989</v>
      </c>
      <c r="W1542" s="9">
        <f>Table1[[#This Row], [LOOT]]-Table1[[#This Row], [TOTAL COST]]</f>
        <v>9211049.2000000011</v>
      </c>
      <c r="X1542" s="9">
        <f>IF(Table1[[#This Row], [PASS/FAIL]]="FAIL",0,Table1[[#This Row], [PROFIT]])</f>
        <v>9211049.2000000011</v>
      </c>
    </row>
    <row r="1543" spans="1:24" ht="19.5" customHeight="1" x14ac:dyDescent="0.45">
      <c r="A1543" t="s">
        <v>13</v>
      </c>
      <c r="B1543" s="14">
        <f>_xlfn.XLOOKUP(Table1[[#This Row], [TEAM]],Sheet1!$A$12:$A$17,Sheet1!$F$12:$F$17)</f>
        <v>3</v>
      </c>
      <c r="C1543" s="14">
        <f>_xlfn.XLOOKUP(Table1[[#This Row], [TEAM]],Sheet1!$A$12:$A$17,Sheet1!$G$12:$G$17)</f>
        <v>5930000</v>
      </c>
      <c r="D1543" t="s">
        <v>23</v>
      </c>
      <c r="E1543" s="4">
        <f>_xlfn.XLOOKUP(Table1[[#This Row], [ROOM]],Sheet1!$A$47:$A$66,Sheet1!$B$47:$B$66)</f>
        <v>245</v>
      </c>
      <c r="F1543" t="s">
        <v>62</v>
      </c>
      <c r="G154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43" s="13" t="s">
        <v>59</v>
      </c>
      <c r="I1543" s="4">
        <f>_xlfn.XLOOKUP(Table1[[#This Row], [WEAPON]],Sheet1!$A$27:$A$29,Sheet1!$B$27:$B$29)*Table1[[#This Row], [NUM OF MEM]]*(1+_xlfn.XLOOKUP(Table1[[#This Row], [WEAPON]],Sheet1!$A$27:$A$29,Sheet1!$C$27:$C$29))</f>
        <v>136500</v>
      </c>
      <c r="J1543" t="s">
        <v>64</v>
      </c>
      <c r="K1543" s="9">
        <f>Table1[[#This Row], [NUM OF MEM]]*Table1[[#This Row], [TOTAL TIME TAKEN]]*_xlfn.XLOOKUP(Table1[[#This Row], [EXIT]],Sheet1!$A$70:$A$71,Sheet1!$B$70:$B$71)*(1+_xlfn.XLOOKUP(Table1[[#This Row], [EXIT]],Sheet1!$A$70:$A$71,Sheet1!$C$70:$C$71))</f>
        <v>1799949.5999999999</v>
      </c>
      <c r="L1543" s="13" t="s">
        <v>65</v>
      </c>
      <c r="M1543" s="4">
        <f>IF(Table1[[#This Row], [EQUIPMENT]]="YES",Sheet1!$C$44*(1+Sheet1!$D$44),0)</f>
        <v>307500</v>
      </c>
      <c r="N1543" s="4">
        <f>_xlfn.XLOOKUP(Table1[[#This Row], [ROOM]],Sheet1!$A$47:$A$66,Sheet1!$F$47:$F$66)</f>
        <v>17400000</v>
      </c>
      <c r="O1543" s="9">
        <f>_xlfn.XLOOKUP(_xlfn.CONCAT(Table1[[#This Row], [TEAM]],Table1[[#This Row], [ROOM]]),'ROOM TIME'!$H$2:$H$121,'ROOM TIME'!$J$2:$J$121)</f>
        <v>42.078333333333326</v>
      </c>
      <c r="P1543" s="9">
        <f>(INDEX(Sheet1!$X$48:$Z$67,MATCH(Table1[[#This Row], [ROOM]],Sheet1!$P$48:$P$67,0),MATCH(Table1[[#This Row], [WEAPON]],Sheet1!$X$47:$Z$47,0)))/Table1[[#This Row], [NUM OF MEM]]</f>
        <v>4.2166666666666659</v>
      </c>
      <c r="Q1543" s="9">
        <f>Table1[[#This Row], [ROOM TIME]]+Table1[[#This Row], [GUARD TIME]]</f>
        <v>46.294999999999995</v>
      </c>
      <c r="R1543" s="4">
        <f>Sheet1!$K$3*_xlfn.XLOOKUP(Table1[[#This Row], [DISGUISE]],Sheet1!$A$21:$A$23,Sheet1!$D$21:$D$23)</f>
        <v>66</v>
      </c>
      <c r="S1543" s="9">
        <f>Table1[[#This Row], [TOTAL TIME]]-Table1[[#This Row], [TOTAL TIME TAKEN]]</f>
        <v>19.705000000000005</v>
      </c>
      <c r="T1543" t="str">
        <f>IF(Table1[[#This Row], [TIME DIFFERENCE]]&gt;=0,"PASS","FAIL")</f>
        <v>PASS</v>
      </c>
      <c r="U1543" s="9">
        <f>Table1[[#This Row], [TRC]]+Table1[[#This Row], [DRC]]+Table1[[#This Row], [WRC]]+Table1[[#This Row], [ERC]]+Table1[[#This Row], [EQRC]]</f>
        <v>8189549.5999999996</v>
      </c>
      <c r="V1543" s="9">
        <f>Table1[[#This Row], [TOTAL COST]]+_xlfn.XLOOKUP(Table1[[#This Row], [TEAM]],Sheet1!$A$12:$A$17,Sheet1!$I$12:$I$17)</f>
        <v>8486049.5999999996</v>
      </c>
      <c r="W1543" s="9">
        <f>Table1[[#This Row], [LOOT]]-Table1[[#This Row], [TOTAL COST]]</f>
        <v>9210450.4000000004</v>
      </c>
      <c r="X1543" s="9">
        <f>IF(Table1[[#This Row], [PASS/FAIL]]="FAIL",0,Table1[[#This Row], [PROFIT]])</f>
        <v>9210450.4000000004</v>
      </c>
    </row>
    <row r="1544" spans="1:24" ht="19.5" customHeight="1" x14ac:dyDescent="0.45">
      <c r="A1544" t="s">
        <v>12</v>
      </c>
      <c r="B1544" s="14">
        <f>_xlfn.XLOOKUP(Table1[[#This Row], [TEAM]],Sheet1!$A$12:$A$17,Sheet1!$F$12:$F$17)</f>
        <v>3</v>
      </c>
      <c r="C1544" s="14">
        <f>_xlfn.XLOOKUP(Table1[[#This Row], [TEAM]],Sheet1!$A$12:$A$17,Sheet1!$G$12:$G$17)</f>
        <v>5988750</v>
      </c>
      <c r="D1544" t="s">
        <v>17</v>
      </c>
      <c r="E1544" s="4">
        <f>_xlfn.XLOOKUP(Table1[[#This Row], [ROOM]],Sheet1!$A$47:$A$66,Sheet1!$B$47:$B$66)</f>
        <v>125</v>
      </c>
      <c r="F1544" t="s">
        <v>62</v>
      </c>
      <c r="G154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44" s="13" t="s">
        <v>59</v>
      </c>
      <c r="I1544" s="4">
        <f>_xlfn.XLOOKUP(Table1[[#This Row], [WEAPON]],Sheet1!$A$27:$A$29,Sheet1!$B$27:$B$29)*Table1[[#This Row], [NUM OF MEM]]*(1+_xlfn.XLOOKUP(Table1[[#This Row], [WEAPON]],Sheet1!$A$27:$A$29,Sheet1!$C$27:$C$29))</f>
        <v>136500</v>
      </c>
      <c r="J1544" t="s">
        <v>60</v>
      </c>
      <c r="K1544" s="9">
        <f>Table1[[#This Row], [NUM OF MEM]]*Table1[[#This Row], [TOTAL TIME TAKEN]]*_xlfn.XLOOKUP(Table1[[#This Row], [EXIT]],Sheet1!$A$70:$A$71,Sheet1!$B$70:$B$71)*(1+_xlfn.XLOOKUP(Table1[[#This Row], [EXIT]],Sheet1!$A$70:$A$71,Sheet1!$C$70:$C$71))</f>
        <v>1692563.9749999992</v>
      </c>
      <c r="L1544" s="13" t="s">
        <v>65</v>
      </c>
      <c r="M1544" s="4">
        <f>IF(Table1[[#This Row], [EQUIPMENT]]="YES",Sheet1!$C$44*(1+Sheet1!$D$44),0)</f>
        <v>307500</v>
      </c>
      <c r="N1544" s="4">
        <f>_xlfn.XLOOKUP(Table1[[#This Row], [ROOM]],Sheet1!$A$47:$A$66,Sheet1!$F$47:$F$66)</f>
        <v>17350000</v>
      </c>
      <c r="O1544" s="9">
        <f>_xlfn.XLOOKUP(_xlfn.CONCAT(Table1[[#This Row], [TEAM]],Table1[[#This Row], [ROOM]]),'ROOM TIME'!$H$2:$H$121,'ROOM TIME'!$J$2:$J$121)</f>
        <v>40.132222222222204</v>
      </c>
      <c r="P1544" s="9">
        <f>(INDEX(Sheet1!$X$48:$Z$67,MATCH(Table1[[#This Row], [ROOM]],Sheet1!$P$48:$P$67,0),MATCH(Table1[[#This Row], [WEAPON]],Sheet1!$X$47:$Z$47,0)))/Table1[[#This Row], [NUM OF MEM]]</f>
        <v>3.8333333333333335</v>
      </c>
      <c r="Q1544" s="9">
        <f>Table1[[#This Row], [ROOM TIME]]+Table1[[#This Row], [GUARD TIME]]</f>
        <v>43.96555555555554</v>
      </c>
      <c r="R1544" s="4">
        <f>Sheet1!$K$3*_xlfn.XLOOKUP(Table1[[#This Row], [DISGUISE]],Sheet1!$A$21:$A$23,Sheet1!$D$21:$D$23)</f>
        <v>66</v>
      </c>
      <c r="S1544" s="9">
        <f>Table1[[#This Row], [TOTAL TIME]]-Table1[[#This Row], [TOTAL TIME TAKEN]]</f>
        <v>22.03444444444446</v>
      </c>
      <c r="T1544" t="str">
        <f>IF(Table1[[#This Row], [TIME DIFFERENCE]]&gt;=0,"PASS","FAIL")</f>
        <v>PASS</v>
      </c>
      <c r="U1544" s="9">
        <f>Table1[[#This Row], [TRC]]+Table1[[#This Row], [DRC]]+Table1[[#This Row], [WRC]]+Table1[[#This Row], [ERC]]+Table1[[#This Row], [EQRC]]</f>
        <v>8140913.9749999996</v>
      </c>
      <c r="V1544" s="9">
        <f>Table1[[#This Row], [TOTAL COST]]+_xlfn.XLOOKUP(Table1[[#This Row], [TEAM]],Sheet1!$A$12:$A$17,Sheet1!$I$12:$I$17)</f>
        <v>8440351.4749999996</v>
      </c>
      <c r="W1544" s="9">
        <f>Table1[[#This Row], [LOOT]]-Table1[[#This Row], [TOTAL COST]]</f>
        <v>9209086.0250000004</v>
      </c>
      <c r="X1544" s="9">
        <f>IF(Table1[[#This Row], [PASS/FAIL]]="FAIL",0,Table1[[#This Row], [PROFIT]])</f>
        <v>9209086.0250000004</v>
      </c>
    </row>
    <row r="1545" spans="1:24" ht="19.5" customHeight="1" x14ac:dyDescent="0.45">
      <c r="A1545" t="s">
        <v>13</v>
      </c>
      <c r="B1545" s="14">
        <f>_xlfn.XLOOKUP(Table1[[#This Row], [TEAM]],Sheet1!$A$12:$A$17,Sheet1!$F$12:$F$17)</f>
        <v>3</v>
      </c>
      <c r="C1545" s="14">
        <f>_xlfn.XLOOKUP(Table1[[#This Row], [TEAM]],Sheet1!$A$12:$A$17,Sheet1!$G$12:$G$17)</f>
        <v>5930000</v>
      </c>
      <c r="D1545" t="s">
        <v>17</v>
      </c>
      <c r="E1545" s="4">
        <f>_xlfn.XLOOKUP(Table1[[#This Row], [ROOM]],Sheet1!$A$47:$A$66,Sheet1!$B$47:$B$66)</f>
        <v>125</v>
      </c>
      <c r="F1545" t="s">
        <v>58</v>
      </c>
      <c r="G1545" s="4">
        <f>_xlfn.XLOOKUP(Table1[[#This Row], [DISGUISE]],Sheet1!$A$21:$A$23,Sheet1!$B$21:$B$23)*Table1[[#This Row], [NUM OF MEM]]*(1+_xlfn.XLOOKUP(Table1[[#This Row], [DISGUISE]],Sheet1!$A$21:$A$23,Sheet1!$C$21:$C$23))</f>
        <v>38400</v>
      </c>
      <c r="H1545" s="13" t="s">
        <v>63</v>
      </c>
      <c r="I1545" s="4">
        <f>_xlfn.XLOOKUP(Table1[[#This Row], [WEAPON]],Sheet1!$A$27:$A$29,Sheet1!$B$27:$B$29)*Table1[[#This Row], [NUM OF MEM]]*(1+_xlfn.XLOOKUP(Table1[[#This Row], [WEAPON]],Sheet1!$A$27:$A$29,Sheet1!$C$27:$C$29))</f>
        <v>69000</v>
      </c>
      <c r="J1545" t="s">
        <v>60</v>
      </c>
      <c r="K1545" s="9">
        <f>Table1[[#This Row], [NUM OF MEM]]*Table1[[#This Row], [TOTAL TIME TAKEN]]*_xlfn.XLOOKUP(Table1[[#This Row], [EXIT]],Sheet1!$A$70:$A$71,Sheet1!$B$70:$B$71)*(1+_xlfn.XLOOKUP(Table1[[#This Row], [EXIT]],Sheet1!$A$70:$A$71,Sheet1!$C$70:$C$71))</f>
        <v>1796571.3874999997</v>
      </c>
      <c r="L1545" s="13" t="s">
        <v>65</v>
      </c>
      <c r="M1545" s="4">
        <f>IF(Table1[[#This Row], [EQUIPMENT]]="YES",Sheet1!$C$44*(1+Sheet1!$D$44),0)</f>
        <v>307500</v>
      </c>
      <c r="N1545" s="4">
        <f>_xlfn.XLOOKUP(Table1[[#This Row], [ROOM]],Sheet1!$A$47:$A$66,Sheet1!$F$47:$F$66)</f>
        <v>17350000</v>
      </c>
      <c r="O1545" s="9">
        <f>_xlfn.XLOOKUP(_xlfn.CONCAT(Table1[[#This Row], [TEAM]],Table1[[#This Row], [ROOM]]),'ROOM TIME'!$H$2:$H$121,'ROOM TIME'!$J$2:$J$121)</f>
        <v>42.167222222222215</v>
      </c>
      <c r="P1545" s="9">
        <f>(INDEX(Sheet1!$X$48:$Z$67,MATCH(Table1[[#This Row], [ROOM]],Sheet1!$P$48:$P$67,0),MATCH(Table1[[#This Row], [WEAPON]],Sheet1!$X$47:$Z$47,0)))/Table1[[#This Row], [NUM OF MEM]]</f>
        <v>4.5</v>
      </c>
      <c r="Q1545" s="9">
        <f>Table1[[#This Row], [ROOM TIME]]+Table1[[#This Row], [GUARD TIME]]</f>
        <v>46.667222222222215</v>
      </c>
      <c r="R1545" s="4">
        <f>Sheet1!$K$3*_xlfn.XLOOKUP(Table1[[#This Row], [DISGUISE]],Sheet1!$A$21:$A$23,Sheet1!$D$21:$D$23)</f>
        <v>69</v>
      </c>
      <c r="S1545" s="9">
        <f>Table1[[#This Row], [TOTAL TIME]]-Table1[[#This Row], [TOTAL TIME TAKEN]]</f>
        <v>22.332777777777785</v>
      </c>
      <c r="T1545" t="str">
        <f>IF(Table1[[#This Row], [TIME DIFFERENCE]]&gt;=0,"PASS","FAIL")</f>
        <v>PASS</v>
      </c>
      <c r="U1545" s="9">
        <f>Table1[[#This Row], [TRC]]+Table1[[#This Row], [DRC]]+Table1[[#This Row], [WRC]]+Table1[[#This Row], [ERC]]+Table1[[#This Row], [EQRC]]</f>
        <v>8141471.3874999993</v>
      </c>
      <c r="V1545" s="9">
        <f>Table1[[#This Row], [TOTAL COST]]+_xlfn.XLOOKUP(Table1[[#This Row], [TEAM]],Sheet1!$A$12:$A$17,Sheet1!$I$12:$I$17)</f>
        <v>8437971.3874999993</v>
      </c>
      <c r="W1545" s="9">
        <f>Table1[[#This Row], [LOOT]]-Table1[[#This Row], [TOTAL COST]]</f>
        <v>9208528.6125000007</v>
      </c>
      <c r="X1545" s="9">
        <f>IF(Table1[[#This Row], [PASS/FAIL]]="FAIL",0,Table1[[#This Row], [PROFIT]])</f>
        <v>9208528.6125000007</v>
      </c>
    </row>
    <row r="1546" spans="1:24" ht="19.5" customHeight="1" x14ac:dyDescent="0.45">
      <c r="A1546" t="s">
        <v>12</v>
      </c>
      <c r="B1546" s="14">
        <f>_xlfn.XLOOKUP(Table1[[#This Row], [TEAM]],Sheet1!$A$12:$A$17,Sheet1!$F$12:$F$17)</f>
        <v>3</v>
      </c>
      <c r="C1546" s="14">
        <f>_xlfn.XLOOKUP(Table1[[#This Row], [TEAM]],Sheet1!$A$12:$A$17,Sheet1!$G$12:$G$17)</f>
        <v>5988750</v>
      </c>
      <c r="D1546" t="s">
        <v>17</v>
      </c>
      <c r="E1546" s="4">
        <f>_xlfn.XLOOKUP(Table1[[#This Row], [ROOM]],Sheet1!$A$47:$A$66,Sheet1!$B$47:$B$66)</f>
        <v>125</v>
      </c>
      <c r="F1546" t="s">
        <v>62</v>
      </c>
      <c r="G1546" s="4">
        <f>_xlfn.XLOOKUP(Table1[[#This Row], [DISGUISE]],Sheet1!$A$21:$A$23,Sheet1!$B$21:$B$23)*Table1[[#This Row], [NUM OF MEM]]*(1+_xlfn.XLOOKUP(Table1[[#This Row], [DISGUISE]],Sheet1!$A$21:$A$23,Sheet1!$C$21:$C$23))</f>
        <v>15600</v>
      </c>
      <c r="H1546" s="13" t="s">
        <v>66</v>
      </c>
      <c r="I1546" s="4">
        <f>_xlfn.XLOOKUP(Table1[[#This Row], [WEAPON]],Sheet1!$A$27:$A$29,Sheet1!$B$27:$B$29)*Table1[[#This Row], [NUM OF MEM]]*(1+_xlfn.XLOOKUP(Table1[[#This Row], [WEAPON]],Sheet1!$A$27:$A$29,Sheet1!$C$27:$C$29))</f>
        <v>108000</v>
      </c>
      <c r="J1546" t="s">
        <v>64</v>
      </c>
      <c r="K1546" s="9">
        <f>Table1[[#This Row], [NUM OF MEM]]*Table1[[#This Row], [TOTAL TIME TAKEN]]*_xlfn.XLOOKUP(Table1[[#This Row], [EXIT]],Sheet1!$A$70:$A$71,Sheet1!$B$70:$B$71)*(1+_xlfn.XLOOKUP(Table1[[#This Row], [EXIT]],Sheet1!$A$70:$A$71,Sheet1!$C$70:$C$71))</f>
        <v>1722340.7999999989</v>
      </c>
      <c r="L1546" s="13" t="s">
        <v>65</v>
      </c>
      <c r="M1546" s="4">
        <f>IF(Table1[[#This Row], [EQUIPMENT]]="YES",Sheet1!$C$44*(1+Sheet1!$D$44),0)</f>
        <v>307500</v>
      </c>
      <c r="N1546" s="4">
        <f>_xlfn.XLOOKUP(Table1[[#This Row], [ROOM]],Sheet1!$A$47:$A$66,Sheet1!$F$47:$F$66)</f>
        <v>17350000</v>
      </c>
      <c r="O1546" s="9">
        <f>_xlfn.XLOOKUP(_xlfn.CONCAT(Table1[[#This Row], [TEAM]],Table1[[#This Row], [ROOM]]),'ROOM TIME'!$H$2:$H$121,'ROOM TIME'!$J$2:$J$121)</f>
        <v>40.132222222222204</v>
      </c>
      <c r="P1546" s="9">
        <f>(INDEX(Sheet1!$X$48:$Z$67,MATCH(Table1[[#This Row], [ROOM]],Sheet1!$P$48:$P$67,0),MATCH(Table1[[#This Row], [WEAPON]],Sheet1!$X$47:$Z$47,0)))/Table1[[#This Row], [NUM OF MEM]]</f>
        <v>4.166666666666667</v>
      </c>
      <c r="Q1546" s="9">
        <f>Table1[[#This Row], [ROOM TIME]]+Table1[[#This Row], [GUARD TIME]]</f>
        <v>44.298888888888868</v>
      </c>
      <c r="R1546" s="4">
        <f>Sheet1!$K$3*_xlfn.XLOOKUP(Table1[[#This Row], [DISGUISE]],Sheet1!$A$21:$A$23,Sheet1!$D$21:$D$23)</f>
        <v>66</v>
      </c>
      <c r="S1546" s="9">
        <f>Table1[[#This Row], [TOTAL TIME]]-Table1[[#This Row], [TOTAL TIME TAKEN]]</f>
        <v>21.701111111111132</v>
      </c>
      <c r="T1546" t="str">
        <f>IF(Table1[[#This Row], [TIME DIFFERENCE]]&gt;=0,"PASS","FAIL")</f>
        <v>PASS</v>
      </c>
      <c r="U1546" s="9">
        <f>Table1[[#This Row], [TRC]]+Table1[[#This Row], [DRC]]+Table1[[#This Row], [WRC]]+Table1[[#This Row], [ERC]]+Table1[[#This Row], [EQRC]]</f>
        <v>8142190.7999999989</v>
      </c>
      <c r="V1546" s="9">
        <f>Table1[[#This Row], [TOTAL COST]]+_xlfn.XLOOKUP(Table1[[#This Row], [TEAM]],Sheet1!$A$12:$A$17,Sheet1!$I$12:$I$17)</f>
        <v>8441628.2999999989</v>
      </c>
      <c r="W1546" s="9">
        <f>Table1[[#This Row], [LOOT]]-Table1[[#This Row], [TOTAL COST]]</f>
        <v>9207809.2000000011</v>
      </c>
      <c r="X1546" s="9">
        <f>IF(Table1[[#This Row], [PASS/FAIL]]="FAIL",0,Table1[[#This Row], [PROFIT]])</f>
        <v>9207809.2000000011</v>
      </c>
    </row>
    <row r="1547" spans="1:24" ht="19.5" customHeight="1" x14ac:dyDescent="0.45">
      <c r="A1547" t="s">
        <v>13</v>
      </c>
      <c r="B1547" s="14">
        <f>_xlfn.XLOOKUP(Table1[[#This Row], [TEAM]],Sheet1!$A$12:$A$17,Sheet1!$F$12:$F$17)</f>
        <v>3</v>
      </c>
      <c r="C1547" s="14">
        <f>_xlfn.XLOOKUP(Table1[[#This Row], [TEAM]],Sheet1!$A$12:$A$17,Sheet1!$G$12:$G$17)</f>
        <v>5930000</v>
      </c>
      <c r="D1547" t="s">
        <v>23</v>
      </c>
      <c r="E1547" s="4">
        <f>_xlfn.XLOOKUP(Table1[[#This Row], [ROOM]],Sheet1!$A$47:$A$66,Sheet1!$B$47:$B$66)</f>
        <v>245</v>
      </c>
      <c r="F1547" t="s">
        <v>58</v>
      </c>
      <c r="G154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47" s="13" t="s">
        <v>59</v>
      </c>
      <c r="I1547" s="4">
        <f>_xlfn.XLOOKUP(Table1[[#This Row], [WEAPON]],Sheet1!$A$27:$A$29,Sheet1!$B$27:$B$29)*Table1[[#This Row], [NUM OF MEM]]*(1+_xlfn.XLOOKUP(Table1[[#This Row], [WEAPON]],Sheet1!$A$27:$A$29,Sheet1!$C$27:$C$29))</f>
        <v>136500</v>
      </c>
      <c r="J1547" t="s">
        <v>60</v>
      </c>
      <c r="K1547" s="9">
        <f>Table1[[#This Row], [NUM OF MEM]]*Table1[[#This Row], [TOTAL TIME TAKEN]]*_xlfn.XLOOKUP(Table1[[#This Row], [EXIT]],Sheet1!$A$70:$A$71,Sheet1!$B$70:$B$71)*(1+_xlfn.XLOOKUP(Table1[[#This Row], [EXIT]],Sheet1!$A$70:$A$71,Sheet1!$C$70:$C$71))</f>
        <v>1782241.7625</v>
      </c>
      <c r="L1547" s="13" t="s">
        <v>65</v>
      </c>
      <c r="M1547" s="4">
        <f>IF(Table1[[#This Row], [EQUIPMENT]]="YES",Sheet1!$C$44*(1+Sheet1!$D$44),0)</f>
        <v>307500</v>
      </c>
      <c r="N1547" s="4">
        <f>_xlfn.XLOOKUP(Table1[[#This Row], [ROOM]],Sheet1!$A$47:$A$66,Sheet1!$F$47:$F$66)</f>
        <v>17400000</v>
      </c>
      <c r="O1547" s="9">
        <f>_xlfn.XLOOKUP(_xlfn.CONCAT(Table1[[#This Row], [TEAM]],Table1[[#This Row], [ROOM]]),'ROOM TIME'!$H$2:$H$121,'ROOM TIME'!$J$2:$J$121)</f>
        <v>42.078333333333326</v>
      </c>
      <c r="P1547" s="9">
        <f>(INDEX(Sheet1!$X$48:$Z$67,MATCH(Table1[[#This Row], [ROOM]],Sheet1!$P$48:$P$67,0),MATCH(Table1[[#This Row], [WEAPON]],Sheet1!$X$47:$Z$47,0)))/Table1[[#This Row], [NUM OF MEM]]</f>
        <v>4.2166666666666659</v>
      </c>
      <c r="Q1547" s="9">
        <f>Table1[[#This Row], [ROOM TIME]]+Table1[[#This Row], [GUARD TIME]]</f>
        <v>46.294999999999995</v>
      </c>
      <c r="R1547" s="4">
        <f>Sheet1!$K$3*_xlfn.XLOOKUP(Table1[[#This Row], [DISGUISE]],Sheet1!$A$21:$A$23,Sheet1!$D$21:$D$23)</f>
        <v>69</v>
      </c>
      <c r="S1547" s="9">
        <f>Table1[[#This Row], [TOTAL TIME]]-Table1[[#This Row], [TOTAL TIME TAKEN]]</f>
        <v>22.705000000000005</v>
      </c>
      <c r="T1547" t="str">
        <f>IF(Table1[[#This Row], [TIME DIFFERENCE]]&gt;=0,"PASS","FAIL")</f>
        <v>PASS</v>
      </c>
      <c r="U1547" s="9">
        <f>Table1[[#This Row], [TRC]]+Table1[[#This Row], [DRC]]+Table1[[#This Row], [WRC]]+Table1[[#This Row], [ERC]]+Table1[[#This Row], [EQRC]]</f>
        <v>8194641.7625000002</v>
      </c>
      <c r="V1547" s="9">
        <f>Table1[[#This Row], [TOTAL COST]]+_xlfn.XLOOKUP(Table1[[#This Row], [TEAM]],Sheet1!$A$12:$A$17,Sheet1!$I$12:$I$17)</f>
        <v>8491141.7624999993</v>
      </c>
      <c r="W1547" s="9">
        <f>Table1[[#This Row], [LOOT]]-Table1[[#This Row], [TOTAL COST]]</f>
        <v>9205358.2375000007</v>
      </c>
      <c r="X1547" s="9">
        <f>IF(Table1[[#This Row], [PASS/FAIL]]="FAIL",0,Table1[[#This Row], [PROFIT]])</f>
        <v>9205358.2375000007</v>
      </c>
    </row>
    <row r="1548" spans="1:24" ht="19.5" customHeight="1" x14ac:dyDescent="0.45">
      <c r="A1548" t="s">
        <v>13</v>
      </c>
      <c r="B1548" s="14">
        <f>_xlfn.XLOOKUP(Table1[[#This Row], [TEAM]],Sheet1!$A$12:$A$17,Sheet1!$F$12:$F$17)</f>
        <v>3</v>
      </c>
      <c r="C1548" s="14">
        <f>_xlfn.XLOOKUP(Table1[[#This Row], [TEAM]],Sheet1!$A$12:$A$17,Sheet1!$G$12:$G$17)</f>
        <v>5930000</v>
      </c>
      <c r="D1548" t="s">
        <v>17</v>
      </c>
      <c r="E1548" s="4">
        <f>_xlfn.XLOOKUP(Table1[[#This Row], [ROOM]],Sheet1!$A$47:$A$66,Sheet1!$B$47:$B$66)</f>
        <v>125</v>
      </c>
      <c r="F1548" t="s">
        <v>62</v>
      </c>
      <c r="G1548" s="4">
        <f>_xlfn.XLOOKUP(Table1[[#This Row], [DISGUISE]],Sheet1!$A$21:$A$23,Sheet1!$B$21:$B$23)*Table1[[#This Row], [NUM OF MEM]]*(1+_xlfn.XLOOKUP(Table1[[#This Row], [DISGUISE]],Sheet1!$A$21:$A$23,Sheet1!$C$21:$C$23))</f>
        <v>15600</v>
      </c>
      <c r="H1548" s="13" t="s">
        <v>66</v>
      </c>
      <c r="I1548" s="4">
        <f>_xlfn.XLOOKUP(Table1[[#This Row], [WEAPON]],Sheet1!$A$27:$A$29,Sheet1!$B$27:$B$29)*Table1[[#This Row], [NUM OF MEM]]*(1+_xlfn.XLOOKUP(Table1[[#This Row], [WEAPON]],Sheet1!$A$27:$A$29,Sheet1!$C$27:$C$29))</f>
        <v>108000</v>
      </c>
      <c r="J1548" t="s">
        <v>60</v>
      </c>
      <c r="K1548" s="9">
        <f>Table1[[#This Row], [NUM OF MEM]]*Table1[[#This Row], [TOTAL TIME TAKEN]]*_xlfn.XLOOKUP(Table1[[#This Row], [EXIT]],Sheet1!$A$70:$A$71,Sheet1!$B$70:$B$71)*(1+_xlfn.XLOOKUP(Table1[[#This Row], [EXIT]],Sheet1!$A$70:$A$71,Sheet1!$C$70:$C$71))</f>
        <v>1783738.8874999997</v>
      </c>
      <c r="L1548" s="13" t="s">
        <v>65</v>
      </c>
      <c r="M1548" s="4">
        <f>IF(Table1[[#This Row], [EQUIPMENT]]="YES",Sheet1!$C$44*(1+Sheet1!$D$44),0)</f>
        <v>307500</v>
      </c>
      <c r="N1548" s="4">
        <f>_xlfn.XLOOKUP(Table1[[#This Row], [ROOM]],Sheet1!$A$47:$A$66,Sheet1!$F$47:$F$66)</f>
        <v>17350000</v>
      </c>
      <c r="O1548" s="9">
        <f>_xlfn.XLOOKUP(_xlfn.CONCAT(Table1[[#This Row], [TEAM]],Table1[[#This Row], [ROOM]]),'ROOM TIME'!$H$2:$H$121,'ROOM TIME'!$J$2:$J$121)</f>
        <v>42.167222222222215</v>
      </c>
      <c r="P1548" s="9">
        <f>(INDEX(Sheet1!$X$48:$Z$67,MATCH(Table1[[#This Row], [ROOM]],Sheet1!$P$48:$P$67,0),MATCH(Table1[[#This Row], [WEAPON]],Sheet1!$X$47:$Z$47,0)))/Table1[[#This Row], [NUM OF MEM]]</f>
        <v>4.166666666666667</v>
      </c>
      <c r="Q1548" s="9">
        <f>Table1[[#This Row], [ROOM TIME]]+Table1[[#This Row], [GUARD TIME]]</f>
        <v>46.333888888888879</v>
      </c>
      <c r="R1548" s="4">
        <f>Sheet1!$K$3*_xlfn.XLOOKUP(Table1[[#This Row], [DISGUISE]],Sheet1!$A$21:$A$23,Sheet1!$D$21:$D$23)</f>
        <v>66</v>
      </c>
      <c r="S1548" s="9">
        <f>Table1[[#This Row], [TOTAL TIME]]-Table1[[#This Row], [TOTAL TIME TAKEN]]</f>
        <v>19.666111111111121</v>
      </c>
      <c r="T1548" t="str">
        <f>IF(Table1[[#This Row], [TIME DIFFERENCE]]&gt;=0,"PASS","FAIL")</f>
        <v>PASS</v>
      </c>
      <c r="U1548" s="9">
        <f>Table1[[#This Row], [TRC]]+Table1[[#This Row], [DRC]]+Table1[[#This Row], [WRC]]+Table1[[#This Row], [ERC]]+Table1[[#This Row], [EQRC]]</f>
        <v>8144838.8874999993</v>
      </c>
      <c r="V1548" s="9">
        <f>Table1[[#This Row], [TOTAL COST]]+_xlfn.XLOOKUP(Table1[[#This Row], [TEAM]],Sheet1!$A$12:$A$17,Sheet1!$I$12:$I$17)</f>
        <v>8441338.8874999993</v>
      </c>
      <c r="W1548" s="9">
        <f>Table1[[#This Row], [LOOT]]-Table1[[#This Row], [TOTAL COST]]</f>
        <v>9205161.1125000007</v>
      </c>
      <c r="X1548" s="9">
        <f>IF(Table1[[#This Row], [PASS/FAIL]]="FAIL",0,Table1[[#This Row], [PROFIT]])</f>
        <v>9205161.1125000007</v>
      </c>
    </row>
    <row r="1549" spans="1:24" ht="19.5" customHeight="1" x14ac:dyDescent="0.45">
      <c r="A1549" t="s">
        <v>16</v>
      </c>
      <c r="B1549" s="14">
        <f>_xlfn.XLOOKUP(Table1[[#This Row], [TEAM]],Sheet1!$A$12:$A$17,Sheet1!$F$12:$F$17)</f>
        <v>2</v>
      </c>
      <c r="C1549" s="14">
        <f>_xlfn.XLOOKUP(Table1[[#This Row], [TEAM]],Sheet1!$A$12:$A$17,Sheet1!$G$12:$G$17)</f>
        <v>6082800</v>
      </c>
      <c r="D1549" t="s">
        <v>11</v>
      </c>
      <c r="E1549" s="4">
        <f>_xlfn.XLOOKUP(Table1[[#This Row], [ROOM]],Sheet1!$A$47:$A$66,Sheet1!$B$47:$B$66)</f>
        <v>124</v>
      </c>
      <c r="F1549" t="s">
        <v>58</v>
      </c>
      <c r="G1549" s="4">
        <f>_xlfn.XLOOKUP(Table1[[#This Row], [DISGUISE]],Sheet1!$A$21:$A$23,Sheet1!$B$21:$B$23)*Table1[[#This Row], [NUM OF MEM]]*(1+_xlfn.XLOOKUP(Table1[[#This Row], [DISGUISE]],Sheet1!$A$21:$A$23,Sheet1!$C$21:$C$23))</f>
        <v>25600</v>
      </c>
      <c r="H1549" s="13" t="s">
        <v>66</v>
      </c>
      <c r="I1549" s="4">
        <f>_xlfn.XLOOKUP(Table1[[#This Row], [WEAPON]],Sheet1!$A$27:$A$29,Sheet1!$B$27:$B$29)*Table1[[#This Row], [NUM OF MEM]]*(1+_xlfn.XLOOKUP(Table1[[#This Row], [WEAPON]],Sheet1!$A$27:$A$29,Sheet1!$C$27:$C$29))</f>
        <v>72000</v>
      </c>
      <c r="J1549" t="s">
        <v>60</v>
      </c>
      <c r="K1549" s="9">
        <f>Table1[[#This Row], [NUM OF MEM]]*Table1[[#This Row], [TOTAL TIME TAKEN]]*_xlfn.XLOOKUP(Table1[[#This Row], [EXIT]],Sheet1!$A$70:$A$71,Sheet1!$B$70:$B$71)*(1+_xlfn.XLOOKUP(Table1[[#This Row], [EXIT]],Sheet1!$A$70:$A$71,Sheet1!$C$70:$C$71))</f>
        <v>1757956.2562499996</v>
      </c>
      <c r="L1549" s="13" t="s">
        <v>65</v>
      </c>
      <c r="M1549" s="4">
        <f>IF(Table1[[#This Row], [EQUIPMENT]]="YES",Sheet1!$C$44*(1+Sheet1!$D$44),0)</f>
        <v>307500</v>
      </c>
      <c r="N1549" s="4">
        <f>_xlfn.XLOOKUP(Table1[[#This Row], [ROOM]],Sheet1!$A$47:$A$66,Sheet1!$F$47:$F$66)</f>
        <v>17450000</v>
      </c>
      <c r="O1549" s="9">
        <f>_xlfn.XLOOKUP(_xlfn.CONCAT(Table1[[#This Row], [TEAM]],Table1[[#This Row], [ROOM]]),'ROOM TIME'!$H$2:$H$121,'ROOM TIME'!$J$2:$J$121)</f>
        <v>61.621249999999989</v>
      </c>
      <c r="P1549" s="9">
        <f>(INDEX(Sheet1!$X$48:$Z$67,MATCH(Table1[[#This Row], [ROOM]],Sheet1!$P$48:$P$67,0),MATCH(Table1[[#This Row], [WEAPON]],Sheet1!$X$47:$Z$47,0)))/Table1[[#This Row], [NUM OF MEM]]</f>
        <v>6.875</v>
      </c>
      <c r="Q1549" s="9">
        <f>Table1[[#This Row], [ROOM TIME]]+Table1[[#This Row], [GUARD TIME]]</f>
        <v>68.496249999999989</v>
      </c>
      <c r="R1549" s="4">
        <f>Sheet1!$K$3*_xlfn.XLOOKUP(Table1[[#This Row], [DISGUISE]],Sheet1!$A$21:$A$23,Sheet1!$D$21:$D$23)</f>
        <v>69</v>
      </c>
      <c r="S1549" s="9">
        <f>Table1[[#This Row], [TOTAL TIME]]-Table1[[#This Row], [TOTAL TIME TAKEN]]</f>
        <v>0.5037500000000108</v>
      </c>
      <c r="T1549" t="str">
        <f>IF(Table1[[#This Row], [TIME DIFFERENCE]]&gt;=0,"PASS","FAIL")</f>
        <v>PASS</v>
      </c>
      <c r="U1549" s="9">
        <f>Table1[[#This Row], [TRC]]+Table1[[#This Row], [DRC]]+Table1[[#This Row], [WRC]]+Table1[[#This Row], [ERC]]+Table1[[#This Row], [EQRC]]</f>
        <v>8245856.2562499996</v>
      </c>
      <c r="V1549" s="9">
        <f>Table1[[#This Row], [TOTAL COST]]+_xlfn.XLOOKUP(Table1[[#This Row], [TEAM]],Sheet1!$A$12:$A$17,Sheet1!$I$12:$I$17)</f>
        <v>8549996.2562499996</v>
      </c>
      <c r="W1549" s="9">
        <f>Table1[[#This Row], [LOOT]]-Table1[[#This Row], [TOTAL COST]]</f>
        <v>9204143.7437500004</v>
      </c>
      <c r="X1549" s="9">
        <f>IF(Table1[[#This Row], [PASS/FAIL]]="FAIL",0,Table1[[#This Row], [PROFIT]])</f>
        <v>9204143.7437500004</v>
      </c>
    </row>
    <row r="1550" spans="1:24" ht="19.5" customHeight="1" x14ac:dyDescent="0.45">
      <c r="A1550" t="s">
        <v>12</v>
      </c>
      <c r="B1550" s="14">
        <f>_xlfn.XLOOKUP(Table1[[#This Row], [TEAM]],Sheet1!$A$12:$A$17,Sheet1!$F$12:$F$17)</f>
        <v>3</v>
      </c>
      <c r="C1550" s="14">
        <f>_xlfn.XLOOKUP(Table1[[#This Row], [TEAM]],Sheet1!$A$12:$A$17,Sheet1!$G$12:$G$17)</f>
        <v>5988750</v>
      </c>
      <c r="D1550" t="s">
        <v>17</v>
      </c>
      <c r="E1550" s="4">
        <f>_xlfn.XLOOKUP(Table1[[#This Row], [ROOM]],Sheet1!$A$47:$A$66,Sheet1!$B$47:$B$66)</f>
        <v>125</v>
      </c>
      <c r="F1550" t="s">
        <v>58</v>
      </c>
      <c r="G1550" s="4">
        <f>_xlfn.XLOOKUP(Table1[[#This Row], [DISGUISE]],Sheet1!$A$21:$A$23,Sheet1!$B$21:$B$23)*Table1[[#This Row], [NUM OF MEM]]*(1+_xlfn.XLOOKUP(Table1[[#This Row], [DISGUISE]],Sheet1!$A$21:$A$23,Sheet1!$C$21:$C$23))</f>
        <v>38400</v>
      </c>
      <c r="H1550" s="13" t="s">
        <v>66</v>
      </c>
      <c r="I1550" s="4">
        <f>_xlfn.XLOOKUP(Table1[[#This Row], [WEAPON]],Sheet1!$A$27:$A$29,Sheet1!$B$27:$B$29)*Table1[[#This Row], [NUM OF MEM]]*(1+_xlfn.XLOOKUP(Table1[[#This Row], [WEAPON]],Sheet1!$A$27:$A$29,Sheet1!$C$27:$C$29))</f>
        <v>108000</v>
      </c>
      <c r="J1550" t="s">
        <v>60</v>
      </c>
      <c r="K1550" s="9">
        <f>Table1[[#This Row], [NUM OF MEM]]*Table1[[#This Row], [TOTAL TIME TAKEN]]*_xlfn.XLOOKUP(Table1[[#This Row], [EXIT]],Sheet1!$A$70:$A$71,Sheet1!$B$70:$B$71)*(1+_xlfn.XLOOKUP(Table1[[#This Row], [EXIT]],Sheet1!$A$70:$A$71,Sheet1!$C$70:$C$71))</f>
        <v>1705396.4749999989</v>
      </c>
      <c r="L1550" s="13" t="s">
        <v>65</v>
      </c>
      <c r="M1550" s="4">
        <f>IF(Table1[[#This Row], [EQUIPMENT]]="YES",Sheet1!$C$44*(1+Sheet1!$D$44),0)</f>
        <v>307500</v>
      </c>
      <c r="N1550" s="4">
        <f>_xlfn.XLOOKUP(Table1[[#This Row], [ROOM]],Sheet1!$A$47:$A$66,Sheet1!$F$47:$F$66)</f>
        <v>17350000</v>
      </c>
      <c r="O1550" s="9">
        <f>_xlfn.XLOOKUP(_xlfn.CONCAT(Table1[[#This Row], [TEAM]],Table1[[#This Row], [ROOM]]),'ROOM TIME'!$H$2:$H$121,'ROOM TIME'!$J$2:$J$121)</f>
        <v>40.132222222222204</v>
      </c>
      <c r="P1550" s="9">
        <f>(INDEX(Sheet1!$X$48:$Z$67,MATCH(Table1[[#This Row], [ROOM]],Sheet1!$P$48:$P$67,0),MATCH(Table1[[#This Row], [WEAPON]],Sheet1!$X$47:$Z$47,0)))/Table1[[#This Row], [NUM OF MEM]]</f>
        <v>4.166666666666667</v>
      </c>
      <c r="Q1550" s="9">
        <f>Table1[[#This Row], [ROOM TIME]]+Table1[[#This Row], [GUARD TIME]]</f>
        <v>44.298888888888868</v>
      </c>
      <c r="R1550" s="4">
        <f>Sheet1!$K$3*_xlfn.XLOOKUP(Table1[[#This Row], [DISGUISE]],Sheet1!$A$21:$A$23,Sheet1!$D$21:$D$23)</f>
        <v>69</v>
      </c>
      <c r="S1550" s="9">
        <f>Table1[[#This Row], [TOTAL TIME]]-Table1[[#This Row], [TOTAL TIME TAKEN]]</f>
        <v>24.701111111111132</v>
      </c>
      <c r="T1550" t="str">
        <f>IF(Table1[[#This Row], [TIME DIFFERENCE]]&gt;=0,"PASS","FAIL")</f>
        <v>PASS</v>
      </c>
      <c r="U1550" s="9">
        <f>Table1[[#This Row], [TRC]]+Table1[[#This Row], [DRC]]+Table1[[#This Row], [WRC]]+Table1[[#This Row], [ERC]]+Table1[[#This Row], [EQRC]]</f>
        <v>8148046.4749999987</v>
      </c>
      <c r="V1550" s="9">
        <f>Table1[[#This Row], [TOTAL COST]]+_xlfn.XLOOKUP(Table1[[#This Row], [TEAM]],Sheet1!$A$12:$A$17,Sheet1!$I$12:$I$17)</f>
        <v>8447483.9749999978</v>
      </c>
      <c r="W1550" s="9">
        <f>Table1[[#This Row], [LOOT]]-Table1[[#This Row], [TOTAL COST]]</f>
        <v>9201953.5250000022</v>
      </c>
      <c r="X1550" s="9">
        <f>IF(Table1[[#This Row], [PASS/FAIL]]="FAIL",0,Table1[[#This Row], [PROFIT]])</f>
        <v>9201953.5250000022</v>
      </c>
    </row>
    <row r="1551" spans="1:24" ht="19.5" customHeight="1" x14ac:dyDescent="0.45">
      <c r="A1551" t="s">
        <v>13</v>
      </c>
      <c r="B1551" s="14">
        <f>_xlfn.XLOOKUP(Table1[[#This Row], [TEAM]],Sheet1!$A$12:$A$17,Sheet1!$F$12:$F$17)</f>
        <v>3</v>
      </c>
      <c r="C1551" s="14">
        <f>_xlfn.XLOOKUP(Table1[[#This Row], [TEAM]],Sheet1!$A$12:$A$17,Sheet1!$G$12:$G$17)</f>
        <v>5930000</v>
      </c>
      <c r="D1551" t="s">
        <v>23</v>
      </c>
      <c r="E1551" s="4">
        <f>_xlfn.XLOOKUP(Table1[[#This Row], [ROOM]],Sheet1!$A$47:$A$66,Sheet1!$B$47:$B$66)</f>
        <v>245</v>
      </c>
      <c r="F1551" t="s">
        <v>58</v>
      </c>
      <c r="G155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51" s="13" t="s">
        <v>66</v>
      </c>
      <c r="I1551" s="4">
        <f>_xlfn.XLOOKUP(Table1[[#This Row], [WEAPON]],Sheet1!$A$27:$A$29,Sheet1!$B$27:$B$29)*Table1[[#This Row], [NUM OF MEM]]*(1+_xlfn.XLOOKUP(Table1[[#This Row], [WEAPON]],Sheet1!$A$27:$A$29,Sheet1!$C$27:$C$29))</f>
        <v>108000</v>
      </c>
      <c r="J1551" t="s">
        <v>64</v>
      </c>
      <c r="K1551" s="9">
        <f>Table1[[#This Row], [NUM OF MEM]]*Table1[[#This Row], [TOTAL TIME TAKEN]]*_xlfn.XLOOKUP(Table1[[#This Row], [EXIT]],Sheet1!$A$70:$A$71,Sheet1!$B$70:$B$71)*(1+_xlfn.XLOOKUP(Table1[[#This Row], [EXIT]],Sheet1!$A$70:$A$71,Sheet1!$C$70:$C$71))</f>
        <v>1814205.5999999996</v>
      </c>
      <c r="L1551" s="13" t="s">
        <v>65</v>
      </c>
      <c r="M1551" s="4">
        <f>IF(Table1[[#This Row], [EQUIPMENT]]="YES",Sheet1!$C$44*(1+Sheet1!$D$44),0)</f>
        <v>307500</v>
      </c>
      <c r="N1551" s="4">
        <f>_xlfn.XLOOKUP(Table1[[#This Row], [ROOM]],Sheet1!$A$47:$A$66,Sheet1!$F$47:$F$66)</f>
        <v>17400000</v>
      </c>
      <c r="O1551" s="9">
        <f>_xlfn.XLOOKUP(_xlfn.CONCAT(Table1[[#This Row], [TEAM]],Table1[[#This Row], [ROOM]]),'ROOM TIME'!$H$2:$H$121,'ROOM TIME'!$J$2:$J$121)</f>
        <v>42.078333333333326</v>
      </c>
      <c r="P1551" s="9">
        <f>(INDEX(Sheet1!$X$48:$Z$67,MATCH(Table1[[#This Row], [ROOM]],Sheet1!$P$48:$P$67,0),MATCH(Table1[[#This Row], [WEAPON]],Sheet1!$X$47:$Z$47,0)))/Table1[[#This Row], [NUM OF MEM]]</f>
        <v>4.583333333333333</v>
      </c>
      <c r="Q1551" s="9">
        <f>Table1[[#This Row], [ROOM TIME]]+Table1[[#This Row], [GUARD TIME]]</f>
        <v>46.661666666666662</v>
      </c>
      <c r="R1551" s="4">
        <f>Sheet1!$K$3*_xlfn.XLOOKUP(Table1[[#This Row], [DISGUISE]],Sheet1!$A$21:$A$23,Sheet1!$D$21:$D$23)</f>
        <v>69</v>
      </c>
      <c r="S1551" s="9">
        <f>Table1[[#This Row], [TOTAL TIME]]-Table1[[#This Row], [TOTAL TIME TAKEN]]</f>
        <v>22.338333333333338</v>
      </c>
      <c r="T1551" t="str">
        <f>IF(Table1[[#This Row], [TIME DIFFERENCE]]&gt;=0,"PASS","FAIL")</f>
        <v>PASS</v>
      </c>
      <c r="U1551" s="9">
        <f>Table1[[#This Row], [TRC]]+Table1[[#This Row], [DRC]]+Table1[[#This Row], [WRC]]+Table1[[#This Row], [ERC]]+Table1[[#This Row], [EQRC]]</f>
        <v>8198105.5999999996</v>
      </c>
      <c r="V1551" s="9">
        <f>Table1[[#This Row], [TOTAL COST]]+_xlfn.XLOOKUP(Table1[[#This Row], [TEAM]],Sheet1!$A$12:$A$17,Sheet1!$I$12:$I$17)</f>
        <v>8494605.5999999996</v>
      </c>
      <c r="W1551" s="9">
        <f>Table1[[#This Row], [LOOT]]-Table1[[#This Row], [TOTAL COST]]</f>
        <v>9201894.4000000004</v>
      </c>
      <c r="X1551" s="9">
        <f>IF(Table1[[#This Row], [PASS/FAIL]]="FAIL",0,Table1[[#This Row], [PROFIT]])</f>
        <v>9201894.4000000004</v>
      </c>
    </row>
    <row r="1552" spans="1:24" ht="19.5" customHeight="1" x14ac:dyDescent="0.45">
      <c r="A1552" t="s">
        <v>16</v>
      </c>
      <c r="B1552" s="14">
        <f>_xlfn.XLOOKUP(Table1[[#This Row], [TEAM]],Sheet1!$A$12:$A$17,Sheet1!$F$12:$F$17)</f>
        <v>2</v>
      </c>
      <c r="C1552" s="14">
        <f>_xlfn.XLOOKUP(Table1[[#This Row], [TEAM]],Sheet1!$A$12:$A$17,Sheet1!$G$12:$G$17)</f>
        <v>6082800</v>
      </c>
      <c r="D1552" t="s">
        <v>11</v>
      </c>
      <c r="E1552" s="4">
        <f>_xlfn.XLOOKUP(Table1[[#This Row], [ROOM]],Sheet1!$A$47:$A$66,Sheet1!$B$47:$B$66)</f>
        <v>124</v>
      </c>
      <c r="F1552" t="s">
        <v>58</v>
      </c>
      <c r="G1552" s="4">
        <f>_xlfn.XLOOKUP(Table1[[#This Row], [DISGUISE]],Sheet1!$A$21:$A$23,Sheet1!$B$21:$B$23)*Table1[[#This Row], [NUM OF MEM]]*(1+_xlfn.XLOOKUP(Table1[[#This Row], [DISGUISE]],Sheet1!$A$21:$A$23,Sheet1!$C$21:$C$23))</f>
        <v>25600</v>
      </c>
      <c r="H1552" s="13" t="s">
        <v>59</v>
      </c>
      <c r="I1552" s="4">
        <f>_xlfn.XLOOKUP(Table1[[#This Row], [WEAPON]],Sheet1!$A$27:$A$29,Sheet1!$B$27:$B$29)*Table1[[#This Row], [NUM OF MEM]]*(1+_xlfn.XLOOKUP(Table1[[#This Row], [WEAPON]],Sheet1!$A$27:$A$29,Sheet1!$C$27:$C$29))</f>
        <v>91000</v>
      </c>
      <c r="J1552" t="s">
        <v>60</v>
      </c>
      <c r="K1552" s="9">
        <f>Table1[[#This Row], [NUM OF MEM]]*Table1[[#This Row], [TOTAL TIME TAKEN]]*_xlfn.XLOOKUP(Table1[[#This Row], [EXIT]],Sheet1!$A$70:$A$71,Sheet1!$B$70:$B$71)*(1+_xlfn.XLOOKUP(Table1[[#This Row], [EXIT]],Sheet1!$A$70:$A$71,Sheet1!$C$70:$C$71))</f>
        <v>1743840.5062499996</v>
      </c>
      <c r="L1552" s="13" t="s">
        <v>65</v>
      </c>
      <c r="M1552" s="4">
        <f>IF(Table1[[#This Row], [EQUIPMENT]]="YES",Sheet1!$C$44*(1+Sheet1!$D$44),0)</f>
        <v>307500</v>
      </c>
      <c r="N1552" s="4">
        <f>_xlfn.XLOOKUP(Table1[[#This Row], [ROOM]],Sheet1!$A$47:$A$66,Sheet1!$F$47:$F$66)</f>
        <v>17450000</v>
      </c>
      <c r="O1552" s="9">
        <f>_xlfn.XLOOKUP(_xlfn.CONCAT(Table1[[#This Row], [TEAM]],Table1[[#This Row], [ROOM]]),'ROOM TIME'!$H$2:$H$121,'ROOM TIME'!$J$2:$J$121)</f>
        <v>61.621249999999989</v>
      </c>
      <c r="P1552" s="9">
        <f>(INDEX(Sheet1!$X$48:$Z$67,MATCH(Table1[[#This Row], [ROOM]],Sheet1!$P$48:$P$67,0),MATCH(Table1[[#This Row], [WEAPON]],Sheet1!$X$47:$Z$47,0)))/Table1[[#This Row], [NUM OF MEM]]</f>
        <v>6.3249999999999993</v>
      </c>
      <c r="Q1552" s="9">
        <f>Table1[[#This Row], [ROOM TIME]]+Table1[[#This Row], [GUARD TIME]]</f>
        <v>67.946249999999992</v>
      </c>
      <c r="R1552" s="4">
        <f>Sheet1!$K$3*_xlfn.XLOOKUP(Table1[[#This Row], [DISGUISE]],Sheet1!$A$21:$A$23,Sheet1!$D$21:$D$23)</f>
        <v>69</v>
      </c>
      <c r="S1552" s="9">
        <f>Table1[[#This Row], [TOTAL TIME]]-Table1[[#This Row], [TOTAL TIME TAKEN]]</f>
        <v>1.053750000000008</v>
      </c>
      <c r="T1552" t="str">
        <f>IF(Table1[[#This Row], [TIME DIFFERENCE]]&gt;=0,"PASS","FAIL")</f>
        <v>PASS</v>
      </c>
      <c r="U1552" s="9">
        <f>Table1[[#This Row], [TRC]]+Table1[[#This Row], [DRC]]+Table1[[#This Row], [WRC]]+Table1[[#This Row], [ERC]]+Table1[[#This Row], [EQRC]]</f>
        <v>8250740.5062499996</v>
      </c>
      <c r="V1552" s="9">
        <f>Table1[[#This Row], [TOTAL COST]]+_xlfn.XLOOKUP(Table1[[#This Row], [TEAM]],Sheet1!$A$12:$A$17,Sheet1!$I$12:$I$17)</f>
        <v>8554880.5062499996</v>
      </c>
      <c r="W1552" s="9">
        <f>Table1[[#This Row], [LOOT]]-Table1[[#This Row], [TOTAL COST]]</f>
        <v>9199259.4937500004</v>
      </c>
      <c r="X1552" s="9">
        <f>IF(Table1[[#This Row], [PASS/FAIL]]="FAIL",0,Table1[[#This Row], [PROFIT]])</f>
        <v>9199259.4937500004</v>
      </c>
    </row>
    <row r="1553" spans="1:24" ht="19.5" customHeight="1" x14ac:dyDescent="0.45">
      <c r="A1553" t="s">
        <v>12</v>
      </c>
      <c r="B1553" s="14">
        <f>_xlfn.XLOOKUP(Table1[[#This Row], [TEAM]],Sheet1!$A$12:$A$17,Sheet1!$F$12:$F$17)</f>
        <v>3</v>
      </c>
      <c r="C1553" s="14">
        <f>_xlfn.XLOOKUP(Table1[[#This Row], [TEAM]],Sheet1!$A$12:$A$17,Sheet1!$G$12:$G$17)</f>
        <v>5988750</v>
      </c>
      <c r="D1553" t="s">
        <v>17</v>
      </c>
      <c r="E1553" s="4">
        <f>_xlfn.XLOOKUP(Table1[[#This Row], [ROOM]],Sheet1!$A$47:$A$66,Sheet1!$B$47:$B$66)</f>
        <v>125</v>
      </c>
      <c r="F1553" t="s">
        <v>62</v>
      </c>
      <c r="G155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53" s="13" t="s">
        <v>59</v>
      </c>
      <c r="I1553" s="4">
        <f>_xlfn.XLOOKUP(Table1[[#This Row], [WEAPON]],Sheet1!$A$27:$A$29,Sheet1!$B$27:$B$29)*Table1[[#This Row], [NUM OF MEM]]*(1+_xlfn.XLOOKUP(Table1[[#This Row], [WEAPON]],Sheet1!$A$27:$A$29,Sheet1!$C$27:$C$29))</f>
        <v>136500</v>
      </c>
      <c r="J1553" t="s">
        <v>64</v>
      </c>
      <c r="K1553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1709380.7999999993</v>
      </c>
      <c r="L1553" s="13" t="s">
        <v>65</v>
      </c>
      <c r="M1553" s="4">
        <f>IF(Table1[[#This Row], [EQUIPMENT]]="YES",Sheet1!$C$44*(1+Sheet1!$D$44),0)</f>
        <v>307500</v>
      </c>
      <c r="N1553" s="4">
        <f>_xlfn.XLOOKUP(Table1[[#This Row], [ROOM]],Sheet1!$A$47:$A$66,Sheet1!$F$47:$F$66)</f>
        <v>17350000</v>
      </c>
      <c r="O1553" s="9">
        <f>_xlfn.XLOOKUP(_xlfn.CONCAT(Table1[[#This Row], [TEAM]],Table1[[#This Row], [ROOM]]),'ROOM TIME'!$H$2:$H$121,'ROOM TIME'!$J$2:$J$121)</f>
        <v>40.132222222222204</v>
      </c>
      <c r="P1553" s="9">
        <f>(INDEX(Sheet1!$X$48:$Z$67,MATCH(Table1[[#This Row], [ROOM]],Sheet1!$P$48:$P$67,0),MATCH(Table1[[#This Row], [WEAPON]],Sheet1!$X$47:$Z$47,0)))/Table1[[#This Row], [NUM OF MEM]]</f>
        <v>3.8333333333333335</v>
      </c>
      <c r="Q1553" s="9">
        <f>Table1[[#This Row], [ROOM TIME]]+Table1[[#This Row], [GUARD TIME]]</f>
        <v>43.96555555555554</v>
      </c>
      <c r="R1553" s="4">
        <f>Sheet1!$K$3*_xlfn.XLOOKUP(Table1[[#This Row], [DISGUISE]],Sheet1!$A$21:$A$23,Sheet1!$D$21:$D$23)</f>
        <v>66</v>
      </c>
      <c r="S1553" s="9">
        <f>Table1[[#This Row], [TOTAL TIME]]-Table1[[#This Row], [TOTAL TIME TAKEN]]</f>
        <v>22.03444444444446</v>
      </c>
      <c r="T1553" t="str">
        <f>IF(Table1[[#This Row], [TIME DIFFERENCE]]&gt;=0,"PASS","FAIL")</f>
        <v>PASS</v>
      </c>
      <c r="U1553" s="9">
        <f>Table1[[#This Row], [TRC]]+Table1[[#This Row], [DRC]]+Table1[[#This Row], [WRC]]+Table1[[#This Row], [ERC]]+Table1[[#This Row], [EQRC]]</f>
        <v>8157730.7999999989</v>
      </c>
      <c r="V1553" s="9">
        <f>Table1[[#This Row], [TOTAL COST]]+_xlfn.XLOOKUP(Table1[[#This Row], [TEAM]],Sheet1!$A$12:$A$17,Sheet1!$I$12:$I$17)</f>
        <v>8457168.2999999989</v>
      </c>
      <c r="W1553" s="9">
        <f>Table1[[#This Row], [LOOT]]-Table1[[#This Row], [TOTAL COST]]</f>
        <v>9192269.2000000011</v>
      </c>
      <c r="X1553" s="9">
        <f>IF(Table1[[#This Row], [PASS/FAIL]]="FAIL",0,Table1[[#This Row], [PROFIT]])</f>
        <v>9192269.2000000011</v>
      </c>
    </row>
    <row r="1554" spans="1:24" ht="19.5" customHeight="1" x14ac:dyDescent="0.45">
      <c r="A1554" t="s">
        <v>13</v>
      </c>
      <c r="B1554" s="14">
        <f>_xlfn.XLOOKUP(Table1[[#This Row], [TEAM]],Sheet1!$A$12:$A$17,Sheet1!$F$12:$F$17)</f>
        <v>3</v>
      </c>
      <c r="C1554" s="14">
        <f>_xlfn.XLOOKUP(Table1[[#This Row], [TEAM]],Sheet1!$A$12:$A$17,Sheet1!$G$12:$G$17)</f>
        <v>5930000</v>
      </c>
      <c r="D1554" t="s">
        <v>17</v>
      </c>
      <c r="E1554" s="4">
        <f>_xlfn.XLOOKUP(Table1[[#This Row], [ROOM]],Sheet1!$A$47:$A$66,Sheet1!$B$47:$B$66)</f>
        <v>125</v>
      </c>
      <c r="F1554" t="s">
        <v>58</v>
      </c>
      <c r="G1554" s="4">
        <f>_xlfn.XLOOKUP(Table1[[#This Row], [DISGUISE]],Sheet1!$A$21:$A$23,Sheet1!$B$21:$B$23)*Table1[[#This Row], [NUM OF MEM]]*(1+_xlfn.XLOOKUP(Table1[[#This Row], [DISGUISE]],Sheet1!$A$21:$A$23,Sheet1!$C$21:$C$23))</f>
        <v>38400</v>
      </c>
      <c r="H1554" s="13" t="s">
        <v>63</v>
      </c>
      <c r="I1554" s="4">
        <f>_xlfn.XLOOKUP(Table1[[#This Row], [WEAPON]],Sheet1!$A$27:$A$29,Sheet1!$B$27:$B$29)*Table1[[#This Row], [NUM OF MEM]]*(1+_xlfn.XLOOKUP(Table1[[#This Row], [WEAPON]],Sheet1!$A$27:$A$29,Sheet1!$C$27:$C$29))</f>
        <v>69000</v>
      </c>
      <c r="J1554" t="s">
        <v>64</v>
      </c>
      <c r="K1554" s="9">
        <f>Table1[[#This Row], [NUM OF MEM]]*Table1[[#This Row], [TOTAL TIME TAKEN]]*_xlfn.XLOOKUP(Table1[[#This Row], [EXIT]],Sheet1!$A$70:$A$71,Sheet1!$B$70:$B$71)*(1+_xlfn.XLOOKUP(Table1[[#This Row], [EXIT]],Sheet1!$A$70:$A$71,Sheet1!$C$70:$C$71))</f>
        <v>1814421.5999999996</v>
      </c>
      <c r="L1554" s="13" t="s">
        <v>65</v>
      </c>
      <c r="M1554" s="4">
        <f>IF(Table1[[#This Row], [EQUIPMENT]]="YES",Sheet1!$C$44*(1+Sheet1!$D$44),0)</f>
        <v>307500</v>
      </c>
      <c r="N1554" s="4">
        <f>_xlfn.XLOOKUP(Table1[[#This Row], [ROOM]],Sheet1!$A$47:$A$66,Sheet1!$F$47:$F$66)</f>
        <v>17350000</v>
      </c>
      <c r="O1554" s="9">
        <f>_xlfn.XLOOKUP(_xlfn.CONCAT(Table1[[#This Row], [TEAM]],Table1[[#This Row], [ROOM]]),'ROOM TIME'!$H$2:$H$121,'ROOM TIME'!$J$2:$J$121)</f>
        <v>42.167222222222215</v>
      </c>
      <c r="P1554" s="9">
        <f>(INDEX(Sheet1!$X$48:$Z$67,MATCH(Table1[[#This Row], [ROOM]],Sheet1!$P$48:$P$67,0),MATCH(Table1[[#This Row], [WEAPON]],Sheet1!$X$47:$Z$47,0)))/Table1[[#This Row], [NUM OF MEM]]</f>
        <v>4.5</v>
      </c>
      <c r="Q1554" s="9">
        <f>Table1[[#This Row], [ROOM TIME]]+Table1[[#This Row], [GUARD TIME]]</f>
        <v>46.667222222222215</v>
      </c>
      <c r="R1554" s="4">
        <f>Sheet1!$K$3*_xlfn.XLOOKUP(Table1[[#This Row], [DISGUISE]],Sheet1!$A$21:$A$23,Sheet1!$D$21:$D$23)</f>
        <v>69</v>
      </c>
      <c r="S1554" s="9">
        <f>Table1[[#This Row], [TOTAL TIME]]-Table1[[#This Row], [TOTAL TIME TAKEN]]</f>
        <v>22.332777777777785</v>
      </c>
      <c r="T1554" t="str">
        <f>IF(Table1[[#This Row], [TIME DIFFERENCE]]&gt;=0,"PASS","FAIL")</f>
        <v>PASS</v>
      </c>
      <c r="U1554" s="9">
        <f>Table1[[#This Row], [TRC]]+Table1[[#This Row], [DRC]]+Table1[[#This Row], [WRC]]+Table1[[#This Row], [ERC]]+Table1[[#This Row], [EQRC]]</f>
        <v>8159321.5999999996</v>
      </c>
      <c r="V1554" s="9">
        <f>Table1[[#This Row], [TOTAL COST]]+_xlfn.XLOOKUP(Table1[[#This Row], [TEAM]],Sheet1!$A$12:$A$17,Sheet1!$I$12:$I$17)</f>
        <v>8455821.5999999996</v>
      </c>
      <c r="W1554" s="9">
        <f>Table1[[#This Row], [LOOT]]-Table1[[#This Row], [TOTAL COST]]</f>
        <v>9190678.4000000004</v>
      </c>
      <c r="X1554" s="9">
        <f>IF(Table1[[#This Row], [PASS/FAIL]]="FAIL",0,Table1[[#This Row], [PROFIT]])</f>
        <v>9190678.4000000004</v>
      </c>
    </row>
    <row r="1555" spans="1:24" ht="19.5" customHeight="1" x14ac:dyDescent="0.45">
      <c r="A1555" t="s">
        <v>13</v>
      </c>
      <c r="B1555" s="14">
        <f>_xlfn.XLOOKUP(Table1[[#This Row], [TEAM]],Sheet1!$A$12:$A$17,Sheet1!$F$12:$F$17)</f>
        <v>3</v>
      </c>
      <c r="C1555" s="14">
        <f>_xlfn.XLOOKUP(Table1[[#This Row], [TEAM]],Sheet1!$A$12:$A$17,Sheet1!$G$12:$G$17)</f>
        <v>5930000</v>
      </c>
      <c r="D1555" t="s">
        <v>17</v>
      </c>
      <c r="E1555" s="4">
        <f>_xlfn.XLOOKUP(Table1[[#This Row], [ROOM]],Sheet1!$A$47:$A$66,Sheet1!$B$47:$B$66)</f>
        <v>125</v>
      </c>
      <c r="F1555" t="s">
        <v>62</v>
      </c>
      <c r="G1555" s="4">
        <f>_xlfn.XLOOKUP(Table1[[#This Row], [DISGUISE]],Sheet1!$A$21:$A$23,Sheet1!$B$21:$B$23)*Table1[[#This Row], [NUM OF MEM]]*(1+_xlfn.XLOOKUP(Table1[[#This Row], [DISGUISE]],Sheet1!$A$21:$A$23,Sheet1!$C$21:$C$23))</f>
        <v>15600</v>
      </c>
      <c r="H1555" s="13" t="s">
        <v>59</v>
      </c>
      <c r="I1555" s="4">
        <f>_xlfn.XLOOKUP(Table1[[#This Row], [WEAPON]],Sheet1!$A$27:$A$29,Sheet1!$B$27:$B$29)*Table1[[#This Row], [NUM OF MEM]]*(1+_xlfn.XLOOKUP(Table1[[#This Row], [WEAPON]],Sheet1!$A$27:$A$29,Sheet1!$C$27:$C$29))</f>
        <v>136500</v>
      </c>
      <c r="J1555" t="s">
        <v>60</v>
      </c>
      <c r="K1555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1770906.3875</v>
      </c>
      <c r="L1555" s="13" t="s">
        <v>65</v>
      </c>
      <c r="M1555" s="4">
        <f>IF(Table1[[#This Row], [EQUIPMENT]]="YES",Sheet1!$C$44*(1+Sheet1!$D$44),0)</f>
        <v>307500</v>
      </c>
      <c r="N1555" s="4">
        <f>_xlfn.XLOOKUP(Table1[[#This Row], [ROOM]],Sheet1!$A$47:$A$66,Sheet1!$F$47:$F$66)</f>
        <v>17350000</v>
      </c>
      <c r="O1555" s="9">
        <f>_xlfn.XLOOKUP(_xlfn.CONCAT(Table1[[#This Row], [TEAM]],Table1[[#This Row], [ROOM]]),'ROOM TIME'!$H$2:$H$121,'ROOM TIME'!$J$2:$J$121)</f>
        <v>42.167222222222215</v>
      </c>
      <c r="P1555" s="9">
        <f>(INDEX(Sheet1!$X$48:$Z$67,MATCH(Table1[[#This Row], [ROOM]],Sheet1!$P$48:$P$67,0),MATCH(Table1[[#This Row], [WEAPON]],Sheet1!$X$47:$Z$47,0)))/Table1[[#This Row], [NUM OF MEM]]</f>
        <v>3.8333333333333335</v>
      </c>
      <c r="Q1555" s="9">
        <f>Table1[[#This Row], [ROOM TIME]]+Table1[[#This Row], [GUARD TIME]]</f>
        <v>46.00055555555555</v>
      </c>
      <c r="R1555" s="4">
        <f>Sheet1!$K$3*_xlfn.XLOOKUP(Table1[[#This Row], [DISGUISE]],Sheet1!$A$21:$A$23,Sheet1!$D$21:$D$23)</f>
        <v>66</v>
      </c>
      <c r="S1555" s="9">
        <f>Table1[[#This Row], [TOTAL TIME]]-Table1[[#This Row], [TOTAL TIME TAKEN]]</f>
        <v>19.99944444444445</v>
      </c>
      <c r="T1555" t="str">
        <f>IF(Table1[[#This Row], [TIME DIFFERENCE]]&gt;=0,"PASS","FAIL")</f>
        <v>PASS</v>
      </c>
      <c r="U1555" s="9">
        <f>Table1[[#This Row], [TRC]]+Table1[[#This Row], [DRC]]+Table1[[#This Row], [WRC]]+Table1[[#This Row], [ERC]]+Table1[[#This Row], [EQRC]]</f>
        <v>8160506.3875000002</v>
      </c>
      <c r="V1555" s="9">
        <f>Table1[[#This Row], [TOTAL COST]]+_xlfn.XLOOKUP(Table1[[#This Row], [TEAM]],Sheet1!$A$12:$A$17,Sheet1!$I$12:$I$17)</f>
        <v>8457006.3874999993</v>
      </c>
      <c r="W1555" s="9">
        <f>Table1[[#This Row], [LOOT]]-Table1[[#This Row], [TOTAL COST]]</f>
        <v>9189493.6125000007</v>
      </c>
      <c r="X1555" s="9">
        <f>IF(Table1[[#This Row], [PASS/FAIL]]="FAIL",0,Table1[[#This Row], [PROFIT]])</f>
        <v>9189493.6125000007</v>
      </c>
    </row>
    <row r="1556" spans="1:24" ht="19.5" customHeight="1" x14ac:dyDescent="0.45">
      <c r="A1556" t="s">
        <v>13</v>
      </c>
      <c r="B1556" s="14">
        <f>_xlfn.XLOOKUP(Table1[[#This Row], [TEAM]],Sheet1!$A$12:$A$17,Sheet1!$F$12:$F$17)</f>
        <v>3</v>
      </c>
      <c r="C1556" s="14">
        <f>_xlfn.XLOOKUP(Table1[[#This Row], [TEAM]],Sheet1!$A$12:$A$17,Sheet1!$G$12:$G$17)</f>
        <v>5930000</v>
      </c>
      <c r="D1556" t="s">
        <v>23</v>
      </c>
      <c r="E1556" s="4">
        <f>_xlfn.XLOOKUP(Table1[[#This Row], [ROOM]],Sheet1!$A$47:$A$66,Sheet1!$B$47:$B$66)</f>
        <v>245</v>
      </c>
      <c r="F1556" t="s">
        <v>58</v>
      </c>
      <c r="G1556" s="4">
        <f>_xlfn.XLOOKUP(Table1[[#This Row], [DISGUISE]],Sheet1!$A$21:$A$23,Sheet1!$B$21:$B$23)*Table1[[#This Row], [NUM OF MEM]]*(1+_xlfn.XLOOKUP(Table1[[#This Row], [DISGUISE]],Sheet1!$A$21:$A$23,Sheet1!$C$21:$C$23))</f>
        <v>38400</v>
      </c>
      <c r="H1556" s="13" t="s">
        <v>59</v>
      </c>
      <c r="I1556" s="4">
        <f>_xlfn.XLOOKUP(Table1[[#This Row], [WEAPON]],Sheet1!$A$27:$A$29,Sheet1!$B$27:$B$29)*Table1[[#This Row], [NUM OF MEM]]*(1+_xlfn.XLOOKUP(Table1[[#This Row], [WEAPON]],Sheet1!$A$27:$A$29,Sheet1!$C$27:$C$29))</f>
        <v>136500</v>
      </c>
      <c r="J1556" t="s">
        <v>64</v>
      </c>
      <c r="K1556" s="9">
        <f>Table1[[#This Row], [NUM OF MEM]]*Table1[[#This Row], [TOTAL TIME TAKEN]]*_xlfn.XLOOKUP(Table1[[#This Row], [EXIT]],Sheet1!$A$70:$A$71,Sheet1!$B$70:$B$71)*(1+_xlfn.XLOOKUP(Table1[[#This Row], [EXIT]],Sheet1!$A$70:$A$71,Sheet1!$C$70:$C$71))</f>
        <v>1799949.5999999999</v>
      </c>
      <c r="L1556" s="13" t="s">
        <v>65</v>
      </c>
      <c r="M1556" s="4">
        <f>IF(Table1[[#This Row], [EQUIPMENT]]="YES",Sheet1!$C$44*(1+Sheet1!$D$44),0)</f>
        <v>307500</v>
      </c>
      <c r="N1556" s="4">
        <f>_xlfn.XLOOKUP(Table1[[#This Row], [ROOM]],Sheet1!$A$47:$A$66,Sheet1!$F$47:$F$66)</f>
        <v>17400000</v>
      </c>
      <c r="O1556" s="9">
        <f>_xlfn.XLOOKUP(_xlfn.CONCAT(Table1[[#This Row], [TEAM]],Table1[[#This Row], [ROOM]]),'ROOM TIME'!$H$2:$H$121,'ROOM TIME'!$J$2:$J$121)</f>
        <v>42.078333333333326</v>
      </c>
      <c r="P1556" s="9">
        <f>(INDEX(Sheet1!$X$48:$Z$67,MATCH(Table1[[#This Row], [ROOM]],Sheet1!$P$48:$P$67,0),MATCH(Table1[[#This Row], [WEAPON]],Sheet1!$X$47:$Z$47,0)))/Table1[[#This Row], [NUM OF MEM]]</f>
        <v>4.2166666666666659</v>
      </c>
      <c r="Q1556" s="9">
        <f>Table1[[#This Row], [ROOM TIME]]+Table1[[#This Row], [GUARD TIME]]</f>
        <v>46.294999999999995</v>
      </c>
      <c r="R1556" s="4">
        <f>Sheet1!$K$3*_xlfn.XLOOKUP(Table1[[#This Row], [DISGUISE]],Sheet1!$A$21:$A$23,Sheet1!$D$21:$D$23)</f>
        <v>69</v>
      </c>
      <c r="S1556" s="9">
        <f>Table1[[#This Row], [TOTAL TIME]]-Table1[[#This Row], [TOTAL TIME TAKEN]]</f>
        <v>22.705000000000005</v>
      </c>
      <c r="T1556" t="str">
        <f>IF(Table1[[#This Row], [TIME DIFFERENCE]]&gt;=0,"PASS","FAIL")</f>
        <v>PASS</v>
      </c>
      <c r="U1556" s="9">
        <f>Table1[[#This Row], [TRC]]+Table1[[#This Row], [DRC]]+Table1[[#This Row], [WRC]]+Table1[[#This Row], [ERC]]+Table1[[#This Row], [EQRC]]</f>
        <v>8212349.5999999996</v>
      </c>
      <c r="V1556" s="9">
        <f>Table1[[#This Row], [TOTAL COST]]+_xlfn.XLOOKUP(Table1[[#This Row], [TEAM]],Sheet1!$A$12:$A$17,Sheet1!$I$12:$I$17)</f>
        <v>8508849.5999999996</v>
      </c>
      <c r="W1556" s="9">
        <f>Table1[[#This Row], [LOOT]]-Table1[[#This Row], [TOTAL COST]]</f>
        <v>9187650.4000000004</v>
      </c>
      <c r="X1556" s="9">
        <f>IF(Table1[[#This Row], [PASS/FAIL]]="FAIL",0,Table1[[#This Row], [PROFIT]])</f>
        <v>9187650.4000000004</v>
      </c>
    </row>
    <row r="1557" spans="1:24" ht="19.5" customHeight="1" x14ac:dyDescent="0.45">
      <c r="A1557" t="s">
        <v>13</v>
      </c>
      <c r="B1557" s="14">
        <f>_xlfn.XLOOKUP(Table1[[#This Row], [TEAM]],Sheet1!$A$12:$A$17,Sheet1!$F$12:$F$17)</f>
        <v>3</v>
      </c>
      <c r="C1557" s="14">
        <f>_xlfn.XLOOKUP(Table1[[#This Row], [TEAM]],Sheet1!$A$12:$A$17,Sheet1!$G$12:$G$17)</f>
        <v>5930000</v>
      </c>
      <c r="D1557" t="s">
        <v>17</v>
      </c>
      <c r="E1557" s="4">
        <f>_xlfn.XLOOKUP(Table1[[#This Row], [ROOM]],Sheet1!$A$47:$A$66,Sheet1!$B$47:$B$66)</f>
        <v>125</v>
      </c>
      <c r="F1557" t="s">
        <v>62</v>
      </c>
      <c r="G1557" s="4">
        <f>_xlfn.XLOOKUP(Table1[[#This Row], [DISGUISE]],Sheet1!$A$21:$A$23,Sheet1!$B$21:$B$23)*Table1[[#This Row], [NUM OF MEM]]*(1+_xlfn.XLOOKUP(Table1[[#This Row], [DISGUISE]],Sheet1!$A$21:$A$23,Sheet1!$C$21:$C$23))</f>
        <v>15600</v>
      </c>
      <c r="H1557" s="13" t="s">
        <v>66</v>
      </c>
      <c r="I1557" s="4">
        <f>_xlfn.XLOOKUP(Table1[[#This Row], [WEAPON]],Sheet1!$A$27:$A$29,Sheet1!$B$27:$B$29)*Table1[[#This Row], [NUM OF MEM]]*(1+_xlfn.XLOOKUP(Table1[[#This Row], [WEAPON]],Sheet1!$A$27:$A$29,Sheet1!$C$27:$C$29))</f>
        <v>108000</v>
      </c>
      <c r="J1557" t="s">
        <v>64</v>
      </c>
      <c r="K1557" s="9">
        <f>Table1[[#This Row], [NUM OF MEM]]*Table1[[#This Row], [TOTAL TIME TAKEN]]*_xlfn.XLOOKUP(Table1[[#This Row], [EXIT]],Sheet1!$A$70:$A$71,Sheet1!$B$70:$B$71)*(1+_xlfn.XLOOKUP(Table1[[#This Row], [EXIT]],Sheet1!$A$70:$A$71,Sheet1!$C$70:$C$71))</f>
        <v>1801461.5999999996</v>
      </c>
      <c r="L1557" s="13" t="s">
        <v>65</v>
      </c>
      <c r="M1557" s="4">
        <f>IF(Table1[[#This Row], [EQUIPMENT]]="YES",Sheet1!$C$44*(1+Sheet1!$D$44),0)</f>
        <v>307500</v>
      </c>
      <c r="N1557" s="4">
        <f>_xlfn.XLOOKUP(Table1[[#This Row], [ROOM]],Sheet1!$A$47:$A$66,Sheet1!$F$47:$F$66)</f>
        <v>17350000</v>
      </c>
      <c r="O1557" s="9">
        <f>_xlfn.XLOOKUP(_xlfn.CONCAT(Table1[[#This Row], [TEAM]],Table1[[#This Row], [ROOM]]),'ROOM TIME'!$H$2:$H$121,'ROOM TIME'!$J$2:$J$121)</f>
        <v>42.167222222222215</v>
      </c>
      <c r="P1557" s="9">
        <f>(INDEX(Sheet1!$X$48:$Z$67,MATCH(Table1[[#This Row], [ROOM]],Sheet1!$P$48:$P$67,0),MATCH(Table1[[#This Row], [WEAPON]],Sheet1!$X$47:$Z$47,0)))/Table1[[#This Row], [NUM OF MEM]]</f>
        <v>4.166666666666667</v>
      </c>
      <c r="Q1557" s="9">
        <f>Table1[[#This Row], [ROOM TIME]]+Table1[[#This Row], [GUARD TIME]]</f>
        <v>46.333888888888879</v>
      </c>
      <c r="R1557" s="4">
        <f>Sheet1!$K$3*_xlfn.XLOOKUP(Table1[[#This Row], [DISGUISE]],Sheet1!$A$21:$A$23,Sheet1!$D$21:$D$23)</f>
        <v>66</v>
      </c>
      <c r="S1557" s="9">
        <f>Table1[[#This Row], [TOTAL TIME]]-Table1[[#This Row], [TOTAL TIME TAKEN]]</f>
        <v>19.666111111111121</v>
      </c>
      <c r="T1557" t="str">
        <f>IF(Table1[[#This Row], [TIME DIFFERENCE]]&gt;=0,"PASS","FAIL")</f>
        <v>PASS</v>
      </c>
      <c r="U1557" s="9">
        <f>Table1[[#This Row], [TRC]]+Table1[[#This Row], [DRC]]+Table1[[#This Row], [WRC]]+Table1[[#This Row], [ERC]]+Table1[[#This Row], [EQRC]]</f>
        <v>8162561.5999999996</v>
      </c>
      <c r="V1557" s="9">
        <f>Table1[[#This Row], [TOTAL COST]]+_xlfn.XLOOKUP(Table1[[#This Row], [TEAM]],Sheet1!$A$12:$A$17,Sheet1!$I$12:$I$17)</f>
        <v>8459061.5999999996</v>
      </c>
      <c r="W1557" s="9">
        <f>Table1[[#This Row], [LOOT]]-Table1[[#This Row], [TOTAL COST]]</f>
        <v>9187438.4000000004</v>
      </c>
      <c r="X1557" s="9">
        <f>IF(Table1[[#This Row], [PASS/FAIL]]="FAIL",0,Table1[[#This Row], [PROFIT]])</f>
        <v>9187438.4000000004</v>
      </c>
    </row>
    <row r="1558" spans="1:24" ht="19.5" customHeight="1" x14ac:dyDescent="0.45">
      <c r="A1558" t="s">
        <v>16</v>
      </c>
      <c r="B1558" s="14">
        <f>_xlfn.XLOOKUP(Table1[[#This Row], [TEAM]],Sheet1!$A$12:$A$17,Sheet1!$F$12:$F$17)</f>
        <v>2</v>
      </c>
      <c r="C1558" s="14">
        <f>_xlfn.XLOOKUP(Table1[[#This Row], [TEAM]],Sheet1!$A$12:$A$17,Sheet1!$G$12:$G$17)</f>
        <v>6082800</v>
      </c>
      <c r="D1558" t="s">
        <v>11</v>
      </c>
      <c r="E1558" s="4">
        <f>_xlfn.XLOOKUP(Table1[[#This Row], [ROOM]],Sheet1!$A$47:$A$66,Sheet1!$B$47:$B$66)</f>
        <v>124</v>
      </c>
      <c r="F1558" t="s">
        <v>58</v>
      </c>
      <c r="G1558" s="4">
        <f>_xlfn.XLOOKUP(Table1[[#This Row], [DISGUISE]],Sheet1!$A$21:$A$23,Sheet1!$B$21:$B$23)*Table1[[#This Row], [NUM OF MEM]]*(1+_xlfn.XLOOKUP(Table1[[#This Row], [DISGUISE]],Sheet1!$A$21:$A$23,Sheet1!$C$21:$C$23))</f>
        <v>25600</v>
      </c>
      <c r="H1558" s="13" t="s">
        <v>66</v>
      </c>
      <c r="I1558" s="4">
        <f>_xlfn.XLOOKUP(Table1[[#This Row], [WEAPON]],Sheet1!$A$27:$A$29,Sheet1!$B$27:$B$29)*Table1[[#This Row], [NUM OF MEM]]*(1+_xlfn.XLOOKUP(Table1[[#This Row], [WEAPON]],Sheet1!$A$27:$A$29,Sheet1!$C$27:$C$29))</f>
        <v>72000</v>
      </c>
      <c r="J1558" t="s">
        <v>64</v>
      </c>
      <c r="K1558" s="9">
        <f>Table1[[#This Row], [NUM OF MEM]]*Table1[[#This Row], [TOTAL TIME TAKEN]]*_xlfn.XLOOKUP(Table1[[#This Row], [EXIT]],Sheet1!$A$70:$A$71,Sheet1!$B$70:$B$71)*(1+_xlfn.XLOOKUP(Table1[[#This Row], [EXIT]],Sheet1!$A$70:$A$71,Sheet1!$C$70:$C$71))</f>
        <v>1775422.7999999996</v>
      </c>
      <c r="L1558" s="13" t="s">
        <v>65</v>
      </c>
      <c r="M1558" s="4">
        <f>IF(Table1[[#This Row], [EQUIPMENT]]="YES",Sheet1!$C$44*(1+Sheet1!$D$44),0)</f>
        <v>307500</v>
      </c>
      <c r="N1558" s="4">
        <f>_xlfn.XLOOKUP(Table1[[#This Row], [ROOM]],Sheet1!$A$47:$A$66,Sheet1!$F$47:$F$66)</f>
        <v>17450000</v>
      </c>
      <c r="O1558" s="9">
        <f>_xlfn.XLOOKUP(_xlfn.CONCAT(Table1[[#This Row], [TEAM]],Table1[[#This Row], [ROOM]]),'ROOM TIME'!$H$2:$H$121,'ROOM TIME'!$J$2:$J$121)</f>
        <v>61.621249999999989</v>
      </c>
      <c r="P1558" s="9">
        <f>(INDEX(Sheet1!$X$48:$Z$67,MATCH(Table1[[#This Row], [ROOM]],Sheet1!$P$48:$P$67,0),MATCH(Table1[[#This Row], [WEAPON]],Sheet1!$X$47:$Z$47,0)))/Table1[[#This Row], [NUM OF MEM]]</f>
        <v>6.875</v>
      </c>
      <c r="Q1558" s="9">
        <f>Table1[[#This Row], [ROOM TIME]]+Table1[[#This Row], [GUARD TIME]]</f>
        <v>68.496249999999989</v>
      </c>
      <c r="R1558" s="4">
        <f>Sheet1!$K$3*_xlfn.XLOOKUP(Table1[[#This Row], [DISGUISE]],Sheet1!$A$21:$A$23,Sheet1!$D$21:$D$23)</f>
        <v>69</v>
      </c>
      <c r="S1558" s="9">
        <f>Table1[[#This Row], [TOTAL TIME]]-Table1[[#This Row], [TOTAL TIME TAKEN]]</f>
        <v>0.5037500000000108</v>
      </c>
      <c r="T1558" t="str">
        <f>IF(Table1[[#This Row], [TIME DIFFERENCE]]&gt;=0,"PASS","FAIL")</f>
        <v>PASS</v>
      </c>
      <c r="U1558" s="9">
        <f>Table1[[#This Row], [TRC]]+Table1[[#This Row], [DRC]]+Table1[[#This Row], [WRC]]+Table1[[#This Row], [ERC]]+Table1[[#This Row], [EQRC]]</f>
        <v>8263322.7999999998</v>
      </c>
      <c r="V1558" s="9">
        <f>Table1[[#This Row], [TOTAL COST]]+_xlfn.XLOOKUP(Table1[[#This Row], [TEAM]],Sheet1!$A$12:$A$17,Sheet1!$I$12:$I$17)</f>
        <v>8567462.8000000007</v>
      </c>
      <c r="W1558" s="9">
        <f>Table1[[#This Row], [LOOT]]-Table1[[#This Row], [TOTAL COST]]</f>
        <v>9186677.1999999993</v>
      </c>
      <c r="X1558" s="9">
        <f>IF(Table1[[#This Row], [PASS/FAIL]]="FAIL",0,Table1[[#This Row], [PROFIT]])</f>
        <v>9186677.1999999993</v>
      </c>
    </row>
    <row r="1559" spans="1:24" ht="19.5" customHeight="1" x14ac:dyDescent="0.45">
      <c r="A1559" t="s">
        <v>12</v>
      </c>
      <c r="B1559" s="14">
        <f>_xlfn.XLOOKUP(Table1[[#This Row], [TEAM]],Sheet1!$A$12:$A$17,Sheet1!$F$12:$F$17)</f>
        <v>3</v>
      </c>
      <c r="C1559" s="14">
        <f>_xlfn.XLOOKUP(Table1[[#This Row], [TEAM]],Sheet1!$A$12:$A$17,Sheet1!$G$12:$G$17)</f>
        <v>5988750</v>
      </c>
      <c r="D1559" t="s">
        <v>17</v>
      </c>
      <c r="E1559" s="4">
        <f>_xlfn.XLOOKUP(Table1[[#This Row], [ROOM]],Sheet1!$A$47:$A$66,Sheet1!$B$47:$B$66)</f>
        <v>125</v>
      </c>
      <c r="F1559" t="s">
        <v>58</v>
      </c>
      <c r="G1559" s="4">
        <f>_xlfn.XLOOKUP(Table1[[#This Row], [DISGUISE]],Sheet1!$A$21:$A$23,Sheet1!$B$21:$B$23)*Table1[[#This Row], [NUM OF MEM]]*(1+_xlfn.XLOOKUP(Table1[[#This Row], [DISGUISE]],Sheet1!$A$21:$A$23,Sheet1!$C$21:$C$23))</f>
        <v>38400</v>
      </c>
      <c r="H1559" s="13" t="s">
        <v>59</v>
      </c>
      <c r="I1559" s="4">
        <f>_xlfn.XLOOKUP(Table1[[#This Row], [WEAPON]],Sheet1!$A$27:$A$29,Sheet1!$B$27:$B$29)*Table1[[#This Row], [NUM OF MEM]]*(1+_xlfn.XLOOKUP(Table1[[#This Row], [WEAPON]],Sheet1!$A$27:$A$29,Sheet1!$C$27:$C$29))</f>
        <v>136500</v>
      </c>
      <c r="J1559" t="s">
        <v>60</v>
      </c>
      <c r="K1559" s="9">
        <f>Table1[[#This Row], [NUM OF MEM]]*Table1[[#This Row], [TOTAL TIME TAKEN]]*_xlfn.XLOOKUP(Table1[[#This Row], [EXIT]],Sheet1!$A$70:$A$71,Sheet1!$B$70:$B$71)*(1+_xlfn.XLOOKUP(Table1[[#This Row], [EXIT]],Sheet1!$A$70:$A$71,Sheet1!$C$70:$C$71))</f>
        <v>1692563.9749999992</v>
      </c>
      <c r="L1559" s="13" t="s">
        <v>65</v>
      </c>
      <c r="M1559" s="4">
        <f>IF(Table1[[#This Row], [EQUIPMENT]]="YES",Sheet1!$C$44*(1+Sheet1!$D$44),0)</f>
        <v>307500</v>
      </c>
      <c r="N1559" s="4">
        <f>_xlfn.XLOOKUP(Table1[[#This Row], [ROOM]],Sheet1!$A$47:$A$66,Sheet1!$F$47:$F$66)</f>
        <v>17350000</v>
      </c>
      <c r="O1559" s="9">
        <f>_xlfn.XLOOKUP(_xlfn.CONCAT(Table1[[#This Row], [TEAM]],Table1[[#This Row], [ROOM]]),'ROOM TIME'!$H$2:$H$121,'ROOM TIME'!$J$2:$J$121)</f>
        <v>40.132222222222204</v>
      </c>
      <c r="P1559" s="9">
        <f>(INDEX(Sheet1!$X$48:$Z$67,MATCH(Table1[[#This Row], [ROOM]],Sheet1!$P$48:$P$67,0),MATCH(Table1[[#This Row], [WEAPON]],Sheet1!$X$47:$Z$47,0)))/Table1[[#This Row], [NUM OF MEM]]</f>
        <v>3.8333333333333335</v>
      </c>
      <c r="Q1559" s="9">
        <f>Table1[[#This Row], [ROOM TIME]]+Table1[[#This Row], [GUARD TIME]]</f>
        <v>43.96555555555554</v>
      </c>
      <c r="R1559" s="4">
        <f>Sheet1!$K$3*_xlfn.XLOOKUP(Table1[[#This Row], [DISGUISE]],Sheet1!$A$21:$A$23,Sheet1!$D$21:$D$23)</f>
        <v>69</v>
      </c>
      <c r="S1559" s="9">
        <f>Table1[[#This Row], [TOTAL TIME]]-Table1[[#This Row], [TOTAL TIME TAKEN]]</f>
        <v>25.03444444444446</v>
      </c>
      <c r="T1559" t="str">
        <f>IF(Table1[[#This Row], [TIME DIFFERENCE]]&gt;=0,"PASS","FAIL")</f>
        <v>PASS</v>
      </c>
      <c r="U1559" s="9">
        <f>Table1[[#This Row], [TRC]]+Table1[[#This Row], [DRC]]+Table1[[#This Row], [WRC]]+Table1[[#This Row], [ERC]]+Table1[[#This Row], [EQRC]]</f>
        <v>8163713.9749999996</v>
      </c>
      <c r="V1559" s="9">
        <f>Table1[[#This Row], [TOTAL COST]]+_xlfn.XLOOKUP(Table1[[#This Row], [TEAM]],Sheet1!$A$12:$A$17,Sheet1!$I$12:$I$17)</f>
        <v>8463151.4749999996</v>
      </c>
      <c r="W1559" s="9">
        <f>Table1[[#This Row], [LOOT]]-Table1[[#This Row], [TOTAL COST]]</f>
        <v>9186286.0250000004</v>
      </c>
      <c r="X1559" s="9">
        <f>IF(Table1[[#This Row], [PASS/FAIL]]="FAIL",0,Table1[[#This Row], [PROFIT]])</f>
        <v>9186286.0250000004</v>
      </c>
    </row>
    <row r="1560" spans="1:24" ht="19.5" customHeight="1" x14ac:dyDescent="0.45">
      <c r="A1560" t="s">
        <v>12</v>
      </c>
      <c r="B1560" s="14">
        <f>_xlfn.XLOOKUP(Table1[[#This Row], [TEAM]],Sheet1!$A$12:$A$17,Sheet1!$F$12:$F$17)</f>
        <v>3</v>
      </c>
      <c r="C1560" s="14">
        <f>_xlfn.XLOOKUP(Table1[[#This Row], [TEAM]],Sheet1!$A$12:$A$17,Sheet1!$G$12:$G$17)</f>
        <v>5988750</v>
      </c>
      <c r="D1560" t="s">
        <v>17</v>
      </c>
      <c r="E1560" s="4">
        <f>_xlfn.XLOOKUP(Table1[[#This Row], [ROOM]],Sheet1!$A$47:$A$66,Sheet1!$B$47:$B$66)</f>
        <v>125</v>
      </c>
      <c r="F1560" t="s">
        <v>58</v>
      </c>
      <c r="G1560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0" s="13" t="s">
        <v>66</v>
      </c>
      <c r="I1560" s="4">
        <f>_xlfn.XLOOKUP(Table1[[#This Row], [WEAPON]],Sheet1!$A$27:$A$29,Sheet1!$B$27:$B$29)*Table1[[#This Row], [NUM OF MEM]]*(1+_xlfn.XLOOKUP(Table1[[#This Row], [WEAPON]],Sheet1!$A$27:$A$29,Sheet1!$C$27:$C$29))</f>
        <v>108000</v>
      </c>
      <c r="J1560" t="s">
        <v>64</v>
      </c>
      <c r="K1560" s="9">
        <f>Table1[[#This Row], [NUM OF MEM]]*Table1[[#This Row], [TOTAL TIME TAKEN]]*_xlfn.XLOOKUP(Table1[[#This Row], [EXIT]],Sheet1!$A$70:$A$71,Sheet1!$B$70:$B$71)*(1+_xlfn.XLOOKUP(Table1[[#This Row], [EXIT]],Sheet1!$A$70:$A$71,Sheet1!$C$70:$C$71))</f>
        <v>1722340.7999999989</v>
      </c>
      <c r="L1560" s="13" t="s">
        <v>65</v>
      </c>
      <c r="M1560" s="4">
        <f>IF(Table1[[#This Row], [EQUIPMENT]]="YES",Sheet1!$C$44*(1+Sheet1!$D$44),0)</f>
        <v>307500</v>
      </c>
      <c r="N1560" s="4">
        <f>_xlfn.XLOOKUP(Table1[[#This Row], [ROOM]],Sheet1!$A$47:$A$66,Sheet1!$F$47:$F$66)</f>
        <v>17350000</v>
      </c>
      <c r="O1560" s="9">
        <f>_xlfn.XLOOKUP(_xlfn.CONCAT(Table1[[#This Row], [TEAM]],Table1[[#This Row], [ROOM]]),'ROOM TIME'!$H$2:$H$121,'ROOM TIME'!$J$2:$J$121)</f>
        <v>40.132222222222204</v>
      </c>
      <c r="P1560" s="9">
        <f>(INDEX(Sheet1!$X$48:$Z$67,MATCH(Table1[[#This Row], [ROOM]],Sheet1!$P$48:$P$67,0),MATCH(Table1[[#This Row], [WEAPON]],Sheet1!$X$47:$Z$47,0)))/Table1[[#This Row], [NUM OF MEM]]</f>
        <v>4.166666666666667</v>
      </c>
      <c r="Q1560" s="9">
        <f>Table1[[#This Row], [ROOM TIME]]+Table1[[#This Row], [GUARD TIME]]</f>
        <v>44.298888888888868</v>
      </c>
      <c r="R1560" s="4">
        <f>Sheet1!$K$3*_xlfn.XLOOKUP(Table1[[#This Row], [DISGUISE]],Sheet1!$A$21:$A$23,Sheet1!$D$21:$D$23)</f>
        <v>69</v>
      </c>
      <c r="S1560" s="9">
        <f>Table1[[#This Row], [TOTAL TIME]]-Table1[[#This Row], [TOTAL TIME TAKEN]]</f>
        <v>24.701111111111132</v>
      </c>
      <c r="T1560" t="str">
        <f>IF(Table1[[#This Row], [TIME DIFFERENCE]]&gt;=0,"PASS","FAIL")</f>
        <v>PASS</v>
      </c>
      <c r="U1560" s="9">
        <f>Table1[[#This Row], [TRC]]+Table1[[#This Row], [DRC]]+Table1[[#This Row], [WRC]]+Table1[[#This Row], [ERC]]+Table1[[#This Row], [EQRC]]</f>
        <v>8164990.7999999989</v>
      </c>
      <c r="V1560" s="9">
        <f>Table1[[#This Row], [TOTAL COST]]+_xlfn.XLOOKUP(Table1[[#This Row], [TEAM]],Sheet1!$A$12:$A$17,Sheet1!$I$12:$I$17)</f>
        <v>8464428.2999999989</v>
      </c>
      <c r="W1560" s="9">
        <f>Table1[[#This Row], [LOOT]]-Table1[[#This Row], [TOTAL COST]]</f>
        <v>9185009.2000000011</v>
      </c>
      <c r="X1560" s="9">
        <f>IF(Table1[[#This Row], [PASS/FAIL]]="FAIL",0,Table1[[#This Row], [PROFIT]])</f>
        <v>9185009.2000000011</v>
      </c>
    </row>
    <row r="1561" spans="1:24" ht="19.5" customHeight="1" x14ac:dyDescent="0.45">
      <c r="A1561" t="s">
        <v>13</v>
      </c>
      <c r="B1561" s="14">
        <f>_xlfn.XLOOKUP(Table1[[#This Row], [TEAM]],Sheet1!$A$12:$A$17,Sheet1!$F$12:$F$17)</f>
        <v>3</v>
      </c>
      <c r="C1561" s="14">
        <f>_xlfn.XLOOKUP(Table1[[#This Row], [TEAM]],Sheet1!$A$12:$A$17,Sheet1!$G$12:$G$17)</f>
        <v>5930000</v>
      </c>
      <c r="D1561" t="s">
        <v>17</v>
      </c>
      <c r="E1561" s="4">
        <f>_xlfn.XLOOKUP(Table1[[#This Row], [ROOM]],Sheet1!$A$47:$A$66,Sheet1!$B$47:$B$66)</f>
        <v>125</v>
      </c>
      <c r="F1561" t="s">
        <v>58</v>
      </c>
      <c r="G156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1" s="13" t="s">
        <v>66</v>
      </c>
      <c r="I1561" s="4">
        <f>_xlfn.XLOOKUP(Table1[[#This Row], [WEAPON]],Sheet1!$A$27:$A$29,Sheet1!$B$27:$B$29)*Table1[[#This Row], [NUM OF MEM]]*(1+_xlfn.XLOOKUP(Table1[[#This Row], [WEAPON]],Sheet1!$A$27:$A$29,Sheet1!$C$27:$C$29))</f>
        <v>108000</v>
      </c>
      <c r="J1561" t="s">
        <v>60</v>
      </c>
      <c r="K1561" s="9">
        <f>Table1[[#This Row], [NUM OF MEM]]*Table1[[#This Row], [TOTAL TIME TAKEN]]*_xlfn.XLOOKUP(Table1[[#This Row], [EXIT]],Sheet1!$A$70:$A$71,Sheet1!$B$70:$B$71)*(1+_xlfn.XLOOKUP(Table1[[#This Row], [EXIT]],Sheet1!$A$70:$A$71,Sheet1!$C$70:$C$71))</f>
        <v>1783738.8874999997</v>
      </c>
      <c r="L1561" s="13" t="s">
        <v>65</v>
      </c>
      <c r="M1561" s="4">
        <f>IF(Table1[[#This Row], [EQUIPMENT]]="YES",Sheet1!$C$44*(1+Sheet1!$D$44),0)</f>
        <v>307500</v>
      </c>
      <c r="N1561" s="4">
        <f>_xlfn.XLOOKUP(Table1[[#This Row], [ROOM]],Sheet1!$A$47:$A$66,Sheet1!$F$47:$F$66)</f>
        <v>17350000</v>
      </c>
      <c r="O1561" s="9">
        <f>_xlfn.XLOOKUP(_xlfn.CONCAT(Table1[[#This Row], [TEAM]],Table1[[#This Row], [ROOM]]),'ROOM TIME'!$H$2:$H$121,'ROOM TIME'!$J$2:$J$121)</f>
        <v>42.167222222222215</v>
      </c>
      <c r="P1561" s="9">
        <f>(INDEX(Sheet1!$X$48:$Z$67,MATCH(Table1[[#This Row], [ROOM]],Sheet1!$P$48:$P$67,0),MATCH(Table1[[#This Row], [WEAPON]],Sheet1!$X$47:$Z$47,0)))/Table1[[#This Row], [NUM OF MEM]]</f>
        <v>4.166666666666667</v>
      </c>
      <c r="Q1561" s="9">
        <f>Table1[[#This Row], [ROOM TIME]]+Table1[[#This Row], [GUARD TIME]]</f>
        <v>46.333888888888879</v>
      </c>
      <c r="R1561" s="4">
        <f>Sheet1!$K$3*_xlfn.XLOOKUP(Table1[[#This Row], [DISGUISE]],Sheet1!$A$21:$A$23,Sheet1!$D$21:$D$23)</f>
        <v>69</v>
      </c>
      <c r="S1561" s="9">
        <f>Table1[[#This Row], [TOTAL TIME]]-Table1[[#This Row], [TOTAL TIME TAKEN]]</f>
        <v>22.666111111111121</v>
      </c>
      <c r="T1561" t="str">
        <f>IF(Table1[[#This Row], [TIME DIFFERENCE]]&gt;=0,"PASS","FAIL")</f>
        <v>PASS</v>
      </c>
      <c r="U1561" s="9">
        <f>Table1[[#This Row], [TRC]]+Table1[[#This Row], [DRC]]+Table1[[#This Row], [WRC]]+Table1[[#This Row], [ERC]]+Table1[[#This Row], [EQRC]]</f>
        <v>8167638.8874999993</v>
      </c>
      <c r="V1561" s="9">
        <f>Table1[[#This Row], [TOTAL COST]]+_xlfn.XLOOKUP(Table1[[#This Row], [TEAM]],Sheet1!$A$12:$A$17,Sheet1!$I$12:$I$17)</f>
        <v>8464138.8874999993</v>
      </c>
      <c r="W1561" s="9">
        <f>Table1[[#This Row], [LOOT]]-Table1[[#This Row], [TOTAL COST]]</f>
        <v>9182361.1125000007</v>
      </c>
      <c r="X1561" s="9">
        <f>IF(Table1[[#This Row], [PASS/FAIL]]="FAIL",0,Table1[[#This Row], [PROFIT]])</f>
        <v>9182361.1125000007</v>
      </c>
    </row>
    <row r="1562" spans="1:24" ht="19.5" customHeight="1" x14ac:dyDescent="0.45">
      <c r="A1562" t="s">
        <v>16</v>
      </c>
      <c r="B1562" s="14">
        <f>_xlfn.XLOOKUP(Table1[[#This Row], [TEAM]],Sheet1!$A$12:$A$17,Sheet1!$F$12:$F$17)</f>
        <v>2</v>
      </c>
      <c r="C1562" s="14">
        <f>_xlfn.XLOOKUP(Table1[[#This Row], [TEAM]],Sheet1!$A$12:$A$17,Sheet1!$G$12:$G$17)</f>
        <v>6082800</v>
      </c>
      <c r="D1562" t="s">
        <v>11</v>
      </c>
      <c r="E1562" s="4">
        <f>_xlfn.XLOOKUP(Table1[[#This Row], [ROOM]],Sheet1!$A$47:$A$66,Sheet1!$B$47:$B$66)</f>
        <v>124</v>
      </c>
      <c r="F1562" t="s">
        <v>58</v>
      </c>
      <c r="G1562" s="4">
        <f>_xlfn.XLOOKUP(Table1[[#This Row], [DISGUISE]],Sheet1!$A$21:$A$23,Sheet1!$B$21:$B$23)*Table1[[#This Row], [NUM OF MEM]]*(1+_xlfn.XLOOKUP(Table1[[#This Row], [DISGUISE]],Sheet1!$A$21:$A$23,Sheet1!$C$21:$C$23))</f>
        <v>25600</v>
      </c>
      <c r="H1562" s="13" t="s">
        <v>59</v>
      </c>
      <c r="I1562" s="4">
        <f>_xlfn.XLOOKUP(Table1[[#This Row], [WEAPON]],Sheet1!$A$27:$A$29,Sheet1!$B$27:$B$29)*Table1[[#This Row], [NUM OF MEM]]*(1+_xlfn.XLOOKUP(Table1[[#This Row], [WEAPON]],Sheet1!$A$27:$A$29,Sheet1!$C$27:$C$29))</f>
        <v>91000</v>
      </c>
      <c r="J1562" t="s">
        <v>64</v>
      </c>
      <c r="K1562" s="9">
        <f>Table1[[#This Row], [NUM OF MEM]]*Table1[[#This Row], [TOTAL TIME TAKEN]]*_xlfn.XLOOKUP(Table1[[#This Row], [EXIT]],Sheet1!$A$70:$A$71,Sheet1!$B$70:$B$71)*(1+_xlfn.XLOOKUP(Table1[[#This Row], [EXIT]],Sheet1!$A$70:$A$71,Sheet1!$C$70:$C$71))</f>
        <v>1761166.7999999996</v>
      </c>
      <c r="L1562" s="13" t="s">
        <v>65</v>
      </c>
      <c r="M1562" s="4">
        <f>IF(Table1[[#This Row], [EQUIPMENT]]="YES",Sheet1!$C$44*(1+Sheet1!$D$44),0)</f>
        <v>307500</v>
      </c>
      <c r="N1562" s="4">
        <f>_xlfn.XLOOKUP(Table1[[#This Row], [ROOM]],Sheet1!$A$47:$A$66,Sheet1!$F$47:$F$66)</f>
        <v>17450000</v>
      </c>
      <c r="O1562" s="9">
        <f>_xlfn.XLOOKUP(_xlfn.CONCAT(Table1[[#This Row], [TEAM]],Table1[[#This Row], [ROOM]]),'ROOM TIME'!$H$2:$H$121,'ROOM TIME'!$J$2:$J$121)</f>
        <v>61.621249999999989</v>
      </c>
      <c r="P1562" s="9">
        <f>(INDEX(Sheet1!$X$48:$Z$67,MATCH(Table1[[#This Row], [ROOM]],Sheet1!$P$48:$P$67,0),MATCH(Table1[[#This Row], [WEAPON]],Sheet1!$X$47:$Z$47,0)))/Table1[[#This Row], [NUM OF MEM]]</f>
        <v>6.3249999999999993</v>
      </c>
      <c r="Q1562" s="9">
        <f>Table1[[#This Row], [ROOM TIME]]+Table1[[#This Row], [GUARD TIME]]</f>
        <v>67.946249999999992</v>
      </c>
      <c r="R1562" s="4">
        <f>Sheet1!$K$3*_xlfn.XLOOKUP(Table1[[#This Row], [DISGUISE]],Sheet1!$A$21:$A$23,Sheet1!$D$21:$D$23)</f>
        <v>69</v>
      </c>
      <c r="S1562" s="9">
        <f>Table1[[#This Row], [TOTAL TIME]]-Table1[[#This Row], [TOTAL TIME TAKEN]]</f>
        <v>1.053750000000008</v>
      </c>
      <c r="T1562" t="str">
        <f>IF(Table1[[#This Row], [TIME DIFFERENCE]]&gt;=0,"PASS","FAIL")</f>
        <v>PASS</v>
      </c>
      <c r="U1562" s="9">
        <f>Table1[[#This Row], [TRC]]+Table1[[#This Row], [DRC]]+Table1[[#This Row], [WRC]]+Table1[[#This Row], [ERC]]+Table1[[#This Row], [EQRC]]</f>
        <v>8268066.7999999998</v>
      </c>
      <c r="V1562" s="9">
        <f>Table1[[#This Row], [TOTAL COST]]+_xlfn.XLOOKUP(Table1[[#This Row], [TEAM]],Sheet1!$A$12:$A$17,Sheet1!$I$12:$I$17)</f>
        <v>8572206.8000000007</v>
      </c>
      <c r="W1562" s="9">
        <f>Table1[[#This Row], [LOOT]]-Table1[[#This Row], [TOTAL COST]]</f>
        <v>9181933.1999999993</v>
      </c>
      <c r="X1562" s="9">
        <f>IF(Table1[[#This Row], [PASS/FAIL]]="FAIL",0,Table1[[#This Row], [PROFIT]])</f>
        <v>9181933.1999999993</v>
      </c>
    </row>
    <row r="1563" spans="1:24" ht="19.5" customHeight="1" x14ac:dyDescent="0.45">
      <c r="A1563" t="s">
        <v>16</v>
      </c>
      <c r="B1563" s="14">
        <f>_xlfn.XLOOKUP(Table1[[#This Row], [TEAM]],Sheet1!$A$12:$A$17,Sheet1!$F$12:$F$17)</f>
        <v>2</v>
      </c>
      <c r="C1563" s="14">
        <f>_xlfn.XLOOKUP(Table1[[#This Row], [TEAM]],Sheet1!$A$12:$A$17,Sheet1!$G$12:$G$17)</f>
        <v>6082800</v>
      </c>
      <c r="D1563" t="s">
        <v>23</v>
      </c>
      <c r="E1563" s="4">
        <f>_xlfn.XLOOKUP(Table1[[#This Row], [ROOM]],Sheet1!$A$47:$A$66,Sheet1!$B$47:$B$66)</f>
        <v>245</v>
      </c>
      <c r="F1563" t="s">
        <v>58</v>
      </c>
      <c r="G1563" s="4">
        <f>_xlfn.XLOOKUP(Table1[[#This Row], [DISGUISE]],Sheet1!$A$21:$A$23,Sheet1!$B$21:$B$23)*Table1[[#This Row], [NUM OF MEM]]*(1+_xlfn.XLOOKUP(Table1[[#This Row], [DISGUISE]],Sheet1!$A$21:$A$23,Sheet1!$C$21:$C$23))</f>
        <v>25600</v>
      </c>
      <c r="H1563" s="13" t="s">
        <v>63</v>
      </c>
      <c r="I1563" s="4">
        <f>_xlfn.XLOOKUP(Table1[[#This Row], [WEAPON]],Sheet1!$A$27:$A$29,Sheet1!$B$27:$B$29)*Table1[[#This Row], [NUM OF MEM]]*(1+_xlfn.XLOOKUP(Table1[[#This Row], [WEAPON]],Sheet1!$A$27:$A$29,Sheet1!$C$27:$C$29))</f>
        <v>46000</v>
      </c>
      <c r="J1563" t="s">
        <v>60</v>
      </c>
      <c r="K1563" s="9">
        <f>Table1[[#This Row], [NUM OF MEM]]*Table1[[#This Row], [TOTAL TIME TAKEN]]*_xlfn.XLOOKUP(Table1[[#This Row], [EXIT]],Sheet1!$A$70:$A$71,Sheet1!$B$70:$B$71)*(1+_xlfn.XLOOKUP(Table1[[#This Row], [EXIT]],Sheet1!$A$70:$A$71,Sheet1!$C$70:$C$71))</f>
        <v>1757667.5249999997</v>
      </c>
      <c r="L1563" s="13" t="s">
        <v>65</v>
      </c>
      <c r="M1563" s="4">
        <f>IF(Table1[[#This Row], [EQUIPMENT]]="YES",Sheet1!$C$44*(1+Sheet1!$D$44),0)</f>
        <v>307500</v>
      </c>
      <c r="N1563" s="4">
        <f>_xlfn.XLOOKUP(Table1[[#This Row], [ROOM]],Sheet1!$A$47:$A$66,Sheet1!$F$47:$F$66)</f>
        <v>17400000</v>
      </c>
      <c r="O1563" s="9">
        <f>_xlfn.XLOOKUP(_xlfn.CONCAT(Table1[[#This Row], [TEAM]],Table1[[#This Row], [ROOM]]),'ROOM TIME'!$H$2:$H$121,'ROOM TIME'!$J$2:$J$121)</f>
        <v>61.059999999999988</v>
      </c>
      <c r="P1563" s="9">
        <f>(INDEX(Sheet1!$X$48:$Z$67,MATCH(Table1[[#This Row], [ROOM]],Sheet1!$P$48:$P$67,0),MATCH(Table1[[#This Row], [WEAPON]],Sheet1!$X$47:$Z$47,0)))/Table1[[#This Row], [NUM OF MEM]]</f>
        <v>7.4250000000000007</v>
      </c>
      <c r="Q1563" s="9">
        <f>Table1[[#This Row], [ROOM TIME]]+Table1[[#This Row], [GUARD TIME]]</f>
        <v>68.484999999999985</v>
      </c>
      <c r="R1563" s="4">
        <f>Sheet1!$K$3*_xlfn.XLOOKUP(Table1[[#This Row], [DISGUISE]],Sheet1!$A$21:$A$23,Sheet1!$D$21:$D$23)</f>
        <v>69</v>
      </c>
      <c r="S1563" s="9">
        <f>Table1[[#This Row], [TOTAL TIME]]-Table1[[#This Row], [TOTAL TIME TAKEN]]</f>
        <v>0.51500000000001478</v>
      </c>
      <c r="T1563" t="str">
        <f>IF(Table1[[#This Row], [TIME DIFFERENCE]]&gt;=0,"PASS","FAIL")</f>
        <v>PASS</v>
      </c>
      <c r="U1563" s="9">
        <f>Table1[[#This Row], [TRC]]+Table1[[#This Row], [DRC]]+Table1[[#This Row], [WRC]]+Table1[[#This Row], [ERC]]+Table1[[#This Row], [EQRC]]</f>
        <v>8219567.5249999994</v>
      </c>
      <c r="V1563" s="9">
        <f>Table1[[#This Row], [TOTAL COST]]+_xlfn.XLOOKUP(Table1[[#This Row], [TEAM]],Sheet1!$A$12:$A$17,Sheet1!$I$12:$I$17)</f>
        <v>8523707.5249999985</v>
      </c>
      <c r="W1563" s="9">
        <f>Table1[[#This Row], [LOOT]]-Table1[[#This Row], [TOTAL COST]]</f>
        <v>9180432.4750000015</v>
      </c>
      <c r="X1563" s="9">
        <f>IF(Table1[[#This Row], [PASS/FAIL]]="FAIL",0,Table1[[#This Row], [PROFIT]])</f>
        <v>9180432.4750000015</v>
      </c>
    </row>
    <row r="1564" spans="1:24" ht="19.5" customHeight="1" x14ac:dyDescent="0.45">
      <c r="A1564" t="s">
        <v>13</v>
      </c>
      <c r="B1564" s="14">
        <f>_xlfn.XLOOKUP(Table1[[#This Row], [TEAM]],Sheet1!$A$12:$A$17,Sheet1!$F$12:$F$17)</f>
        <v>3</v>
      </c>
      <c r="C1564" s="14">
        <f>_xlfn.XLOOKUP(Table1[[#This Row], [TEAM]],Sheet1!$A$12:$A$17,Sheet1!$G$12:$G$17)</f>
        <v>5930000</v>
      </c>
      <c r="D1564" t="s">
        <v>17</v>
      </c>
      <c r="E1564" s="4">
        <f>_xlfn.XLOOKUP(Table1[[#This Row], [ROOM]],Sheet1!$A$47:$A$66,Sheet1!$B$47:$B$66)</f>
        <v>125</v>
      </c>
      <c r="F1564" t="s">
        <v>62</v>
      </c>
      <c r="G156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64" s="13" t="s">
        <v>59</v>
      </c>
      <c r="I1564" s="4">
        <f>_xlfn.XLOOKUP(Table1[[#This Row], [WEAPON]],Sheet1!$A$27:$A$29,Sheet1!$B$27:$B$29)*Table1[[#This Row], [NUM OF MEM]]*(1+_xlfn.XLOOKUP(Table1[[#This Row], [WEAPON]],Sheet1!$A$27:$A$29,Sheet1!$C$27:$C$29))</f>
        <v>136500</v>
      </c>
      <c r="J1564" t="s">
        <v>64</v>
      </c>
      <c r="K1564" s="9">
        <f>Table1[[#This Row], [NUM OF MEM]]*Table1[[#This Row], [TOTAL TIME TAKEN]]*_xlfn.XLOOKUP(Table1[[#This Row], [EXIT]],Sheet1!$A$70:$A$71,Sheet1!$B$70:$B$71)*(1+_xlfn.XLOOKUP(Table1[[#This Row], [EXIT]],Sheet1!$A$70:$A$71,Sheet1!$C$70:$C$71))</f>
        <v>1788501.5999999999</v>
      </c>
      <c r="L1564" s="13" t="s">
        <v>65</v>
      </c>
      <c r="M1564" s="4">
        <f>IF(Table1[[#This Row], [EQUIPMENT]]="YES",Sheet1!$C$44*(1+Sheet1!$D$44),0)</f>
        <v>307500</v>
      </c>
      <c r="N1564" s="4">
        <f>_xlfn.XLOOKUP(Table1[[#This Row], [ROOM]],Sheet1!$A$47:$A$66,Sheet1!$F$47:$F$66)</f>
        <v>17350000</v>
      </c>
      <c r="O1564" s="9">
        <f>_xlfn.XLOOKUP(_xlfn.CONCAT(Table1[[#This Row], [TEAM]],Table1[[#This Row], [ROOM]]),'ROOM TIME'!$H$2:$H$121,'ROOM TIME'!$J$2:$J$121)</f>
        <v>42.167222222222215</v>
      </c>
      <c r="P1564" s="9">
        <f>(INDEX(Sheet1!$X$48:$Z$67,MATCH(Table1[[#This Row], [ROOM]],Sheet1!$P$48:$P$67,0),MATCH(Table1[[#This Row], [WEAPON]],Sheet1!$X$47:$Z$47,0)))/Table1[[#This Row], [NUM OF MEM]]</f>
        <v>3.8333333333333335</v>
      </c>
      <c r="Q1564" s="9">
        <f>Table1[[#This Row], [ROOM TIME]]+Table1[[#This Row], [GUARD TIME]]</f>
        <v>46.00055555555555</v>
      </c>
      <c r="R1564" s="4">
        <f>Sheet1!$K$3*_xlfn.XLOOKUP(Table1[[#This Row], [DISGUISE]],Sheet1!$A$21:$A$23,Sheet1!$D$21:$D$23)</f>
        <v>66</v>
      </c>
      <c r="S1564" s="9">
        <f>Table1[[#This Row], [TOTAL TIME]]-Table1[[#This Row], [TOTAL TIME TAKEN]]</f>
        <v>19.99944444444445</v>
      </c>
      <c r="T1564" t="str">
        <f>IF(Table1[[#This Row], [TIME DIFFERENCE]]&gt;=0,"PASS","FAIL")</f>
        <v>PASS</v>
      </c>
      <c r="U1564" s="9">
        <f>Table1[[#This Row], [TRC]]+Table1[[#This Row], [DRC]]+Table1[[#This Row], [WRC]]+Table1[[#This Row], [ERC]]+Table1[[#This Row], [EQRC]]</f>
        <v>8178101.5999999996</v>
      </c>
      <c r="V1564" s="9">
        <f>Table1[[#This Row], [TOTAL COST]]+_xlfn.XLOOKUP(Table1[[#This Row], [TEAM]],Sheet1!$A$12:$A$17,Sheet1!$I$12:$I$17)</f>
        <v>8474601.5999999996</v>
      </c>
      <c r="W1564" s="9">
        <f>Table1[[#This Row], [LOOT]]-Table1[[#This Row], [TOTAL COST]]</f>
        <v>9171898.4000000004</v>
      </c>
      <c r="X1564" s="9">
        <f>IF(Table1[[#This Row], [PASS/FAIL]]="FAIL",0,Table1[[#This Row], [PROFIT]])</f>
        <v>9171898.4000000004</v>
      </c>
    </row>
    <row r="1565" spans="1:24" ht="19.5" customHeight="1" x14ac:dyDescent="0.45">
      <c r="A1565" t="s">
        <v>12</v>
      </c>
      <c r="B1565" s="14">
        <f>_xlfn.XLOOKUP(Table1[[#This Row], [TEAM]],Sheet1!$A$12:$A$17,Sheet1!$F$12:$F$17)</f>
        <v>3</v>
      </c>
      <c r="C1565" s="14">
        <f>_xlfn.XLOOKUP(Table1[[#This Row], [TEAM]],Sheet1!$A$12:$A$17,Sheet1!$G$12:$G$17)</f>
        <v>5988750</v>
      </c>
      <c r="D1565" t="s">
        <v>17</v>
      </c>
      <c r="E1565" s="4">
        <f>_xlfn.XLOOKUP(Table1[[#This Row], [ROOM]],Sheet1!$A$47:$A$66,Sheet1!$B$47:$B$66)</f>
        <v>125</v>
      </c>
      <c r="F1565" t="s">
        <v>58</v>
      </c>
      <c r="G1565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5" s="13" t="s">
        <v>59</v>
      </c>
      <c r="I1565" s="4">
        <f>_xlfn.XLOOKUP(Table1[[#This Row], [WEAPON]],Sheet1!$A$27:$A$29,Sheet1!$B$27:$B$29)*Table1[[#This Row], [NUM OF MEM]]*(1+_xlfn.XLOOKUP(Table1[[#This Row], [WEAPON]],Sheet1!$A$27:$A$29,Sheet1!$C$27:$C$29))</f>
        <v>136500</v>
      </c>
      <c r="J1565" t="s">
        <v>64</v>
      </c>
      <c r="K1565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1709380.7999999993</v>
      </c>
      <c r="L1565" s="13" t="s">
        <v>65</v>
      </c>
      <c r="M1565" s="4">
        <f>IF(Table1[[#This Row], [EQUIPMENT]]="YES",Sheet1!$C$44*(1+Sheet1!$D$44),0)</f>
        <v>307500</v>
      </c>
      <c r="N1565" s="4">
        <f>_xlfn.XLOOKUP(Table1[[#This Row], [ROOM]],Sheet1!$A$47:$A$66,Sheet1!$F$47:$F$66)</f>
        <v>17350000</v>
      </c>
      <c r="O1565" s="9">
        <f>_xlfn.XLOOKUP(_xlfn.CONCAT(Table1[[#This Row], [TEAM]],Table1[[#This Row], [ROOM]]),'ROOM TIME'!$H$2:$H$121,'ROOM TIME'!$J$2:$J$121)</f>
        <v>40.132222222222204</v>
      </c>
      <c r="P1565" s="9">
        <f>(INDEX(Sheet1!$X$48:$Z$67,MATCH(Table1[[#This Row], [ROOM]],Sheet1!$P$48:$P$67,0),MATCH(Table1[[#This Row], [WEAPON]],Sheet1!$X$47:$Z$47,0)))/Table1[[#This Row], [NUM OF MEM]]</f>
        <v>3.8333333333333335</v>
      </c>
      <c r="Q1565" s="9">
        <f>Table1[[#This Row], [ROOM TIME]]+Table1[[#This Row], [GUARD TIME]]</f>
        <v>43.96555555555554</v>
      </c>
      <c r="R1565" s="4">
        <f>Sheet1!$K$3*_xlfn.XLOOKUP(Table1[[#This Row], [DISGUISE]],Sheet1!$A$21:$A$23,Sheet1!$D$21:$D$23)</f>
        <v>69</v>
      </c>
      <c r="S1565" s="9">
        <f>Table1[[#This Row], [TOTAL TIME]]-Table1[[#This Row], [TOTAL TIME TAKEN]]</f>
        <v>25.03444444444446</v>
      </c>
      <c r="T1565" t="str">
        <f>IF(Table1[[#This Row], [TIME DIFFERENCE]]&gt;=0,"PASS","FAIL")</f>
        <v>PASS</v>
      </c>
      <c r="U1565" s="9">
        <f>Table1[[#This Row], [TRC]]+Table1[[#This Row], [DRC]]+Table1[[#This Row], [WRC]]+Table1[[#This Row], [ERC]]+Table1[[#This Row], [EQRC]]</f>
        <v>8180530.7999999989</v>
      </c>
      <c r="V1565" s="9">
        <f>Table1[[#This Row], [TOTAL COST]]+_xlfn.XLOOKUP(Table1[[#This Row], [TEAM]],Sheet1!$A$12:$A$17,Sheet1!$I$12:$I$17)</f>
        <v>8479968.2999999989</v>
      </c>
      <c r="W1565" s="9">
        <f>Table1[[#This Row], [LOOT]]-Table1[[#This Row], [TOTAL COST]]</f>
        <v>9169469.2000000011</v>
      </c>
      <c r="X1565" s="9">
        <f>IF(Table1[[#This Row], [PASS/FAIL]]="FAIL",0,Table1[[#This Row], [PROFIT]])</f>
        <v>9169469.2000000011</v>
      </c>
    </row>
    <row r="1566" spans="1:24" ht="19.5" customHeight="1" x14ac:dyDescent="0.45">
      <c r="A1566" t="s">
        <v>16</v>
      </c>
      <c r="B1566" s="14">
        <f>_xlfn.XLOOKUP(Table1[[#This Row], [TEAM]],Sheet1!$A$12:$A$17,Sheet1!$F$12:$F$17)</f>
        <v>2</v>
      </c>
      <c r="C1566" s="14">
        <f>_xlfn.XLOOKUP(Table1[[#This Row], [TEAM]],Sheet1!$A$12:$A$17,Sheet1!$G$12:$G$17)</f>
        <v>6082800</v>
      </c>
      <c r="D1566" t="s">
        <v>23</v>
      </c>
      <c r="E1566" s="4">
        <f>_xlfn.XLOOKUP(Table1[[#This Row], [ROOM]],Sheet1!$A$47:$A$66,Sheet1!$B$47:$B$66)</f>
        <v>245</v>
      </c>
      <c r="F1566" t="s">
        <v>58</v>
      </c>
      <c r="G1566" s="4">
        <f>_xlfn.XLOOKUP(Table1[[#This Row], [DISGUISE]],Sheet1!$A$21:$A$23,Sheet1!$B$21:$B$23)*Table1[[#This Row], [NUM OF MEM]]*(1+_xlfn.XLOOKUP(Table1[[#This Row], [DISGUISE]],Sheet1!$A$21:$A$23,Sheet1!$C$21:$C$23))</f>
        <v>25600</v>
      </c>
      <c r="H1566" s="13" t="s">
        <v>66</v>
      </c>
      <c r="I1566" s="4">
        <f>_xlfn.XLOOKUP(Table1[[#This Row], [WEAPON]],Sheet1!$A$27:$A$29,Sheet1!$B$27:$B$29)*Table1[[#This Row], [NUM OF MEM]]*(1+_xlfn.XLOOKUP(Table1[[#This Row], [WEAPON]],Sheet1!$A$27:$A$29,Sheet1!$C$27:$C$29))</f>
        <v>72000</v>
      </c>
      <c r="J1566" t="s">
        <v>60</v>
      </c>
      <c r="K1566" s="9">
        <f>Table1[[#This Row], [NUM OF MEM]]*Table1[[#This Row], [TOTAL TIME TAKEN]]*_xlfn.XLOOKUP(Table1[[#This Row], [EXIT]],Sheet1!$A$70:$A$71,Sheet1!$B$70:$B$71)*(1+_xlfn.XLOOKUP(Table1[[#This Row], [EXIT]],Sheet1!$A$70:$A$71,Sheet1!$C$70:$C$71))</f>
        <v>1743551.7749999997</v>
      </c>
      <c r="L1566" s="13" t="s">
        <v>65</v>
      </c>
      <c r="M1566" s="4">
        <f>IF(Table1[[#This Row], [EQUIPMENT]]="YES",Sheet1!$C$44*(1+Sheet1!$D$44),0)</f>
        <v>307500</v>
      </c>
      <c r="N1566" s="4">
        <f>_xlfn.XLOOKUP(Table1[[#This Row], [ROOM]],Sheet1!$A$47:$A$66,Sheet1!$F$47:$F$66)</f>
        <v>17400000</v>
      </c>
      <c r="O1566" s="9">
        <f>_xlfn.XLOOKUP(_xlfn.CONCAT(Table1[[#This Row], [TEAM]],Table1[[#This Row], [ROOM]]),'ROOM TIME'!$H$2:$H$121,'ROOM TIME'!$J$2:$J$121)</f>
        <v>61.059999999999988</v>
      </c>
      <c r="P1566" s="9">
        <f>(INDEX(Sheet1!$X$48:$Z$67,MATCH(Table1[[#This Row], [ROOM]],Sheet1!$P$48:$P$67,0),MATCH(Table1[[#This Row], [WEAPON]],Sheet1!$X$47:$Z$47,0)))/Table1[[#This Row], [NUM OF MEM]]</f>
        <v>6.875</v>
      </c>
      <c r="Q1566" s="9">
        <f>Table1[[#This Row], [ROOM TIME]]+Table1[[#This Row], [GUARD TIME]]</f>
        <v>67.934999999999988</v>
      </c>
      <c r="R1566" s="4">
        <f>Sheet1!$K$3*_xlfn.XLOOKUP(Table1[[#This Row], [DISGUISE]],Sheet1!$A$21:$A$23,Sheet1!$D$21:$D$23)</f>
        <v>69</v>
      </c>
      <c r="S1566" s="9">
        <f>Table1[[#This Row], [TOTAL TIME]]-Table1[[#This Row], [TOTAL TIME TAKEN]]</f>
        <v>1.0650000000000119</v>
      </c>
      <c r="T1566" t="str">
        <f>IF(Table1[[#This Row], [TIME DIFFERENCE]]&gt;=0,"PASS","FAIL")</f>
        <v>PASS</v>
      </c>
      <c r="U1566" s="9">
        <f>Table1[[#This Row], [TRC]]+Table1[[#This Row], [DRC]]+Table1[[#This Row], [WRC]]+Table1[[#This Row], [ERC]]+Table1[[#This Row], [EQRC]]</f>
        <v>8231451.7749999994</v>
      </c>
      <c r="V1566" s="9">
        <f>Table1[[#This Row], [TOTAL COST]]+_xlfn.XLOOKUP(Table1[[#This Row], [TEAM]],Sheet1!$A$12:$A$17,Sheet1!$I$12:$I$17)</f>
        <v>8535591.7749999985</v>
      </c>
      <c r="W1566" s="9">
        <f>Table1[[#This Row], [LOOT]]-Table1[[#This Row], [TOTAL COST]]</f>
        <v>9168548.2250000015</v>
      </c>
      <c r="X1566" s="9">
        <f>IF(Table1[[#This Row], [PASS/FAIL]]="FAIL",0,Table1[[#This Row], [PROFIT]])</f>
        <v>9168548.2250000015</v>
      </c>
    </row>
    <row r="1567" spans="1:24" ht="19.5" customHeight="1" x14ac:dyDescent="0.45">
      <c r="A1567" t="s">
        <v>13</v>
      </c>
      <c r="B1567" s="14">
        <f>_xlfn.XLOOKUP(Table1[[#This Row], [TEAM]],Sheet1!$A$12:$A$17,Sheet1!$F$12:$F$17)</f>
        <v>3</v>
      </c>
      <c r="C1567" s="14">
        <f>_xlfn.XLOOKUP(Table1[[#This Row], [TEAM]],Sheet1!$A$12:$A$17,Sheet1!$G$12:$G$17)</f>
        <v>5930000</v>
      </c>
      <c r="D1567" t="s">
        <v>17</v>
      </c>
      <c r="E1567" s="4">
        <f>_xlfn.XLOOKUP(Table1[[#This Row], [ROOM]],Sheet1!$A$47:$A$66,Sheet1!$B$47:$B$66)</f>
        <v>125</v>
      </c>
      <c r="F1567" t="s">
        <v>58</v>
      </c>
      <c r="G156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7" s="13" t="s">
        <v>59</v>
      </c>
      <c r="I1567" s="4">
        <f>_xlfn.XLOOKUP(Table1[[#This Row], [WEAPON]],Sheet1!$A$27:$A$29,Sheet1!$B$27:$B$29)*Table1[[#This Row], [NUM OF MEM]]*(1+_xlfn.XLOOKUP(Table1[[#This Row], [WEAPON]],Sheet1!$A$27:$A$29,Sheet1!$C$27:$C$29))</f>
        <v>136500</v>
      </c>
      <c r="J1567" t="s">
        <v>60</v>
      </c>
      <c r="K1567" s="9">
        <f>Table1[[#This Row], [NUM OF MEM]]*Table1[[#This Row], [TOTAL TIME TAKEN]]*_xlfn.XLOOKUP(Table1[[#This Row], [EXIT]],Sheet1!$A$70:$A$71,Sheet1!$B$70:$B$71)*(1+_xlfn.XLOOKUP(Table1[[#This Row], [EXIT]],Sheet1!$A$70:$A$71,Sheet1!$C$70:$C$71))</f>
        <v>1770906.3875</v>
      </c>
      <c r="L1567" s="13" t="s">
        <v>65</v>
      </c>
      <c r="M1567" s="4">
        <f>IF(Table1[[#This Row], [EQUIPMENT]]="YES",Sheet1!$C$44*(1+Sheet1!$D$44),0)</f>
        <v>307500</v>
      </c>
      <c r="N1567" s="4">
        <f>_xlfn.XLOOKUP(Table1[[#This Row], [ROOM]],Sheet1!$A$47:$A$66,Sheet1!$F$47:$F$66)</f>
        <v>17350000</v>
      </c>
      <c r="O1567" s="9">
        <f>_xlfn.XLOOKUP(_xlfn.CONCAT(Table1[[#This Row], [TEAM]],Table1[[#This Row], [ROOM]]),'ROOM TIME'!$H$2:$H$121,'ROOM TIME'!$J$2:$J$121)</f>
        <v>42.167222222222215</v>
      </c>
      <c r="P1567" s="9">
        <f>(INDEX(Sheet1!$X$48:$Z$67,MATCH(Table1[[#This Row], [ROOM]],Sheet1!$P$48:$P$67,0),MATCH(Table1[[#This Row], [WEAPON]],Sheet1!$X$47:$Z$47,0)))/Table1[[#This Row], [NUM OF MEM]]</f>
        <v>3.8333333333333335</v>
      </c>
      <c r="Q1567" s="9">
        <f>Table1[[#This Row], [ROOM TIME]]+Table1[[#This Row], [GUARD TIME]]</f>
        <v>46.00055555555555</v>
      </c>
      <c r="R1567" s="4">
        <f>Sheet1!$K$3*_xlfn.XLOOKUP(Table1[[#This Row], [DISGUISE]],Sheet1!$A$21:$A$23,Sheet1!$D$21:$D$23)</f>
        <v>69</v>
      </c>
      <c r="S1567" s="9">
        <f>Table1[[#This Row], [TOTAL TIME]]-Table1[[#This Row], [TOTAL TIME TAKEN]]</f>
        <v>22.99944444444445</v>
      </c>
      <c r="T1567" t="str">
        <f>IF(Table1[[#This Row], [TIME DIFFERENCE]]&gt;=0,"PASS","FAIL")</f>
        <v>PASS</v>
      </c>
      <c r="U1567" s="9">
        <f>Table1[[#This Row], [TRC]]+Table1[[#This Row], [DRC]]+Table1[[#This Row], [WRC]]+Table1[[#This Row], [ERC]]+Table1[[#This Row], [EQRC]]</f>
        <v>8183306.3875000002</v>
      </c>
      <c r="V1567" s="9">
        <f>Table1[[#This Row], [TOTAL COST]]+_xlfn.XLOOKUP(Table1[[#This Row], [TEAM]],Sheet1!$A$12:$A$17,Sheet1!$I$12:$I$17)</f>
        <v>8479806.3874999993</v>
      </c>
      <c r="W1567" s="9">
        <f>Table1[[#This Row], [LOOT]]-Table1[[#This Row], [TOTAL COST]]</f>
        <v>9166693.6125000007</v>
      </c>
      <c r="X1567" s="9">
        <f>IF(Table1[[#This Row], [PASS/FAIL]]="FAIL",0,Table1[[#This Row], [PROFIT]])</f>
        <v>9166693.6125000007</v>
      </c>
    </row>
    <row r="1568" spans="1:24" ht="19.5" customHeight="1" x14ac:dyDescent="0.45">
      <c r="A1568" t="s">
        <v>13</v>
      </c>
      <c r="B1568" s="14">
        <f>_xlfn.XLOOKUP(Table1[[#This Row], [TEAM]],Sheet1!$A$12:$A$17,Sheet1!$F$12:$F$17)</f>
        <v>3</v>
      </c>
      <c r="C1568" s="14">
        <f>_xlfn.XLOOKUP(Table1[[#This Row], [TEAM]],Sheet1!$A$12:$A$17,Sheet1!$G$12:$G$17)</f>
        <v>5930000</v>
      </c>
      <c r="D1568" t="s">
        <v>17</v>
      </c>
      <c r="E1568" s="4">
        <f>_xlfn.XLOOKUP(Table1[[#This Row], [ROOM]],Sheet1!$A$47:$A$66,Sheet1!$B$47:$B$66)</f>
        <v>125</v>
      </c>
      <c r="F1568" t="s">
        <v>58</v>
      </c>
      <c r="G1568" s="4">
        <f>_xlfn.XLOOKUP(Table1[[#This Row], [DISGUISE]],Sheet1!$A$21:$A$23,Sheet1!$B$21:$B$23)*Table1[[#This Row], [NUM OF MEM]]*(1+_xlfn.XLOOKUP(Table1[[#This Row], [DISGUISE]],Sheet1!$A$21:$A$23,Sheet1!$C$21:$C$23))</f>
        <v>38400</v>
      </c>
      <c r="H1568" s="13" t="s">
        <v>66</v>
      </c>
      <c r="I1568" s="4">
        <f>_xlfn.XLOOKUP(Table1[[#This Row], [WEAPON]],Sheet1!$A$27:$A$29,Sheet1!$B$27:$B$29)*Table1[[#This Row], [NUM OF MEM]]*(1+_xlfn.XLOOKUP(Table1[[#This Row], [WEAPON]],Sheet1!$A$27:$A$29,Sheet1!$C$27:$C$29))</f>
        <v>108000</v>
      </c>
      <c r="J1568" t="s">
        <v>64</v>
      </c>
      <c r="K1568" s="9">
        <f>Table1[[#This Row], [NUM OF MEM]]*Table1[[#This Row], [TOTAL TIME TAKEN]]*_xlfn.XLOOKUP(Table1[[#This Row], [EXIT]],Sheet1!$A$70:$A$71,Sheet1!$B$70:$B$71)*(1+_xlfn.XLOOKUP(Table1[[#This Row], [EXIT]],Sheet1!$A$70:$A$71,Sheet1!$C$70:$C$71))</f>
        <v>1801461.5999999996</v>
      </c>
      <c r="L1568" s="13" t="s">
        <v>65</v>
      </c>
      <c r="M1568" s="4">
        <f>IF(Table1[[#This Row], [EQUIPMENT]]="YES",Sheet1!$C$44*(1+Sheet1!$D$44),0)</f>
        <v>307500</v>
      </c>
      <c r="N1568" s="4">
        <f>_xlfn.XLOOKUP(Table1[[#This Row], [ROOM]],Sheet1!$A$47:$A$66,Sheet1!$F$47:$F$66)</f>
        <v>17350000</v>
      </c>
      <c r="O1568" s="9">
        <f>_xlfn.XLOOKUP(_xlfn.CONCAT(Table1[[#This Row], [TEAM]],Table1[[#This Row], [ROOM]]),'ROOM TIME'!$H$2:$H$121,'ROOM TIME'!$J$2:$J$121)</f>
        <v>42.167222222222215</v>
      </c>
      <c r="P1568" s="9">
        <f>(INDEX(Sheet1!$X$48:$Z$67,MATCH(Table1[[#This Row], [ROOM]],Sheet1!$P$48:$P$67,0),MATCH(Table1[[#This Row], [WEAPON]],Sheet1!$X$47:$Z$47,0)))/Table1[[#This Row], [NUM OF MEM]]</f>
        <v>4.166666666666667</v>
      </c>
      <c r="Q1568" s="9">
        <f>Table1[[#This Row], [ROOM TIME]]+Table1[[#This Row], [GUARD TIME]]</f>
        <v>46.333888888888879</v>
      </c>
      <c r="R1568" s="4">
        <f>Sheet1!$K$3*_xlfn.XLOOKUP(Table1[[#This Row], [DISGUISE]],Sheet1!$A$21:$A$23,Sheet1!$D$21:$D$23)</f>
        <v>69</v>
      </c>
      <c r="S1568" s="9">
        <f>Table1[[#This Row], [TOTAL TIME]]-Table1[[#This Row], [TOTAL TIME TAKEN]]</f>
        <v>22.666111111111121</v>
      </c>
      <c r="T1568" t="str">
        <f>IF(Table1[[#This Row], [TIME DIFFERENCE]]&gt;=0,"PASS","FAIL")</f>
        <v>PASS</v>
      </c>
      <c r="U1568" s="9">
        <f>Table1[[#This Row], [TRC]]+Table1[[#This Row], [DRC]]+Table1[[#This Row], [WRC]]+Table1[[#This Row], [ERC]]+Table1[[#This Row], [EQRC]]</f>
        <v>8185361.5999999996</v>
      </c>
      <c r="V1568" s="9">
        <f>Table1[[#This Row], [TOTAL COST]]+_xlfn.XLOOKUP(Table1[[#This Row], [TEAM]],Sheet1!$A$12:$A$17,Sheet1!$I$12:$I$17)</f>
        <v>8481861.5999999996</v>
      </c>
      <c r="W1568" s="9">
        <f>Table1[[#This Row], [LOOT]]-Table1[[#This Row], [TOTAL COST]]</f>
        <v>9164638.4000000004</v>
      </c>
      <c r="X1568" s="9">
        <f>IF(Table1[[#This Row], [PASS/FAIL]]="FAIL",0,Table1[[#This Row], [PROFIT]])</f>
        <v>9164638.4000000004</v>
      </c>
    </row>
    <row r="1569" spans="1:24" ht="19.5" customHeight="1" x14ac:dyDescent="0.45">
      <c r="A1569" t="s">
        <v>16</v>
      </c>
      <c r="B1569" s="14">
        <f>_xlfn.XLOOKUP(Table1[[#This Row], [TEAM]],Sheet1!$A$12:$A$17,Sheet1!$F$12:$F$17)</f>
        <v>2</v>
      </c>
      <c r="C1569" s="14">
        <f>_xlfn.XLOOKUP(Table1[[#This Row], [TEAM]],Sheet1!$A$12:$A$17,Sheet1!$G$12:$G$17)</f>
        <v>6082800</v>
      </c>
      <c r="D1569" t="s">
        <v>23</v>
      </c>
      <c r="E1569" s="4">
        <f>_xlfn.XLOOKUP(Table1[[#This Row], [ROOM]],Sheet1!$A$47:$A$66,Sheet1!$B$47:$B$66)</f>
        <v>245</v>
      </c>
      <c r="F1569" t="s">
        <v>58</v>
      </c>
      <c r="G1569" s="4">
        <f>_xlfn.XLOOKUP(Table1[[#This Row], [DISGUISE]],Sheet1!$A$21:$A$23,Sheet1!$B$21:$B$23)*Table1[[#This Row], [NUM OF MEM]]*(1+_xlfn.XLOOKUP(Table1[[#This Row], [DISGUISE]],Sheet1!$A$21:$A$23,Sheet1!$C$21:$C$23))</f>
        <v>25600</v>
      </c>
      <c r="H1569" s="13" t="s">
        <v>59</v>
      </c>
      <c r="I1569" s="4">
        <f>_xlfn.XLOOKUP(Table1[[#This Row], [WEAPON]],Sheet1!$A$27:$A$29,Sheet1!$B$27:$B$29)*Table1[[#This Row], [NUM OF MEM]]*(1+_xlfn.XLOOKUP(Table1[[#This Row], [WEAPON]],Sheet1!$A$27:$A$29,Sheet1!$C$27:$C$29))</f>
        <v>91000</v>
      </c>
      <c r="J1569" t="s">
        <v>60</v>
      </c>
      <c r="K1569" s="9">
        <f>Table1[[#This Row], [NUM OF MEM]]*Table1[[#This Row], [TOTAL TIME TAKEN]]*_xlfn.XLOOKUP(Table1[[#This Row], [EXIT]],Sheet1!$A$70:$A$71,Sheet1!$B$70:$B$71)*(1+_xlfn.XLOOKUP(Table1[[#This Row], [EXIT]],Sheet1!$A$70:$A$71,Sheet1!$C$70:$C$71))</f>
        <v>1729436.0249999997</v>
      </c>
      <c r="L1569" s="13" t="s">
        <v>65</v>
      </c>
      <c r="M1569" s="4">
        <f>IF(Table1[[#This Row], [EQUIPMENT]]="YES",Sheet1!$C$44*(1+Sheet1!$D$44),0)</f>
        <v>307500</v>
      </c>
      <c r="N1569" s="4">
        <f>_xlfn.XLOOKUP(Table1[[#This Row], [ROOM]],Sheet1!$A$47:$A$66,Sheet1!$F$47:$F$66)</f>
        <v>17400000</v>
      </c>
      <c r="O1569" s="9">
        <f>_xlfn.XLOOKUP(_xlfn.CONCAT(Table1[[#This Row], [TEAM]],Table1[[#This Row], [ROOM]]),'ROOM TIME'!$H$2:$H$121,'ROOM TIME'!$J$2:$J$121)</f>
        <v>61.059999999999988</v>
      </c>
      <c r="P1569" s="9">
        <f>(INDEX(Sheet1!$X$48:$Z$67,MATCH(Table1[[#This Row], [ROOM]],Sheet1!$P$48:$P$67,0),MATCH(Table1[[#This Row], [WEAPON]],Sheet1!$X$47:$Z$47,0)))/Table1[[#This Row], [NUM OF MEM]]</f>
        <v>6.3249999999999993</v>
      </c>
      <c r="Q1569" s="9">
        <f>Table1[[#This Row], [ROOM TIME]]+Table1[[#This Row], [GUARD TIME]]</f>
        <v>67.384999999999991</v>
      </c>
      <c r="R1569" s="4">
        <f>Sheet1!$K$3*_xlfn.XLOOKUP(Table1[[#This Row], [DISGUISE]],Sheet1!$A$21:$A$23,Sheet1!$D$21:$D$23)</f>
        <v>69</v>
      </c>
      <c r="S1569" s="9">
        <f>Table1[[#This Row], [TOTAL TIME]]-Table1[[#This Row], [TOTAL TIME TAKEN]]</f>
        <v>1.6150000000000091</v>
      </c>
      <c r="T1569" t="str">
        <f>IF(Table1[[#This Row], [TIME DIFFERENCE]]&gt;=0,"PASS","FAIL")</f>
        <v>PASS</v>
      </c>
      <c r="U1569" s="9">
        <f>Table1[[#This Row], [TRC]]+Table1[[#This Row], [DRC]]+Table1[[#This Row], [WRC]]+Table1[[#This Row], [ERC]]+Table1[[#This Row], [EQRC]]</f>
        <v>8236336.0249999994</v>
      </c>
      <c r="V1569" s="9">
        <f>Table1[[#This Row], [TOTAL COST]]+_xlfn.XLOOKUP(Table1[[#This Row], [TEAM]],Sheet1!$A$12:$A$17,Sheet1!$I$12:$I$17)</f>
        <v>8540476.0249999985</v>
      </c>
      <c r="W1569" s="9">
        <f>Table1[[#This Row], [LOOT]]-Table1[[#This Row], [TOTAL COST]]</f>
        <v>9163663.9750000015</v>
      </c>
      <c r="X1569" s="9">
        <f>IF(Table1[[#This Row], [PASS/FAIL]]="FAIL",0,Table1[[#This Row], [PROFIT]])</f>
        <v>9163663.9750000015</v>
      </c>
    </row>
    <row r="1570" spans="1:24" ht="19.5" customHeight="1" x14ac:dyDescent="0.45">
      <c r="A1570" t="s">
        <v>16</v>
      </c>
      <c r="B1570" s="14">
        <f>_xlfn.XLOOKUP(Table1[[#This Row], [TEAM]],Sheet1!$A$12:$A$17,Sheet1!$F$12:$F$17)</f>
        <v>2</v>
      </c>
      <c r="C1570" s="14">
        <f>_xlfn.XLOOKUP(Table1[[#This Row], [TEAM]],Sheet1!$A$12:$A$17,Sheet1!$G$12:$G$17)</f>
        <v>6082800</v>
      </c>
      <c r="D1570" t="s">
        <v>23</v>
      </c>
      <c r="E1570" s="4">
        <f>_xlfn.XLOOKUP(Table1[[#This Row], [ROOM]],Sheet1!$A$47:$A$66,Sheet1!$B$47:$B$66)</f>
        <v>245</v>
      </c>
      <c r="F1570" t="s">
        <v>58</v>
      </c>
      <c r="G1570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0" s="13" t="s">
        <v>63</v>
      </c>
      <c r="I1570" s="4">
        <f>_xlfn.XLOOKUP(Table1[[#This Row], [WEAPON]],Sheet1!$A$27:$A$29,Sheet1!$B$27:$B$29)*Table1[[#This Row], [NUM OF MEM]]*(1+_xlfn.XLOOKUP(Table1[[#This Row], [WEAPON]],Sheet1!$A$27:$A$29,Sheet1!$C$27:$C$29))</f>
        <v>46000</v>
      </c>
      <c r="J1570" t="s">
        <v>64</v>
      </c>
      <c r="K1570" s="9">
        <f>Table1[[#This Row], [NUM OF MEM]]*Table1[[#This Row], [TOTAL TIME TAKEN]]*_xlfn.XLOOKUP(Table1[[#This Row], [EXIT]],Sheet1!$A$70:$A$71,Sheet1!$B$70:$B$71)*(1+_xlfn.XLOOKUP(Table1[[#This Row], [EXIT]],Sheet1!$A$70:$A$71,Sheet1!$C$70:$C$71))</f>
        <v>1775131.1999999997</v>
      </c>
      <c r="L1570" s="13" t="s">
        <v>65</v>
      </c>
      <c r="M1570" s="4">
        <f>IF(Table1[[#This Row], [EQUIPMENT]]="YES",Sheet1!$C$44*(1+Sheet1!$D$44),0)</f>
        <v>307500</v>
      </c>
      <c r="N1570" s="4">
        <f>_xlfn.XLOOKUP(Table1[[#This Row], [ROOM]],Sheet1!$A$47:$A$66,Sheet1!$F$47:$F$66)</f>
        <v>17400000</v>
      </c>
      <c r="O1570" s="9">
        <f>_xlfn.XLOOKUP(_xlfn.CONCAT(Table1[[#This Row], [TEAM]],Table1[[#This Row], [ROOM]]),'ROOM TIME'!$H$2:$H$121,'ROOM TIME'!$J$2:$J$121)</f>
        <v>61.059999999999988</v>
      </c>
      <c r="P1570" s="9">
        <f>(INDEX(Sheet1!$X$48:$Z$67,MATCH(Table1[[#This Row], [ROOM]],Sheet1!$P$48:$P$67,0),MATCH(Table1[[#This Row], [WEAPON]],Sheet1!$X$47:$Z$47,0)))/Table1[[#This Row], [NUM OF MEM]]</f>
        <v>7.4250000000000007</v>
      </c>
      <c r="Q1570" s="9">
        <f>Table1[[#This Row], [ROOM TIME]]+Table1[[#This Row], [GUARD TIME]]</f>
        <v>68.484999999999985</v>
      </c>
      <c r="R1570" s="4">
        <f>Sheet1!$K$3*_xlfn.XLOOKUP(Table1[[#This Row], [DISGUISE]],Sheet1!$A$21:$A$23,Sheet1!$D$21:$D$23)</f>
        <v>69</v>
      </c>
      <c r="S1570" s="9">
        <f>Table1[[#This Row], [TOTAL TIME]]-Table1[[#This Row], [TOTAL TIME TAKEN]]</f>
        <v>0.51500000000001478</v>
      </c>
      <c r="T1570" t="str">
        <f>IF(Table1[[#This Row], [TIME DIFFERENCE]]&gt;=0,"PASS","FAIL")</f>
        <v>PASS</v>
      </c>
      <c r="U1570" s="9">
        <f>Table1[[#This Row], [TRC]]+Table1[[#This Row], [DRC]]+Table1[[#This Row], [WRC]]+Table1[[#This Row], [ERC]]+Table1[[#This Row], [EQRC]]</f>
        <v>8237031.1999999993</v>
      </c>
      <c r="V1570" s="9">
        <f>Table1[[#This Row], [TOTAL COST]]+_xlfn.XLOOKUP(Table1[[#This Row], [TEAM]],Sheet1!$A$12:$A$17,Sheet1!$I$12:$I$17)</f>
        <v>8541171.1999999993</v>
      </c>
      <c r="W1570" s="9">
        <f>Table1[[#This Row], [LOOT]]-Table1[[#This Row], [TOTAL COST]]</f>
        <v>9162968.8000000007</v>
      </c>
      <c r="X1570" s="9">
        <f>IF(Table1[[#This Row], [PASS/FAIL]]="FAIL",0,Table1[[#This Row], [PROFIT]])</f>
        <v>9162968.8000000007</v>
      </c>
    </row>
    <row r="1571" spans="1:24" ht="19.5" customHeight="1" x14ac:dyDescent="0.45">
      <c r="A1571" t="s">
        <v>16</v>
      </c>
      <c r="B1571" s="14">
        <f>_xlfn.XLOOKUP(Table1[[#This Row], [TEAM]],Sheet1!$A$12:$A$17,Sheet1!$F$12:$F$17)</f>
        <v>2</v>
      </c>
      <c r="C1571" s="14">
        <f>_xlfn.XLOOKUP(Table1[[#This Row], [TEAM]],Sheet1!$A$12:$A$17,Sheet1!$G$12:$G$17)</f>
        <v>6082800</v>
      </c>
      <c r="D1571" t="s">
        <v>17</v>
      </c>
      <c r="E1571" s="4">
        <f>_xlfn.XLOOKUP(Table1[[#This Row], [ROOM]],Sheet1!$A$47:$A$66,Sheet1!$B$47:$B$66)</f>
        <v>125</v>
      </c>
      <c r="F1571" t="s">
        <v>58</v>
      </c>
      <c r="G1571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1" s="13" t="s">
        <v>63</v>
      </c>
      <c r="I1571" s="4">
        <f>_xlfn.XLOOKUP(Table1[[#This Row], [WEAPON]],Sheet1!$A$27:$A$29,Sheet1!$B$27:$B$29)*Table1[[#This Row], [NUM OF MEM]]*(1+_xlfn.XLOOKUP(Table1[[#This Row], [WEAPON]],Sheet1!$A$27:$A$29,Sheet1!$C$27:$C$29))</f>
        <v>46000</v>
      </c>
      <c r="J1571" t="s">
        <v>60</v>
      </c>
      <c r="K1571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1734729.4312499997</v>
      </c>
      <c r="L1571" s="13" t="s">
        <v>65</v>
      </c>
      <c r="M1571" s="4">
        <f>IF(Table1[[#This Row], [EQUIPMENT]]="YES",Sheet1!$C$44*(1+Sheet1!$D$44),0)</f>
        <v>307500</v>
      </c>
      <c r="N1571" s="4">
        <f>_xlfn.XLOOKUP(Table1[[#This Row], [ROOM]],Sheet1!$A$47:$A$66,Sheet1!$F$47:$F$66)</f>
        <v>17350000</v>
      </c>
      <c r="O1571" s="9">
        <f>_xlfn.XLOOKUP(_xlfn.CONCAT(Table1[[#This Row], [TEAM]],Table1[[#This Row], [ROOM]]),'ROOM TIME'!$H$2:$H$121,'ROOM TIME'!$J$2:$J$121)</f>
        <v>60.841249999999988</v>
      </c>
      <c r="P1571" s="9">
        <f>(INDEX(Sheet1!$X$48:$Z$67,MATCH(Table1[[#This Row], [ROOM]],Sheet1!$P$48:$P$67,0),MATCH(Table1[[#This Row], [WEAPON]],Sheet1!$X$47:$Z$47,0)))/Table1[[#This Row], [NUM OF MEM]]</f>
        <v>6.75</v>
      </c>
      <c r="Q1571" s="9">
        <f>Table1[[#This Row], [ROOM TIME]]+Table1[[#This Row], [GUARD TIME]]</f>
        <v>67.591249999999988</v>
      </c>
      <c r="R1571" s="4">
        <f>Sheet1!$K$3*_xlfn.XLOOKUP(Table1[[#This Row], [DISGUISE]],Sheet1!$A$21:$A$23,Sheet1!$D$21:$D$23)</f>
        <v>69</v>
      </c>
      <c r="S1571" s="9">
        <f>Table1[[#This Row], [TOTAL TIME]]-Table1[[#This Row], [TOTAL TIME TAKEN]]</f>
        <v>1.4087500000000119</v>
      </c>
      <c r="T1571" t="str">
        <f>IF(Table1[[#This Row], [TIME DIFFERENCE]]&gt;=0,"PASS","FAIL")</f>
        <v>PASS</v>
      </c>
      <c r="U1571" s="9">
        <f>Table1[[#This Row], [TRC]]+Table1[[#This Row], [DRC]]+Table1[[#This Row], [WRC]]+Table1[[#This Row], [ERC]]+Table1[[#This Row], [EQRC]]</f>
        <v>8196629.4312499994</v>
      </c>
      <c r="V1571" s="9">
        <f>Table1[[#This Row], [TOTAL COST]]+_xlfn.XLOOKUP(Table1[[#This Row], [TEAM]],Sheet1!$A$12:$A$17,Sheet1!$I$12:$I$17)</f>
        <v>8500769.4312499985</v>
      </c>
      <c r="W1571" s="9">
        <f>Table1[[#This Row], [LOOT]]-Table1[[#This Row], [TOTAL COST]]</f>
        <v>9153370.5687500015</v>
      </c>
      <c r="X1571" s="9">
        <f>IF(Table1[[#This Row], [PASS/FAIL]]="FAIL",0,Table1[[#This Row], [PROFIT]])</f>
        <v>9153370.5687500015</v>
      </c>
    </row>
    <row r="1572" spans="1:24" ht="19.5" customHeight="1" x14ac:dyDescent="0.45">
      <c r="A1572" t="s">
        <v>16</v>
      </c>
      <c r="B1572" s="14">
        <f>_xlfn.XLOOKUP(Table1[[#This Row], [TEAM]],Sheet1!$A$12:$A$17,Sheet1!$F$12:$F$17)</f>
        <v>2</v>
      </c>
      <c r="C1572" s="14">
        <f>_xlfn.XLOOKUP(Table1[[#This Row], [TEAM]],Sheet1!$A$12:$A$17,Sheet1!$G$12:$G$17)</f>
        <v>6082800</v>
      </c>
      <c r="D1572" t="s">
        <v>23</v>
      </c>
      <c r="E1572" s="4">
        <f>_xlfn.XLOOKUP(Table1[[#This Row], [ROOM]],Sheet1!$A$47:$A$66,Sheet1!$B$47:$B$66)</f>
        <v>245</v>
      </c>
      <c r="F1572" t="s">
        <v>58</v>
      </c>
      <c r="G1572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2" s="13" t="s">
        <v>66</v>
      </c>
      <c r="I1572" s="4">
        <f>_xlfn.XLOOKUP(Table1[[#This Row], [WEAPON]],Sheet1!$A$27:$A$29,Sheet1!$B$27:$B$29)*Table1[[#This Row], [NUM OF MEM]]*(1+_xlfn.XLOOKUP(Table1[[#This Row], [WEAPON]],Sheet1!$A$27:$A$29,Sheet1!$C$27:$C$29))</f>
        <v>72000</v>
      </c>
      <c r="J1572" t="s">
        <v>64</v>
      </c>
      <c r="K1572" s="9">
        <f>Table1[[#This Row], [NUM OF MEM]]*Table1[[#This Row], [TOTAL TIME TAKEN]]*_xlfn.XLOOKUP(Table1[[#This Row], [EXIT]],Sheet1!$A$70:$A$71,Sheet1!$B$70:$B$71)*(1+_xlfn.XLOOKUP(Table1[[#This Row], [EXIT]],Sheet1!$A$70:$A$71,Sheet1!$C$70:$C$71))</f>
        <v>1760875.1999999997</v>
      </c>
      <c r="L1572" s="13" t="s">
        <v>65</v>
      </c>
      <c r="M1572" s="4">
        <f>IF(Table1[[#This Row], [EQUIPMENT]]="YES",Sheet1!$C$44*(1+Sheet1!$D$44),0)</f>
        <v>307500</v>
      </c>
      <c r="N1572" s="4">
        <f>_xlfn.XLOOKUP(Table1[[#This Row], [ROOM]],Sheet1!$A$47:$A$66,Sheet1!$F$47:$F$66)</f>
        <v>17400000</v>
      </c>
      <c r="O1572" s="9">
        <f>_xlfn.XLOOKUP(_xlfn.CONCAT(Table1[[#This Row], [TEAM]],Table1[[#This Row], [ROOM]]),'ROOM TIME'!$H$2:$H$121,'ROOM TIME'!$J$2:$J$121)</f>
        <v>61.059999999999988</v>
      </c>
      <c r="P1572" s="9">
        <f>(INDEX(Sheet1!$X$48:$Z$67,MATCH(Table1[[#This Row], [ROOM]],Sheet1!$P$48:$P$67,0),MATCH(Table1[[#This Row], [WEAPON]],Sheet1!$X$47:$Z$47,0)))/Table1[[#This Row], [NUM OF MEM]]</f>
        <v>6.875</v>
      </c>
      <c r="Q1572" s="9">
        <f>Table1[[#This Row], [ROOM TIME]]+Table1[[#This Row], [GUARD TIME]]</f>
        <v>67.934999999999988</v>
      </c>
      <c r="R1572" s="4">
        <f>Sheet1!$K$3*_xlfn.XLOOKUP(Table1[[#This Row], [DISGUISE]],Sheet1!$A$21:$A$23,Sheet1!$D$21:$D$23)</f>
        <v>69</v>
      </c>
      <c r="S1572" s="9">
        <f>Table1[[#This Row], [TOTAL TIME]]-Table1[[#This Row], [TOTAL TIME TAKEN]]</f>
        <v>1.0650000000000119</v>
      </c>
      <c r="T1572" t="str">
        <f>IF(Table1[[#This Row], [TIME DIFFERENCE]]&gt;=0,"PASS","FAIL")</f>
        <v>PASS</v>
      </c>
      <c r="U1572" s="9">
        <f>Table1[[#This Row], [TRC]]+Table1[[#This Row], [DRC]]+Table1[[#This Row], [WRC]]+Table1[[#This Row], [ERC]]+Table1[[#This Row], [EQRC]]</f>
        <v>8248775.1999999993</v>
      </c>
      <c r="V1572" s="9">
        <f>Table1[[#This Row], [TOTAL COST]]+_xlfn.XLOOKUP(Table1[[#This Row], [TEAM]],Sheet1!$A$12:$A$17,Sheet1!$I$12:$I$17)</f>
        <v>8552915.1999999993</v>
      </c>
      <c r="W1572" s="9">
        <f>Table1[[#This Row], [LOOT]]-Table1[[#This Row], [TOTAL COST]]</f>
        <v>9151224.8000000007</v>
      </c>
      <c r="X1572" s="9">
        <f>IF(Table1[[#This Row], [PASS/FAIL]]="FAIL",0,Table1[[#This Row], [PROFIT]])</f>
        <v>9151224.8000000007</v>
      </c>
    </row>
    <row r="1573" spans="1:24" ht="19.5" customHeight="1" x14ac:dyDescent="0.45">
      <c r="A1573" t="s">
        <v>13</v>
      </c>
      <c r="B1573" s="14">
        <f>_xlfn.XLOOKUP(Table1[[#This Row], [TEAM]],Sheet1!$A$12:$A$17,Sheet1!$F$12:$F$17)</f>
        <v>3</v>
      </c>
      <c r="C1573" s="14">
        <f>_xlfn.XLOOKUP(Table1[[#This Row], [TEAM]],Sheet1!$A$12:$A$17,Sheet1!$G$12:$G$17)</f>
        <v>5930000</v>
      </c>
      <c r="D1573" t="s">
        <v>17</v>
      </c>
      <c r="E1573" s="4">
        <f>_xlfn.XLOOKUP(Table1[[#This Row], [ROOM]],Sheet1!$A$47:$A$66,Sheet1!$B$47:$B$66)</f>
        <v>125</v>
      </c>
      <c r="F1573" t="s">
        <v>58</v>
      </c>
      <c r="G1573" s="4">
        <f>_xlfn.XLOOKUP(Table1[[#This Row], [DISGUISE]],Sheet1!$A$21:$A$23,Sheet1!$B$21:$B$23)*Table1[[#This Row], [NUM OF MEM]]*(1+_xlfn.XLOOKUP(Table1[[#This Row], [DISGUISE]],Sheet1!$A$21:$A$23,Sheet1!$C$21:$C$23))</f>
        <v>38400</v>
      </c>
      <c r="H1573" s="13" t="s">
        <v>59</v>
      </c>
      <c r="I1573" s="4">
        <f>_xlfn.XLOOKUP(Table1[[#This Row], [WEAPON]],Sheet1!$A$27:$A$29,Sheet1!$B$27:$B$29)*Table1[[#This Row], [NUM OF MEM]]*(1+_xlfn.XLOOKUP(Table1[[#This Row], [WEAPON]],Sheet1!$A$27:$A$29,Sheet1!$C$27:$C$29))</f>
        <v>136500</v>
      </c>
      <c r="J1573" t="s">
        <v>64</v>
      </c>
      <c r="K1573" s="9">
        <f>Table1[[#This Row], [NUM OF MEM]]*Table1[[#This Row], [TOTAL TIME TAKEN]]*_xlfn.XLOOKUP(Table1[[#This Row], [EXIT]],Sheet1!$A$70:$A$71,Sheet1!$B$70:$B$71)*(1+_xlfn.XLOOKUP(Table1[[#This Row], [EXIT]],Sheet1!$A$70:$A$71,Sheet1!$C$70:$C$71))</f>
        <v>1788501.5999999999</v>
      </c>
      <c r="L1573" s="13" t="s">
        <v>65</v>
      </c>
      <c r="M1573" s="4">
        <f>IF(Table1[[#This Row], [EQUIPMENT]]="YES",Sheet1!$C$44*(1+Sheet1!$D$44),0)</f>
        <v>307500</v>
      </c>
      <c r="N1573" s="4">
        <f>_xlfn.XLOOKUP(Table1[[#This Row], [ROOM]],Sheet1!$A$47:$A$66,Sheet1!$F$47:$F$66)</f>
        <v>17350000</v>
      </c>
      <c r="O1573" s="9">
        <f>_xlfn.XLOOKUP(_xlfn.CONCAT(Table1[[#This Row], [TEAM]],Table1[[#This Row], [ROOM]]),'ROOM TIME'!$H$2:$H$121,'ROOM TIME'!$J$2:$J$121)</f>
        <v>42.167222222222215</v>
      </c>
      <c r="P1573" s="9">
        <f>(INDEX(Sheet1!$X$48:$Z$67,MATCH(Table1[[#This Row], [ROOM]],Sheet1!$P$48:$P$67,0),MATCH(Table1[[#This Row], [WEAPON]],Sheet1!$X$47:$Z$47,0)))/Table1[[#This Row], [NUM OF MEM]]</f>
        <v>3.8333333333333335</v>
      </c>
      <c r="Q1573" s="9">
        <f>Table1[[#This Row], [ROOM TIME]]+Table1[[#This Row], [GUARD TIME]]</f>
        <v>46.00055555555555</v>
      </c>
      <c r="R1573" s="4">
        <f>Sheet1!$K$3*_xlfn.XLOOKUP(Table1[[#This Row], [DISGUISE]],Sheet1!$A$21:$A$23,Sheet1!$D$21:$D$23)</f>
        <v>69</v>
      </c>
      <c r="S1573" s="9">
        <f>Table1[[#This Row], [TOTAL TIME]]-Table1[[#This Row], [TOTAL TIME TAKEN]]</f>
        <v>22.99944444444445</v>
      </c>
      <c r="T1573" t="str">
        <f>IF(Table1[[#This Row], [TIME DIFFERENCE]]&gt;=0,"PASS","FAIL")</f>
        <v>PASS</v>
      </c>
      <c r="U1573" s="9">
        <f>Table1[[#This Row], [TRC]]+Table1[[#This Row], [DRC]]+Table1[[#This Row], [WRC]]+Table1[[#This Row], [ERC]]+Table1[[#This Row], [EQRC]]</f>
        <v>8200901.5999999996</v>
      </c>
      <c r="V1573" s="9">
        <f>Table1[[#This Row], [TOTAL COST]]+_xlfn.XLOOKUP(Table1[[#This Row], [TEAM]],Sheet1!$A$12:$A$17,Sheet1!$I$12:$I$17)</f>
        <v>8497401.5999999996</v>
      </c>
      <c r="W1573" s="9">
        <f>Table1[[#This Row], [LOOT]]-Table1[[#This Row], [TOTAL COST]]</f>
        <v>9149098.4000000004</v>
      </c>
      <c r="X1573" s="9">
        <f>IF(Table1[[#This Row], [PASS/FAIL]]="FAIL",0,Table1[[#This Row], [PROFIT]])</f>
        <v>9149098.4000000004</v>
      </c>
    </row>
    <row r="1574" spans="1:24" ht="19.5" customHeight="1" x14ac:dyDescent="0.45">
      <c r="A1574" t="s">
        <v>16</v>
      </c>
      <c r="B1574" s="14">
        <f>_xlfn.XLOOKUP(Table1[[#This Row], [TEAM]],Sheet1!$A$12:$A$17,Sheet1!$F$12:$F$17)</f>
        <v>2</v>
      </c>
      <c r="C1574" s="14">
        <f>_xlfn.XLOOKUP(Table1[[#This Row], [TEAM]],Sheet1!$A$12:$A$17,Sheet1!$G$12:$G$17)</f>
        <v>6082800</v>
      </c>
      <c r="D1574" t="s">
        <v>23</v>
      </c>
      <c r="E1574" s="4">
        <f>_xlfn.XLOOKUP(Table1[[#This Row], [ROOM]],Sheet1!$A$47:$A$66,Sheet1!$B$47:$B$66)</f>
        <v>245</v>
      </c>
      <c r="F1574" t="s">
        <v>58</v>
      </c>
      <c r="G1574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4" s="13" t="s">
        <v>59</v>
      </c>
      <c r="I1574" s="4">
        <f>_xlfn.XLOOKUP(Table1[[#This Row], [WEAPON]],Sheet1!$A$27:$A$29,Sheet1!$B$27:$B$29)*Table1[[#This Row], [NUM OF MEM]]*(1+_xlfn.XLOOKUP(Table1[[#This Row], [WEAPON]],Sheet1!$A$27:$A$29,Sheet1!$C$27:$C$29))</f>
        <v>91000</v>
      </c>
      <c r="J1574" t="s">
        <v>64</v>
      </c>
      <c r="K1574" s="9">
        <f>Table1[[#This Row], [NUM OF MEM]]*Table1[[#This Row], [TOTAL TIME TAKEN]]*_xlfn.XLOOKUP(Table1[[#This Row], [EXIT]],Sheet1!$A$70:$A$71,Sheet1!$B$70:$B$71)*(1+_xlfn.XLOOKUP(Table1[[#This Row], [EXIT]],Sheet1!$A$70:$A$71,Sheet1!$C$70:$C$71))</f>
        <v>1746619.1999999997</v>
      </c>
      <c r="L1574" s="13" t="s">
        <v>65</v>
      </c>
      <c r="M1574" s="4">
        <f>IF(Table1[[#This Row], [EQUIPMENT]]="YES",Sheet1!$C$44*(1+Sheet1!$D$44),0)</f>
        <v>307500</v>
      </c>
      <c r="N1574" s="4">
        <f>_xlfn.XLOOKUP(Table1[[#This Row], [ROOM]],Sheet1!$A$47:$A$66,Sheet1!$F$47:$F$66)</f>
        <v>17400000</v>
      </c>
      <c r="O1574" s="9">
        <f>_xlfn.XLOOKUP(_xlfn.CONCAT(Table1[[#This Row], [TEAM]],Table1[[#This Row], [ROOM]]),'ROOM TIME'!$H$2:$H$121,'ROOM TIME'!$J$2:$J$121)</f>
        <v>61.059999999999988</v>
      </c>
      <c r="P1574" s="9">
        <f>(INDEX(Sheet1!$X$48:$Z$67,MATCH(Table1[[#This Row], [ROOM]],Sheet1!$P$48:$P$67,0),MATCH(Table1[[#This Row], [WEAPON]],Sheet1!$X$47:$Z$47,0)))/Table1[[#This Row], [NUM OF MEM]]</f>
        <v>6.3249999999999993</v>
      </c>
      <c r="Q1574" s="9">
        <f>Table1[[#This Row], [ROOM TIME]]+Table1[[#This Row], [GUARD TIME]]</f>
        <v>67.384999999999991</v>
      </c>
      <c r="R1574" s="4">
        <f>Sheet1!$K$3*_xlfn.XLOOKUP(Table1[[#This Row], [DISGUISE]],Sheet1!$A$21:$A$23,Sheet1!$D$21:$D$23)</f>
        <v>69</v>
      </c>
      <c r="S1574" s="9">
        <f>Table1[[#This Row], [TOTAL TIME]]-Table1[[#This Row], [TOTAL TIME TAKEN]]</f>
        <v>1.6150000000000091</v>
      </c>
      <c r="T1574" t="str">
        <f>IF(Table1[[#This Row], [TIME DIFFERENCE]]&gt;=0,"PASS","FAIL")</f>
        <v>PASS</v>
      </c>
      <c r="U1574" s="9">
        <f>Table1[[#This Row], [TRC]]+Table1[[#This Row], [DRC]]+Table1[[#This Row], [WRC]]+Table1[[#This Row], [ERC]]+Table1[[#This Row], [EQRC]]</f>
        <v>8253519.1999999993</v>
      </c>
      <c r="V1574" s="9">
        <f>Table1[[#This Row], [TOTAL COST]]+_xlfn.XLOOKUP(Table1[[#This Row], [TEAM]],Sheet1!$A$12:$A$17,Sheet1!$I$12:$I$17)</f>
        <v>8557659.1999999993</v>
      </c>
      <c r="W1574" s="9">
        <f>Table1[[#This Row], [LOOT]]-Table1[[#This Row], [TOTAL COST]]</f>
        <v>9146480.8000000007</v>
      </c>
      <c r="X1574" s="9">
        <f>IF(Table1[[#This Row], [PASS/FAIL]]="FAIL",0,Table1[[#This Row], [PROFIT]])</f>
        <v>9146480.8000000007</v>
      </c>
    </row>
    <row r="1575" spans="1:24" ht="19.5" customHeight="1" x14ac:dyDescent="0.45">
      <c r="A1575" t="s">
        <v>16</v>
      </c>
      <c r="B1575" s="14">
        <f>_xlfn.XLOOKUP(Table1[[#This Row], [TEAM]],Sheet1!$A$12:$A$17,Sheet1!$F$12:$F$17)</f>
        <v>2</v>
      </c>
      <c r="C1575" s="14">
        <f>_xlfn.XLOOKUP(Table1[[#This Row], [TEAM]],Sheet1!$A$12:$A$17,Sheet1!$G$12:$G$17)</f>
        <v>6082800</v>
      </c>
      <c r="D1575" t="s">
        <v>17</v>
      </c>
      <c r="E1575" s="4">
        <f>_xlfn.XLOOKUP(Table1[[#This Row], [ROOM]],Sheet1!$A$47:$A$66,Sheet1!$B$47:$B$66)</f>
        <v>125</v>
      </c>
      <c r="F1575" t="s">
        <v>58</v>
      </c>
      <c r="G1575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5" s="13" t="s">
        <v>66</v>
      </c>
      <c r="I1575" s="4">
        <f>_xlfn.XLOOKUP(Table1[[#This Row], [WEAPON]],Sheet1!$A$27:$A$29,Sheet1!$B$27:$B$29)*Table1[[#This Row], [NUM OF MEM]]*(1+_xlfn.XLOOKUP(Table1[[#This Row], [WEAPON]],Sheet1!$A$27:$A$29,Sheet1!$C$27:$C$29))</f>
        <v>72000</v>
      </c>
      <c r="J1575" t="s">
        <v>60</v>
      </c>
      <c r="K1575" s="9">
        <f>Table1[[#This Row], [NUM OF MEM]]*Table1[[#This Row], [TOTAL TIME TAKEN]]*_xlfn.XLOOKUP(Table1[[#This Row], [EXIT]],Sheet1!$A$70:$A$71,Sheet1!$B$70:$B$71)*(1+_xlfn.XLOOKUP(Table1[[#This Row], [EXIT]],Sheet1!$A$70:$A$71,Sheet1!$C$70:$C$71))</f>
        <v>1721896.9312499997</v>
      </c>
      <c r="L1575" s="13" t="s">
        <v>65</v>
      </c>
      <c r="M1575" s="4">
        <f>IF(Table1[[#This Row], [EQUIPMENT]]="YES",Sheet1!$C$44*(1+Sheet1!$D$44),0)</f>
        <v>307500</v>
      </c>
      <c r="N1575" s="4">
        <f>_xlfn.XLOOKUP(Table1[[#This Row], [ROOM]],Sheet1!$A$47:$A$66,Sheet1!$F$47:$F$66)</f>
        <v>17350000</v>
      </c>
      <c r="O1575" s="9">
        <f>_xlfn.XLOOKUP(_xlfn.CONCAT(Table1[[#This Row], [TEAM]],Table1[[#This Row], [ROOM]]),'ROOM TIME'!$H$2:$H$121,'ROOM TIME'!$J$2:$J$121)</f>
        <v>60.841249999999988</v>
      </c>
      <c r="P1575" s="9">
        <f>(INDEX(Sheet1!$X$48:$Z$67,MATCH(Table1[[#This Row], [ROOM]],Sheet1!$P$48:$P$67,0),MATCH(Table1[[#This Row], [WEAPON]],Sheet1!$X$47:$Z$47,0)))/Table1[[#This Row], [NUM OF MEM]]</f>
        <v>6.25</v>
      </c>
      <c r="Q1575" s="9">
        <f>Table1[[#This Row], [ROOM TIME]]+Table1[[#This Row], [GUARD TIME]]</f>
        <v>67.091249999999988</v>
      </c>
      <c r="R1575" s="4">
        <f>Sheet1!$K$3*_xlfn.XLOOKUP(Table1[[#This Row], [DISGUISE]],Sheet1!$A$21:$A$23,Sheet1!$D$21:$D$23)</f>
        <v>69</v>
      </c>
      <c r="S1575" s="9">
        <f>Table1[[#This Row], [TOTAL TIME]]-Table1[[#This Row], [TOTAL TIME TAKEN]]</f>
        <v>1.9087500000000119</v>
      </c>
      <c r="T1575" t="str">
        <f>IF(Table1[[#This Row], [TIME DIFFERENCE]]&gt;=0,"PASS","FAIL")</f>
        <v>PASS</v>
      </c>
      <c r="U1575" s="9">
        <f>Table1[[#This Row], [TRC]]+Table1[[#This Row], [DRC]]+Table1[[#This Row], [WRC]]+Table1[[#This Row], [ERC]]+Table1[[#This Row], [EQRC]]</f>
        <v>8209796.9312499994</v>
      </c>
      <c r="V1575" s="9">
        <f>Table1[[#This Row], [TOTAL COST]]+_xlfn.XLOOKUP(Table1[[#This Row], [TEAM]],Sheet1!$A$12:$A$17,Sheet1!$I$12:$I$17)</f>
        <v>8513936.9312499985</v>
      </c>
      <c r="W1575" s="9">
        <f>Table1[[#This Row], [LOOT]]-Table1[[#This Row], [TOTAL COST]]</f>
        <v>9140203.0687500015</v>
      </c>
      <c r="X1575" s="9">
        <f>IF(Table1[[#This Row], [PASS/FAIL]]="FAIL",0,Table1[[#This Row], [PROFIT]])</f>
        <v>9140203.0687500015</v>
      </c>
    </row>
    <row r="1576" spans="1:24" ht="19.5" customHeight="1" x14ac:dyDescent="0.45">
      <c r="A1576" t="s">
        <v>9</v>
      </c>
      <c r="B1576" s="14">
        <f>_xlfn.XLOOKUP(Table1[[#This Row], [TEAM]],Sheet1!$A$12:$A$17,Sheet1!$F$12:$F$17)</f>
        <v>3</v>
      </c>
      <c r="C1576" s="14">
        <f>_xlfn.XLOOKUP(Table1[[#This Row], [TEAM]],Sheet1!$A$12:$A$17,Sheet1!$G$12:$G$17)</f>
        <v>6238750</v>
      </c>
      <c r="D1576" t="s">
        <v>11</v>
      </c>
      <c r="E1576" s="4">
        <f>_xlfn.XLOOKUP(Table1[[#This Row], [ROOM]],Sheet1!$A$47:$A$66,Sheet1!$B$47:$B$66)</f>
        <v>124</v>
      </c>
      <c r="F1576" t="s">
        <v>62</v>
      </c>
      <c r="G1576" s="4">
        <f>_xlfn.XLOOKUP(Table1[[#This Row], [DISGUISE]],Sheet1!$A$21:$A$23,Sheet1!$B$21:$B$23)*Table1[[#This Row], [NUM OF MEM]]*(1+_xlfn.XLOOKUP(Table1[[#This Row], [DISGUISE]],Sheet1!$A$21:$A$23,Sheet1!$C$21:$C$23))</f>
        <v>15600</v>
      </c>
      <c r="H1576" s="13" t="s">
        <v>63</v>
      </c>
      <c r="I1576" s="4">
        <f>_xlfn.XLOOKUP(Table1[[#This Row], [WEAPON]],Sheet1!$A$27:$A$29,Sheet1!$B$27:$B$29)*Table1[[#This Row], [NUM OF MEM]]*(1+_xlfn.XLOOKUP(Table1[[#This Row], [WEAPON]],Sheet1!$A$27:$A$29,Sheet1!$C$27:$C$29))</f>
        <v>69000</v>
      </c>
      <c r="J1576" t="s">
        <v>60</v>
      </c>
      <c r="K1576" s="9">
        <f>Table1[[#This Row], [NUM OF MEM]]*Table1[[#This Row], [TOTAL TIME TAKEN]]*_xlfn.XLOOKUP(Table1[[#This Row], [EXIT]],Sheet1!$A$70:$A$71,Sheet1!$B$70:$B$71)*(1+_xlfn.XLOOKUP(Table1[[#This Row], [EXIT]],Sheet1!$A$70:$A$71,Sheet1!$C$70:$C$71))</f>
        <v>1682447.6874999995</v>
      </c>
      <c r="L1576" s="13" t="s">
        <v>65</v>
      </c>
      <c r="M1576" s="4">
        <f>IF(Table1[[#This Row], [EQUIPMENT]]="YES",Sheet1!$C$44*(1+Sheet1!$D$44),0)</f>
        <v>307500</v>
      </c>
      <c r="N1576" s="4">
        <f>_xlfn.XLOOKUP(Table1[[#This Row], [ROOM]],Sheet1!$A$47:$A$66,Sheet1!$F$47:$F$66)</f>
        <v>17450000</v>
      </c>
      <c r="O1576" s="9">
        <f>_xlfn.XLOOKUP(_xlfn.CONCAT(Table1[[#This Row], [TEAM]],Table1[[#This Row], [ROOM]]),'ROOM TIME'!$H$2:$H$121,'ROOM TIME'!$J$2:$J$121)</f>
        <v>38.752777777777773</v>
      </c>
      <c r="P1576" s="9">
        <f>(INDEX(Sheet1!$X$48:$Z$67,MATCH(Table1[[#This Row], [ROOM]],Sheet1!$P$48:$P$67,0),MATCH(Table1[[#This Row], [WEAPON]],Sheet1!$X$47:$Z$47,0)))/Table1[[#This Row], [NUM OF MEM]]</f>
        <v>4.95</v>
      </c>
      <c r="Q1576" s="9">
        <f>Table1[[#This Row], [ROOM TIME]]+Table1[[#This Row], [GUARD TIME]]</f>
        <v>43.702777777777776</v>
      </c>
      <c r="R1576" s="4">
        <f>Sheet1!$K$3*_xlfn.XLOOKUP(Table1[[#This Row], [DISGUISE]],Sheet1!$A$21:$A$23,Sheet1!$D$21:$D$23)</f>
        <v>66</v>
      </c>
      <c r="S1576" s="9">
        <f>Table1[[#This Row], [TOTAL TIME]]-Table1[[#This Row], [TOTAL TIME TAKEN]]</f>
        <v>22.297222222222224</v>
      </c>
      <c r="T1576" t="str">
        <f>IF(Table1[[#This Row], [TIME DIFFERENCE]]&gt;=0,"PASS","FAIL")</f>
        <v>PASS</v>
      </c>
      <c r="U1576" s="9">
        <f>Table1[[#This Row], [TRC]]+Table1[[#This Row], [DRC]]+Table1[[#This Row], [WRC]]+Table1[[#This Row], [ERC]]+Table1[[#This Row], [EQRC]]</f>
        <v>8313297.6875</v>
      </c>
      <c r="V1576" s="9">
        <f>Table1[[#This Row], [TOTAL COST]]+_xlfn.XLOOKUP(Table1[[#This Row], [TEAM]],Sheet1!$A$12:$A$17,Sheet1!$I$12:$I$17)</f>
        <v>8625235.1875</v>
      </c>
      <c r="W1576" s="9">
        <f>Table1[[#This Row], [LOOT]]-Table1[[#This Row], [TOTAL COST]]</f>
        <v>9136702.3125</v>
      </c>
      <c r="X1576" s="9">
        <f>IF(Table1[[#This Row], [PASS/FAIL]]="FAIL",0,Table1[[#This Row], [PROFIT]])</f>
        <v>9136702.3125</v>
      </c>
    </row>
    <row r="1577" spans="1:24" ht="19.5" customHeight="1" x14ac:dyDescent="0.45">
      <c r="A1577" t="s">
        <v>16</v>
      </c>
      <c r="B1577" s="14">
        <f>_xlfn.XLOOKUP(Table1[[#This Row], [TEAM]],Sheet1!$A$12:$A$17,Sheet1!$F$12:$F$17)</f>
        <v>2</v>
      </c>
      <c r="C1577" s="14">
        <f>_xlfn.XLOOKUP(Table1[[#This Row], [TEAM]],Sheet1!$A$12:$A$17,Sheet1!$G$12:$G$17)</f>
        <v>6082800</v>
      </c>
      <c r="D1577" t="s">
        <v>17</v>
      </c>
      <c r="E1577" s="4">
        <f>_xlfn.XLOOKUP(Table1[[#This Row], [ROOM]],Sheet1!$A$47:$A$66,Sheet1!$B$47:$B$66)</f>
        <v>125</v>
      </c>
      <c r="F1577" t="s">
        <v>58</v>
      </c>
      <c r="G1577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7" s="13" t="s">
        <v>63</v>
      </c>
      <c r="I1577" s="4">
        <f>_xlfn.XLOOKUP(Table1[[#This Row], [WEAPON]],Sheet1!$A$27:$A$29,Sheet1!$B$27:$B$29)*Table1[[#This Row], [NUM OF MEM]]*(1+_xlfn.XLOOKUP(Table1[[#This Row], [WEAPON]],Sheet1!$A$27:$A$29,Sheet1!$C$27:$C$29))</f>
        <v>46000</v>
      </c>
      <c r="J1577" t="s">
        <v>64</v>
      </c>
      <c r="K1577" s="9">
        <f>Table1[[#This Row], [NUM OF MEM]]*Table1[[#This Row], [TOTAL TIME TAKEN]]*_xlfn.XLOOKUP(Table1[[#This Row], [EXIT]],Sheet1!$A$70:$A$71,Sheet1!$B$70:$B$71)*(1+_xlfn.XLOOKUP(Table1[[#This Row], [EXIT]],Sheet1!$A$70:$A$71,Sheet1!$C$70:$C$71))</f>
        <v>1751965.1999999997</v>
      </c>
      <c r="L1577" s="13" t="s">
        <v>65</v>
      </c>
      <c r="M1577" s="4">
        <f>IF(Table1[[#This Row], [EQUIPMENT]]="YES",Sheet1!$C$44*(1+Sheet1!$D$44),0)</f>
        <v>307500</v>
      </c>
      <c r="N1577" s="4">
        <f>_xlfn.XLOOKUP(Table1[[#This Row], [ROOM]],Sheet1!$A$47:$A$66,Sheet1!$F$47:$F$66)</f>
        <v>17350000</v>
      </c>
      <c r="O1577" s="9">
        <f>_xlfn.XLOOKUP(_xlfn.CONCAT(Table1[[#This Row], [TEAM]],Table1[[#This Row], [ROOM]]),'ROOM TIME'!$H$2:$H$121,'ROOM TIME'!$J$2:$J$121)</f>
        <v>60.841249999999988</v>
      </c>
      <c r="P1577" s="9">
        <f>(INDEX(Sheet1!$X$48:$Z$67,MATCH(Table1[[#This Row], [ROOM]],Sheet1!$P$48:$P$67,0),MATCH(Table1[[#This Row], [WEAPON]],Sheet1!$X$47:$Z$47,0)))/Table1[[#This Row], [NUM OF MEM]]</f>
        <v>6.75</v>
      </c>
      <c r="Q1577" s="9">
        <f>Table1[[#This Row], [ROOM TIME]]+Table1[[#This Row], [GUARD TIME]]</f>
        <v>67.591249999999988</v>
      </c>
      <c r="R1577" s="4">
        <f>Sheet1!$K$3*_xlfn.XLOOKUP(Table1[[#This Row], [DISGUISE]],Sheet1!$A$21:$A$23,Sheet1!$D$21:$D$23)</f>
        <v>69</v>
      </c>
      <c r="S1577" s="9">
        <f>Table1[[#This Row], [TOTAL TIME]]-Table1[[#This Row], [TOTAL TIME TAKEN]]</f>
        <v>1.4087500000000119</v>
      </c>
      <c r="T1577" t="str">
        <f>IF(Table1[[#This Row], [TIME DIFFERENCE]]&gt;=0,"PASS","FAIL")</f>
        <v>PASS</v>
      </c>
      <c r="U1577" s="9">
        <f>Table1[[#This Row], [TRC]]+Table1[[#This Row], [DRC]]+Table1[[#This Row], [WRC]]+Table1[[#This Row], [ERC]]+Table1[[#This Row], [EQRC]]</f>
        <v>8213865.1999999993</v>
      </c>
      <c r="V1577" s="9">
        <f>Table1[[#This Row], [TOTAL COST]]+_xlfn.XLOOKUP(Table1[[#This Row], [TEAM]],Sheet1!$A$12:$A$17,Sheet1!$I$12:$I$17)</f>
        <v>8518005.1999999993</v>
      </c>
      <c r="W1577" s="9">
        <f>Table1[[#This Row], [LOOT]]-Table1[[#This Row], [TOTAL COST]]</f>
        <v>9136134.8000000007</v>
      </c>
      <c r="X1577" s="9">
        <f>IF(Table1[[#This Row], [PASS/FAIL]]="FAIL",0,Table1[[#This Row], [PROFIT]])</f>
        <v>9136134.8000000007</v>
      </c>
    </row>
    <row r="1578" spans="1:24" ht="19.5" customHeight="1" x14ac:dyDescent="0.45">
      <c r="A1578" t="s">
        <v>16</v>
      </c>
      <c r="B1578" s="14">
        <f>_xlfn.XLOOKUP(Table1[[#This Row], [TEAM]],Sheet1!$A$12:$A$17,Sheet1!$F$12:$F$17)</f>
        <v>2</v>
      </c>
      <c r="C1578" s="14">
        <f>_xlfn.XLOOKUP(Table1[[#This Row], [TEAM]],Sheet1!$A$12:$A$17,Sheet1!$G$12:$G$17)</f>
        <v>6082800</v>
      </c>
      <c r="D1578" t="s">
        <v>17</v>
      </c>
      <c r="E1578" s="4">
        <f>_xlfn.XLOOKUP(Table1[[#This Row], [ROOM]],Sheet1!$A$47:$A$66,Sheet1!$B$47:$B$66)</f>
        <v>125</v>
      </c>
      <c r="F1578" t="s">
        <v>58</v>
      </c>
      <c r="G1578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8" s="13" t="s">
        <v>59</v>
      </c>
      <c r="I1578" s="4">
        <f>_xlfn.XLOOKUP(Table1[[#This Row], [WEAPON]],Sheet1!$A$27:$A$29,Sheet1!$B$27:$B$29)*Table1[[#This Row], [NUM OF MEM]]*(1+_xlfn.XLOOKUP(Table1[[#This Row], [WEAPON]],Sheet1!$A$27:$A$29,Sheet1!$C$27:$C$29))</f>
        <v>91000</v>
      </c>
      <c r="J1578" t="s">
        <v>60</v>
      </c>
      <c r="K1578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1709064.4312499997</v>
      </c>
      <c r="L1578" s="13" t="s">
        <v>65</v>
      </c>
      <c r="M1578" s="4">
        <f>IF(Table1[[#This Row], [EQUIPMENT]]="YES",Sheet1!$C$44*(1+Sheet1!$D$44),0)</f>
        <v>307500</v>
      </c>
      <c r="N1578" s="4">
        <f>_xlfn.XLOOKUP(Table1[[#This Row], [ROOM]],Sheet1!$A$47:$A$66,Sheet1!$F$47:$F$66)</f>
        <v>17350000</v>
      </c>
      <c r="O1578" s="9">
        <f>_xlfn.XLOOKUP(_xlfn.CONCAT(Table1[[#This Row], [TEAM]],Table1[[#This Row], [ROOM]]),'ROOM TIME'!$H$2:$H$121,'ROOM TIME'!$J$2:$J$121)</f>
        <v>60.841249999999988</v>
      </c>
      <c r="P1578" s="9">
        <f>(INDEX(Sheet1!$X$48:$Z$67,MATCH(Table1[[#This Row], [ROOM]],Sheet1!$P$48:$P$67,0),MATCH(Table1[[#This Row], [WEAPON]],Sheet1!$X$47:$Z$47,0)))/Table1[[#This Row], [NUM OF MEM]]</f>
        <v>5.75</v>
      </c>
      <c r="Q1578" s="9">
        <f>Table1[[#This Row], [ROOM TIME]]+Table1[[#This Row], [GUARD TIME]]</f>
        <v>66.591249999999988</v>
      </c>
      <c r="R1578" s="4">
        <f>Sheet1!$K$3*_xlfn.XLOOKUP(Table1[[#This Row], [DISGUISE]],Sheet1!$A$21:$A$23,Sheet1!$D$21:$D$23)</f>
        <v>69</v>
      </c>
      <c r="S1578" s="9">
        <f>Table1[[#This Row], [TOTAL TIME]]-Table1[[#This Row], [TOTAL TIME TAKEN]]</f>
        <v>2.4087500000000119</v>
      </c>
      <c r="T1578" t="str">
        <f>IF(Table1[[#This Row], [TIME DIFFERENCE]]&gt;=0,"PASS","FAIL")</f>
        <v>PASS</v>
      </c>
      <c r="U1578" s="9">
        <f>Table1[[#This Row], [TRC]]+Table1[[#This Row], [DRC]]+Table1[[#This Row], [WRC]]+Table1[[#This Row], [ERC]]+Table1[[#This Row], [EQRC]]</f>
        <v>8215964.4312499994</v>
      </c>
      <c r="V1578" s="9">
        <f>Table1[[#This Row], [TOTAL COST]]+_xlfn.XLOOKUP(Table1[[#This Row], [TEAM]],Sheet1!$A$12:$A$17,Sheet1!$I$12:$I$17)</f>
        <v>8520104.4312499985</v>
      </c>
      <c r="W1578" s="9">
        <f>Table1[[#This Row], [LOOT]]-Table1[[#This Row], [TOTAL COST]]</f>
        <v>9134035.5687500015</v>
      </c>
      <c r="X1578" s="9">
        <f>IF(Table1[[#This Row], [PASS/FAIL]]="FAIL",0,Table1[[#This Row], [PROFIT]])</f>
        <v>9134035.5687500015</v>
      </c>
    </row>
    <row r="1579" spans="1:24" ht="19.5" customHeight="1" x14ac:dyDescent="0.45">
      <c r="A1579" t="s">
        <v>16</v>
      </c>
      <c r="B1579" s="14">
        <f>_xlfn.XLOOKUP(Table1[[#This Row], [TEAM]],Sheet1!$A$12:$A$17,Sheet1!$F$12:$F$17)</f>
        <v>2</v>
      </c>
      <c r="C1579" s="14">
        <f>_xlfn.XLOOKUP(Table1[[#This Row], [TEAM]],Sheet1!$A$12:$A$17,Sheet1!$G$12:$G$17)</f>
        <v>6082800</v>
      </c>
      <c r="D1579" t="s">
        <v>17</v>
      </c>
      <c r="E1579" s="4">
        <f>_xlfn.XLOOKUP(Table1[[#This Row], [ROOM]],Sheet1!$A$47:$A$66,Sheet1!$B$47:$B$66)</f>
        <v>125</v>
      </c>
      <c r="F1579" t="s">
        <v>58</v>
      </c>
      <c r="G1579" s="4">
        <f>_xlfn.XLOOKUP(Table1[[#This Row], [DISGUISE]],Sheet1!$A$21:$A$23,Sheet1!$B$21:$B$23)*Table1[[#This Row], [NUM OF MEM]]*(1+_xlfn.XLOOKUP(Table1[[#This Row], [DISGUISE]],Sheet1!$A$21:$A$23,Sheet1!$C$21:$C$23))</f>
        <v>25600</v>
      </c>
      <c r="H1579" s="13" t="s">
        <v>66</v>
      </c>
      <c r="I1579" s="4">
        <f>_xlfn.XLOOKUP(Table1[[#This Row], [WEAPON]],Sheet1!$A$27:$A$29,Sheet1!$B$27:$B$29)*Table1[[#This Row], [NUM OF MEM]]*(1+_xlfn.XLOOKUP(Table1[[#This Row], [WEAPON]],Sheet1!$A$27:$A$29,Sheet1!$C$27:$C$29))</f>
        <v>72000</v>
      </c>
      <c r="J1579" t="s">
        <v>64</v>
      </c>
      <c r="K1579" s="9">
        <f>Table1[[#This Row], [NUM OF MEM]]*Table1[[#This Row], [TOTAL TIME TAKEN]]*_xlfn.XLOOKUP(Table1[[#This Row], [EXIT]],Sheet1!$A$70:$A$71,Sheet1!$B$70:$B$71)*(1+_xlfn.XLOOKUP(Table1[[#This Row], [EXIT]],Sheet1!$A$70:$A$71,Sheet1!$C$70:$C$71))</f>
        <v>1739005.1999999997</v>
      </c>
      <c r="L1579" s="13" t="s">
        <v>65</v>
      </c>
      <c r="M1579" s="4">
        <f>IF(Table1[[#This Row], [EQUIPMENT]]="YES",Sheet1!$C$44*(1+Sheet1!$D$44),0)</f>
        <v>307500</v>
      </c>
      <c r="N1579" s="4">
        <f>_xlfn.XLOOKUP(Table1[[#This Row], [ROOM]],Sheet1!$A$47:$A$66,Sheet1!$F$47:$F$66)</f>
        <v>17350000</v>
      </c>
      <c r="O1579" s="9">
        <f>_xlfn.XLOOKUP(_xlfn.CONCAT(Table1[[#This Row], [TEAM]],Table1[[#This Row], [ROOM]]),'ROOM TIME'!$H$2:$H$121,'ROOM TIME'!$J$2:$J$121)</f>
        <v>60.841249999999988</v>
      </c>
      <c r="P1579" s="9">
        <f>(INDEX(Sheet1!$X$48:$Z$67,MATCH(Table1[[#This Row], [ROOM]],Sheet1!$P$48:$P$67,0),MATCH(Table1[[#This Row], [WEAPON]],Sheet1!$X$47:$Z$47,0)))/Table1[[#This Row], [NUM OF MEM]]</f>
        <v>6.25</v>
      </c>
      <c r="Q1579" s="9">
        <f>Table1[[#This Row], [ROOM TIME]]+Table1[[#This Row], [GUARD TIME]]</f>
        <v>67.091249999999988</v>
      </c>
      <c r="R1579" s="4">
        <f>Sheet1!$K$3*_xlfn.XLOOKUP(Table1[[#This Row], [DISGUISE]],Sheet1!$A$21:$A$23,Sheet1!$D$21:$D$23)</f>
        <v>69</v>
      </c>
      <c r="S1579" s="9">
        <f>Table1[[#This Row], [TOTAL TIME]]-Table1[[#This Row], [TOTAL TIME TAKEN]]</f>
        <v>1.9087500000000119</v>
      </c>
      <c r="T1579" t="str">
        <f>IF(Table1[[#This Row], [TIME DIFFERENCE]]&gt;=0,"PASS","FAIL")</f>
        <v>PASS</v>
      </c>
      <c r="U1579" s="9">
        <f>Table1[[#This Row], [TRC]]+Table1[[#This Row], [DRC]]+Table1[[#This Row], [WRC]]+Table1[[#This Row], [ERC]]+Table1[[#This Row], [EQRC]]</f>
        <v>8226905.1999999993</v>
      </c>
      <c r="V1579" s="9">
        <f>Table1[[#This Row], [TOTAL COST]]+_xlfn.XLOOKUP(Table1[[#This Row], [TEAM]],Sheet1!$A$12:$A$17,Sheet1!$I$12:$I$17)</f>
        <v>8531045.1999999993</v>
      </c>
      <c r="W1579" s="9">
        <f>Table1[[#This Row], [LOOT]]-Table1[[#This Row], [TOTAL COST]]</f>
        <v>9123094.8000000007</v>
      </c>
      <c r="X1579" s="9">
        <f>IF(Table1[[#This Row], [PASS/FAIL]]="FAIL",0,Table1[[#This Row], [PROFIT]])</f>
        <v>9123094.8000000007</v>
      </c>
    </row>
    <row r="1580" spans="1:24" ht="19.5" customHeight="1" x14ac:dyDescent="0.45">
      <c r="A1580" t="s">
        <v>9</v>
      </c>
      <c r="B1580" s="14">
        <f>_xlfn.XLOOKUP(Table1[[#This Row], [TEAM]],Sheet1!$A$12:$A$17,Sheet1!$F$12:$F$17)</f>
        <v>3</v>
      </c>
      <c r="C1580" s="14">
        <f>_xlfn.XLOOKUP(Table1[[#This Row], [TEAM]],Sheet1!$A$12:$A$17,Sheet1!$G$12:$G$17)</f>
        <v>6238750</v>
      </c>
      <c r="D1580" t="s">
        <v>11</v>
      </c>
      <c r="E1580" s="4">
        <f>_xlfn.XLOOKUP(Table1[[#This Row], [ROOM]],Sheet1!$A$47:$A$66,Sheet1!$B$47:$B$66)</f>
        <v>124</v>
      </c>
      <c r="F1580" t="s">
        <v>62</v>
      </c>
      <c r="G158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0" s="13" t="s">
        <v>63</v>
      </c>
      <c r="I1580" s="4">
        <f>_xlfn.XLOOKUP(Table1[[#This Row], [WEAPON]],Sheet1!$A$27:$A$29,Sheet1!$B$27:$B$29)*Table1[[#This Row], [NUM OF MEM]]*(1+_xlfn.XLOOKUP(Table1[[#This Row], [WEAPON]],Sheet1!$A$27:$A$29,Sheet1!$C$27:$C$29))</f>
        <v>69000</v>
      </c>
      <c r="J1580" t="s">
        <v>64</v>
      </c>
      <c r="K1580" s="9">
        <f>Table1[[#This Row], [NUM OF MEM]]*Table1[[#This Row], [TOTAL TIME TAKEN]]*_xlfn.XLOOKUP(Table1[[#This Row], [EXIT]],Sheet1!$A$70:$A$71,Sheet1!$B$70:$B$71)*(1+_xlfn.XLOOKUP(Table1[[#This Row], [EXIT]],Sheet1!$A$70:$A$71,Sheet1!$C$70:$C$71))</f>
        <v>1699163.9999999998</v>
      </c>
      <c r="L1580" s="13" t="s">
        <v>65</v>
      </c>
      <c r="M1580" s="4">
        <f>IF(Table1[[#This Row], [EQUIPMENT]]="YES",Sheet1!$C$44*(1+Sheet1!$D$44),0)</f>
        <v>307500</v>
      </c>
      <c r="N1580" s="4">
        <f>_xlfn.XLOOKUP(Table1[[#This Row], [ROOM]],Sheet1!$A$47:$A$66,Sheet1!$F$47:$F$66)</f>
        <v>17450000</v>
      </c>
      <c r="O1580" s="9">
        <f>_xlfn.XLOOKUP(_xlfn.CONCAT(Table1[[#This Row], [TEAM]],Table1[[#This Row], [ROOM]]),'ROOM TIME'!$H$2:$H$121,'ROOM TIME'!$J$2:$J$121)</f>
        <v>38.752777777777773</v>
      </c>
      <c r="P1580" s="9">
        <f>(INDEX(Sheet1!$X$48:$Z$67,MATCH(Table1[[#This Row], [ROOM]],Sheet1!$P$48:$P$67,0),MATCH(Table1[[#This Row], [WEAPON]],Sheet1!$X$47:$Z$47,0)))/Table1[[#This Row], [NUM OF MEM]]</f>
        <v>4.95</v>
      </c>
      <c r="Q1580" s="9">
        <f>Table1[[#This Row], [ROOM TIME]]+Table1[[#This Row], [GUARD TIME]]</f>
        <v>43.702777777777776</v>
      </c>
      <c r="R1580" s="4">
        <f>Sheet1!$K$3*_xlfn.XLOOKUP(Table1[[#This Row], [DISGUISE]],Sheet1!$A$21:$A$23,Sheet1!$D$21:$D$23)</f>
        <v>66</v>
      </c>
      <c r="S1580" s="9">
        <f>Table1[[#This Row], [TOTAL TIME]]-Table1[[#This Row], [TOTAL TIME TAKEN]]</f>
        <v>22.297222222222224</v>
      </c>
      <c r="T1580" t="str">
        <f>IF(Table1[[#This Row], [TIME DIFFERENCE]]&gt;=0,"PASS","FAIL")</f>
        <v>PASS</v>
      </c>
      <c r="U1580" s="4">
        <f>Table1[[#This Row], [TRC]]+Table1[[#This Row], [DRC]]+Table1[[#This Row], [WRC]]+Table1[[#This Row], [ERC]]+Table1[[#This Row], [EQRC]]</f>
        <v>8330014</v>
      </c>
      <c r="V1580" s="9">
        <f>Table1[[#This Row], [TOTAL COST]]+_xlfn.XLOOKUP(Table1[[#This Row], [TEAM]],Sheet1!$A$12:$A$17,Sheet1!$I$12:$I$17)</f>
        <v>8641951.5</v>
      </c>
      <c r="W1580" s="4">
        <f>Table1[[#This Row], [LOOT]]-Table1[[#This Row], [TOTAL COST]]</f>
        <v>9119986</v>
      </c>
      <c r="X1580" s="4">
        <f>IF(Table1[[#This Row], [PASS/FAIL]]="FAIL",0,Table1[[#This Row], [PROFIT]])</f>
        <v>9119986</v>
      </c>
    </row>
    <row r="1581" spans="1:24" ht="19.5" customHeight="1" x14ac:dyDescent="0.45">
      <c r="A1581" t="s">
        <v>16</v>
      </c>
      <c r="B1581" s="14">
        <f>_xlfn.XLOOKUP(Table1[[#This Row], [TEAM]],Sheet1!$A$12:$A$17,Sheet1!$F$12:$F$17)</f>
        <v>2</v>
      </c>
      <c r="C1581" s="14">
        <f>_xlfn.XLOOKUP(Table1[[#This Row], [TEAM]],Sheet1!$A$12:$A$17,Sheet1!$G$12:$G$17)</f>
        <v>6082800</v>
      </c>
      <c r="D1581" t="s">
        <v>17</v>
      </c>
      <c r="E1581" s="4">
        <f>_xlfn.XLOOKUP(Table1[[#This Row], [ROOM]],Sheet1!$A$47:$A$66,Sheet1!$B$47:$B$66)</f>
        <v>125</v>
      </c>
      <c r="F1581" t="s">
        <v>58</v>
      </c>
      <c r="G1581" s="4">
        <f>_xlfn.XLOOKUP(Table1[[#This Row], [DISGUISE]],Sheet1!$A$21:$A$23,Sheet1!$B$21:$B$23)*Table1[[#This Row], [NUM OF MEM]]*(1+_xlfn.XLOOKUP(Table1[[#This Row], [DISGUISE]],Sheet1!$A$21:$A$23,Sheet1!$C$21:$C$23))</f>
        <v>25600</v>
      </c>
      <c r="H1581" s="13" t="s">
        <v>59</v>
      </c>
      <c r="I1581" s="4">
        <f>_xlfn.XLOOKUP(Table1[[#This Row], [WEAPON]],Sheet1!$A$27:$A$29,Sheet1!$B$27:$B$29)*Table1[[#This Row], [NUM OF MEM]]*(1+_xlfn.XLOOKUP(Table1[[#This Row], [WEAPON]],Sheet1!$A$27:$A$29,Sheet1!$C$27:$C$29))</f>
        <v>91000</v>
      </c>
      <c r="J1581" t="s">
        <v>64</v>
      </c>
      <c r="K1581" s="9">
        <f>Table1[[#This Row], [NUM OF MEM]]*Table1[[#This Row], [TOTAL TIME TAKEN]]*_xlfn.XLOOKUP(Table1[[#This Row], [EXIT]],Sheet1!$A$70:$A$71,Sheet1!$B$70:$B$71)*(1+_xlfn.XLOOKUP(Table1[[#This Row], [EXIT]],Sheet1!$A$70:$A$71,Sheet1!$C$70:$C$71))</f>
        <v>1726045.1999999997</v>
      </c>
      <c r="L1581" s="13" t="s">
        <v>65</v>
      </c>
      <c r="M1581" s="4">
        <f>IF(Table1[[#This Row], [EQUIPMENT]]="YES",Sheet1!$C$44*(1+Sheet1!$D$44),0)</f>
        <v>307500</v>
      </c>
      <c r="N1581" s="4">
        <f>_xlfn.XLOOKUP(Table1[[#This Row], [ROOM]],Sheet1!$A$47:$A$66,Sheet1!$F$47:$F$66)</f>
        <v>17350000</v>
      </c>
      <c r="O1581" s="9">
        <f>_xlfn.XLOOKUP(_xlfn.CONCAT(Table1[[#This Row], [TEAM]],Table1[[#This Row], [ROOM]]),'ROOM TIME'!$H$2:$H$121,'ROOM TIME'!$J$2:$J$121)</f>
        <v>60.841249999999988</v>
      </c>
      <c r="P1581" s="9">
        <f>(INDEX(Sheet1!$X$48:$Z$67,MATCH(Table1[[#This Row], [ROOM]],Sheet1!$P$48:$P$67,0),MATCH(Table1[[#This Row], [WEAPON]],Sheet1!$X$47:$Z$47,0)))/Table1[[#This Row], [NUM OF MEM]]</f>
        <v>5.75</v>
      </c>
      <c r="Q1581" s="9">
        <f>Table1[[#This Row], [ROOM TIME]]+Table1[[#This Row], [GUARD TIME]]</f>
        <v>66.591249999999988</v>
      </c>
      <c r="R1581" s="4">
        <f>Sheet1!$K$3*_xlfn.XLOOKUP(Table1[[#This Row], [DISGUISE]],Sheet1!$A$21:$A$23,Sheet1!$D$21:$D$23)</f>
        <v>69</v>
      </c>
      <c r="S1581" s="9">
        <f>Table1[[#This Row], [TOTAL TIME]]-Table1[[#This Row], [TOTAL TIME TAKEN]]</f>
        <v>2.4087500000000119</v>
      </c>
      <c r="T1581" t="str">
        <f>IF(Table1[[#This Row], [TIME DIFFERENCE]]&gt;=0,"PASS","FAIL")</f>
        <v>PASS</v>
      </c>
      <c r="U1581" s="9">
        <f>Table1[[#This Row], [TRC]]+Table1[[#This Row], [DRC]]+Table1[[#This Row], [WRC]]+Table1[[#This Row], [ERC]]+Table1[[#This Row], [EQRC]]</f>
        <v>8232945.1999999993</v>
      </c>
      <c r="V1581" s="9">
        <f>Table1[[#This Row], [TOTAL COST]]+_xlfn.XLOOKUP(Table1[[#This Row], [TEAM]],Sheet1!$A$12:$A$17,Sheet1!$I$12:$I$17)</f>
        <v>8537085.1999999993</v>
      </c>
      <c r="W1581" s="9">
        <f>Table1[[#This Row], [LOOT]]-Table1[[#This Row], [TOTAL COST]]</f>
        <v>9117054.8000000007</v>
      </c>
      <c r="X1581" s="9">
        <f>IF(Table1[[#This Row], [PASS/FAIL]]="FAIL",0,Table1[[#This Row], [PROFIT]])</f>
        <v>9117054.8000000007</v>
      </c>
    </row>
    <row r="1582" spans="1:24" ht="19.5" customHeight="1" x14ac:dyDescent="0.45">
      <c r="A1582" t="s">
        <v>9</v>
      </c>
      <c r="B1582" s="14">
        <f>_xlfn.XLOOKUP(Table1[[#This Row], [TEAM]],Sheet1!$A$12:$A$17,Sheet1!$F$12:$F$17)</f>
        <v>3</v>
      </c>
      <c r="C1582" s="14">
        <f>_xlfn.XLOOKUP(Table1[[#This Row], [TEAM]],Sheet1!$A$12:$A$17,Sheet1!$G$12:$G$17)</f>
        <v>6238750</v>
      </c>
      <c r="D1582" t="s">
        <v>11</v>
      </c>
      <c r="E1582" s="4">
        <f>_xlfn.XLOOKUP(Table1[[#This Row], [ROOM]],Sheet1!$A$47:$A$66,Sheet1!$B$47:$B$66)</f>
        <v>124</v>
      </c>
      <c r="F1582" t="s">
        <v>58</v>
      </c>
      <c r="G158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82" s="13" t="s">
        <v>63</v>
      </c>
      <c r="I1582" s="4">
        <f>_xlfn.XLOOKUP(Table1[[#This Row], [WEAPON]],Sheet1!$A$27:$A$29,Sheet1!$B$27:$B$29)*Table1[[#This Row], [NUM OF MEM]]*(1+_xlfn.XLOOKUP(Table1[[#This Row], [WEAPON]],Sheet1!$A$27:$A$29,Sheet1!$C$27:$C$29))</f>
        <v>69000</v>
      </c>
      <c r="J1582" t="s">
        <v>60</v>
      </c>
      <c r="K1582" s="9">
        <f>Table1[[#This Row], [NUM OF MEM]]*Table1[[#This Row], [TOTAL TIME TAKEN]]*_xlfn.XLOOKUP(Table1[[#This Row], [EXIT]],Sheet1!$A$70:$A$71,Sheet1!$B$70:$B$71)*(1+_xlfn.XLOOKUP(Table1[[#This Row], [EXIT]],Sheet1!$A$70:$A$71,Sheet1!$C$70:$C$71))</f>
        <v>1682447.6874999995</v>
      </c>
      <c r="L1582" s="13" t="s">
        <v>65</v>
      </c>
      <c r="M1582" s="4">
        <f>IF(Table1[[#This Row], [EQUIPMENT]]="YES",Sheet1!$C$44*(1+Sheet1!$D$44),0)</f>
        <v>307500</v>
      </c>
      <c r="N1582" s="4">
        <f>_xlfn.XLOOKUP(Table1[[#This Row], [ROOM]],Sheet1!$A$47:$A$66,Sheet1!$F$47:$F$66)</f>
        <v>17450000</v>
      </c>
      <c r="O1582" s="9">
        <f>_xlfn.XLOOKUP(_xlfn.CONCAT(Table1[[#This Row], [TEAM]],Table1[[#This Row], [ROOM]]),'ROOM TIME'!$H$2:$H$121,'ROOM TIME'!$J$2:$J$121)</f>
        <v>38.752777777777773</v>
      </c>
      <c r="P1582" s="9">
        <f>(INDEX(Sheet1!$X$48:$Z$67,MATCH(Table1[[#This Row], [ROOM]],Sheet1!$P$48:$P$67,0),MATCH(Table1[[#This Row], [WEAPON]],Sheet1!$X$47:$Z$47,0)))/Table1[[#This Row], [NUM OF MEM]]</f>
        <v>4.95</v>
      </c>
      <c r="Q1582" s="9">
        <f>Table1[[#This Row], [ROOM TIME]]+Table1[[#This Row], [GUARD TIME]]</f>
        <v>43.702777777777776</v>
      </c>
      <c r="R1582" s="4">
        <f>Sheet1!$K$3*_xlfn.XLOOKUP(Table1[[#This Row], [DISGUISE]],Sheet1!$A$21:$A$23,Sheet1!$D$21:$D$23)</f>
        <v>69</v>
      </c>
      <c r="S1582" s="9">
        <f>Table1[[#This Row], [TOTAL TIME]]-Table1[[#This Row], [TOTAL TIME TAKEN]]</f>
        <v>25.297222222222224</v>
      </c>
      <c r="T1582" t="str">
        <f>IF(Table1[[#This Row], [TIME DIFFERENCE]]&gt;=0,"PASS","FAIL")</f>
        <v>PASS</v>
      </c>
      <c r="U1582" s="9">
        <f>Table1[[#This Row], [TRC]]+Table1[[#This Row], [DRC]]+Table1[[#This Row], [WRC]]+Table1[[#This Row], [ERC]]+Table1[[#This Row], [EQRC]]</f>
        <v>8336097.6875</v>
      </c>
      <c r="V1582" s="9">
        <f>Table1[[#This Row], [TOTAL COST]]+_xlfn.XLOOKUP(Table1[[#This Row], [TEAM]],Sheet1!$A$12:$A$17,Sheet1!$I$12:$I$17)</f>
        <v>8648035.1875</v>
      </c>
      <c r="W1582" s="9">
        <f>Table1[[#This Row], [LOOT]]-Table1[[#This Row], [TOTAL COST]]</f>
        <v>9113902.3125</v>
      </c>
      <c r="X1582" s="9">
        <f>IF(Table1[[#This Row], [PASS/FAIL]]="FAIL",0,Table1[[#This Row], [PROFIT]])</f>
        <v>9113902.3125</v>
      </c>
    </row>
    <row r="1583" spans="1:24" ht="19.5" customHeight="1" x14ac:dyDescent="0.45">
      <c r="A1583" t="s">
        <v>9</v>
      </c>
      <c r="B1583" s="14">
        <f>_xlfn.XLOOKUP(Table1[[#This Row], [TEAM]],Sheet1!$A$12:$A$17,Sheet1!$F$12:$F$17)</f>
        <v>3</v>
      </c>
      <c r="C1583" s="14">
        <f>_xlfn.XLOOKUP(Table1[[#This Row], [TEAM]],Sheet1!$A$12:$A$17,Sheet1!$G$12:$G$17)</f>
        <v>6238750</v>
      </c>
      <c r="D1583" t="s">
        <v>11</v>
      </c>
      <c r="E1583" s="4">
        <f>_xlfn.XLOOKUP(Table1[[#This Row], [ROOM]],Sheet1!$A$47:$A$66,Sheet1!$B$47:$B$66)</f>
        <v>124</v>
      </c>
      <c r="F1583" t="s">
        <v>62</v>
      </c>
      <c r="G158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3" s="13" t="s">
        <v>66</v>
      </c>
      <c r="I1583" s="4">
        <f>_xlfn.XLOOKUP(Table1[[#This Row], [WEAPON]],Sheet1!$A$27:$A$29,Sheet1!$B$27:$B$29)*Table1[[#This Row], [NUM OF MEM]]*(1+_xlfn.XLOOKUP(Table1[[#This Row], [WEAPON]],Sheet1!$A$27:$A$29,Sheet1!$C$27:$C$29))</f>
        <v>108000</v>
      </c>
      <c r="J1583" t="s">
        <v>60</v>
      </c>
      <c r="K1583" s="9">
        <f>Table1[[#This Row], [NUM OF MEM]]*Table1[[#This Row], [TOTAL TIME TAKEN]]*_xlfn.XLOOKUP(Table1[[#This Row], [EXIT]],Sheet1!$A$70:$A$71,Sheet1!$B$70:$B$71)*(1+_xlfn.XLOOKUP(Table1[[#This Row], [EXIT]],Sheet1!$A$70:$A$71,Sheet1!$C$70:$C$71))</f>
        <v>1668331.9375</v>
      </c>
      <c r="L1583" s="13" t="s">
        <v>65</v>
      </c>
      <c r="M1583" s="4">
        <f>IF(Table1[[#This Row], [EQUIPMENT]]="YES",Sheet1!$C$44*(1+Sheet1!$D$44),0)</f>
        <v>307500</v>
      </c>
      <c r="N1583" s="4">
        <f>_xlfn.XLOOKUP(Table1[[#This Row], [ROOM]],Sheet1!$A$47:$A$66,Sheet1!$F$47:$F$66)</f>
        <v>17450000</v>
      </c>
      <c r="O1583" s="9">
        <f>_xlfn.XLOOKUP(_xlfn.CONCAT(Table1[[#This Row], [TEAM]],Table1[[#This Row], [ROOM]]),'ROOM TIME'!$H$2:$H$121,'ROOM TIME'!$J$2:$J$121)</f>
        <v>38.752777777777773</v>
      </c>
      <c r="P1583" s="9">
        <f>(INDEX(Sheet1!$X$48:$Z$67,MATCH(Table1[[#This Row], [ROOM]],Sheet1!$P$48:$P$67,0),MATCH(Table1[[#This Row], [WEAPON]],Sheet1!$X$47:$Z$47,0)))/Table1[[#This Row], [NUM OF MEM]]</f>
        <v>4.583333333333333</v>
      </c>
      <c r="Q1583" s="9">
        <f>Table1[[#This Row], [ROOM TIME]]+Table1[[#This Row], [GUARD TIME]]</f>
        <v>43.336111111111109</v>
      </c>
      <c r="R1583" s="4">
        <f>Sheet1!$K$3*_xlfn.XLOOKUP(Table1[[#This Row], [DISGUISE]],Sheet1!$A$21:$A$23,Sheet1!$D$21:$D$23)</f>
        <v>66</v>
      </c>
      <c r="S1583" s="9">
        <f>Table1[[#This Row], [TOTAL TIME]]-Table1[[#This Row], [TOTAL TIME TAKEN]]</f>
        <v>22.663888888888891</v>
      </c>
      <c r="T1583" t="str">
        <f>IF(Table1[[#This Row], [TIME DIFFERENCE]]&gt;=0,"PASS","FAIL")</f>
        <v>PASS</v>
      </c>
      <c r="U1583" s="9">
        <f>Table1[[#This Row], [TRC]]+Table1[[#This Row], [DRC]]+Table1[[#This Row], [WRC]]+Table1[[#This Row], [ERC]]+Table1[[#This Row], [EQRC]]</f>
        <v>8338181.9375</v>
      </c>
      <c r="V1583" s="9">
        <f>Table1[[#This Row], [TOTAL COST]]+_xlfn.XLOOKUP(Table1[[#This Row], [TEAM]],Sheet1!$A$12:$A$17,Sheet1!$I$12:$I$17)</f>
        <v>8650119.4375</v>
      </c>
      <c r="W1583" s="9">
        <f>Table1[[#This Row], [LOOT]]-Table1[[#This Row], [TOTAL COST]]</f>
        <v>9111818.0625</v>
      </c>
      <c r="X1583" s="9">
        <f>IF(Table1[[#This Row], [PASS/FAIL]]="FAIL",0,Table1[[#This Row], [PROFIT]])</f>
        <v>9111818.0625</v>
      </c>
    </row>
    <row r="1584" spans="1:24" ht="19.5" customHeight="1" x14ac:dyDescent="0.45">
      <c r="A1584" t="s">
        <v>9</v>
      </c>
      <c r="B1584" s="14">
        <f>_xlfn.XLOOKUP(Table1[[#This Row], [TEAM]],Sheet1!$A$12:$A$17,Sheet1!$F$12:$F$17)</f>
        <v>3</v>
      </c>
      <c r="C1584" s="14">
        <f>_xlfn.XLOOKUP(Table1[[#This Row], [TEAM]],Sheet1!$A$12:$A$17,Sheet1!$G$12:$G$17)</f>
        <v>6238750</v>
      </c>
      <c r="D1584" t="s">
        <v>23</v>
      </c>
      <c r="E1584" s="4">
        <f>_xlfn.XLOOKUP(Table1[[#This Row], [ROOM]],Sheet1!$A$47:$A$66,Sheet1!$B$47:$B$66)</f>
        <v>245</v>
      </c>
      <c r="F1584" t="s">
        <v>62</v>
      </c>
      <c r="G1584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4" s="13" t="s">
        <v>63</v>
      </c>
      <c r="I1584" s="4">
        <f>_xlfn.XLOOKUP(Table1[[#This Row], [WEAPON]],Sheet1!$A$27:$A$29,Sheet1!$B$27:$B$29)*Table1[[#This Row], [NUM OF MEM]]*(1+_xlfn.XLOOKUP(Table1[[#This Row], [WEAPON]],Sheet1!$A$27:$A$29,Sheet1!$C$27:$C$29))</f>
        <v>69000</v>
      </c>
      <c r="J1584" t="s">
        <v>60</v>
      </c>
      <c r="K1584" s="9">
        <f>Table1[[#This Row], [NUM OF MEM]]*Table1[[#This Row], [TOTAL TIME TAKEN]]*_xlfn.XLOOKUP(Table1[[#This Row], [EXIT]],Sheet1!$A$70:$A$71,Sheet1!$B$70:$B$71)*(1+_xlfn.XLOOKUP(Table1[[#This Row], [EXIT]],Sheet1!$A$70:$A$71,Sheet1!$C$70:$C$71))</f>
        <v>1671219.2499999995</v>
      </c>
      <c r="L1584" s="13" t="s">
        <v>65</v>
      </c>
      <c r="M1584" s="4">
        <f>IF(Table1[[#This Row], [EQUIPMENT]]="YES",Sheet1!$C$44*(1+Sheet1!$D$44),0)</f>
        <v>307500</v>
      </c>
      <c r="N1584" s="4">
        <f>_xlfn.XLOOKUP(Table1[[#This Row], [ROOM]],Sheet1!$A$47:$A$66,Sheet1!$F$47:$F$66)</f>
        <v>17400000</v>
      </c>
      <c r="O1584" s="9">
        <f>_xlfn.XLOOKUP(_xlfn.CONCAT(Table1[[#This Row], [TEAM]],Table1[[#This Row], [ROOM]]),'ROOM TIME'!$H$2:$H$121,'ROOM TIME'!$J$2:$J$121)</f>
        <v>38.461111111111101</v>
      </c>
      <c r="P1584" s="9">
        <f>(INDEX(Sheet1!$X$48:$Z$67,MATCH(Table1[[#This Row], [ROOM]],Sheet1!$P$48:$P$67,0),MATCH(Table1[[#This Row], [WEAPON]],Sheet1!$X$47:$Z$47,0)))/Table1[[#This Row], [NUM OF MEM]]</f>
        <v>4.95</v>
      </c>
      <c r="Q1584" s="9">
        <f>Table1[[#This Row], [ROOM TIME]]+Table1[[#This Row], [GUARD TIME]]</f>
        <v>43.411111111111104</v>
      </c>
      <c r="R1584" s="4">
        <f>Sheet1!$K$3*_xlfn.XLOOKUP(Table1[[#This Row], [DISGUISE]],Sheet1!$A$21:$A$23,Sheet1!$D$21:$D$23)</f>
        <v>66</v>
      </c>
      <c r="S1584" s="9">
        <f>Table1[[#This Row], [TOTAL TIME]]-Table1[[#This Row], [TOTAL TIME TAKEN]]</f>
        <v>22.588888888888896</v>
      </c>
      <c r="T1584" t="str">
        <f>IF(Table1[[#This Row], [TIME DIFFERENCE]]&gt;=0,"PASS","FAIL")</f>
        <v>PASS</v>
      </c>
      <c r="U1584" s="9">
        <f>Table1[[#This Row], [TRC]]+Table1[[#This Row], [DRC]]+Table1[[#This Row], [WRC]]+Table1[[#This Row], [ERC]]+Table1[[#This Row], [EQRC]]</f>
        <v>8302069.25</v>
      </c>
      <c r="V1584" s="9">
        <f>Table1[[#This Row], [TOTAL COST]]+_xlfn.XLOOKUP(Table1[[#This Row], [TEAM]],Sheet1!$A$12:$A$17,Sheet1!$I$12:$I$17)</f>
        <v>8614006.75</v>
      </c>
      <c r="W1584" s="9">
        <f>Table1[[#This Row], [LOOT]]-Table1[[#This Row], [TOTAL COST]]</f>
        <v>9097930.75</v>
      </c>
      <c r="X1584" s="9">
        <f>IF(Table1[[#This Row], [PASS/FAIL]]="FAIL",0,Table1[[#This Row], [PROFIT]])</f>
        <v>9097930.75</v>
      </c>
    </row>
    <row r="1585" spans="1:24" ht="19.5" customHeight="1" x14ac:dyDescent="0.45">
      <c r="A1585" t="s">
        <v>9</v>
      </c>
      <c r="B1585" s="14">
        <f>_xlfn.XLOOKUP(Table1[[#This Row], [TEAM]],Sheet1!$A$12:$A$17,Sheet1!$F$12:$F$17)</f>
        <v>3</v>
      </c>
      <c r="C1585" s="14">
        <f>_xlfn.XLOOKUP(Table1[[#This Row], [TEAM]],Sheet1!$A$12:$A$17,Sheet1!$G$12:$G$17)</f>
        <v>6238750</v>
      </c>
      <c r="D1585" t="s">
        <v>11</v>
      </c>
      <c r="E1585" s="4">
        <f>_xlfn.XLOOKUP(Table1[[#This Row], [ROOM]],Sheet1!$A$47:$A$66,Sheet1!$B$47:$B$66)</f>
        <v>124</v>
      </c>
      <c r="F1585" t="s">
        <v>62</v>
      </c>
      <c r="G1585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5" s="13" t="s">
        <v>59</v>
      </c>
      <c r="I1585" s="4">
        <f>_xlfn.XLOOKUP(Table1[[#This Row], [WEAPON]],Sheet1!$A$27:$A$29,Sheet1!$B$27:$B$29)*Table1[[#This Row], [NUM OF MEM]]*(1+_xlfn.XLOOKUP(Table1[[#This Row], [WEAPON]],Sheet1!$A$27:$A$29,Sheet1!$C$27:$C$29))</f>
        <v>136500</v>
      </c>
      <c r="J1585" t="s">
        <v>60</v>
      </c>
      <c r="K1585" s="9">
        <f>Table1[[#This Row], [NUM OF MEM]]*Table1[[#This Row], [TOTAL TIME TAKEN]]*_xlfn.XLOOKUP(Table1[[#This Row], [EXIT]],Sheet1!$A$70:$A$71,Sheet1!$B$70:$B$71)*(1+_xlfn.XLOOKUP(Table1[[#This Row], [EXIT]],Sheet1!$A$70:$A$71,Sheet1!$C$70:$C$71))</f>
        <v>1654216.1875</v>
      </c>
      <c r="L1585" s="13" t="s">
        <v>65</v>
      </c>
      <c r="M1585" s="4">
        <f>IF(Table1[[#This Row], [EQUIPMENT]]="YES",Sheet1!$C$44*(1+Sheet1!$D$44),0)</f>
        <v>307500</v>
      </c>
      <c r="N1585" s="4">
        <f>_xlfn.XLOOKUP(Table1[[#This Row], [ROOM]],Sheet1!$A$47:$A$66,Sheet1!$F$47:$F$66)</f>
        <v>17450000</v>
      </c>
      <c r="O1585" s="9">
        <f>_xlfn.XLOOKUP(_xlfn.CONCAT(Table1[[#This Row], [TEAM]],Table1[[#This Row], [ROOM]]),'ROOM TIME'!$H$2:$H$121,'ROOM TIME'!$J$2:$J$121)</f>
        <v>38.752777777777773</v>
      </c>
      <c r="P1585" s="9">
        <f>(INDEX(Sheet1!$X$48:$Z$67,MATCH(Table1[[#This Row], [ROOM]],Sheet1!$P$48:$P$67,0),MATCH(Table1[[#This Row], [WEAPON]],Sheet1!$X$47:$Z$47,0)))/Table1[[#This Row], [NUM OF MEM]]</f>
        <v>4.2166666666666659</v>
      </c>
      <c r="Q1585" s="9">
        <f>Table1[[#This Row], [ROOM TIME]]+Table1[[#This Row], [GUARD TIME]]</f>
        <v>42.969444444444441</v>
      </c>
      <c r="R1585" s="4">
        <f>Sheet1!$K$3*_xlfn.XLOOKUP(Table1[[#This Row], [DISGUISE]],Sheet1!$A$21:$A$23,Sheet1!$D$21:$D$23)</f>
        <v>66</v>
      </c>
      <c r="S1585" s="9">
        <f>Table1[[#This Row], [TOTAL TIME]]-Table1[[#This Row], [TOTAL TIME TAKEN]]</f>
        <v>23.030555555555559</v>
      </c>
      <c r="T1585" t="str">
        <f>IF(Table1[[#This Row], [TIME DIFFERENCE]]&gt;=0,"PASS","FAIL")</f>
        <v>PASS</v>
      </c>
      <c r="U1585" s="9">
        <f>Table1[[#This Row], [TRC]]+Table1[[#This Row], [DRC]]+Table1[[#This Row], [WRC]]+Table1[[#This Row], [ERC]]+Table1[[#This Row], [EQRC]]</f>
        <v>8352566.1875</v>
      </c>
      <c r="V1585" s="9">
        <f>Table1[[#This Row], [TOTAL COST]]+_xlfn.XLOOKUP(Table1[[#This Row], [TEAM]],Sheet1!$A$12:$A$17,Sheet1!$I$12:$I$17)</f>
        <v>8664503.6875</v>
      </c>
      <c r="W1585" s="9">
        <f>Table1[[#This Row], [LOOT]]-Table1[[#This Row], [TOTAL COST]]</f>
        <v>9097433.8125</v>
      </c>
      <c r="X1585" s="9">
        <f>IF(Table1[[#This Row], [PASS/FAIL]]="FAIL",0,Table1[[#This Row], [PROFIT]])</f>
        <v>9097433.8125</v>
      </c>
    </row>
    <row r="1586" spans="1:24" ht="19.5" customHeight="1" x14ac:dyDescent="0.45">
      <c r="A1586" t="s">
        <v>9</v>
      </c>
      <c r="B1586" s="14">
        <f>_xlfn.XLOOKUP(Table1[[#This Row], [TEAM]],Sheet1!$A$12:$A$17,Sheet1!$F$12:$F$17)</f>
        <v>3</v>
      </c>
      <c r="C1586" s="14">
        <f>_xlfn.XLOOKUP(Table1[[#This Row], [TEAM]],Sheet1!$A$12:$A$17,Sheet1!$G$12:$G$17)</f>
        <v>6238750</v>
      </c>
      <c r="D1586" t="s">
        <v>11</v>
      </c>
      <c r="E1586" s="4">
        <f>_xlfn.XLOOKUP(Table1[[#This Row], [ROOM]],Sheet1!$A$47:$A$66,Sheet1!$B$47:$B$66)</f>
        <v>124</v>
      </c>
      <c r="F1586" t="s">
        <v>58</v>
      </c>
      <c r="G1586" s="4">
        <f>_xlfn.XLOOKUP(Table1[[#This Row], [DISGUISE]],Sheet1!$A$21:$A$23,Sheet1!$B$21:$B$23)*Table1[[#This Row], [NUM OF MEM]]*(1+_xlfn.XLOOKUP(Table1[[#This Row], [DISGUISE]],Sheet1!$A$21:$A$23,Sheet1!$C$21:$C$23))</f>
        <v>38400</v>
      </c>
      <c r="H1586" s="13" t="s">
        <v>63</v>
      </c>
      <c r="I1586" s="4">
        <f>_xlfn.XLOOKUP(Table1[[#This Row], [WEAPON]],Sheet1!$A$27:$A$29,Sheet1!$B$27:$B$29)*Table1[[#This Row], [NUM OF MEM]]*(1+_xlfn.XLOOKUP(Table1[[#This Row], [WEAPON]],Sheet1!$A$27:$A$29,Sheet1!$C$27:$C$29))</f>
        <v>69000</v>
      </c>
      <c r="J1586" t="s">
        <v>64</v>
      </c>
      <c r="K1586" s="9">
        <f>Table1[[#This Row], [NUM OF MEM]]*Table1[[#This Row], [TOTAL TIME TAKEN]]*_xlfn.XLOOKUP(Table1[[#This Row], [EXIT]],Sheet1!$A$70:$A$71,Sheet1!$B$70:$B$71)*(1+_xlfn.XLOOKUP(Table1[[#This Row], [EXIT]],Sheet1!$A$70:$A$71,Sheet1!$C$70:$C$71))</f>
        <v>1699163.9999999998</v>
      </c>
      <c r="L1586" s="13" t="s">
        <v>65</v>
      </c>
      <c r="M1586" s="4">
        <f>IF(Table1[[#This Row], [EQUIPMENT]]="YES",Sheet1!$C$44*(1+Sheet1!$D$44),0)</f>
        <v>307500</v>
      </c>
      <c r="N1586" s="4">
        <f>_xlfn.XLOOKUP(Table1[[#This Row], [ROOM]],Sheet1!$A$47:$A$66,Sheet1!$F$47:$F$66)</f>
        <v>17450000</v>
      </c>
      <c r="O1586" s="9">
        <f>_xlfn.XLOOKUP(_xlfn.CONCAT(Table1[[#This Row], [TEAM]],Table1[[#This Row], [ROOM]]),'ROOM TIME'!$H$2:$H$121,'ROOM TIME'!$J$2:$J$121)</f>
        <v>38.752777777777773</v>
      </c>
      <c r="P1586" s="9">
        <f>(INDEX(Sheet1!$X$48:$Z$67,MATCH(Table1[[#This Row], [ROOM]],Sheet1!$P$48:$P$67,0),MATCH(Table1[[#This Row], [WEAPON]],Sheet1!$X$47:$Z$47,0)))/Table1[[#This Row], [NUM OF MEM]]</f>
        <v>4.95</v>
      </c>
      <c r="Q1586" s="9">
        <f>Table1[[#This Row], [ROOM TIME]]+Table1[[#This Row], [GUARD TIME]]</f>
        <v>43.702777777777776</v>
      </c>
      <c r="R1586" s="4">
        <f>Sheet1!$K$3*_xlfn.XLOOKUP(Table1[[#This Row], [DISGUISE]],Sheet1!$A$21:$A$23,Sheet1!$D$21:$D$23)</f>
        <v>69</v>
      </c>
      <c r="S1586" s="9">
        <f>Table1[[#This Row], [TOTAL TIME]]-Table1[[#This Row], [TOTAL TIME TAKEN]]</f>
        <v>25.297222222222224</v>
      </c>
      <c r="T1586" t="str">
        <f>IF(Table1[[#This Row], [TIME DIFFERENCE]]&gt;=0,"PASS","FAIL")</f>
        <v>PASS</v>
      </c>
      <c r="U1586" s="4">
        <f>Table1[[#This Row], [TRC]]+Table1[[#This Row], [DRC]]+Table1[[#This Row], [WRC]]+Table1[[#This Row], [ERC]]+Table1[[#This Row], [EQRC]]</f>
        <v>8352814</v>
      </c>
      <c r="V1586" s="9">
        <f>Table1[[#This Row], [TOTAL COST]]+_xlfn.XLOOKUP(Table1[[#This Row], [TEAM]],Sheet1!$A$12:$A$17,Sheet1!$I$12:$I$17)</f>
        <v>8664751.5</v>
      </c>
      <c r="W1586" s="4">
        <f>Table1[[#This Row], [LOOT]]-Table1[[#This Row], [TOTAL COST]]</f>
        <v>9097186</v>
      </c>
      <c r="X1586" s="4">
        <f>IF(Table1[[#This Row], [PASS/FAIL]]="FAIL",0,Table1[[#This Row], [PROFIT]])</f>
        <v>9097186</v>
      </c>
    </row>
    <row r="1587" spans="1:24" ht="19.5" customHeight="1" x14ac:dyDescent="0.45">
      <c r="A1587" t="s">
        <v>9</v>
      </c>
      <c r="B1587" s="14">
        <f>_xlfn.XLOOKUP(Table1[[#This Row], [TEAM]],Sheet1!$A$12:$A$17,Sheet1!$F$12:$F$17)</f>
        <v>3</v>
      </c>
      <c r="C1587" s="14">
        <f>_xlfn.XLOOKUP(Table1[[#This Row], [TEAM]],Sheet1!$A$12:$A$17,Sheet1!$G$12:$G$17)</f>
        <v>6238750</v>
      </c>
      <c r="D1587" t="s">
        <v>11</v>
      </c>
      <c r="E1587" s="4">
        <f>_xlfn.XLOOKUP(Table1[[#This Row], [ROOM]],Sheet1!$A$47:$A$66,Sheet1!$B$47:$B$66)</f>
        <v>124</v>
      </c>
      <c r="F1587" t="s">
        <v>62</v>
      </c>
      <c r="G1587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7" s="13" t="s">
        <v>66</v>
      </c>
      <c r="I1587" s="4">
        <f>_xlfn.XLOOKUP(Table1[[#This Row], [WEAPON]],Sheet1!$A$27:$A$29,Sheet1!$B$27:$B$29)*Table1[[#This Row], [NUM OF MEM]]*(1+_xlfn.XLOOKUP(Table1[[#This Row], [WEAPON]],Sheet1!$A$27:$A$29,Sheet1!$C$27:$C$29))</f>
        <v>108000</v>
      </c>
      <c r="J1587" t="s">
        <v>64</v>
      </c>
      <c r="K1587" s="4">
        <f>Table1[[#This Row], [NUM OF MEM]]*Table1[[#This Row], [TOTAL TIME TAKEN]]*_xlfn.XLOOKUP(Table1[[#This Row], [EXIT]],Sheet1!$A$70:$A$71,Sheet1!$B$70:$B$71)*(1+_xlfn.XLOOKUP(Table1[[#This Row], [EXIT]],Sheet1!$A$70:$A$71,Sheet1!$C$70:$C$71))</f>
        <v>1684908</v>
      </c>
      <c r="L1587" s="13" t="s">
        <v>65</v>
      </c>
      <c r="M1587" s="4">
        <f>IF(Table1[[#This Row], [EQUIPMENT]]="YES",Sheet1!$C$44*(1+Sheet1!$D$44),0)</f>
        <v>307500</v>
      </c>
      <c r="N1587" s="4">
        <f>_xlfn.XLOOKUP(Table1[[#This Row], [ROOM]],Sheet1!$A$47:$A$66,Sheet1!$F$47:$F$66)</f>
        <v>17450000</v>
      </c>
      <c r="O1587" s="9">
        <f>_xlfn.XLOOKUP(_xlfn.CONCAT(Table1[[#This Row], [TEAM]],Table1[[#This Row], [ROOM]]),'ROOM TIME'!$H$2:$H$121,'ROOM TIME'!$J$2:$J$121)</f>
        <v>38.752777777777773</v>
      </c>
      <c r="P1587" s="9">
        <f>(INDEX(Sheet1!$X$48:$Z$67,MATCH(Table1[[#This Row], [ROOM]],Sheet1!$P$48:$P$67,0),MATCH(Table1[[#This Row], [WEAPON]],Sheet1!$X$47:$Z$47,0)))/Table1[[#This Row], [NUM OF MEM]]</f>
        <v>4.583333333333333</v>
      </c>
      <c r="Q1587" s="9">
        <f>Table1[[#This Row], [ROOM TIME]]+Table1[[#This Row], [GUARD TIME]]</f>
        <v>43.336111111111109</v>
      </c>
      <c r="R1587" s="4">
        <f>Sheet1!$K$3*_xlfn.XLOOKUP(Table1[[#This Row], [DISGUISE]],Sheet1!$A$21:$A$23,Sheet1!$D$21:$D$23)</f>
        <v>66</v>
      </c>
      <c r="S1587" s="9">
        <f>Table1[[#This Row], [TOTAL TIME]]-Table1[[#This Row], [TOTAL TIME TAKEN]]</f>
        <v>22.663888888888891</v>
      </c>
      <c r="T1587" t="str">
        <f>IF(Table1[[#This Row], [TIME DIFFERENCE]]&gt;=0,"PASS","FAIL")</f>
        <v>PASS</v>
      </c>
      <c r="U1587" s="4">
        <f>Table1[[#This Row], [TRC]]+Table1[[#This Row], [DRC]]+Table1[[#This Row], [WRC]]+Table1[[#This Row], [ERC]]+Table1[[#This Row], [EQRC]]</f>
        <v>8354758</v>
      </c>
      <c r="V1587" s="9">
        <f>Table1[[#This Row], [TOTAL COST]]+_xlfn.XLOOKUP(Table1[[#This Row], [TEAM]],Sheet1!$A$12:$A$17,Sheet1!$I$12:$I$17)</f>
        <v>8666695.5</v>
      </c>
      <c r="W1587" s="4">
        <f>Table1[[#This Row], [LOOT]]-Table1[[#This Row], [TOTAL COST]]</f>
        <v>9095242</v>
      </c>
      <c r="X1587" s="4">
        <f>IF(Table1[[#This Row], [PASS/FAIL]]="FAIL",0,Table1[[#This Row], [PROFIT]])</f>
        <v>9095242</v>
      </c>
    </row>
    <row r="1588" spans="1:24" ht="19.5" customHeight="1" x14ac:dyDescent="0.45">
      <c r="A1588" t="s">
        <v>9</v>
      </c>
      <c r="B1588" s="14">
        <f>_xlfn.XLOOKUP(Table1[[#This Row], [TEAM]],Sheet1!$A$12:$A$17,Sheet1!$F$12:$F$17)</f>
        <v>3</v>
      </c>
      <c r="C1588" s="14">
        <f>_xlfn.XLOOKUP(Table1[[#This Row], [TEAM]],Sheet1!$A$12:$A$17,Sheet1!$G$12:$G$17)</f>
        <v>6238750</v>
      </c>
      <c r="D1588" t="s">
        <v>11</v>
      </c>
      <c r="E1588" s="4">
        <f>_xlfn.XLOOKUP(Table1[[#This Row], [ROOM]],Sheet1!$A$47:$A$66,Sheet1!$B$47:$B$66)</f>
        <v>124</v>
      </c>
      <c r="F1588" t="s">
        <v>58</v>
      </c>
      <c r="G1588" s="4">
        <f>_xlfn.XLOOKUP(Table1[[#This Row], [DISGUISE]],Sheet1!$A$21:$A$23,Sheet1!$B$21:$B$23)*Table1[[#This Row], [NUM OF MEM]]*(1+_xlfn.XLOOKUP(Table1[[#This Row], [DISGUISE]],Sheet1!$A$21:$A$23,Sheet1!$C$21:$C$23))</f>
        <v>38400</v>
      </c>
      <c r="H1588" s="13" t="s">
        <v>66</v>
      </c>
      <c r="I1588" s="4">
        <f>_xlfn.XLOOKUP(Table1[[#This Row], [WEAPON]],Sheet1!$A$27:$A$29,Sheet1!$B$27:$B$29)*Table1[[#This Row], [NUM OF MEM]]*(1+_xlfn.XLOOKUP(Table1[[#This Row], [WEAPON]],Sheet1!$A$27:$A$29,Sheet1!$C$27:$C$29))</f>
        <v>108000</v>
      </c>
      <c r="J1588" t="s">
        <v>60</v>
      </c>
      <c r="K1588" s="9">
        <f>Table1[[#This Row], [NUM OF MEM]]*Table1[[#This Row], [TOTAL TIME TAKEN]]*_xlfn.XLOOKUP(Table1[[#This Row], [EXIT]],Sheet1!$A$70:$A$71,Sheet1!$B$70:$B$71)*(1+_xlfn.XLOOKUP(Table1[[#This Row], [EXIT]],Sheet1!$A$70:$A$71,Sheet1!$C$70:$C$71))</f>
        <v>1668331.9375</v>
      </c>
      <c r="L1588" s="13" t="s">
        <v>65</v>
      </c>
      <c r="M1588" s="4">
        <f>IF(Table1[[#This Row], [EQUIPMENT]]="YES",Sheet1!$C$44*(1+Sheet1!$D$44),0)</f>
        <v>307500</v>
      </c>
      <c r="N1588" s="4">
        <f>_xlfn.XLOOKUP(Table1[[#This Row], [ROOM]],Sheet1!$A$47:$A$66,Sheet1!$F$47:$F$66)</f>
        <v>17450000</v>
      </c>
      <c r="O1588" s="9">
        <f>_xlfn.XLOOKUP(_xlfn.CONCAT(Table1[[#This Row], [TEAM]],Table1[[#This Row], [ROOM]]),'ROOM TIME'!$H$2:$H$121,'ROOM TIME'!$J$2:$J$121)</f>
        <v>38.752777777777773</v>
      </c>
      <c r="P1588" s="9">
        <f>(INDEX(Sheet1!$X$48:$Z$67,MATCH(Table1[[#This Row], [ROOM]],Sheet1!$P$48:$P$67,0),MATCH(Table1[[#This Row], [WEAPON]],Sheet1!$X$47:$Z$47,0)))/Table1[[#This Row], [NUM OF MEM]]</f>
        <v>4.583333333333333</v>
      </c>
      <c r="Q1588" s="9">
        <f>Table1[[#This Row], [ROOM TIME]]+Table1[[#This Row], [GUARD TIME]]</f>
        <v>43.336111111111109</v>
      </c>
      <c r="R1588" s="4">
        <f>Sheet1!$K$3*_xlfn.XLOOKUP(Table1[[#This Row], [DISGUISE]],Sheet1!$A$21:$A$23,Sheet1!$D$21:$D$23)</f>
        <v>69</v>
      </c>
      <c r="S1588" s="9">
        <f>Table1[[#This Row], [TOTAL TIME]]-Table1[[#This Row], [TOTAL TIME TAKEN]]</f>
        <v>25.663888888888891</v>
      </c>
      <c r="T1588" t="str">
        <f>IF(Table1[[#This Row], [TIME DIFFERENCE]]&gt;=0,"PASS","FAIL")</f>
        <v>PASS</v>
      </c>
      <c r="U1588" s="9">
        <f>Table1[[#This Row], [TRC]]+Table1[[#This Row], [DRC]]+Table1[[#This Row], [WRC]]+Table1[[#This Row], [ERC]]+Table1[[#This Row], [EQRC]]</f>
        <v>8360981.9375</v>
      </c>
      <c r="V1588" s="9">
        <f>Table1[[#This Row], [TOTAL COST]]+_xlfn.XLOOKUP(Table1[[#This Row], [TEAM]],Sheet1!$A$12:$A$17,Sheet1!$I$12:$I$17)</f>
        <v>8672919.4375</v>
      </c>
      <c r="W1588" s="9">
        <f>Table1[[#This Row], [LOOT]]-Table1[[#This Row], [TOTAL COST]]</f>
        <v>9089018.0625</v>
      </c>
      <c r="X1588" s="9">
        <f>IF(Table1[[#This Row], [PASS/FAIL]]="FAIL",0,Table1[[#This Row], [PROFIT]])</f>
        <v>9089018.0625</v>
      </c>
    </row>
    <row r="1589" spans="1:24" ht="19.5" customHeight="1" x14ac:dyDescent="0.45">
      <c r="A1589" t="s">
        <v>9</v>
      </c>
      <c r="B1589" s="14">
        <f>_xlfn.XLOOKUP(Table1[[#This Row], [TEAM]],Sheet1!$A$12:$A$17,Sheet1!$F$12:$F$17)</f>
        <v>3</v>
      </c>
      <c r="C1589" s="14">
        <f>_xlfn.XLOOKUP(Table1[[#This Row], [TEAM]],Sheet1!$A$12:$A$17,Sheet1!$G$12:$G$17)</f>
        <v>6238750</v>
      </c>
      <c r="D1589" t="s">
        <v>23</v>
      </c>
      <c r="E1589" s="4">
        <f>_xlfn.XLOOKUP(Table1[[#This Row], [ROOM]],Sheet1!$A$47:$A$66,Sheet1!$B$47:$B$66)</f>
        <v>245</v>
      </c>
      <c r="F1589" t="s">
        <v>62</v>
      </c>
      <c r="G1589" s="4">
        <f>_xlfn.XLOOKUP(Table1[[#This Row], [DISGUISE]],Sheet1!$A$21:$A$23,Sheet1!$B$21:$B$23)*Table1[[#This Row], [NUM OF MEM]]*(1+_xlfn.XLOOKUP(Table1[[#This Row], [DISGUISE]],Sheet1!$A$21:$A$23,Sheet1!$C$21:$C$23))</f>
        <v>15600</v>
      </c>
      <c r="H1589" s="13" t="s">
        <v>63</v>
      </c>
      <c r="I1589" s="4">
        <f>_xlfn.XLOOKUP(Table1[[#This Row], [WEAPON]],Sheet1!$A$27:$A$29,Sheet1!$B$27:$B$29)*Table1[[#This Row], [NUM OF MEM]]*(1+_xlfn.XLOOKUP(Table1[[#This Row], [WEAPON]],Sheet1!$A$27:$A$29,Sheet1!$C$27:$C$29))</f>
        <v>69000</v>
      </c>
      <c r="J1589" t="s">
        <v>64</v>
      </c>
      <c r="K1589" s="9">
        <f>Table1[[#This Row], [NUM OF MEM]]*Table1[[#This Row], [TOTAL TIME TAKEN]]*_xlfn.XLOOKUP(Table1[[#This Row], [EXIT]],Sheet1!$A$70:$A$71,Sheet1!$B$70:$B$71)*(1+_xlfn.XLOOKUP(Table1[[#This Row], [EXIT]],Sheet1!$A$70:$A$71,Sheet1!$C$70:$C$71))</f>
        <v>1687823.9999999998</v>
      </c>
      <c r="L1589" s="13" t="s">
        <v>65</v>
      </c>
      <c r="M1589" s="4">
        <f>IF(Table1[[#This Row], [EQUIPMENT]]="YES",Sheet1!$C$44*(1+Sheet1!$D$44),0)</f>
        <v>307500</v>
      </c>
      <c r="N1589" s="4">
        <f>_xlfn.XLOOKUP(Table1[[#This Row], [ROOM]],Sheet1!$A$47:$A$66,Sheet1!$F$47:$F$66)</f>
        <v>17400000</v>
      </c>
      <c r="O1589" s="9">
        <f>_xlfn.XLOOKUP(_xlfn.CONCAT(Table1[[#This Row], [TEAM]],Table1[[#This Row], [ROOM]]),'ROOM TIME'!$H$2:$H$121,'ROOM TIME'!$J$2:$J$121)</f>
        <v>38.461111111111101</v>
      </c>
      <c r="P1589" s="9">
        <f>(INDEX(Sheet1!$X$48:$Z$67,MATCH(Table1[[#This Row], [ROOM]],Sheet1!$P$48:$P$67,0),MATCH(Table1[[#This Row], [WEAPON]],Sheet1!$X$47:$Z$47,0)))/Table1[[#This Row], [NUM OF MEM]]</f>
        <v>4.95</v>
      </c>
      <c r="Q1589" s="9">
        <f>Table1[[#This Row], [ROOM TIME]]+Table1[[#This Row], [GUARD TIME]]</f>
        <v>43.411111111111104</v>
      </c>
      <c r="R1589" s="4">
        <f>Sheet1!$K$3*_xlfn.XLOOKUP(Table1[[#This Row], [DISGUISE]],Sheet1!$A$21:$A$23,Sheet1!$D$21:$D$23)</f>
        <v>66</v>
      </c>
      <c r="S1589" s="9">
        <f>Table1[[#This Row], [TOTAL TIME]]-Table1[[#This Row], [TOTAL TIME TAKEN]]</f>
        <v>22.588888888888896</v>
      </c>
      <c r="T1589" t="str">
        <f>IF(Table1[[#This Row], [TIME DIFFERENCE]]&gt;=0,"PASS","FAIL")</f>
        <v>PASS</v>
      </c>
      <c r="U1589" s="4">
        <f>Table1[[#This Row], [TRC]]+Table1[[#This Row], [DRC]]+Table1[[#This Row], [WRC]]+Table1[[#This Row], [ERC]]+Table1[[#This Row], [EQRC]]</f>
        <v>8318674</v>
      </c>
      <c r="V1589" s="9">
        <f>Table1[[#This Row], [TOTAL COST]]+_xlfn.XLOOKUP(Table1[[#This Row], [TEAM]],Sheet1!$A$12:$A$17,Sheet1!$I$12:$I$17)</f>
        <v>8630611.5</v>
      </c>
      <c r="W1589" s="4">
        <f>Table1[[#This Row], [LOOT]]-Table1[[#This Row], [TOTAL COST]]</f>
        <v>9081326</v>
      </c>
      <c r="X1589" s="4">
        <f>IF(Table1[[#This Row], [PASS/FAIL]]="FAIL",0,Table1[[#This Row], [PROFIT]])</f>
        <v>9081326</v>
      </c>
    </row>
    <row r="1590" spans="1:24" ht="19.5" customHeight="1" x14ac:dyDescent="0.45">
      <c r="A1590" t="s">
        <v>9</v>
      </c>
      <c r="B1590" s="14">
        <f>_xlfn.XLOOKUP(Table1[[#This Row], [TEAM]],Sheet1!$A$12:$A$17,Sheet1!$F$12:$F$17)</f>
        <v>3</v>
      </c>
      <c r="C1590" s="14">
        <f>_xlfn.XLOOKUP(Table1[[#This Row], [TEAM]],Sheet1!$A$12:$A$17,Sheet1!$G$12:$G$17)</f>
        <v>6238750</v>
      </c>
      <c r="D1590" t="s">
        <v>11</v>
      </c>
      <c r="E1590" s="4">
        <f>_xlfn.XLOOKUP(Table1[[#This Row], [ROOM]],Sheet1!$A$47:$A$66,Sheet1!$B$47:$B$66)</f>
        <v>124</v>
      </c>
      <c r="F1590" t="s">
        <v>62</v>
      </c>
      <c r="G1590" s="4">
        <f>_xlfn.XLOOKUP(Table1[[#This Row], [DISGUISE]],Sheet1!$A$21:$A$23,Sheet1!$B$21:$B$23)*Table1[[#This Row], [NUM OF MEM]]*(1+_xlfn.XLOOKUP(Table1[[#This Row], [DISGUISE]],Sheet1!$A$21:$A$23,Sheet1!$C$21:$C$23))</f>
        <v>15600</v>
      </c>
      <c r="H1590" s="13" t="s">
        <v>59</v>
      </c>
      <c r="I1590" s="4">
        <f>_xlfn.XLOOKUP(Table1[[#This Row], [WEAPON]],Sheet1!$A$27:$A$29,Sheet1!$B$27:$B$29)*Table1[[#This Row], [NUM OF MEM]]*(1+_xlfn.XLOOKUP(Table1[[#This Row], [WEAPON]],Sheet1!$A$27:$A$29,Sheet1!$C$27:$C$29))</f>
        <v>136500</v>
      </c>
      <c r="J1590" t="s">
        <v>64</v>
      </c>
      <c r="K1590" s="4">
        <f>Table1[[#This Row], [NUM OF MEM]]*Table1[[#This Row], [TOTAL TIME TAKEN]]*_xlfn.XLOOKUP(Table1[[#This Row], [EXIT]],Sheet1!$A$70:$A$71,Sheet1!$B$70:$B$71)*(1+_xlfn.XLOOKUP(Table1[[#This Row], [EXIT]],Sheet1!$A$70:$A$71,Sheet1!$C$70:$C$71))</f>
        <v>1670652</v>
      </c>
      <c r="L1590" s="13" t="s">
        <v>65</v>
      </c>
      <c r="M1590" s="4">
        <f>IF(Table1[[#This Row], [EQUIPMENT]]="YES",Sheet1!$C$44*(1+Sheet1!$D$44),0)</f>
        <v>307500</v>
      </c>
      <c r="N1590" s="4">
        <f>_xlfn.XLOOKUP(Table1[[#This Row], [ROOM]],Sheet1!$A$47:$A$66,Sheet1!$F$47:$F$66)</f>
        <v>17450000</v>
      </c>
      <c r="O1590" s="9">
        <f>_xlfn.XLOOKUP(_xlfn.CONCAT(Table1[[#This Row], [TEAM]],Table1[[#This Row], [ROOM]]),'ROOM TIME'!$H$2:$H$121,'ROOM TIME'!$J$2:$J$121)</f>
        <v>38.752777777777773</v>
      </c>
      <c r="P1590" s="9">
        <f>(INDEX(Sheet1!$X$48:$Z$67,MATCH(Table1[[#This Row], [ROOM]],Sheet1!$P$48:$P$67,0),MATCH(Table1[[#This Row], [WEAPON]],Sheet1!$X$47:$Z$47,0)))/Table1[[#This Row], [NUM OF MEM]]</f>
        <v>4.2166666666666659</v>
      </c>
      <c r="Q1590" s="9">
        <f>Table1[[#This Row], [ROOM TIME]]+Table1[[#This Row], [GUARD TIME]]</f>
        <v>42.969444444444441</v>
      </c>
      <c r="R1590" s="4">
        <f>Sheet1!$K$3*_xlfn.XLOOKUP(Table1[[#This Row], [DISGUISE]],Sheet1!$A$21:$A$23,Sheet1!$D$21:$D$23)</f>
        <v>66</v>
      </c>
      <c r="S1590" s="9">
        <f>Table1[[#This Row], [TOTAL TIME]]-Table1[[#This Row], [TOTAL TIME TAKEN]]</f>
        <v>23.030555555555559</v>
      </c>
      <c r="T1590" t="str">
        <f>IF(Table1[[#This Row], [TIME DIFFERENCE]]&gt;=0,"PASS","FAIL")</f>
        <v>PASS</v>
      </c>
      <c r="U1590" s="4">
        <f>Table1[[#This Row], [TRC]]+Table1[[#This Row], [DRC]]+Table1[[#This Row], [WRC]]+Table1[[#This Row], [ERC]]+Table1[[#This Row], [EQRC]]</f>
        <v>8369002</v>
      </c>
      <c r="V1590" s="9">
        <f>Table1[[#This Row], [TOTAL COST]]+_xlfn.XLOOKUP(Table1[[#This Row], [TEAM]],Sheet1!$A$12:$A$17,Sheet1!$I$12:$I$17)</f>
        <v>8680939.5</v>
      </c>
      <c r="W1590" s="4">
        <f>Table1[[#This Row], [LOOT]]-Table1[[#This Row], [TOTAL COST]]</f>
        <v>9080998</v>
      </c>
      <c r="X1590" s="4">
        <f>IF(Table1[[#This Row], [PASS/FAIL]]="FAIL",0,Table1[[#This Row], [PROFIT]])</f>
        <v>9080998</v>
      </c>
    </row>
    <row r="1591" spans="1:24" ht="19.5" customHeight="1" x14ac:dyDescent="0.45">
      <c r="A1591" t="s">
        <v>9</v>
      </c>
      <c r="B1591" s="14">
        <f>_xlfn.XLOOKUP(Table1[[#This Row], [TEAM]],Sheet1!$A$12:$A$17,Sheet1!$F$12:$F$17)</f>
        <v>3</v>
      </c>
      <c r="C1591" s="14">
        <f>_xlfn.XLOOKUP(Table1[[#This Row], [TEAM]],Sheet1!$A$12:$A$17,Sheet1!$G$12:$G$17)</f>
        <v>6238750</v>
      </c>
      <c r="D1591" t="s">
        <v>23</v>
      </c>
      <c r="E1591" s="4">
        <f>_xlfn.XLOOKUP(Table1[[#This Row], [ROOM]],Sheet1!$A$47:$A$66,Sheet1!$B$47:$B$66)</f>
        <v>245</v>
      </c>
      <c r="F1591" t="s">
        <v>58</v>
      </c>
      <c r="G1591" s="4">
        <f>_xlfn.XLOOKUP(Table1[[#This Row], [DISGUISE]],Sheet1!$A$21:$A$23,Sheet1!$B$21:$B$23)*Table1[[#This Row], [NUM OF MEM]]*(1+_xlfn.XLOOKUP(Table1[[#This Row], [DISGUISE]],Sheet1!$A$21:$A$23,Sheet1!$C$21:$C$23))</f>
        <v>38400</v>
      </c>
      <c r="H1591" s="13" t="s">
        <v>63</v>
      </c>
      <c r="I1591" s="4">
        <f>_xlfn.XLOOKUP(Table1[[#This Row], [WEAPON]],Sheet1!$A$27:$A$29,Sheet1!$B$27:$B$29)*Table1[[#This Row], [NUM OF MEM]]*(1+_xlfn.XLOOKUP(Table1[[#This Row], [WEAPON]],Sheet1!$A$27:$A$29,Sheet1!$C$27:$C$29))</f>
        <v>69000</v>
      </c>
      <c r="J1591" t="s">
        <v>60</v>
      </c>
      <c r="K1591" s="9">
        <f>Table1[[#This Row], [NUM OF MEM]]*Table1[[#This Row], [TOTAL TIME TAKEN]]*_xlfn.XLOOKUP(Table1[[#This Row], [EXIT]],Sheet1!$A$70:$A$71,Sheet1!$B$70:$B$71)*(1+_xlfn.XLOOKUP(Table1[[#This Row], [EXIT]],Sheet1!$A$70:$A$71,Sheet1!$C$70:$C$71))</f>
        <v>1671219.2499999995</v>
      </c>
      <c r="L1591" s="13" t="s">
        <v>65</v>
      </c>
      <c r="M1591" s="4">
        <f>IF(Table1[[#This Row], [EQUIPMENT]]="YES",Sheet1!$C$44*(1+Sheet1!$D$44),0)</f>
        <v>307500</v>
      </c>
      <c r="N1591" s="4">
        <f>_xlfn.XLOOKUP(Table1[[#This Row], [ROOM]],Sheet1!$A$47:$A$66,Sheet1!$F$47:$F$66)</f>
        <v>17400000</v>
      </c>
      <c r="O1591" s="9">
        <f>_xlfn.XLOOKUP(_xlfn.CONCAT(Table1[[#This Row], [TEAM]],Table1[[#This Row], [ROOM]]),'ROOM TIME'!$H$2:$H$121,'ROOM TIME'!$J$2:$J$121)</f>
        <v>38.461111111111101</v>
      </c>
      <c r="P1591" s="9">
        <f>(INDEX(Sheet1!$X$48:$Z$67,MATCH(Table1[[#This Row], [ROOM]],Sheet1!$P$48:$P$67,0),MATCH(Table1[[#This Row], [WEAPON]],Sheet1!$X$47:$Z$47,0)))/Table1[[#This Row], [NUM OF MEM]]</f>
        <v>4.95</v>
      </c>
      <c r="Q1591" s="9">
        <f>Table1[[#This Row], [ROOM TIME]]+Table1[[#This Row], [GUARD TIME]]</f>
        <v>43.411111111111104</v>
      </c>
      <c r="R1591" s="4">
        <f>Sheet1!$K$3*_xlfn.XLOOKUP(Table1[[#This Row], [DISGUISE]],Sheet1!$A$21:$A$23,Sheet1!$D$21:$D$23)</f>
        <v>69</v>
      </c>
      <c r="S1591" s="9">
        <f>Table1[[#This Row], [TOTAL TIME]]-Table1[[#This Row], [TOTAL TIME TAKEN]]</f>
        <v>25.588888888888896</v>
      </c>
      <c r="T1591" t="str">
        <f>IF(Table1[[#This Row], [TIME DIFFERENCE]]&gt;=0,"PASS","FAIL")</f>
        <v>PASS</v>
      </c>
      <c r="U1591" s="9">
        <f>Table1[[#This Row], [TRC]]+Table1[[#This Row], [DRC]]+Table1[[#This Row], [WRC]]+Table1[[#This Row], [ERC]]+Table1[[#This Row], [EQRC]]</f>
        <v>8324869.25</v>
      </c>
      <c r="V1591" s="9">
        <f>Table1[[#This Row], [TOTAL COST]]+_xlfn.XLOOKUP(Table1[[#This Row], [TEAM]],Sheet1!$A$12:$A$17,Sheet1!$I$12:$I$17)</f>
        <v>8636806.75</v>
      </c>
      <c r="W1591" s="9">
        <f>Table1[[#This Row], [LOOT]]-Table1[[#This Row], [TOTAL COST]]</f>
        <v>9075130.75</v>
      </c>
      <c r="X1591" s="9">
        <f>IF(Table1[[#This Row], [PASS/FAIL]]="FAIL",0,Table1[[#This Row], [PROFIT]])</f>
        <v>9075130.75</v>
      </c>
    </row>
    <row r="1592" spans="1:24" ht="19.5" customHeight="1" x14ac:dyDescent="0.45">
      <c r="A1592" t="s">
        <v>9</v>
      </c>
      <c r="B1592" s="14">
        <f>_xlfn.XLOOKUP(Table1[[#This Row], [TEAM]],Sheet1!$A$12:$A$17,Sheet1!$F$12:$F$17)</f>
        <v>3</v>
      </c>
      <c r="C1592" s="14">
        <f>_xlfn.XLOOKUP(Table1[[#This Row], [TEAM]],Sheet1!$A$12:$A$17,Sheet1!$G$12:$G$17)</f>
        <v>6238750</v>
      </c>
      <c r="D1592" t="s">
        <v>11</v>
      </c>
      <c r="E1592" s="4">
        <f>_xlfn.XLOOKUP(Table1[[#This Row], [ROOM]],Sheet1!$A$47:$A$66,Sheet1!$B$47:$B$66)</f>
        <v>124</v>
      </c>
      <c r="F1592" t="s">
        <v>58</v>
      </c>
      <c r="G1592" s="4">
        <f>_xlfn.XLOOKUP(Table1[[#This Row], [DISGUISE]],Sheet1!$A$21:$A$23,Sheet1!$B$21:$B$23)*Table1[[#This Row], [NUM OF MEM]]*(1+_xlfn.XLOOKUP(Table1[[#This Row], [DISGUISE]],Sheet1!$A$21:$A$23,Sheet1!$C$21:$C$23))</f>
        <v>38400</v>
      </c>
      <c r="H1592" s="13" t="s">
        <v>59</v>
      </c>
      <c r="I1592" s="4">
        <f>_xlfn.XLOOKUP(Table1[[#This Row], [WEAPON]],Sheet1!$A$27:$A$29,Sheet1!$B$27:$B$29)*Table1[[#This Row], [NUM OF MEM]]*(1+_xlfn.XLOOKUP(Table1[[#This Row], [WEAPON]],Sheet1!$A$27:$A$29,Sheet1!$C$27:$C$29))</f>
        <v>136500</v>
      </c>
      <c r="J1592" t="s">
        <v>60</v>
      </c>
      <c r="K1592" s="9">
        <f>Table1[[#This Row], [NUM OF MEM]]*Table1[[#This Row], [TOTAL TIME TAKEN]]*_xlfn.XLOOKUP(Table1[[#This Row], [EXIT]],Sheet1!$A$70:$A$71,Sheet1!$B$70:$B$71)*(1+_xlfn.XLOOKUP(Table1[[#This Row], [EXIT]],Sheet1!$A$70:$A$71,Sheet1!$C$70:$C$71))</f>
        <v>1654216.1875</v>
      </c>
      <c r="L1592" s="13" t="s">
        <v>65</v>
      </c>
      <c r="M1592" s="4">
        <f>IF(Table1[[#This Row], [EQUIPMENT]]="YES",Sheet1!$C$44*(1+Sheet1!$D$44),0)</f>
        <v>307500</v>
      </c>
      <c r="N1592" s="4">
        <f>_xlfn.XLOOKUP(Table1[[#This Row], [ROOM]],Sheet1!$A$47:$A$66,Sheet1!$F$47:$F$66)</f>
        <v>17450000</v>
      </c>
      <c r="O1592" s="9">
        <f>_xlfn.XLOOKUP(_xlfn.CONCAT(Table1[[#This Row], [TEAM]],Table1[[#This Row], [ROOM]]),'ROOM TIME'!$H$2:$H$121,'ROOM TIME'!$J$2:$J$121)</f>
        <v>38.752777777777773</v>
      </c>
      <c r="P1592" s="9">
        <f>(INDEX(Sheet1!$X$48:$Z$67,MATCH(Table1[[#This Row], [ROOM]],Sheet1!$P$48:$P$67,0),MATCH(Table1[[#This Row], [WEAPON]],Sheet1!$X$47:$Z$47,0)))/Table1[[#This Row], [NUM OF MEM]]</f>
        <v>4.2166666666666659</v>
      </c>
      <c r="Q1592" s="9">
        <f>Table1[[#This Row], [ROOM TIME]]+Table1[[#This Row], [GUARD TIME]]</f>
        <v>42.969444444444441</v>
      </c>
      <c r="R1592" s="4">
        <f>Sheet1!$K$3*_xlfn.XLOOKUP(Table1[[#This Row], [DISGUISE]],Sheet1!$A$21:$A$23,Sheet1!$D$21:$D$23)</f>
        <v>69</v>
      </c>
      <c r="S1592" s="9">
        <f>Table1[[#This Row], [TOTAL TIME]]-Table1[[#This Row], [TOTAL TIME TAKEN]]</f>
        <v>26.030555555555559</v>
      </c>
      <c r="T1592" t="str">
        <f>IF(Table1[[#This Row], [TIME DIFFERENCE]]&gt;=0,"PASS","FAIL")</f>
        <v>PASS</v>
      </c>
      <c r="U1592" s="9">
        <f>Table1[[#This Row], [TRC]]+Table1[[#This Row], [DRC]]+Table1[[#This Row], [WRC]]+Table1[[#This Row], [ERC]]+Table1[[#This Row], [EQRC]]</f>
        <v>8375366.1875</v>
      </c>
      <c r="V1592" s="9">
        <f>Table1[[#This Row], [TOTAL COST]]+_xlfn.XLOOKUP(Table1[[#This Row], [TEAM]],Sheet1!$A$12:$A$17,Sheet1!$I$12:$I$17)</f>
        <v>8687303.6875</v>
      </c>
      <c r="W1592" s="9">
        <f>Table1[[#This Row], [LOOT]]-Table1[[#This Row], [TOTAL COST]]</f>
        <v>9074633.8125</v>
      </c>
      <c r="X1592" s="9">
        <f>IF(Table1[[#This Row], [PASS/FAIL]]="FAIL",0,Table1[[#This Row], [PROFIT]])</f>
        <v>9074633.8125</v>
      </c>
    </row>
    <row r="1593" spans="1:24" ht="19.5" customHeight="1" x14ac:dyDescent="0.45">
      <c r="A1593" t="s">
        <v>9</v>
      </c>
      <c r="B1593" s="14">
        <f>_xlfn.XLOOKUP(Table1[[#This Row], [TEAM]],Sheet1!$A$12:$A$17,Sheet1!$F$12:$F$17)</f>
        <v>3</v>
      </c>
      <c r="C1593" s="14">
        <f>_xlfn.XLOOKUP(Table1[[#This Row], [TEAM]],Sheet1!$A$12:$A$17,Sheet1!$G$12:$G$17)</f>
        <v>6238750</v>
      </c>
      <c r="D1593" t="s">
        <v>23</v>
      </c>
      <c r="E1593" s="4">
        <f>_xlfn.XLOOKUP(Table1[[#This Row], [ROOM]],Sheet1!$A$47:$A$66,Sheet1!$B$47:$B$66)</f>
        <v>245</v>
      </c>
      <c r="F1593" t="s">
        <v>62</v>
      </c>
      <c r="G1593" s="4">
        <f>_xlfn.XLOOKUP(Table1[[#This Row], [DISGUISE]],Sheet1!$A$21:$A$23,Sheet1!$B$21:$B$23)*Table1[[#This Row], [NUM OF MEM]]*(1+_xlfn.XLOOKUP(Table1[[#This Row], [DISGUISE]],Sheet1!$A$21:$A$23,Sheet1!$C$21:$C$23))</f>
        <v>15600</v>
      </c>
      <c r="H1593" s="13" t="s">
        <v>66</v>
      </c>
      <c r="I1593" s="4">
        <f>_xlfn.XLOOKUP(Table1[[#This Row], [WEAPON]],Sheet1!$A$27:$A$29,Sheet1!$B$27:$B$29)*Table1[[#This Row], [NUM OF MEM]]*(1+_xlfn.XLOOKUP(Table1[[#This Row], [WEAPON]],Sheet1!$A$27:$A$29,Sheet1!$C$27:$C$29))</f>
        <v>108000</v>
      </c>
      <c r="J1593" t="s">
        <v>60</v>
      </c>
      <c r="K1593" s="9">
        <f>Table1[[#This Row], [NUM OF MEM]]*Table1[[#This Row], [TOTAL TIME TAKEN]]*_xlfn.XLOOKUP(Table1[[#This Row], [EXIT]],Sheet1!$A$70:$A$71,Sheet1!$B$70:$B$71)*(1+_xlfn.XLOOKUP(Table1[[#This Row], [EXIT]],Sheet1!$A$70:$A$71,Sheet1!$C$70:$C$71))</f>
        <v>1657103.5</v>
      </c>
      <c r="L1593" s="13" t="s">
        <v>65</v>
      </c>
      <c r="M1593" s="4">
        <f>IF(Table1[[#This Row], [EQUIPMENT]]="YES",Sheet1!$C$44*(1+Sheet1!$D$44),0)</f>
        <v>307500</v>
      </c>
      <c r="N1593" s="4">
        <f>_xlfn.XLOOKUP(Table1[[#This Row], [ROOM]],Sheet1!$A$47:$A$66,Sheet1!$F$47:$F$66)</f>
        <v>17400000</v>
      </c>
      <c r="O1593" s="9">
        <f>_xlfn.XLOOKUP(_xlfn.CONCAT(Table1[[#This Row], [TEAM]],Table1[[#This Row], [ROOM]]),'ROOM TIME'!$H$2:$H$121,'ROOM TIME'!$J$2:$J$121)</f>
        <v>38.461111111111101</v>
      </c>
      <c r="P1593" s="9">
        <f>(INDEX(Sheet1!$X$48:$Z$67,MATCH(Table1[[#This Row], [ROOM]],Sheet1!$P$48:$P$67,0),MATCH(Table1[[#This Row], [WEAPON]],Sheet1!$X$47:$Z$47,0)))/Table1[[#This Row], [NUM OF MEM]]</f>
        <v>4.583333333333333</v>
      </c>
      <c r="Q1593" s="9">
        <f>Table1[[#This Row], [ROOM TIME]]+Table1[[#This Row], [GUARD TIME]]</f>
        <v>43.044444444444437</v>
      </c>
      <c r="R1593" s="4">
        <f>Sheet1!$K$3*_xlfn.XLOOKUP(Table1[[#This Row], [DISGUISE]],Sheet1!$A$21:$A$23,Sheet1!$D$21:$D$23)</f>
        <v>66</v>
      </c>
      <c r="S1593" s="9">
        <f>Table1[[#This Row], [TOTAL TIME]]-Table1[[#This Row], [TOTAL TIME TAKEN]]</f>
        <v>22.955555555555563</v>
      </c>
      <c r="T1593" t="str">
        <f>IF(Table1[[#This Row], [TIME DIFFERENCE]]&gt;=0,"PASS","FAIL")</f>
        <v>PASS</v>
      </c>
      <c r="U1593" s="9">
        <f>Table1[[#This Row], [TRC]]+Table1[[#This Row], [DRC]]+Table1[[#This Row], [WRC]]+Table1[[#This Row], [ERC]]+Table1[[#This Row], [EQRC]]</f>
        <v>8326953.5</v>
      </c>
      <c r="V1593" s="4">
        <f>Table1[[#This Row], [TOTAL COST]]+_xlfn.XLOOKUP(Table1[[#This Row], [TEAM]],Sheet1!$A$12:$A$17,Sheet1!$I$12:$I$17)</f>
        <v>8638891</v>
      </c>
      <c r="W1593" s="9">
        <f>Table1[[#This Row], [LOOT]]-Table1[[#This Row], [TOTAL COST]]</f>
        <v>9073046.5</v>
      </c>
      <c r="X1593" s="9">
        <f>IF(Table1[[#This Row], [PASS/FAIL]]="FAIL",0,Table1[[#This Row], [PROFIT]])</f>
        <v>9073046.5</v>
      </c>
    </row>
    <row r="1594" spans="1:24" ht="19.5" customHeight="1" x14ac:dyDescent="0.45">
      <c r="A1594" t="s">
        <v>9</v>
      </c>
      <c r="B1594" s="14">
        <f>_xlfn.XLOOKUP(Table1[[#This Row], [TEAM]],Sheet1!$A$12:$A$17,Sheet1!$F$12:$F$17)</f>
        <v>3</v>
      </c>
      <c r="C1594" s="14">
        <f>_xlfn.XLOOKUP(Table1[[#This Row], [TEAM]],Sheet1!$A$12:$A$17,Sheet1!$G$12:$G$17)</f>
        <v>6238750</v>
      </c>
      <c r="D1594" t="s">
        <v>11</v>
      </c>
      <c r="E1594" s="4">
        <f>_xlfn.XLOOKUP(Table1[[#This Row], [ROOM]],Sheet1!$A$47:$A$66,Sheet1!$B$47:$B$66)</f>
        <v>124</v>
      </c>
      <c r="F1594" t="s">
        <v>58</v>
      </c>
      <c r="G1594" s="4">
        <f>_xlfn.XLOOKUP(Table1[[#This Row], [DISGUISE]],Sheet1!$A$21:$A$23,Sheet1!$B$21:$B$23)*Table1[[#This Row], [NUM OF MEM]]*(1+_xlfn.XLOOKUP(Table1[[#This Row], [DISGUISE]],Sheet1!$A$21:$A$23,Sheet1!$C$21:$C$23))</f>
        <v>38400</v>
      </c>
      <c r="H1594" s="13" t="s">
        <v>66</v>
      </c>
      <c r="I1594" s="4">
        <f>_xlfn.XLOOKUP(Table1[[#This Row], [WEAPON]],Sheet1!$A$27:$A$29,Sheet1!$B$27:$B$29)*Table1[[#This Row], [NUM OF MEM]]*(1+_xlfn.XLOOKUP(Table1[[#This Row], [WEAPON]],Sheet1!$A$27:$A$29,Sheet1!$C$27:$C$29))</f>
        <v>108000</v>
      </c>
      <c r="J1594" t="s">
        <v>64</v>
      </c>
      <c r="K1594" s="4">
        <f>Table1[[#This Row], [NUM OF MEM]]*Table1[[#This Row], [TOTAL TIME TAKEN]]*_xlfn.XLOOKUP(Table1[[#This Row], [EXIT]],Sheet1!$A$70:$A$71,Sheet1!$B$70:$B$71)*(1+_xlfn.XLOOKUP(Table1[[#This Row], [EXIT]],Sheet1!$A$70:$A$71,Sheet1!$C$70:$C$71))</f>
        <v>1684908</v>
      </c>
      <c r="L1594" s="13" t="s">
        <v>65</v>
      </c>
      <c r="M1594" s="4">
        <f>IF(Table1[[#This Row], [EQUIPMENT]]="YES",Sheet1!$C$44*(1+Sheet1!$D$44),0)</f>
        <v>307500</v>
      </c>
      <c r="N1594" s="4">
        <f>_xlfn.XLOOKUP(Table1[[#This Row], [ROOM]],Sheet1!$A$47:$A$66,Sheet1!$F$47:$F$66)</f>
        <v>17450000</v>
      </c>
      <c r="O1594" s="9">
        <f>_xlfn.XLOOKUP(_xlfn.CONCAT(Table1[[#This Row], [TEAM]],Table1[[#This Row], [ROOM]]),'ROOM TIME'!$H$2:$H$121,'ROOM TIME'!$J$2:$J$121)</f>
        <v>38.752777777777773</v>
      </c>
      <c r="P1594" s="9">
        <f>(INDEX(Sheet1!$X$48:$Z$67,MATCH(Table1[[#This Row], [ROOM]],Sheet1!$P$48:$P$67,0),MATCH(Table1[[#This Row], [WEAPON]],Sheet1!$X$47:$Z$47,0)))/Table1[[#This Row], [NUM OF MEM]]</f>
        <v>4.583333333333333</v>
      </c>
      <c r="Q1594" s="9">
        <f>Table1[[#This Row], [ROOM TIME]]+Table1[[#This Row], [GUARD TIME]]</f>
        <v>43.336111111111109</v>
      </c>
      <c r="R1594" s="4">
        <f>Sheet1!$K$3*_xlfn.XLOOKUP(Table1[[#This Row], [DISGUISE]],Sheet1!$A$21:$A$23,Sheet1!$D$21:$D$23)</f>
        <v>69</v>
      </c>
      <c r="S1594" s="9">
        <f>Table1[[#This Row], [TOTAL TIME]]-Table1[[#This Row], [TOTAL TIME TAKEN]]</f>
        <v>25.663888888888891</v>
      </c>
      <c r="T1594" t="str">
        <f>IF(Table1[[#This Row], [TIME DIFFERENCE]]&gt;=0,"PASS","FAIL")</f>
        <v>PASS</v>
      </c>
      <c r="U1594" s="4">
        <f>Table1[[#This Row], [TRC]]+Table1[[#This Row], [DRC]]+Table1[[#This Row], [WRC]]+Table1[[#This Row], [ERC]]+Table1[[#This Row], [EQRC]]</f>
        <v>8377558</v>
      </c>
      <c r="V1594" s="9">
        <f>Table1[[#This Row], [TOTAL COST]]+_xlfn.XLOOKUP(Table1[[#This Row], [TEAM]],Sheet1!$A$12:$A$17,Sheet1!$I$12:$I$17)</f>
        <v>8689495.5</v>
      </c>
      <c r="W1594" s="4">
        <f>Table1[[#This Row], [LOOT]]-Table1[[#This Row], [TOTAL COST]]</f>
        <v>9072442</v>
      </c>
      <c r="X1594" s="4">
        <f>IF(Table1[[#This Row], [PASS/FAIL]]="FAIL",0,Table1[[#This Row], [PROFIT]])</f>
        <v>9072442</v>
      </c>
    </row>
    <row r="1595" spans="1:24" ht="19.5" customHeight="1" x14ac:dyDescent="0.45">
      <c r="A1595" t="s">
        <v>9</v>
      </c>
      <c r="B1595" s="14">
        <f>_xlfn.XLOOKUP(Table1[[#This Row], [TEAM]],Sheet1!$A$12:$A$17,Sheet1!$F$12:$F$17)</f>
        <v>3</v>
      </c>
      <c r="C1595" s="14">
        <f>_xlfn.XLOOKUP(Table1[[#This Row], [TEAM]],Sheet1!$A$12:$A$17,Sheet1!$G$12:$G$17)</f>
        <v>6238750</v>
      </c>
      <c r="D1595" t="s">
        <v>17</v>
      </c>
      <c r="E1595" s="4">
        <f>_xlfn.XLOOKUP(Table1[[#This Row], [ROOM]],Sheet1!$A$47:$A$66,Sheet1!$B$47:$B$66)</f>
        <v>125</v>
      </c>
      <c r="F1595" t="s">
        <v>62</v>
      </c>
      <c r="G1595" s="4">
        <f>_xlfn.XLOOKUP(Table1[[#This Row], [DISGUISE]],Sheet1!$A$21:$A$23,Sheet1!$B$21:$B$23)*Table1[[#This Row], [NUM OF MEM]]*(1+_xlfn.XLOOKUP(Table1[[#This Row], [DISGUISE]],Sheet1!$A$21:$A$23,Sheet1!$C$21:$C$23))</f>
        <v>15600</v>
      </c>
      <c r="H1595" s="13" t="s">
        <v>63</v>
      </c>
      <c r="I1595" s="4">
        <f>_xlfn.XLOOKUP(Table1[[#This Row], [WEAPON]],Sheet1!$A$27:$A$29,Sheet1!$B$27:$B$29)*Table1[[#This Row], [NUM OF MEM]]*(1+_xlfn.XLOOKUP(Table1[[#This Row], [WEAPON]],Sheet1!$A$27:$A$29,Sheet1!$C$27:$C$29))</f>
        <v>69000</v>
      </c>
      <c r="J1595" t="s">
        <v>60</v>
      </c>
      <c r="K1595" s="9">
        <f>Table1[[#This Row], [NUM OF MEM]]*Table1[[#This Row], [TOTAL TIME TAKEN]]*_xlfn.XLOOKUP(Table1[[#This Row], [EXIT]],Sheet1!$A$70:$A$71,Sheet1!$B$70:$B$71)*(1+_xlfn.XLOOKUP(Table1[[#This Row], [EXIT]],Sheet1!$A$70:$A$71,Sheet1!$C$70:$C$71))</f>
        <v>1651478.5874999999</v>
      </c>
      <c r="L1595" s="13" t="s">
        <v>65</v>
      </c>
      <c r="M1595" s="4">
        <f>IF(Table1[[#This Row], [EQUIPMENT]]="YES",Sheet1!$C$44*(1+Sheet1!$D$44),0)</f>
        <v>307500</v>
      </c>
      <c r="N1595" s="4">
        <f>_xlfn.XLOOKUP(Table1[[#This Row], [ROOM]],Sheet1!$A$47:$A$66,Sheet1!$F$47:$F$66)</f>
        <v>17350000</v>
      </c>
      <c r="O1595" s="9">
        <f>_xlfn.XLOOKUP(_xlfn.CONCAT(Table1[[#This Row], [TEAM]],Table1[[#This Row], [ROOM]]),'ROOM TIME'!$H$2:$H$121,'ROOM TIME'!$J$2:$J$121)</f>
        <v>38.398333333333326</v>
      </c>
      <c r="P1595" s="9">
        <f>(INDEX(Sheet1!$X$48:$Z$67,MATCH(Table1[[#This Row], [ROOM]],Sheet1!$P$48:$P$67,0),MATCH(Table1[[#This Row], [WEAPON]],Sheet1!$X$47:$Z$47,0)))/Table1[[#This Row], [NUM OF MEM]]</f>
        <v>4.5</v>
      </c>
      <c r="Q1595" s="9">
        <f>Table1[[#This Row], [ROOM TIME]]+Table1[[#This Row], [GUARD TIME]]</f>
        <v>42.898333333333326</v>
      </c>
      <c r="R1595" s="4">
        <f>Sheet1!$K$3*_xlfn.XLOOKUP(Table1[[#This Row], [DISGUISE]],Sheet1!$A$21:$A$23,Sheet1!$D$21:$D$23)</f>
        <v>66</v>
      </c>
      <c r="S1595" s="9">
        <f>Table1[[#This Row], [TOTAL TIME]]-Table1[[#This Row], [TOTAL TIME TAKEN]]</f>
        <v>23.101666666666674</v>
      </c>
      <c r="T1595" t="str">
        <f>IF(Table1[[#This Row], [TIME DIFFERENCE]]&gt;=0,"PASS","FAIL")</f>
        <v>PASS</v>
      </c>
      <c r="U1595" s="9">
        <f>Table1[[#This Row], [TRC]]+Table1[[#This Row], [DRC]]+Table1[[#This Row], [WRC]]+Table1[[#This Row], [ERC]]+Table1[[#This Row], [EQRC]]</f>
        <v>8282328.5875000004</v>
      </c>
      <c r="V1595" s="9">
        <f>Table1[[#This Row], [TOTAL COST]]+_xlfn.XLOOKUP(Table1[[#This Row], [TEAM]],Sheet1!$A$12:$A$17,Sheet1!$I$12:$I$17)</f>
        <v>8594266.0875000004</v>
      </c>
      <c r="W1595" s="9">
        <f>Table1[[#This Row], [LOOT]]-Table1[[#This Row], [TOTAL COST]]</f>
        <v>9067671.4124999996</v>
      </c>
      <c r="X1595" s="9">
        <f>IF(Table1[[#This Row], [PASS/FAIL]]="FAIL",0,Table1[[#This Row], [PROFIT]])</f>
        <v>9067671.4124999996</v>
      </c>
    </row>
    <row r="1596" spans="1:24" ht="19.5" customHeight="1" x14ac:dyDescent="0.45">
      <c r="A1596" t="s">
        <v>9</v>
      </c>
      <c r="B1596" s="14">
        <f>_xlfn.XLOOKUP(Table1[[#This Row], [TEAM]],Sheet1!$A$12:$A$17,Sheet1!$F$12:$F$17)</f>
        <v>3</v>
      </c>
      <c r="C1596" s="14">
        <f>_xlfn.XLOOKUP(Table1[[#This Row], [TEAM]],Sheet1!$A$12:$A$17,Sheet1!$G$12:$G$17)</f>
        <v>6238750</v>
      </c>
      <c r="D1596" t="s">
        <v>23</v>
      </c>
      <c r="E1596" s="4">
        <f>_xlfn.XLOOKUP(Table1[[#This Row], [ROOM]],Sheet1!$A$47:$A$66,Sheet1!$B$47:$B$66)</f>
        <v>245</v>
      </c>
      <c r="F1596" t="s">
        <v>62</v>
      </c>
      <c r="G1596" s="4">
        <f>_xlfn.XLOOKUP(Table1[[#This Row], [DISGUISE]],Sheet1!$A$21:$A$23,Sheet1!$B$21:$B$23)*Table1[[#This Row], [NUM OF MEM]]*(1+_xlfn.XLOOKUP(Table1[[#This Row], [DISGUISE]],Sheet1!$A$21:$A$23,Sheet1!$C$21:$C$23))</f>
        <v>15600</v>
      </c>
      <c r="H1596" s="13" t="s">
        <v>59</v>
      </c>
      <c r="I1596" s="4">
        <f>_xlfn.XLOOKUP(Table1[[#This Row], [WEAPON]],Sheet1!$A$27:$A$29,Sheet1!$B$27:$B$29)*Table1[[#This Row], [NUM OF MEM]]*(1+_xlfn.XLOOKUP(Table1[[#This Row], [WEAPON]],Sheet1!$A$27:$A$29,Sheet1!$C$27:$C$29))</f>
        <v>136500</v>
      </c>
      <c r="J1596" t="s">
        <v>60</v>
      </c>
      <c r="K1596" s="9">
        <f>Table1[[#This Row], [NUM OF MEM]]*Table1[[#This Row], [TOTAL TIME TAKEN]]*_xlfn.XLOOKUP(Table1[[#This Row], [EXIT]],Sheet1!$A$70:$A$71,Sheet1!$B$70:$B$71)*(1+_xlfn.XLOOKUP(Table1[[#This Row], [EXIT]],Sheet1!$A$70:$A$71,Sheet1!$C$70:$C$71))</f>
        <v>1642987.7499999995</v>
      </c>
      <c r="L1596" s="13" t="s">
        <v>65</v>
      </c>
      <c r="M1596" s="4">
        <f>IF(Table1[[#This Row], [EQUIPMENT]]="YES",Sheet1!$C$44*(1+Sheet1!$D$44),0)</f>
        <v>307500</v>
      </c>
      <c r="N1596" s="4">
        <f>_xlfn.XLOOKUP(Table1[[#This Row], [ROOM]],Sheet1!$A$47:$A$66,Sheet1!$F$47:$F$66)</f>
        <v>17400000</v>
      </c>
      <c r="O1596" s="9">
        <f>_xlfn.XLOOKUP(_xlfn.CONCAT(Table1[[#This Row], [TEAM]],Table1[[#This Row], [ROOM]]),'ROOM TIME'!$H$2:$H$121,'ROOM TIME'!$J$2:$J$121)</f>
        <v>38.461111111111101</v>
      </c>
      <c r="P1596" s="9">
        <f>(INDEX(Sheet1!$X$48:$Z$67,MATCH(Table1[[#This Row], [ROOM]],Sheet1!$P$48:$P$67,0),MATCH(Table1[[#This Row], [WEAPON]],Sheet1!$X$47:$Z$47,0)))/Table1[[#This Row], [NUM OF MEM]]</f>
        <v>4.2166666666666659</v>
      </c>
      <c r="Q1596" s="9">
        <f>Table1[[#This Row], [ROOM TIME]]+Table1[[#This Row], [GUARD TIME]]</f>
        <v>42.67777777777777</v>
      </c>
      <c r="R1596" s="4">
        <f>Sheet1!$K$3*_xlfn.XLOOKUP(Table1[[#This Row], [DISGUISE]],Sheet1!$A$21:$A$23,Sheet1!$D$21:$D$23)</f>
        <v>66</v>
      </c>
      <c r="S1596" s="9">
        <f>Table1[[#This Row], [TOTAL TIME]]-Table1[[#This Row], [TOTAL TIME TAKEN]]</f>
        <v>23.32222222222223</v>
      </c>
      <c r="T1596" t="str">
        <f>IF(Table1[[#This Row], [TIME DIFFERENCE]]&gt;=0,"PASS","FAIL")</f>
        <v>PASS</v>
      </c>
      <c r="U1596" s="9">
        <f>Table1[[#This Row], [TRC]]+Table1[[#This Row], [DRC]]+Table1[[#This Row], [WRC]]+Table1[[#This Row], [ERC]]+Table1[[#This Row], [EQRC]]</f>
        <v>8341337.75</v>
      </c>
      <c r="V1596" s="9">
        <f>Table1[[#This Row], [TOTAL COST]]+_xlfn.XLOOKUP(Table1[[#This Row], [TEAM]],Sheet1!$A$12:$A$17,Sheet1!$I$12:$I$17)</f>
        <v>8653275.25</v>
      </c>
      <c r="W1596" s="9">
        <f>Table1[[#This Row], [LOOT]]-Table1[[#This Row], [TOTAL COST]]</f>
        <v>9058662.25</v>
      </c>
      <c r="X1596" s="9">
        <f>IF(Table1[[#This Row], [PASS/FAIL]]="FAIL",0,Table1[[#This Row], [PROFIT]])</f>
        <v>9058662.25</v>
      </c>
    </row>
    <row r="1597" spans="1:24" ht="19.5" customHeight="1" x14ac:dyDescent="0.45">
      <c r="A1597" t="s">
        <v>9</v>
      </c>
      <c r="B1597" s="14">
        <f>_xlfn.XLOOKUP(Table1[[#This Row], [TEAM]],Sheet1!$A$12:$A$17,Sheet1!$F$12:$F$17)</f>
        <v>3</v>
      </c>
      <c r="C1597" s="14">
        <f>_xlfn.XLOOKUP(Table1[[#This Row], [TEAM]],Sheet1!$A$12:$A$17,Sheet1!$G$12:$G$17)</f>
        <v>6238750</v>
      </c>
      <c r="D1597" t="s">
        <v>23</v>
      </c>
      <c r="E1597" s="4">
        <f>_xlfn.XLOOKUP(Table1[[#This Row], [ROOM]],Sheet1!$A$47:$A$66,Sheet1!$B$47:$B$66)</f>
        <v>245</v>
      </c>
      <c r="F1597" t="s">
        <v>58</v>
      </c>
      <c r="G1597" s="4">
        <f>_xlfn.XLOOKUP(Table1[[#This Row], [DISGUISE]],Sheet1!$A$21:$A$23,Sheet1!$B$21:$B$23)*Table1[[#This Row], [NUM OF MEM]]*(1+_xlfn.XLOOKUP(Table1[[#This Row], [DISGUISE]],Sheet1!$A$21:$A$23,Sheet1!$C$21:$C$23))</f>
        <v>38400</v>
      </c>
      <c r="H1597" s="13" t="s">
        <v>63</v>
      </c>
      <c r="I1597" s="4">
        <f>_xlfn.XLOOKUP(Table1[[#This Row], [WEAPON]],Sheet1!$A$27:$A$29,Sheet1!$B$27:$B$29)*Table1[[#This Row], [NUM OF MEM]]*(1+_xlfn.XLOOKUP(Table1[[#This Row], [WEAPON]],Sheet1!$A$27:$A$29,Sheet1!$C$27:$C$29))</f>
        <v>69000</v>
      </c>
      <c r="J1597" t="s">
        <v>64</v>
      </c>
      <c r="K1597" s="9">
        <f>Table1[[#This Row], [NUM OF MEM]]*Table1[[#This Row], [TOTAL TIME TAKEN]]*_xlfn.XLOOKUP(Table1[[#This Row], [EXIT]],Sheet1!$A$70:$A$71,Sheet1!$B$70:$B$71)*(1+_xlfn.XLOOKUP(Table1[[#This Row], [EXIT]],Sheet1!$A$70:$A$71,Sheet1!$C$70:$C$71))</f>
        <v>1687823.9999999998</v>
      </c>
      <c r="L1597" s="13" t="s">
        <v>65</v>
      </c>
      <c r="M1597" s="4">
        <f>IF(Table1[[#This Row], [EQUIPMENT]]="YES",Sheet1!$C$44*(1+Sheet1!$D$44),0)</f>
        <v>307500</v>
      </c>
      <c r="N1597" s="4">
        <f>_xlfn.XLOOKUP(Table1[[#This Row], [ROOM]],Sheet1!$A$47:$A$66,Sheet1!$F$47:$F$66)</f>
        <v>17400000</v>
      </c>
      <c r="O1597" s="9">
        <f>_xlfn.XLOOKUP(_xlfn.CONCAT(Table1[[#This Row], [TEAM]],Table1[[#This Row], [ROOM]]),'ROOM TIME'!$H$2:$H$121,'ROOM TIME'!$J$2:$J$121)</f>
        <v>38.461111111111101</v>
      </c>
      <c r="P1597" s="9">
        <f>(INDEX(Sheet1!$X$48:$Z$67,MATCH(Table1[[#This Row], [ROOM]],Sheet1!$P$48:$P$67,0),MATCH(Table1[[#This Row], [WEAPON]],Sheet1!$X$47:$Z$47,0)))/Table1[[#This Row], [NUM OF MEM]]</f>
        <v>4.95</v>
      </c>
      <c r="Q1597" s="9">
        <f>Table1[[#This Row], [ROOM TIME]]+Table1[[#This Row], [GUARD TIME]]</f>
        <v>43.411111111111104</v>
      </c>
      <c r="R1597" s="4">
        <f>Sheet1!$K$3*_xlfn.XLOOKUP(Table1[[#This Row], [DISGUISE]],Sheet1!$A$21:$A$23,Sheet1!$D$21:$D$23)</f>
        <v>69</v>
      </c>
      <c r="S1597" s="9">
        <f>Table1[[#This Row], [TOTAL TIME]]-Table1[[#This Row], [TOTAL TIME TAKEN]]</f>
        <v>25.588888888888896</v>
      </c>
      <c r="T1597" t="str">
        <f>IF(Table1[[#This Row], [TIME DIFFERENCE]]&gt;=0,"PASS","FAIL")</f>
        <v>PASS</v>
      </c>
      <c r="U1597" s="4">
        <f>Table1[[#This Row], [TRC]]+Table1[[#This Row], [DRC]]+Table1[[#This Row], [WRC]]+Table1[[#This Row], [ERC]]+Table1[[#This Row], [EQRC]]</f>
        <v>8341474</v>
      </c>
      <c r="V1597" s="9">
        <f>Table1[[#This Row], [TOTAL COST]]+_xlfn.XLOOKUP(Table1[[#This Row], [TEAM]],Sheet1!$A$12:$A$17,Sheet1!$I$12:$I$17)</f>
        <v>8653411.5</v>
      </c>
      <c r="W1597" s="4">
        <f>Table1[[#This Row], [LOOT]]-Table1[[#This Row], [TOTAL COST]]</f>
        <v>9058526</v>
      </c>
      <c r="X1597" s="4">
        <f>IF(Table1[[#This Row], [PASS/FAIL]]="FAIL",0,Table1[[#This Row], [PROFIT]])</f>
        <v>9058526</v>
      </c>
    </row>
    <row r="1598" spans="1:24" ht="19.5" customHeight="1" x14ac:dyDescent="0.45">
      <c r="A1598" t="s">
        <v>9</v>
      </c>
      <c r="B1598" s="14">
        <f>_xlfn.XLOOKUP(Table1[[#This Row], [TEAM]],Sheet1!$A$12:$A$17,Sheet1!$F$12:$F$17)</f>
        <v>3</v>
      </c>
      <c r="C1598" s="14">
        <f>_xlfn.XLOOKUP(Table1[[#This Row], [TEAM]],Sheet1!$A$12:$A$17,Sheet1!$G$12:$G$17)</f>
        <v>6238750</v>
      </c>
      <c r="D1598" t="s">
        <v>11</v>
      </c>
      <c r="E1598" s="4">
        <f>_xlfn.XLOOKUP(Table1[[#This Row], [ROOM]],Sheet1!$A$47:$A$66,Sheet1!$B$47:$B$66)</f>
        <v>124</v>
      </c>
      <c r="F1598" t="s">
        <v>58</v>
      </c>
      <c r="G1598" s="4">
        <f>_xlfn.XLOOKUP(Table1[[#This Row], [DISGUISE]],Sheet1!$A$21:$A$23,Sheet1!$B$21:$B$23)*Table1[[#This Row], [NUM OF MEM]]*(1+_xlfn.XLOOKUP(Table1[[#This Row], [DISGUISE]],Sheet1!$A$21:$A$23,Sheet1!$C$21:$C$23))</f>
        <v>38400</v>
      </c>
      <c r="H1598" s="13" t="s">
        <v>59</v>
      </c>
      <c r="I1598" s="4">
        <f>_xlfn.XLOOKUP(Table1[[#This Row], [WEAPON]],Sheet1!$A$27:$A$29,Sheet1!$B$27:$B$29)*Table1[[#This Row], [NUM OF MEM]]*(1+_xlfn.XLOOKUP(Table1[[#This Row], [WEAPON]],Sheet1!$A$27:$A$29,Sheet1!$C$27:$C$29))</f>
        <v>136500</v>
      </c>
      <c r="J1598" t="s">
        <v>64</v>
      </c>
      <c r="K1598" s="4">
        <f>Table1[[#This Row], [NUM OF MEM]]*Table1[[#This Row], [TOTAL TIME TAKEN]]*_xlfn.XLOOKUP(Table1[[#This Row], [EXIT]],Sheet1!$A$70:$A$71,Sheet1!$B$70:$B$71)*(1+_xlfn.XLOOKUP(Table1[[#This Row], [EXIT]],Sheet1!$A$70:$A$71,Sheet1!$C$70:$C$71))</f>
        <v>1670652</v>
      </c>
      <c r="L1598" s="13" t="s">
        <v>65</v>
      </c>
      <c r="M1598" s="4">
        <f>IF(Table1[[#This Row], [EQUIPMENT]]="YES",Sheet1!$C$44*(1+Sheet1!$D$44),0)</f>
        <v>307500</v>
      </c>
      <c r="N1598" s="4">
        <f>_xlfn.XLOOKUP(Table1[[#This Row], [ROOM]],Sheet1!$A$47:$A$66,Sheet1!$F$47:$F$66)</f>
        <v>17450000</v>
      </c>
      <c r="O1598" s="9">
        <f>_xlfn.XLOOKUP(_xlfn.CONCAT(Table1[[#This Row], [TEAM]],Table1[[#This Row], [ROOM]]),'ROOM TIME'!$H$2:$H$121,'ROOM TIME'!$J$2:$J$121)</f>
        <v>38.752777777777773</v>
      </c>
      <c r="P1598" s="9">
        <f>(INDEX(Sheet1!$X$48:$Z$67,MATCH(Table1[[#This Row], [ROOM]],Sheet1!$P$48:$P$67,0),MATCH(Table1[[#This Row], [WEAPON]],Sheet1!$X$47:$Z$47,0)))/Table1[[#This Row], [NUM OF MEM]]</f>
        <v>4.2166666666666659</v>
      </c>
      <c r="Q1598" s="9">
        <f>Table1[[#This Row], [ROOM TIME]]+Table1[[#This Row], [GUARD TIME]]</f>
        <v>42.969444444444441</v>
      </c>
      <c r="R1598" s="4">
        <f>Sheet1!$K$3*_xlfn.XLOOKUP(Table1[[#This Row], [DISGUISE]],Sheet1!$A$21:$A$23,Sheet1!$D$21:$D$23)</f>
        <v>69</v>
      </c>
      <c r="S1598" s="9">
        <f>Table1[[#This Row], [TOTAL TIME]]-Table1[[#This Row], [TOTAL TIME TAKEN]]</f>
        <v>26.030555555555559</v>
      </c>
      <c r="T1598" t="str">
        <f>IF(Table1[[#This Row], [TIME DIFFERENCE]]&gt;=0,"PASS","FAIL")</f>
        <v>PASS</v>
      </c>
      <c r="U1598" s="4">
        <f>Table1[[#This Row], [TRC]]+Table1[[#This Row], [DRC]]+Table1[[#This Row], [WRC]]+Table1[[#This Row], [ERC]]+Table1[[#This Row], [EQRC]]</f>
        <v>8391802</v>
      </c>
      <c r="V1598" s="9">
        <f>Table1[[#This Row], [TOTAL COST]]+_xlfn.XLOOKUP(Table1[[#This Row], [TEAM]],Sheet1!$A$12:$A$17,Sheet1!$I$12:$I$17)</f>
        <v>8703739.5</v>
      </c>
      <c r="W1598" s="4">
        <f>Table1[[#This Row], [LOOT]]-Table1[[#This Row], [TOTAL COST]]</f>
        <v>9058198</v>
      </c>
      <c r="X1598" s="4">
        <f>IF(Table1[[#This Row], [PASS/FAIL]]="FAIL",0,Table1[[#This Row], [PROFIT]])</f>
        <v>9058198</v>
      </c>
    </row>
    <row r="1599" spans="1:24" ht="19.5" customHeight="1" x14ac:dyDescent="0.45">
      <c r="A1599" t="s">
        <v>9</v>
      </c>
      <c r="B1599" s="14">
        <f>_xlfn.XLOOKUP(Table1[[#This Row], [TEAM]],Sheet1!$A$12:$A$17,Sheet1!$F$12:$F$17)</f>
        <v>3</v>
      </c>
      <c r="C1599" s="14">
        <f>_xlfn.XLOOKUP(Table1[[#This Row], [TEAM]],Sheet1!$A$12:$A$17,Sheet1!$G$12:$G$17)</f>
        <v>6238750</v>
      </c>
      <c r="D1599" t="s">
        <v>23</v>
      </c>
      <c r="E1599" s="4">
        <f>_xlfn.XLOOKUP(Table1[[#This Row], [ROOM]],Sheet1!$A$47:$A$66,Sheet1!$B$47:$B$66)</f>
        <v>245</v>
      </c>
      <c r="F1599" t="s">
        <v>62</v>
      </c>
      <c r="G1599" s="4">
        <f>_xlfn.XLOOKUP(Table1[[#This Row], [DISGUISE]],Sheet1!$A$21:$A$23,Sheet1!$B$21:$B$23)*Table1[[#This Row], [NUM OF MEM]]*(1+_xlfn.XLOOKUP(Table1[[#This Row], [DISGUISE]],Sheet1!$A$21:$A$23,Sheet1!$C$21:$C$23))</f>
        <v>15600</v>
      </c>
      <c r="H1599" s="13" t="s">
        <v>66</v>
      </c>
      <c r="I1599" s="4">
        <f>_xlfn.XLOOKUP(Table1[[#This Row], [WEAPON]],Sheet1!$A$27:$A$29,Sheet1!$B$27:$B$29)*Table1[[#This Row], [NUM OF MEM]]*(1+_xlfn.XLOOKUP(Table1[[#This Row], [WEAPON]],Sheet1!$A$27:$A$29,Sheet1!$C$27:$C$29))</f>
        <v>108000</v>
      </c>
      <c r="J1599" t="s">
        <v>64</v>
      </c>
      <c r="K1599" s="4">
        <f>Table1[[#This Row], [NUM OF MEM]]*Table1[[#This Row], [TOTAL TIME TAKEN]]*_xlfn.XLOOKUP(Table1[[#This Row], [EXIT]],Sheet1!$A$70:$A$71,Sheet1!$B$70:$B$71)*(1+_xlfn.XLOOKUP(Table1[[#This Row], [EXIT]],Sheet1!$A$70:$A$71,Sheet1!$C$70:$C$71))</f>
        <v>1673568</v>
      </c>
      <c r="L1599" s="13" t="s">
        <v>65</v>
      </c>
      <c r="M1599" s="4">
        <f>IF(Table1[[#This Row], [EQUIPMENT]]="YES",Sheet1!$C$44*(1+Sheet1!$D$44),0)</f>
        <v>307500</v>
      </c>
      <c r="N1599" s="4">
        <f>_xlfn.XLOOKUP(Table1[[#This Row], [ROOM]],Sheet1!$A$47:$A$66,Sheet1!$F$47:$F$66)</f>
        <v>17400000</v>
      </c>
      <c r="O1599" s="9">
        <f>_xlfn.XLOOKUP(_xlfn.CONCAT(Table1[[#This Row], [TEAM]],Table1[[#This Row], [ROOM]]),'ROOM TIME'!$H$2:$H$121,'ROOM TIME'!$J$2:$J$121)</f>
        <v>38.461111111111101</v>
      </c>
      <c r="P1599" s="9">
        <f>(INDEX(Sheet1!$X$48:$Z$67,MATCH(Table1[[#This Row], [ROOM]],Sheet1!$P$48:$P$67,0),MATCH(Table1[[#This Row], [WEAPON]],Sheet1!$X$47:$Z$47,0)))/Table1[[#This Row], [NUM OF MEM]]</f>
        <v>4.583333333333333</v>
      </c>
      <c r="Q1599" s="9">
        <f>Table1[[#This Row], [ROOM TIME]]+Table1[[#This Row], [GUARD TIME]]</f>
        <v>43.044444444444437</v>
      </c>
      <c r="R1599" s="4">
        <f>Sheet1!$K$3*_xlfn.XLOOKUP(Table1[[#This Row], [DISGUISE]],Sheet1!$A$21:$A$23,Sheet1!$D$21:$D$23)</f>
        <v>66</v>
      </c>
      <c r="S1599" s="9">
        <f>Table1[[#This Row], [TOTAL TIME]]-Table1[[#This Row], [TOTAL TIME TAKEN]]</f>
        <v>22.955555555555563</v>
      </c>
      <c r="T1599" t="str">
        <f>IF(Table1[[#This Row], [TIME DIFFERENCE]]&gt;=0,"PASS","FAIL")</f>
        <v>PASS</v>
      </c>
      <c r="U1599" s="4">
        <f>Table1[[#This Row], [TRC]]+Table1[[#This Row], [DRC]]+Table1[[#This Row], [WRC]]+Table1[[#This Row], [ERC]]+Table1[[#This Row], [EQRC]]</f>
        <v>8343418</v>
      </c>
      <c r="V1599" s="9">
        <f>Table1[[#This Row], [TOTAL COST]]+_xlfn.XLOOKUP(Table1[[#This Row], [TEAM]],Sheet1!$A$12:$A$17,Sheet1!$I$12:$I$17)</f>
        <v>8655355.5</v>
      </c>
      <c r="W1599" s="4">
        <f>Table1[[#This Row], [LOOT]]-Table1[[#This Row], [TOTAL COST]]</f>
        <v>9056582</v>
      </c>
      <c r="X1599" s="4">
        <f>IF(Table1[[#This Row], [PASS/FAIL]]="FAIL",0,Table1[[#This Row], [PROFIT]])</f>
        <v>9056582</v>
      </c>
    </row>
    <row r="1600" spans="1:24" ht="19.5" customHeight="1" x14ac:dyDescent="0.45">
      <c r="A1600" t="s">
        <v>9</v>
      </c>
      <c r="B1600" s="14">
        <f>_xlfn.XLOOKUP(Table1[[#This Row], [TEAM]],Sheet1!$A$12:$A$17,Sheet1!$F$12:$F$17)</f>
        <v>3</v>
      </c>
      <c r="C1600" s="14">
        <f>_xlfn.XLOOKUP(Table1[[#This Row], [TEAM]],Sheet1!$A$12:$A$17,Sheet1!$G$12:$G$17)</f>
        <v>6238750</v>
      </c>
      <c r="D1600" t="s">
        <v>17</v>
      </c>
      <c r="E1600" s="4">
        <f>_xlfn.XLOOKUP(Table1[[#This Row], [ROOM]],Sheet1!$A$47:$A$66,Sheet1!$B$47:$B$66)</f>
        <v>125</v>
      </c>
      <c r="F1600" t="s">
        <v>62</v>
      </c>
      <c r="G1600" s="4">
        <f>_xlfn.XLOOKUP(Table1[[#This Row], [DISGUISE]],Sheet1!$A$21:$A$23,Sheet1!$B$21:$B$23)*Table1[[#This Row], [NUM OF MEM]]*(1+_xlfn.XLOOKUP(Table1[[#This Row], [DISGUISE]],Sheet1!$A$21:$A$23,Sheet1!$C$21:$C$23))</f>
        <v>15600</v>
      </c>
      <c r="H1600" s="13" t="s">
        <v>63</v>
      </c>
      <c r="I1600" s="4">
        <f>_xlfn.XLOOKUP(Table1[[#This Row], [WEAPON]],Sheet1!$A$27:$A$29,Sheet1!$B$27:$B$29)*Table1[[#This Row], [NUM OF MEM]]*(1+_xlfn.XLOOKUP(Table1[[#This Row], [WEAPON]],Sheet1!$A$27:$A$29,Sheet1!$C$27:$C$29))</f>
        <v>69000</v>
      </c>
      <c r="J1600" t="s">
        <v>64</v>
      </c>
      <c r="K1600" s="9">
        <f>Table1[[#This Row], [NUM OF MEM]]*Table1[[#This Row], [TOTAL TIME TAKEN]]*_xlfn.XLOOKUP(Table1[[#This Row], [EXIT]],Sheet1!$A$70:$A$71,Sheet1!$B$70:$B$71)*(1+_xlfn.XLOOKUP(Table1[[#This Row], [EXIT]],Sheet1!$A$70:$A$71,Sheet1!$C$70:$C$71))</f>
        <v>1667887.2</v>
      </c>
      <c r="L1600" s="13" t="s">
        <v>65</v>
      </c>
      <c r="M1600" s="4">
        <f>IF(Table1[[#This Row], [EQUIPMENT]]="YES",Sheet1!$C$44*(1+Sheet1!$D$44),0)</f>
        <v>307500</v>
      </c>
      <c r="N1600" s="4">
        <f>_xlfn.XLOOKUP(Table1[[#This Row], [ROOM]],Sheet1!$A$47:$A$66,Sheet1!$F$47:$F$66)</f>
        <v>17350000</v>
      </c>
      <c r="O1600" s="9">
        <f>_xlfn.XLOOKUP(_xlfn.CONCAT(Table1[[#This Row], [TEAM]],Table1[[#This Row], [ROOM]]),'ROOM TIME'!$H$2:$H$121,'ROOM TIME'!$J$2:$J$121)</f>
        <v>38.398333333333326</v>
      </c>
      <c r="P1600" s="9">
        <f>(INDEX(Sheet1!$X$48:$Z$67,MATCH(Table1[[#This Row], [ROOM]],Sheet1!$P$48:$P$67,0),MATCH(Table1[[#This Row], [WEAPON]],Sheet1!$X$47:$Z$47,0)))/Table1[[#This Row], [NUM OF MEM]]</f>
        <v>4.5</v>
      </c>
      <c r="Q1600" s="9">
        <f>Table1[[#This Row], [ROOM TIME]]+Table1[[#This Row], [GUARD TIME]]</f>
        <v>42.898333333333326</v>
      </c>
      <c r="R1600" s="4">
        <f>Sheet1!$K$3*_xlfn.XLOOKUP(Table1[[#This Row], [DISGUISE]],Sheet1!$A$21:$A$23,Sheet1!$D$21:$D$23)</f>
        <v>66</v>
      </c>
      <c r="S1600" s="9">
        <f>Table1[[#This Row], [TOTAL TIME]]-Table1[[#This Row], [TOTAL TIME TAKEN]]</f>
        <v>23.101666666666674</v>
      </c>
      <c r="T1600" t="str">
        <f>IF(Table1[[#This Row], [TIME DIFFERENCE]]&gt;=0,"PASS","FAIL")</f>
        <v>PASS</v>
      </c>
      <c r="U1600" s="9">
        <f>Table1[[#This Row], [TRC]]+Table1[[#This Row], [DRC]]+Table1[[#This Row], [WRC]]+Table1[[#This Row], [ERC]]+Table1[[#This Row], [EQRC]]</f>
        <v>8298737.2000000002</v>
      </c>
      <c r="V1600" s="9">
        <f>Table1[[#This Row], [TOTAL COST]]+_xlfn.XLOOKUP(Table1[[#This Row], [TEAM]],Sheet1!$A$12:$A$17,Sheet1!$I$12:$I$17)</f>
        <v>8610674.6999999993</v>
      </c>
      <c r="W1600" s="9">
        <f>Table1[[#This Row], [LOOT]]-Table1[[#This Row], [TOTAL COST]]</f>
        <v>9051262.8000000007</v>
      </c>
      <c r="X1600" s="9">
        <f>IF(Table1[[#This Row], [PASS/FAIL]]="FAIL",0,Table1[[#This Row], [PROFIT]])</f>
        <v>9051262.8000000007</v>
      </c>
    </row>
    <row r="1601" spans="1:24" ht="19.5" customHeight="1" x14ac:dyDescent="0.45">
      <c r="A1601" t="s">
        <v>9</v>
      </c>
      <c r="B1601" s="14">
        <f>_xlfn.XLOOKUP(Table1[[#This Row], [TEAM]],Sheet1!$A$12:$A$17,Sheet1!$F$12:$F$17)</f>
        <v>3</v>
      </c>
      <c r="C1601" s="14">
        <f>_xlfn.XLOOKUP(Table1[[#This Row], [TEAM]],Sheet1!$A$12:$A$17,Sheet1!$G$12:$G$17)</f>
        <v>6238750</v>
      </c>
      <c r="D1601" t="s">
        <v>23</v>
      </c>
      <c r="E1601" s="4">
        <f>_xlfn.XLOOKUP(Table1[[#This Row], [ROOM]],Sheet1!$A$47:$A$66,Sheet1!$B$47:$B$66)</f>
        <v>245</v>
      </c>
      <c r="F1601" t="s">
        <v>58</v>
      </c>
      <c r="G1601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1" s="13" t="s">
        <v>66</v>
      </c>
      <c r="I1601" s="4">
        <f>_xlfn.XLOOKUP(Table1[[#This Row], [WEAPON]],Sheet1!$A$27:$A$29,Sheet1!$B$27:$B$29)*Table1[[#This Row], [NUM OF MEM]]*(1+_xlfn.XLOOKUP(Table1[[#This Row], [WEAPON]],Sheet1!$A$27:$A$29,Sheet1!$C$27:$C$29))</f>
        <v>108000</v>
      </c>
      <c r="J1601" t="s">
        <v>60</v>
      </c>
      <c r="K1601" s="9">
        <f>Table1[[#This Row], [NUM OF MEM]]*Table1[[#This Row], [TOTAL TIME TAKEN]]*_xlfn.XLOOKUP(Table1[[#This Row], [EXIT]],Sheet1!$A$70:$A$71,Sheet1!$B$70:$B$71)*(1+_xlfn.XLOOKUP(Table1[[#This Row], [EXIT]],Sheet1!$A$70:$A$71,Sheet1!$C$70:$C$71))</f>
        <v>1657103.5</v>
      </c>
      <c r="L1601" s="13" t="s">
        <v>65</v>
      </c>
      <c r="M1601" s="4">
        <f>IF(Table1[[#This Row], [EQUIPMENT]]="YES",Sheet1!$C$44*(1+Sheet1!$D$44),0)</f>
        <v>307500</v>
      </c>
      <c r="N1601" s="4">
        <f>_xlfn.XLOOKUP(Table1[[#This Row], [ROOM]],Sheet1!$A$47:$A$66,Sheet1!$F$47:$F$66)</f>
        <v>17400000</v>
      </c>
      <c r="O1601" s="9">
        <f>_xlfn.XLOOKUP(_xlfn.CONCAT(Table1[[#This Row], [TEAM]],Table1[[#This Row], [ROOM]]),'ROOM TIME'!$H$2:$H$121,'ROOM TIME'!$J$2:$J$121)</f>
        <v>38.461111111111101</v>
      </c>
      <c r="P1601" s="9">
        <f>(INDEX(Sheet1!$X$48:$Z$67,MATCH(Table1[[#This Row], [ROOM]],Sheet1!$P$48:$P$67,0),MATCH(Table1[[#This Row], [WEAPON]],Sheet1!$X$47:$Z$47,0)))/Table1[[#This Row], [NUM OF MEM]]</f>
        <v>4.583333333333333</v>
      </c>
      <c r="Q1601" s="9">
        <f>Table1[[#This Row], [ROOM TIME]]+Table1[[#This Row], [GUARD TIME]]</f>
        <v>43.044444444444437</v>
      </c>
      <c r="R1601" s="4">
        <f>Sheet1!$K$3*_xlfn.XLOOKUP(Table1[[#This Row], [DISGUISE]],Sheet1!$A$21:$A$23,Sheet1!$D$21:$D$23)</f>
        <v>69</v>
      </c>
      <c r="S1601" s="9">
        <f>Table1[[#This Row], [TOTAL TIME]]-Table1[[#This Row], [TOTAL TIME TAKEN]]</f>
        <v>25.955555555555563</v>
      </c>
      <c r="T1601" t="str">
        <f>IF(Table1[[#This Row], [TIME DIFFERENCE]]&gt;=0,"PASS","FAIL")</f>
        <v>PASS</v>
      </c>
      <c r="U1601" s="9">
        <f>Table1[[#This Row], [TRC]]+Table1[[#This Row], [DRC]]+Table1[[#This Row], [WRC]]+Table1[[#This Row], [ERC]]+Table1[[#This Row], [EQRC]]</f>
        <v>8349753.5</v>
      </c>
      <c r="V1601" s="4">
        <f>Table1[[#This Row], [TOTAL COST]]+_xlfn.XLOOKUP(Table1[[#This Row], [TEAM]],Sheet1!$A$12:$A$17,Sheet1!$I$12:$I$17)</f>
        <v>8661691</v>
      </c>
      <c r="W1601" s="9">
        <f>Table1[[#This Row], [LOOT]]-Table1[[#This Row], [TOTAL COST]]</f>
        <v>9050246.5</v>
      </c>
      <c r="X1601" s="9">
        <f>IF(Table1[[#This Row], [PASS/FAIL]]="FAIL",0,Table1[[#This Row], [PROFIT]])</f>
        <v>9050246.5</v>
      </c>
    </row>
    <row r="1602" spans="1:24" ht="19.5" customHeight="1" x14ac:dyDescent="0.45">
      <c r="A1602" t="s">
        <v>9</v>
      </c>
      <c r="B1602" s="14">
        <f>_xlfn.XLOOKUP(Table1[[#This Row], [TEAM]],Sheet1!$A$12:$A$17,Sheet1!$F$12:$F$17)</f>
        <v>3</v>
      </c>
      <c r="C1602" s="14">
        <f>_xlfn.XLOOKUP(Table1[[#This Row], [TEAM]],Sheet1!$A$12:$A$17,Sheet1!$G$12:$G$17)</f>
        <v>6238750</v>
      </c>
      <c r="D1602" t="s">
        <v>17</v>
      </c>
      <c r="E1602" s="4">
        <f>_xlfn.XLOOKUP(Table1[[#This Row], [ROOM]],Sheet1!$A$47:$A$66,Sheet1!$B$47:$B$66)</f>
        <v>125</v>
      </c>
      <c r="F1602" t="s">
        <v>58</v>
      </c>
      <c r="G1602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2" s="13" t="s">
        <v>63</v>
      </c>
      <c r="I1602" s="4">
        <f>_xlfn.XLOOKUP(Table1[[#This Row], [WEAPON]],Sheet1!$A$27:$A$29,Sheet1!$B$27:$B$29)*Table1[[#This Row], [NUM OF MEM]]*(1+_xlfn.XLOOKUP(Table1[[#This Row], [WEAPON]],Sheet1!$A$27:$A$29,Sheet1!$C$27:$C$29))</f>
        <v>69000</v>
      </c>
      <c r="J1602" t="s">
        <v>60</v>
      </c>
      <c r="K1602" s="9">
        <f>Table1[[#This Row], [NUM OF MEM]]*Table1[[#This Row], [TOTAL TIME TAKEN]]*_xlfn.XLOOKUP(Table1[[#This Row], [EXIT]],Sheet1!$A$70:$A$71,Sheet1!$B$70:$B$71)*(1+_xlfn.XLOOKUP(Table1[[#This Row], [EXIT]],Sheet1!$A$70:$A$71,Sheet1!$C$70:$C$71))</f>
        <v>1651478.5874999999</v>
      </c>
      <c r="L1602" s="13" t="s">
        <v>65</v>
      </c>
      <c r="M1602" s="4">
        <f>IF(Table1[[#This Row], [EQUIPMENT]]="YES",Sheet1!$C$44*(1+Sheet1!$D$44),0)</f>
        <v>307500</v>
      </c>
      <c r="N1602" s="4">
        <f>_xlfn.XLOOKUP(Table1[[#This Row], [ROOM]],Sheet1!$A$47:$A$66,Sheet1!$F$47:$F$66)</f>
        <v>17350000</v>
      </c>
      <c r="O1602" s="9">
        <f>_xlfn.XLOOKUP(_xlfn.CONCAT(Table1[[#This Row], [TEAM]],Table1[[#This Row], [ROOM]]),'ROOM TIME'!$H$2:$H$121,'ROOM TIME'!$J$2:$J$121)</f>
        <v>38.398333333333326</v>
      </c>
      <c r="P1602" s="9">
        <f>(INDEX(Sheet1!$X$48:$Z$67,MATCH(Table1[[#This Row], [ROOM]],Sheet1!$P$48:$P$67,0),MATCH(Table1[[#This Row], [WEAPON]],Sheet1!$X$47:$Z$47,0)))/Table1[[#This Row], [NUM OF MEM]]</f>
        <v>4.5</v>
      </c>
      <c r="Q1602" s="9">
        <f>Table1[[#This Row], [ROOM TIME]]+Table1[[#This Row], [GUARD TIME]]</f>
        <v>42.898333333333326</v>
      </c>
      <c r="R1602" s="4">
        <f>Sheet1!$K$3*_xlfn.XLOOKUP(Table1[[#This Row], [DISGUISE]],Sheet1!$A$21:$A$23,Sheet1!$D$21:$D$23)</f>
        <v>69</v>
      </c>
      <c r="S1602" s="9">
        <f>Table1[[#This Row], [TOTAL TIME]]-Table1[[#This Row], [TOTAL TIME TAKEN]]</f>
        <v>26.101666666666674</v>
      </c>
      <c r="T1602" t="str">
        <f>IF(Table1[[#This Row], [TIME DIFFERENCE]]&gt;=0,"PASS","FAIL")</f>
        <v>PASS</v>
      </c>
      <c r="U1602" s="9">
        <f>Table1[[#This Row], [TRC]]+Table1[[#This Row], [DRC]]+Table1[[#This Row], [WRC]]+Table1[[#This Row], [ERC]]+Table1[[#This Row], [EQRC]]</f>
        <v>8305128.5875000004</v>
      </c>
      <c r="V1602" s="9">
        <f>Table1[[#This Row], [TOTAL COST]]+_xlfn.XLOOKUP(Table1[[#This Row], [TEAM]],Sheet1!$A$12:$A$17,Sheet1!$I$12:$I$17)</f>
        <v>8617066.0875000004</v>
      </c>
      <c r="W1602" s="9">
        <f>Table1[[#This Row], [LOOT]]-Table1[[#This Row], [TOTAL COST]]</f>
        <v>9044871.4124999996</v>
      </c>
      <c r="X1602" s="9">
        <f>IF(Table1[[#This Row], [PASS/FAIL]]="FAIL",0,Table1[[#This Row], [PROFIT]])</f>
        <v>9044871.4124999996</v>
      </c>
    </row>
    <row r="1603" spans="1:24" ht="19.5" customHeight="1" x14ac:dyDescent="0.45">
      <c r="A1603" t="s">
        <v>9</v>
      </c>
      <c r="B1603" s="14">
        <f>_xlfn.XLOOKUP(Table1[[#This Row], [TEAM]],Sheet1!$A$12:$A$17,Sheet1!$F$12:$F$17)</f>
        <v>3</v>
      </c>
      <c r="C1603" s="14">
        <f>_xlfn.XLOOKUP(Table1[[#This Row], [TEAM]],Sheet1!$A$12:$A$17,Sheet1!$G$12:$G$17)</f>
        <v>6238750</v>
      </c>
      <c r="D1603" t="s">
        <v>23</v>
      </c>
      <c r="E1603" s="4">
        <f>_xlfn.XLOOKUP(Table1[[#This Row], [ROOM]],Sheet1!$A$47:$A$66,Sheet1!$B$47:$B$66)</f>
        <v>245</v>
      </c>
      <c r="F1603" t="s">
        <v>62</v>
      </c>
      <c r="G1603" s="4">
        <f>_xlfn.XLOOKUP(Table1[[#This Row], [DISGUISE]],Sheet1!$A$21:$A$23,Sheet1!$B$21:$B$23)*Table1[[#This Row], [NUM OF MEM]]*(1+_xlfn.XLOOKUP(Table1[[#This Row], [DISGUISE]],Sheet1!$A$21:$A$23,Sheet1!$C$21:$C$23))</f>
        <v>15600</v>
      </c>
      <c r="H1603" s="13" t="s">
        <v>59</v>
      </c>
      <c r="I1603" s="4">
        <f>_xlfn.XLOOKUP(Table1[[#This Row], [WEAPON]],Sheet1!$A$27:$A$29,Sheet1!$B$27:$B$29)*Table1[[#This Row], [NUM OF MEM]]*(1+_xlfn.XLOOKUP(Table1[[#This Row], [WEAPON]],Sheet1!$A$27:$A$29,Sheet1!$C$27:$C$29))</f>
        <v>136500</v>
      </c>
      <c r="J1603" t="s">
        <v>64</v>
      </c>
      <c r="K1603" s="9">
        <f>Table1[[#This Row], [NUM OF MEM]]*Table1[[#This Row], [TOTAL TIME TAKEN]]*_xlfn.XLOOKUP(Table1[[#This Row], [EXIT]],Sheet1!$A$70:$A$71,Sheet1!$B$70:$B$71)*(1+_xlfn.XLOOKUP(Table1[[#This Row], [EXIT]],Sheet1!$A$70:$A$71,Sheet1!$C$70:$C$71))</f>
        <v>1659311.9999999998</v>
      </c>
      <c r="L1603" s="13" t="s">
        <v>65</v>
      </c>
      <c r="M1603" s="4">
        <f>IF(Table1[[#This Row], [EQUIPMENT]]="YES",Sheet1!$C$44*(1+Sheet1!$D$44),0)</f>
        <v>307500</v>
      </c>
      <c r="N1603" s="4">
        <f>_xlfn.XLOOKUP(Table1[[#This Row], [ROOM]],Sheet1!$A$47:$A$66,Sheet1!$F$47:$F$66)</f>
        <v>17400000</v>
      </c>
      <c r="O1603" s="9">
        <f>_xlfn.XLOOKUP(_xlfn.CONCAT(Table1[[#This Row], [TEAM]],Table1[[#This Row], [ROOM]]),'ROOM TIME'!$H$2:$H$121,'ROOM TIME'!$J$2:$J$121)</f>
        <v>38.461111111111101</v>
      </c>
      <c r="P1603" s="9">
        <f>(INDEX(Sheet1!$X$48:$Z$67,MATCH(Table1[[#This Row], [ROOM]],Sheet1!$P$48:$P$67,0),MATCH(Table1[[#This Row], [WEAPON]],Sheet1!$X$47:$Z$47,0)))/Table1[[#This Row], [NUM OF MEM]]</f>
        <v>4.2166666666666659</v>
      </c>
      <c r="Q1603" s="9">
        <f>Table1[[#This Row], [ROOM TIME]]+Table1[[#This Row], [GUARD TIME]]</f>
        <v>42.67777777777777</v>
      </c>
      <c r="R1603" s="4">
        <f>Sheet1!$K$3*_xlfn.XLOOKUP(Table1[[#This Row], [DISGUISE]],Sheet1!$A$21:$A$23,Sheet1!$D$21:$D$23)</f>
        <v>66</v>
      </c>
      <c r="S1603" s="9">
        <f>Table1[[#This Row], [TOTAL TIME]]-Table1[[#This Row], [TOTAL TIME TAKEN]]</f>
        <v>23.32222222222223</v>
      </c>
      <c r="T1603" t="str">
        <f>IF(Table1[[#This Row], [TIME DIFFERENCE]]&gt;=0,"PASS","FAIL")</f>
        <v>PASS</v>
      </c>
      <c r="U1603" s="4">
        <f>Table1[[#This Row], [TRC]]+Table1[[#This Row], [DRC]]+Table1[[#This Row], [WRC]]+Table1[[#This Row], [ERC]]+Table1[[#This Row], [EQRC]]</f>
        <v>8357662</v>
      </c>
      <c r="V1603" s="9">
        <f>Table1[[#This Row], [TOTAL COST]]+_xlfn.XLOOKUP(Table1[[#This Row], [TEAM]],Sheet1!$A$12:$A$17,Sheet1!$I$12:$I$17)</f>
        <v>8669599.5</v>
      </c>
      <c r="W1603" s="4">
        <f>Table1[[#This Row], [LOOT]]-Table1[[#This Row], [TOTAL COST]]</f>
        <v>9042338</v>
      </c>
      <c r="X1603" s="4">
        <f>IF(Table1[[#This Row], [PASS/FAIL]]="FAIL",0,Table1[[#This Row], [PROFIT]])</f>
        <v>9042338</v>
      </c>
    </row>
    <row r="1604" spans="1:24" ht="19.5" customHeight="1" x14ac:dyDescent="0.45">
      <c r="A1604" t="s">
        <v>9</v>
      </c>
      <c r="B1604" s="14">
        <f>_xlfn.XLOOKUP(Table1[[#This Row], [TEAM]],Sheet1!$A$12:$A$17,Sheet1!$F$12:$F$17)</f>
        <v>3</v>
      </c>
      <c r="C1604" s="14">
        <f>_xlfn.XLOOKUP(Table1[[#This Row], [TEAM]],Sheet1!$A$12:$A$17,Sheet1!$G$12:$G$17)</f>
        <v>6238750</v>
      </c>
      <c r="D1604" t="s">
        <v>17</v>
      </c>
      <c r="E1604" s="4">
        <f>_xlfn.XLOOKUP(Table1[[#This Row], [ROOM]],Sheet1!$A$47:$A$66,Sheet1!$B$47:$B$66)</f>
        <v>125</v>
      </c>
      <c r="F1604" t="s">
        <v>62</v>
      </c>
      <c r="G1604" s="4">
        <f>_xlfn.XLOOKUP(Table1[[#This Row], [DISGUISE]],Sheet1!$A$21:$A$23,Sheet1!$B$21:$B$23)*Table1[[#This Row], [NUM OF MEM]]*(1+_xlfn.XLOOKUP(Table1[[#This Row], [DISGUISE]],Sheet1!$A$21:$A$23,Sheet1!$C$21:$C$23))</f>
        <v>15600</v>
      </c>
      <c r="H1604" s="13" t="s">
        <v>66</v>
      </c>
      <c r="I1604" s="4">
        <f>_xlfn.XLOOKUP(Table1[[#This Row], [WEAPON]],Sheet1!$A$27:$A$29,Sheet1!$B$27:$B$29)*Table1[[#This Row], [NUM OF MEM]]*(1+_xlfn.XLOOKUP(Table1[[#This Row], [WEAPON]],Sheet1!$A$27:$A$29,Sheet1!$C$27:$C$29))</f>
        <v>108000</v>
      </c>
      <c r="J1604" t="s">
        <v>60</v>
      </c>
      <c r="K1604" s="9">
        <f>Table1[[#This Row], [NUM OF MEM]]*Table1[[#This Row], [TOTAL TIME TAKEN]]*_xlfn.XLOOKUP(Table1[[#This Row], [EXIT]],Sheet1!$A$70:$A$71,Sheet1!$B$70:$B$71)*(1+_xlfn.XLOOKUP(Table1[[#This Row], [EXIT]],Sheet1!$A$70:$A$71,Sheet1!$C$70:$C$71))</f>
        <v>1638646.0874999997</v>
      </c>
      <c r="L1604" s="13" t="s">
        <v>65</v>
      </c>
      <c r="M1604" s="4">
        <f>IF(Table1[[#This Row], [EQUIPMENT]]="YES",Sheet1!$C$44*(1+Sheet1!$D$44),0)</f>
        <v>307500</v>
      </c>
      <c r="N1604" s="4">
        <f>_xlfn.XLOOKUP(Table1[[#This Row], [ROOM]],Sheet1!$A$47:$A$66,Sheet1!$F$47:$F$66)</f>
        <v>17350000</v>
      </c>
      <c r="O1604" s="9">
        <f>_xlfn.XLOOKUP(_xlfn.CONCAT(Table1[[#This Row], [TEAM]],Table1[[#This Row], [ROOM]]),'ROOM TIME'!$H$2:$H$121,'ROOM TIME'!$J$2:$J$121)</f>
        <v>38.398333333333326</v>
      </c>
      <c r="P1604" s="9">
        <f>(INDEX(Sheet1!$X$48:$Z$67,MATCH(Table1[[#This Row], [ROOM]],Sheet1!$P$48:$P$67,0),MATCH(Table1[[#This Row], [WEAPON]],Sheet1!$X$47:$Z$47,0)))/Table1[[#This Row], [NUM OF MEM]]</f>
        <v>4.166666666666667</v>
      </c>
      <c r="Q1604" s="9">
        <f>Table1[[#This Row], [ROOM TIME]]+Table1[[#This Row], [GUARD TIME]]</f>
        <v>42.564999999999991</v>
      </c>
      <c r="R1604" s="4">
        <f>Sheet1!$K$3*_xlfn.XLOOKUP(Table1[[#This Row], [DISGUISE]],Sheet1!$A$21:$A$23,Sheet1!$D$21:$D$23)</f>
        <v>66</v>
      </c>
      <c r="S1604" s="9">
        <f>Table1[[#This Row], [TOTAL TIME]]-Table1[[#This Row], [TOTAL TIME TAKEN]]</f>
        <v>23.435000000000009</v>
      </c>
      <c r="T1604" t="str">
        <f>IF(Table1[[#This Row], [TIME DIFFERENCE]]&gt;=0,"PASS","FAIL")</f>
        <v>PASS</v>
      </c>
      <c r="U1604" s="9">
        <f>Table1[[#This Row], [TRC]]+Table1[[#This Row], [DRC]]+Table1[[#This Row], [WRC]]+Table1[[#This Row], [ERC]]+Table1[[#This Row], [EQRC]]</f>
        <v>8308496.0874999994</v>
      </c>
      <c r="V1604" s="9">
        <f>Table1[[#This Row], [TOTAL COST]]+_xlfn.XLOOKUP(Table1[[#This Row], [TEAM]],Sheet1!$A$12:$A$17,Sheet1!$I$12:$I$17)</f>
        <v>8620433.5874999985</v>
      </c>
      <c r="W1604" s="9">
        <f>Table1[[#This Row], [LOOT]]-Table1[[#This Row], [TOTAL COST]]</f>
        <v>9041503.9125000015</v>
      </c>
      <c r="X1604" s="9">
        <f>IF(Table1[[#This Row], [PASS/FAIL]]="FAIL",0,Table1[[#This Row], [PROFIT]])</f>
        <v>9041503.9125000015</v>
      </c>
    </row>
    <row r="1605" spans="1:24" ht="19.5" customHeight="1" x14ac:dyDescent="0.45">
      <c r="A1605" t="s">
        <v>9</v>
      </c>
      <c r="B1605" s="14">
        <f>_xlfn.XLOOKUP(Table1[[#This Row], [TEAM]],Sheet1!$A$12:$A$17,Sheet1!$F$12:$F$17)</f>
        <v>3</v>
      </c>
      <c r="C1605" s="14">
        <f>_xlfn.XLOOKUP(Table1[[#This Row], [TEAM]],Sheet1!$A$12:$A$17,Sheet1!$G$12:$G$17)</f>
        <v>6238750</v>
      </c>
      <c r="D1605" t="s">
        <v>23</v>
      </c>
      <c r="E1605" s="4">
        <f>_xlfn.XLOOKUP(Table1[[#This Row], [ROOM]],Sheet1!$A$47:$A$66,Sheet1!$B$47:$B$66)</f>
        <v>245</v>
      </c>
      <c r="F1605" t="s">
        <v>58</v>
      </c>
      <c r="G1605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5" s="13" t="s">
        <v>59</v>
      </c>
      <c r="I1605" s="4">
        <f>_xlfn.XLOOKUP(Table1[[#This Row], [WEAPON]],Sheet1!$A$27:$A$29,Sheet1!$B$27:$B$29)*Table1[[#This Row], [NUM OF MEM]]*(1+_xlfn.XLOOKUP(Table1[[#This Row], [WEAPON]],Sheet1!$A$27:$A$29,Sheet1!$C$27:$C$29))</f>
        <v>136500</v>
      </c>
      <c r="J1605" t="s">
        <v>60</v>
      </c>
      <c r="K1605" s="9">
        <f>Table1[[#This Row], [NUM OF MEM]]*Table1[[#This Row], [TOTAL TIME TAKEN]]*_xlfn.XLOOKUP(Table1[[#This Row], [EXIT]],Sheet1!$A$70:$A$71,Sheet1!$B$70:$B$71)*(1+_xlfn.XLOOKUP(Table1[[#This Row], [EXIT]],Sheet1!$A$70:$A$71,Sheet1!$C$70:$C$71))</f>
        <v>1642987.7499999995</v>
      </c>
      <c r="L1605" s="13" t="s">
        <v>65</v>
      </c>
      <c r="M1605" s="4">
        <f>IF(Table1[[#This Row], [EQUIPMENT]]="YES",Sheet1!$C$44*(1+Sheet1!$D$44),0)</f>
        <v>307500</v>
      </c>
      <c r="N1605" s="4">
        <f>_xlfn.XLOOKUP(Table1[[#This Row], [ROOM]],Sheet1!$A$47:$A$66,Sheet1!$F$47:$F$66)</f>
        <v>17400000</v>
      </c>
      <c r="O1605" s="9">
        <f>_xlfn.XLOOKUP(_xlfn.CONCAT(Table1[[#This Row], [TEAM]],Table1[[#This Row], [ROOM]]),'ROOM TIME'!$H$2:$H$121,'ROOM TIME'!$J$2:$J$121)</f>
        <v>38.461111111111101</v>
      </c>
      <c r="P1605" s="9">
        <f>(INDEX(Sheet1!$X$48:$Z$67,MATCH(Table1[[#This Row], [ROOM]],Sheet1!$P$48:$P$67,0),MATCH(Table1[[#This Row], [WEAPON]],Sheet1!$X$47:$Z$47,0)))/Table1[[#This Row], [NUM OF MEM]]</f>
        <v>4.2166666666666659</v>
      </c>
      <c r="Q1605" s="9">
        <f>Table1[[#This Row], [ROOM TIME]]+Table1[[#This Row], [GUARD TIME]]</f>
        <v>42.67777777777777</v>
      </c>
      <c r="R1605" s="4">
        <f>Sheet1!$K$3*_xlfn.XLOOKUP(Table1[[#This Row], [DISGUISE]],Sheet1!$A$21:$A$23,Sheet1!$D$21:$D$23)</f>
        <v>69</v>
      </c>
      <c r="S1605" s="9">
        <f>Table1[[#This Row], [TOTAL TIME]]-Table1[[#This Row], [TOTAL TIME TAKEN]]</f>
        <v>26.32222222222223</v>
      </c>
      <c r="T1605" t="str">
        <f>IF(Table1[[#This Row], [TIME DIFFERENCE]]&gt;=0,"PASS","FAIL")</f>
        <v>PASS</v>
      </c>
      <c r="U1605" s="9">
        <f>Table1[[#This Row], [TRC]]+Table1[[#This Row], [DRC]]+Table1[[#This Row], [WRC]]+Table1[[#This Row], [ERC]]+Table1[[#This Row], [EQRC]]</f>
        <v>8364137.75</v>
      </c>
      <c r="V1605" s="9">
        <f>Table1[[#This Row], [TOTAL COST]]+_xlfn.XLOOKUP(Table1[[#This Row], [TEAM]],Sheet1!$A$12:$A$17,Sheet1!$I$12:$I$17)</f>
        <v>8676075.25</v>
      </c>
      <c r="W1605" s="9">
        <f>Table1[[#This Row], [LOOT]]-Table1[[#This Row], [TOTAL COST]]</f>
        <v>9035862.25</v>
      </c>
      <c r="X1605" s="9">
        <f>IF(Table1[[#This Row], [PASS/FAIL]]="FAIL",0,Table1[[#This Row], [PROFIT]])</f>
        <v>9035862.25</v>
      </c>
    </row>
    <row r="1606" spans="1:24" ht="19.5" customHeight="1" x14ac:dyDescent="0.45">
      <c r="A1606" t="s">
        <v>9</v>
      </c>
      <c r="B1606" s="14">
        <f>_xlfn.XLOOKUP(Table1[[#This Row], [TEAM]],Sheet1!$A$12:$A$17,Sheet1!$F$12:$F$17)</f>
        <v>3</v>
      </c>
      <c r="C1606" s="14">
        <f>_xlfn.XLOOKUP(Table1[[#This Row], [TEAM]],Sheet1!$A$12:$A$17,Sheet1!$G$12:$G$17)</f>
        <v>6238750</v>
      </c>
      <c r="D1606" t="s">
        <v>23</v>
      </c>
      <c r="E1606" s="4">
        <f>_xlfn.XLOOKUP(Table1[[#This Row], [ROOM]],Sheet1!$A$47:$A$66,Sheet1!$B$47:$B$66)</f>
        <v>245</v>
      </c>
      <c r="F1606" t="s">
        <v>58</v>
      </c>
      <c r="G1606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6" s="13" t="s">
        <v>66</v>
      </c>
      <c r="I1606" s="4">
        <f>_xlfn.XLOOKUP(Table1[[#This Row], [WEAPON]],Sheet1!$A$27:$A$29,Sheet1!$B$27:$B$29)*Table1[[#This Row], [NUM OF MEM]]*(1+_xlfn.XLOOKUP(Table1[[#This Row], [WEAPON]],Sheet1!$A$27:$A$29,Sheet1!$C$27:$C$29))</f>
        <v>108000</v>
      </c>
      <c r="J1606" t="s">
        <v>64</v>
      </c>
      <c r="K1606" s="4">
        <f>Table1[[#This Row], [NUM OF MEM]]*Table1[[#This Row], [TOTAL TIME TAKEN]]*_xlfn.XLOOKUP(Table1[[#This Row], [EXIT]],Sheet1!$A$70:$A$71,Sheet1!$B$70:$B$71)*(1+_xlfn.XLOOKUP(Table1[[#This Row], [EXIT]],Sheet1!$A$70:$A$71,Sheet1!$C$70:$C$71))</f>
        <v>1673568</v>
      </c>
      <c r="L1606" s="13" t="s">
        <v>65</v>
      </c>
      <c r="M1606" s="4">
        <f>IF(Table1[[#This Row], [EQUIPMENT]]="YES",Sheet1!$C$44*(1+Sheet1!$D$44),0)</f>
        <v>307500</v>
      </c>
      <c r="N1606" s="4">
        <f>_xlfn.XLOOKUP(Table1[[#This Row], [ROOM]],Sheet1!$A$47:$A$66,Sheet1!$F$47:$F$66)</f>
        <v>17400000</v>
      </c>
      <c r="O1606" s="9">
        <f>_xlfn.XLOOKUP(_xlfn.CONCAT(Table1[[#This Row], [TEAM]],Table1[[#This Row], [ROOM]]),'ROOM TIME'!$H$2:$H$121,'ROOM TIME'!$J$2:$J$121)</f>
        <v>38.461111111111101</v>
      </c>
      <c r="P1606" s="9">
        <f>(INDEX(Sheet1!$X$48:$Z$67,MATCH(Table1[[#This Row], [ROOM]],Sheet1!$P$48:$P$67,0),MATCH(Table1[[#This Row], [WEAPON]],Sheet1!$X$47:$Z$47,0)))/Table1[[#This Row], [NUM OF MEM]]</f>
        <v>4.583333333333333</v>
      </c>
      <c r="Q1606" s="9">
        <f>Table1[[#This Row], [ROOM TIME]]+Table1[[#This Row], [GUARD TIME]]</f>
        <v>43.044444444444437</v>
      </c>
      <c r="R1606" s="4">
        <f>Sheet1!$K$3*_xlfn.XLOOKUP(Table1[[#This Row], [DISGUISE]],Sheet1!$A$21:$A$23,Sheet1!$D$21:$D$23)</f>
        <v>69</v>
      </c>
      <c r="S1606" s="9">
        <f>Table1[[#This Row], [TOTAL TIME]]-Table1[[#This Row], [TOTAL TIME TAKEN]]</f>
        <v>25.955555555555563</v>
      </c>
      <c r="T1606" t="str">
        <f>IF(Table1[[#This Row], [TIME DIFFERENCE]]&gt;=0,"PASS","FAIL")</f>
        <v>PASS</v>
      </c>
      <c r="U1606" s="4">
        <f>Table1[[#This Row], [TRC]]+Table1[[#This Row], [DRC]]+Table1[[#This Row], [WRC]]+Table1[[#This Row], [ERC]]+Table1[[#This Row], [EQRC]]</f>
        <v>8366218</v>
      </c>
      <c r="V1606" s="9">
        <f>Table1[[#This Row], [TOTAL COST]]+_xlfn.XLOOKUP(Table1[[#This Row], [TEAM]],Sheet1!$A$12:$A$17,Sheet1!$I$12:$I$17)</f>
        <v>8678155.5</v>
      </c>
      <c r="W1606" s="4">
        <f>Table1[[#This Row], [LOOT]]-Table1[[#This Row], [TOTAL COST]]</f>
        <v>9033782</v>
      </c>
      <c r="X1606" s="4">
        <f>IF(Table1[[#This Row], [PASS/FAIL]]="FAIL",0,Table1[[#This Row], [PROFIT]])</f>
        <v>9033782</v>
      </c>
    </row>
    <row r="1607" spans="1:24" ht="19.5" customHeight="1" x14ac:dyDescent="0.45">
      <c r="A1607" t="s">
        <v>9</v>
      </c>
      <c r="B1607" s="14">
        <f>_xlfn.XLOOKUP(Table1[[#This Row], [TEAM]],Sheet1!$A$12:$A$17,Sheet1!$F$12:$F$17)</f>
        <v>3</v>
      </c>
      <c r="C1607" s="14">
        <f>_xlfn.XLOOKUP(Table1[[#This Row], [TEAM]],Sheet1!$A$12:$A$17,Sheet1!$G$12:$G$17)</f>
        <v>6238750</v>
      </c>
      <c r="D1607" t="s">
        <v>17</v>
      </c>
      <c r="E1607" s="4">
        <f>_xlfn.XLOOKUP(Table1[[#This Row], [ROOM]],Sheet1!$A$47:$A$66,Sheet1!$B$47:$B$66)</f>
        <v>125</v>
      </c>
      <c r="F1607" t="s">
        <v>58</v>
      </c>
      <c r="G1607" s="4">
        <f>_xlfn.XLOOKUP(Table1[[#This Row], [DISGUISE]],Sheet1!$A$21:$A$23,Sheet1!$B$21:$B$23)*Table1[[#This Row], [NUM OF MEM]]*(1+_xlfn.XLOOKUP(Table1[[#This Row], [DISGUISE]],Sheet1!$A$21:$A$23,Sheet1!$C$21:$C$23))</f>
        <v>38400</v>
      </c>
      <c r="H1607" s="13" t="s">
        <v>63</v>
      </c>
      <c r="I1607" s="4">
        <f>_xlfn.XLOOKUP(Table1[[#This Row], [WEAPON]],Sheet1!$A$27:$A$29,Sheet1!$B$27:$B$29)*Table1[[#This Row], [NUM OF MEM]]*(1+_xlfn.XLOOKUP(Table1[[#This Row], [WEAPON]],Sheet1!$A$27:$A$29,Sheet1!$C$27:$C$29))</f>
        <v>69000</v>
      </c>
      <c r="J1607" t="s">
        <v>64</v>
      </c>
      <c r="K1607" s="9">
        <f>Table1[[#This Row], [NUM OF MEM]]*Table1[[#This Row], [TOTAL TIME TAKEN]]*_xlfn.XLOOKUP(Table1[[#This Row], [EXIT]],Sheet1!$A$70:$A$71,Sheet1!$B$70:$B$71)*(1+_xlfn.XLOOKUP(Table1[[#This Row], [EXIT]],Sheet1!$A$70:$A$71,Sheet1!$C$70:$C$71))</f>
        <v>1667887.2</v>
      </c>
      <c r="L1607" s="13" t="s">
        <v>65</v>
      </c>
      <c r="M1607" s="4">
        <f>IF(Table1[[#This Row], [EQUIPMENT]]="YES",Sheet1!$C$44*(1+Sheet1!$D$44),0)</f>
        <v>307500</v>
      </c>
      <c r="N1607" s="4">
        <f>_xlfn.XLOOKUP(Table1[[#This Row], [ROOM]],Sheet1!$A$47:$A$66,Sheet1!$F$47:$F$66)</f>
        <v>17350000</v>
      </c>
      <c r="O1607" s="9">
        <f>_xlfn.XLOOKUP(_xlfn.CONCAT(Table1[[#This Row], [TEAM]],Table1[[#This Row], [ROOM]]),'ROOM TIME'!$H$2:$H$121,'ROOM TIME'!$J$2:$J$121)</f>
        <v>38.398333333333326</v>
      </c>
      <c r="P1607" s="9">
        <f>(INDEX(Sheet1!$X$48:$Z$67,MATCH(Table1[[#This Row], [ROOM]],Sheet1!$P$48:$P$67,0),MATCH(Table1[[#This Row], [WEAPON]],Sheet1!$X$47:$Z$47,0)))/Table1[[#This Row], [NUM OF MEM]]</f>
        <v>4.5</v>
      </c>
      <c r="Q1607" s="9">
        <f>Table1[[#This Row], [ROOM TIME]]+Table1[[#This Row], [GUARD TIME]]</f>
        <v>42.898333333333326</v>
      </c>
      <c r="R1607" s="4">
        <f>Sheet1!$K$3*_xlfn.XLOOKUP(Table1[[#This Row], [DISGUISE]],Sheet1!$A$21:$A$23,Sheet1!$D$21:$D$23)</f>
        <v>69</v>
      </c>
      <c r="S1607" s="9">
        <f>Table1[[#This Row], [TOTAL TIME]]-Table1[[#This Row], [TOTAL TIME TAKEN]]</f>
        <v>26.101666666666674</v>
      </c>
      <c r="T1607" t="str">
        <f>IF(Table1[[#This Row], [TIME DIFFERENCE]]&gt;=0,"PASS","FAIL")</f>
        <v>PASS</v>
      </c>
      <c r="U1607" s="9">
        <f>Table1[[#This Row], [TRC]]+Table1[[#This Row], [DRC]]+Table1[[#This Row], [WRC]]+Table1[[#This Row], [ERC]]+Table1[[#This Row], [EQRC]]</f>
        <v>8321537.2000000002</v>
      </c>
      <c r="V1607" s="9">
        <f>Table1[[#This Row], [TOTAL COST]]+_xlfn.XLOOKUP(Table1[[#This Row], [TEAM]],Sheet1!$A$12:$A$17,Sheet1!$I$12:$I$17)</f>
        <v>8633474.6999999993</v>
      </c>
      <c r="W1607" s="9">
        <f>Table1[[#This Row], [LOOT]]-Table1[[#This Row], [TOTAL COST]]</f>
        <v>9028462.8000000007</v>
      </c>
      <c r="X1607" s="9">
        <f>IF(Table1[[#This Row], [PASS/FAIL]]="FAIL",0,Table1[[#This Row], [PROFIT]])</f>
        <v>9028462.8000000007</v>
      </c>
    </row>
    <row r="1608" spans="1:24" ht="19.5" customHeight="1" x14ac:dyDescent="0.45">
      <c r="A1608" t="s">
        <v>9</v>
      </c>
      <c r="B1608" s="14">
        <f>_xlfn.XLOOKUP(Table1[[#This Row], [TEAM]],Sheet1!$A$12:$A$17,Sheet1!$F$12:$F$17)</f>
        <v>3</v>
      </c>
      <c r="C1608" s="14">
        <f>_xlfn.XLOOKUP(Table1[[#This Row], [TEAM]],Sheet1!$A$12:$A$17,Sheet1!$G$12:$G$17)</f>
        <v>6238750</v>
      </c>
      <c r="D1608" t="s">
        <v>17</v>
      </c>
      <c r="E1608" s="4">
        <f>_xlfn.XLOOKUP(Table1[[#This Row], [ROOM]],Sheet1!$A$47:$A$66,Sheet1!$B$47:$B$66)</f>
        <v>125</v>
      </c>
      <c r="F1608" t="s">
        <v>62</v>
      </c>
      <c r="G1608" s="4">
        <f>_xlfn.XLOOKUP(Table1[[#This Row], [DISGUISE]],Sheet1!$A$21:$A$23,Sheet1!$B$21:$B$23)*Table1[[#This Row], [NUM OF MEM]]*(1+_xlfn.XLOOKUP(Table1[[#This Row], [DISGUISE]],Sheet1!$A$21:$A$23,Sheet1!$C$21:$C$23))</f>
        <v>15600</v>
      </c>
      <c r="H1608" s="13" t="s">
        <v>59</v>
      </c>
      <c r="I1608" s="4">
        <f>_xlfn.XLOOKUP(Table1[[#This Row], [WEAPON]],Sheet1!$A$27:$A$29,Sheet1!$B$27:$B$29)*Table1[[#This Row], [NUM OF MEM]]*(1+_xlfn.XLOOKUP(Table1[[#This Row], [WEAPON]],Sheet1!$A$27:$A$29,Sheet1!$C$27:$C$29))</f>
        <v>136500</v>
      </c>
      <c r="J1608" t="s">
        <v>60</v>
      </c>
      <c r="K1608" s="9">
        <f>Table1[[#This Row], [NUM OF MEM]]*Table1[[#This Row], [TOTAL TIME TAKEN]]*_xlfn.XLOOKUP(Table1[[#This Row], [EXIT]],Sheet1!$A$70:$A$71,Sheet1!$B$70:$B$71)*(1+_xlfn.XLOOKUP(Table1[[#This Row], [EXIT]],Sheet1!$A$70:$A$71,Sheet1!$C$70:$C$71))</f>
        <v>1625813.5874999999</v>
      </c>
      <c r="L1608" s="13" t="s">
        <v>65</v>
      </c>
      <c r="M1608" s="4">
        <f>IF(Table1[[#This Row], [EQUIPMENT]]="YES",Sheet1!$C$44*(1+Sheet1!$D$44),0)</f>
        <v>307500</v>
      </c>
      <c r="N1608" s="4">
        <f>_xlfn.XLOOKUP(Table1[[#This Row], [ROOM]],Sheet1!$A$47:$A$66,Sheet1!$F$47:$F$66)</f>
        <v>17350000</v>
      </c>
      <c r="O1608" s="9">
        <f>_xlfn.XLOOKUP(_xlfn.CONCAT(Table1[[#This Row], [TEAM]],Table1[[#This Row], [ROOM]]),'ROOM TIME'!$H$2:$H$121,'ROOM TIME'!$J$2:$J$121)</f>
        <v>38.398333333333326</v>
      </c>
      <c r="P1608" s="9">
        <f>(INDEX(Sheet1!$X$48:$Z$67,MATCH(Table1[[#This Row], [ROOM]],Sheet1!$P$48:$P$67,0),MATCH(Table1[[#This Row], [WEAPON]],Sheet1!$X$47:$Z$47,0)))/Table1[[#This Row], [NUM OF MEM]]</f>
        <v>3.8333333333333335</v>
      </c>
      <c r="Q1608" s="9">
        <f>Table1[[#This Row], [ROOM TIME]]+Table1[[#This Row], [GUARD TIME]]</f>
        <v>42.231666666666662</v>
      </c>
      <c r="R1608" s="4">
        <f>Sheet1!$K$3*_xlfn.XLOOKUP(Table1[[#This Row], [DISGUISE]],Sheet1!$A$21:$A$23,Sheet1!$D$21:$D$23)</f>
        <v>66</v>
      </c>
      <c r="S1608" s="9">
        <f>Table1[[#This Row], [TOTAL TIME]]-Table1[[#This Row], [TOTAL TIME TAKEN]]</f>
        <v>23.768333333333338</v>
      </c>
      <c r="T1608" t="str">
        <f>IF(Table1[[#This Row], [TIME DIFFERENCE]]&gt;=0,"PASS","FAIL")</f>
        <v>PASS</v>
      </c>
      <c r="U1608" s="9">
        <f>Table1[[#This Row], [TRC]]+Table1[[#This Row], [DRC]]+Table1[[#This Row], [WRC]]+Table1[[#This Row], [ERC]]+Table1[[#This Row], [EQRC]]</f>
        <v>8324163.5875000004</v>
      </c>
      <c r="V1608" s="9">
        <f>Table1[[#This Row], [TOTAL COST]]+_xlfn.XLOOKUP(Table1[[#This Row], [TEAM]],Sheet1!$A$12:$A$17,Sheet1!$I$12:$I$17)</f>
        <v>8636101.0875000004</v>
      </c>
      <c r="W1608" s="9">
        <f>Table1[[#This Row], [LOOT]]-Table1[[#This Row], [TOTAL COST]]</f>
        <v>9025836.4124999996</v>
      </c>
      <c r="X1608" s="9">
        <f>IF(Table1[[#This Row], [PASS/FAIL]]="FAIL",0,Table1[[#This Row], [PROFIT]])</f>
        <v>9025836.4124999996</v>
      </c>
    </row>
    <row r="1609" spans="1:24" ht="19.5" customHeight="1" x14ac:dyDescent="0.45">
      <c r="A1609" t="s">
        <v>9</v>
      </c>
      <c r="B1609" s="14">
        <f>_xlfn.XLOOKUP(Table1[[#This Row], [TEAM]],Sheet1!$A$12:$A$17,Sheet1!$F$12:$F$17)</f>
        <v>3</v>
      </c>
      <c r="C1609" s="14">
        <f>_xlfn.XLOOKUP(Table1[[#This Row], [TEAM]],Sheet1!$A$12:$A$17,Sheet1!$G$12:$G$17)</f>
        <v>6238750</v>
      </c>
      <c r="D1609" t="s">
        <v>17</v>
      </c>
      <c r="E1609" s="4">
        <f>_xlfn.XLOOKUP(Table1[[#This Row], [ROOM]],Sheet1!$A$47:$A$66,Sheet1!$B$47:$B$66)</f>
        <v>125</v>
      </c>
      <c r="F1609" t="s">
        <v>62</v>
      </c>
      <c r="G1609" s="4">
        <f>_xlfn.XLOOKUP(Table1[[#This Row], [DISGUISE]],Sheet1!$A$21:$A$23,Sheet1!$B$21:$B$23)*Table1[[#This Row], [NUM OF MEM]]*(1+_xlfn.XLOOKUP(Table1[[#This Row], [DISGUISE]],Sheet1!$A$21:$A$23,Sheet1!$C$21:$C$23))</f>
        <v>15600</v>
      </c>
      <c r="H1609" s="13" t="s">
        <v>66</v>
      </c>
      <c r="I1609" s="4">
        <f>_xlfn.XLOOKUP(Table1[[#This Row], [WEAPON]],Sheet1!$A$27:$A$29,Sheet1!$B$27:$B$29)*Table1[[#This Row], [NUM OF MEM]]*(1+_xlfn.XLOOKUP(Table1[[#This Row], [WEAPON]],Sheet1!$A$27:$A$29,Sheet1!$C$27:$C$29))</f>
        <v>108000</v>
      </c>
      <c r="J1609" t="s">
        <v>64</v>
      </c>
      <c r="K1609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1654927.1999999995</v>
      </c>
      <c r="L1609" s="13" t="s">
        <v>65</v>
      </c>
      <c r="M1609" s="4">
        <f>IF(Table1[[#This Row], [EQUIPMENT]]="YES",Sheet1!$C$44*(1+Sheet1!$D$44),0)</f>
        <v>307500</v>
      </c>
      <c r="N1609" s="4">
        <f>_xlfn.XLOOKUP(Table1[[#This Row], [ROOM]],Sheet1!$A$47:$A$66,Sheet1!$F$47:$F$66)</f>
        <v>17350000</v>
      </c>
      <c r="O1609" s="9">
        <f>_xlfn.XLOOKUP(_xlfn.CONCAT(Table1[[#This Row], [TEAM]],Table1[[#This Row], [ROOM]]),'ROOM TIME'!$H$2:$H$121,'ROOM TIME'!$J$2:$J$121)</f>
        <v>38.398333333333326</v>
      </c>
      <c r="P1609" s="9">
        <f>(INDEX(Sheet1!$X$48:$Z$67,MATCH(Table1[[#This Row], [ROOM]],Sheet1!$P$48:$P$67,0),MATCH(Table1[[#This Row], [WEAPON]],Sheet1!$X$47:$Z$47,0)))/Table1[[#This Row], [NUM OF MEM]]</f>
        <v>4.166666666666667</v>
      </c>
      <c r="Q1609" s="9">
        <f>Table1[[#This Row], [ROOM TIME]]+Table1[[#This Row], [GUARD TIME]]</f>
        <v>42.564999999999991</v>
      </c>
      <c r="R1609" s="4">
        <f>Sheet1!$K$3*_xlfn.XLOOKUP(Table1[[#This Row], [DISGUISE]],Sheet1!$A$21:$A$23,Sheet1!$D$21:$D$23)</f>
        <v>66</v>
      </c>
      <c r="S1609" s="9">
        <f>Table1[[#This Row], [TOTAL TIME]]-Table1[[#This Row], [TOTAL TIME TAKEN]]</f>
        <v>23.435000000000009</v>
      </c>
      <c r="T1609" t="str">
        <f>IF(Table1[[#This Row], [TIME DIFFERENCE]]&gt;=0,"PASS","FAIL")</f>
        <v>PASS</v>
      </c>
      <c r="U1609" s="9">
        <f>Table1[[#This Row], [TRC]]+Table1[[#This Row], [DRC]]+Table1[[#This Row], [WRC]]+Table1[[#This Row], [ERC]]+Table1[[#This Row], [EQRC]]</f>
        <v>8324777.1999999993</v>
      </c>
      <c r="V1609" s="9">
        <f>Table1[[#This Row], [TOTAL COST]]+_xlfn.XLOOKUP(Table1[[#This Row], [TEAM]],Sheet1!$A$12:$A$17,Sheet1!$I$12:$I$17)</f>
        <v>8636714.6999999993</v>
      </c>
      <c r="W1609" s="9">
        <f>Table1[[#This Row], [LOOT]]-Table1[[#This Row], [TOTAL COST]]</f>
        <v>9025222.8000000007</v>
      </c>
      <c r="X1609" s="9">
        <f>IF(Table1[[#This Row], [PASS/FAIL]]="FAIL",0,Table1[[#This Row], [PROFIT]])</f>
        <v>9025222.8000000007</v>
      </c>
    </row>
    <row r="1610" spans="1:24" ht="19.5" customHeight="1" x14ac:dyDescent="0.45">
      <c r="A1610" t="s">
        <v>9</v>
      </c>
      <c r="B1610" s="14">
        <f>_xlfn.XLOOKUP(Table1[[#This Row], [TEAM]],Sheet1!$A$12:$A$17,Sheet1!$F$12:$F$17)</f>
        <v>3</v>
      </c>
      <c r="C1610" s="14">
        <f>_xlfn.XLOOKUP(Table1[[#This Row], [TEAM]],Sheet1!$A$12:$A$17,Sheet1!$G$12:$G$17)</f>
        <v>6238750</v>
      </c>
      <c r="D1610" t="s">
        <v>23</v>
      </c>
      <c r="E1610" s="4">
        <f>_xlfn.XLOOKUP(Table1[[#This Row], [ROOM]],Sheet1!$A$47:$A$66,Sheet1!$B$47:$B$66)</f>
        <v>245</v>
      </c>
      <c r="F1610" t="s">
        <v>58</v>
      </c>
      <c r="G1610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0" s="13" t="s">
        <v>59</v>
      </c>
      <c r="I1610" s="4">
        <f>_xlfn.XLOOKUP(Table1[[#This Row], [WEAPON]],Sheet1!$A$27:$A$29,Sheet1!$B$27:$B$29)*Table1[[#This Row], [NUM OF MEM]]*(1+_xlfn.XLOOKUP(Table1[[#This Row], [WEAPON]],Sheet1!$A$27:$A$29,Sheet1!$C$27:$C$29))</f>
        <v>136500</v>
      </c>
      <c r="J1610" t="s">
        <v>64</v>
      </c>
      <c r="K1610" s="9">
        <f>Table1[[#This Row], [NUM OF MEM]]*Table1[[#This Row], [TOTAL TIME TAKEN]]*_xlfn.XLOOKUP(Table1[[#This Row], [EXIT]],Sheet1!$A$70:$A$71,Sheet1!$B$70:$B$71)*(1+_xlfn.XLOOKUP(Table1[[#This Row], [EXIT]],Sheet1!$A$70:$A$71,Sheet1!$C$70:$C$71))</f>
        <v>1659311.9999999998</v>
      </c>
      <c r="L1610" s="13" t="s">
        <v>65</v>
      </c>
      <c r="M1610" s="4">
        <f>IF(Table1[[#This Row], [EQUIPMENT]]="YES",Sheet1!$C$44*(1+Sheet1!$D$44),0)</f>
        <v>307500</v>
      </c>
      <c r="N1610" s="4">
        <f>_xlfn.XLOOKUP(Table1[[#This Row], [ROOM]],Sheet1!$A$47:$A$66,Sheet1!$F$47:$F$66)</f>
        <v>17400000</v>
      </c>
      <c r="O1610" s="9">
        <f>_xlfn.XLOOKUP(_xlfn.CONCAT(Table1[[#This Row], [TEAM]],Table1[[#This Row], [ROOM]]),'ROOM TIME'!$H$2:$H$121,'ROOM TIME'!$J$2:$J$121)</f>
        <v>38.461111111111101</v>
      </c>
      <c r="P1610" s="9">
        <f>(INDEX(Sheet1!$X$48:$Z$67,MATCH(Table1[[#This Row], [ROOM]],Sheet1!$P$48:$P$67,0),MATCH(Table1[[#This Row], [WEAPON]],Sheet1!$X$47:$Z$47,0)))/Table1[[#This Row], [NUM OF MEM]]</f>
        <v>4.2166666666666659</v>
      </c>
      <c r="Q1610" s="9">
        <f>Table1[[#This Row], [ROOM TIME]]+Table1[[#This Row], [GUARD TIME]]</f>
        <v>42.67777777777777</v>
      </c>
      <c r="R1610" s="4">
        <f>Sheet1!$K$3*_xlfn.XLOOKUP(Table1[[#This Row], [DISGUISE]],Sheet1!$A$21:$A$23,Sheet1!$D$21:$D$23)</f>
        <v>69</v>
      </c>
      <c r="S1610" s="9">
        <f>Table1[[#This Row], [TOTAL TIME]]-Table1[[#This Row], [TOTAL TIME TAKEN]]</f>
        <v>26.32222222222223</v>
      </c>
      <c r="T1610" t="str">
        <f>IF(Table1[[#This Row], [TIME DIFFERENCE]]&gt;=0,"PASS","FAIL")</f>
        <v>PASS</v>
      </c>
      <c r="U1610" s="4">
        <f>Table1[[#This Row], [TRC]]+Table1[[#This Row], [DRC]]+Table1[[#This Row], [WRC]]+Table1[[#This Row], [ERC]]+Table1[[#This Row], [EQRC]]</f>
        <v>8380462</v>
      </c>
      <c r="V1610" s="9">
        <f>Table1[[#This Row], [TOTAL COST]]+_xlfn.XLOOKUP(Table1[[#This Row], [TEAM]],Sheet1!$A$12:$A$17,Sheet1!$I$12:$I$17)</f>
        <v>8692399.5</v>
      </c>
      <c r="W1610" s="4">
        <f>Table1[[#This Row], [LOOT]]-Table1[[#This Row], [TOTAL COST]]</f>
        <v>9019538</v>
      </c>
      <c r="X1610" s="4">
        <f>IF(Table1[[#This Row], [PASS/FAIL]]="FAIL",0,Table1[[#This Row], [PROFIT]])</f>
        <v>9019538</v>
      </c>
    </row>
    <row r="1611" spans="1:24" ht="19.5" customHeight="1" x14ac:dyDescent="0.45">
      <c r="A1611" t="s">
        <v>9</v>
      </c>
      <c r="B1611" s="14">
        <f>_xlfn.XLOOKUP(Table1[[#This Row], [TEAM]],Sheet1!$A$12:$A$17,Sheet1!$F$12:$F$17)</f>
        <v>3</v>
      </c>
      <c r="C1611" s="14">
        <f>_xlfn.XLOOKUP(Table1[[#This Row], [TEAM]],Sheet1!$A$12:$A$17,Sheet1!$G$12:$G$17)</f>
        <v>6238750</v>
      </c>
      <c r="D1611" t="s">
        <v>17</v>
      </c>
      <c r="E1611" s="4">
        <f>_xlfn.XLOOKUP(Table1[[#This Row], [ROOM]],Sheet1!$A$47:$A$66,Sheet1!$B$47:$B$66)</f>
        <v>125</v>
      </c>
      <c r="F1611" t="s">
        <v>58</v>
      </c>
      <c r="G1611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1" s="13" t="s">
        <v>66</v>
      </c>
      <c r="I1611" s="4">
        <f>_xlfn.XLOOKUP(Table1[[#This Row], [WEAPON]],Sheet1!$A$27:$A$29,Sheet1!$B$27:$B$29)*Table1[[#This Row], [NUM OF MEM]]*(1+_xlfn.XLOOKUP(Table1[[#This Row], [WEAPON]],Sheet1!$A$27:$A$29,Sheet1!$C$27:$C$29))</f>
        <v>108000</v>
      </c>
      <c r="J1611" t="s">
        <v>60</v>
      </c>
      <c r="K1611" s="9">
        <f>Table1[[#This Row], [NUM OF MEM]]*Table1[[#This Row], [TOTAL TIME TAKEN]]*_xlfn.XLOOKUP(Table1[[#This Row], [EXIT]],Sheet1!$A$70:$A$71,Sheet1!$B$70:$B$71)*(1+_xlfn.XLOOKUP(Table1[[#This Row], [EXIT]],Sheet1!$A$70:$A$71,Sheet1!$C$70:$C$71))</f>
        <v>1638646.0874999997</v>
      </c>
      <c r="L1611" s="13" t="s">
        <v>65</v>
      </c>
      <c r="M1611" s="4">
        <f>IF(Table1[[#This Row], [EQUIPMENT]]="YES",Sheet1!$C$44*(1+Sheet1!$D$44),0)</f>
        <v>307500</v>
      </c>
      <c r="N1611" s="4">
        <f>_xlfn.XLOOKUP(Table1[[#This Row], [ROOM]],Sheet1!$A$47:$A$66,Sheet1!$F$47:$F$66)</f>
        <v>17350000</v>
      </c>
      <c r="O1611" s="9">
        <f>_xlfn.XLOOKUP(_xlfn.CONCAT(Table1[[#This Row], [TEAM]],Table1[[#This Row], [ROOM]]),'ROOM TIME'!$H$2:$H$121,'ROOM TIME'!$J$2:$J$121)</f>
        <v>38.398333333333326</v>
      </c>
      <c r="P1611" s="9">
        <f>(INDEX(Sheet1!$X$48:$Z$67,MATCH(Table1[[#This Row], [ROOM]],Sheet1!$P$48:$P$67,0),MATCH(Table1[[#This Row], [WEAPON]],Sheet1!$X$47:$Z$47,0)))/Table1[[#This Row], [NUM OF MEM]]</f>
        <v>4.166666666666667</v>
      </c>
      <c r="Q1611" s="9">
        <f>Table1[[#This Row], [ROOM TIME]]+Table1[[#This Row], [GUARD TIME]]</f>
        <v>42.564999999999991</v>
      </c>
      <c r="R1611" s="4">
        <f>Sheet1!$K$3*_xlfn.XLOOKUP(Table1[[#This Row], [DISGUISE]],Sheet1!$A$21:$A$23,Sheet1!$D$21:$D$23)</f>
        <v>69</v>
      </c>
      <c r="S1611" s="9">
        <f>Table1[[#This Row], [TOTAL TIME]]-Table1[[#This Row], [TOTAL TIME TAKEN]]</f>
        <v>26.435000000000009</v>
      </c>
      <c r="T1611" t="str">
        <f>IF(Table1[[#This Row], [TIME DIFFERENCE]]&gt;=0,"PASS","FAIL")</f>
        <v>PASS</v>
      </c>
      <c r="U1611" s="9">
        <f>Table1[[#This Row], [TRC]]+Table1[[#This Row], [DRC]]+Table1[[#This Row], [WRC]]+Table1[[#This Row], [ERC]]+Table1[[#This Row], [EQRC]]</f>
        <v>8331296.0874999994</v>
      </c>
      <c r="V1611" s="9">
        <f>Table1[[#This Row], [TOTAL COST]]+_xlfn.XLOOKUP(Table1[[#This Row], [TEAM]],Sheet1!$A$12:$A$17,Sheet1!$I$12:$I$17)</f>
        <v>8643233.5874999985</v>
      </c>
      <c r="W1611" s="9">
        <f>Table1[[#This Row], [LOOT]]-Table1[[#This Row], [TOTAL COST]]</f>
        <v>9018703.9125000015</v>
      </c>
      <c r="X1611" s="9">
        <f>IF(Table1[[#This Row], [PASS/FAIL]]="FAIL",0,Table1[[#This Row], [PROFIT]])</f>
        <v>9018703.9125000015</v>
      </c>
    </row>
    <row r="1612" spans="1:24" ht="19.5" customHeight="1" x14ac:dyDescent="0.45">
      <c r="A1612" t="s">
        <v>9</v>
      </c>
      <c r="B1612" s="14">
        <f>_xlfn.XLOOKUP(Table1[[#This Row], [TEAM]],Sheet1!$A$12:$A$17,Sheet1!$F$12:$F$17)</f>
        <v>3</v>
      </c>
      <c r="C1612" s="14">
        <f>_xlfn.XLOOKUP(Table1[[#This Row], [TEAM]],Sheet1!$A$12:$A$17,Sheet1!$G$12:$G$17)</f>
        <v>6238750</v>
      </c>
      <c r="D1612" t="s">
        <v>17</v>
      </c>
      <c r="E1612" s="4">
        <f>_xlfn.XLOOKUP(Table1[[#This Row], [ROOM]],Sheet1!$A$47:$A$66,Sheet1!$B$47:$B$66)</f>
        <v>125</v>
      </c>
      <c r="F1612" t="s">
        <v>62</v>
      </c>
      <c r="G1612" s="4">
        <f>_xlfn.XLOOKUP(Table1[[#This Row], [DISGUISE]],Sheet1!$A$21:$A$23,Sheet1!$B$21:$B$23)*Table1[[#This Row], [NUM OF MEM]]*(1+_xlfn.XLOOKUP(Table1[[#This Row], [DISGUISE]],Sheet1!$A$21:$A$23,Sheet1!$C$21:$C$23))</f>
        <v>15600</v>
      </c>
      <c r="H1612" s="13" t="s">
        <v>59</v>
      </c>
      <c r="I1612" s="4">
        <f>_xlfn.XLOOKUP(Table1[[#This Row], [WEAPON]],Sheet1!$A$27:$A$29,Sheet1!$B$27:$B$29)*Table1[[#This Row], [NUM OF MEM]]*(1+_xlfn.XLOOKUP(Table1[[#This Row], [WEAPON]],Sheet1!$A$27:$A$29,Sheet1!$C$27:$C$29))</f>
        <v>136500</v>
      </c>
      <c r="J1612" t="s">
        <v>64</v>
      </c>
      <c r="K1612" s="9">
        <f>Table1[[#This Row], [NUM OF MEM]]*Table1[[#This Row], [TOTAL TIME TAKEN]]*_xlfn.XLOOKUP(Table1[[#This Row], [EXIT]],Sheet1!$A$70:$A$71,Sheet1!$B$70:$B$71)*(1+_xlfn.XLOOKUP(Table1[[#This Row], [EXIT]],Sheet1!$A$70:$A$71,Sheet1!$C$70:$C$71))</f>
        <v>1641967.2</v>
      </c>
      <c r="L1612" s="13" t="s">
        <v>65</v>
      </c>
      <c r="M1612" s="4">
        <f>IF(Table1[[#This Row], [EQUIPMENT]]="YES",Sheet1!$C$44*(1+Sheet1!$D$44),0)</f>
        <v>307500</v>
      </c>
      <c r="N1612" s="4">
        <f>_xlfn.XLOOKUP(Table1[[#This Row], [ROOM]],Sheet1!$A$47:$A$66,Sheet1!$F$47:$F$66)</f>
        <v>17350000</v>
      </c>
      <c r="O1612" s="9">
        <f>_xlfn.XLOOKUP(_xlfn.CONCAT(Table1[[#This Row], [TEAM]],Table1[[#This Row], [ROOM]]),'ROOM TIME'!$H$2:$H$121,'ROOM TIME'!$J$2:$J$121)</f>
        <v>38.398333333333326</v>
      </c>
      <c r="P1612" s="9">
        <f>(INDEX(Sheet1!$X$48:$Z$67,MATCH(Table1[[#This Row], [ROOM]],Sheet1!$P$48:$P$67,0),MATCH(Table1[[#This Row], [WEAPON]],Sheet1!$X$47:$Z$47,0)))/Table1[[#This Row], [NUM OF MEM]]</f>
        <v>3.8333333333333335</v>
      </c>
      <c r="Q1612" s="9">
        <f>Table1[[#This Row], [ROOM TIME]]+Table1[[#This Row], [GUARD TIME]]</f>
        <v>42.231666666666662</v>
      </c>
      <c r="R1612" s="4">
        <f>Sheet1!$K$3*_xlfn.XLOOKUP(Table1[[#This Row], [DISGUISE]],Sheet1!$A$21:$A$23,Sheet1!$D$21:$D$23)</f>
        <v>66</v>
      </c>
      <c r="S1612" s="9">
        <f>Table1[[#This Row], [TOTAL TIME]]-Table1[[#This Row], [TOTAL TIME TAKEN]]</f>
        <v>23.768333333333338</v>
      </c>
      <c r="T1612" t="str">
        <f>IF(Table1[[#This Row], [TIME DIFFERENCE]]&gt;=0,"PASS","FAIL")</f>
        <v>PASS</v>
      </c>
      <c r="U1612" s="9">
        <f>Table1[[#This Row], [TRC]]+Table1[[#This Row], [DRC]]+Table1[[#This Row], [WRC]]+Table1[[#This Row], [ERC]]+Table1[[#This Row], [EQRC]]</f>
        <v>8340317.2000000002</v>
      </c>
      <c r="V1612" s="9">
        <f>Table1[[#This Row], [TOTAL COST]]+_xlfn.XLOOKUP(Table1[[#This Row], [TEAM]],Sheet1!$A$12:$A$17,Sheet1!$I$12:$I$17)</f>
        <v>8652254.6999999993</v>
      </c>
      <c r="W1612" s="9">
        <f>Table1[[#This Row], [LOOT]]-Table1[[#This Row], [TOTAL COST]]</f>
        <v>9009682.8000000007</v>
      </c>
      <c r="X1612" s="9">
        <f>IF(Table1[[#This Row], [PASS/FAIL]]="FAIL",0,Table1[[#This Row], [PROFIT]])</f>
        <v>9009682.8000000007</v>
      </c>
    </row>
    <row r="1613" spans="1:24" ht="19.5" customHeight="1" x14ac:dyDescent="0.45">
      <c r="A1613" t="s">
        <v>9</v>
      </c>
      <c r="B1613" s="14">
        <f>_xlfn.XLOOKUP(Table1[[#This Row], [TEAM]],Sheet1!$A$12:$A$17,Sheet1!$F$12:$F$17)</f>
        <v>3</v>
      </c>
      <c r="C1613" s="14">
        <f>_xlfn.XLOOKUP(Table1[[#This Row], [TEAM]],Sheet1!$A$12:$A$17,Sheet1!$G$12:$G$17)</f>
        <v>6238750</v>
      </c>
      <c r="D1613" t="s">
        <v>17</v>
      </c>
      <c r="E1613" s="4">
        <f>_xlfn.XLOOKUP(Table1[[#This Row], [ROOM]],Sheet1!$A$47:$A$66,Sheet1!$B$47:$B$66)</f>
        <v>125</v>
      </c>
      <c r="F1613" t="s">
        <v>58</v>
      </c>
      <c r="G1613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3" s="13" t="s">
        <v>59</v>
      </c>
      <c r="I1613" s="4">
        <f>_xlfn.XLOOKUP(Table1[[#This Row], [WEAPON]],Sheet1!$A$27:$A$29,Sheet1!$B$27:$B$29)*Table1[[#This Row], [NUM OF MEM]]*(1+_xlfn.XLOOKUP(Table1[[#This Row], [WEAPON]],Sheet1!$A$27:$A$29,Sheet1!$C$27:$C$29))</f>
        <v>136500</v>
      </c>
      <c r="J1613" t="s">
        <v>60</v>
      </c>
      <c r="K1613" s="9">
        <f>Table1[[#This Row], [NUM OF MEM]]*Table1[[#This Row], [TOTAL TIME TAKEN]]*_xlfn.XLOOKUP(Table1[[#This Row], [EXIT]],Sheet1!$A$70:$A$71,Sheet1!$B$70:$B$71)*(1+_xlfn.XLOOKUP(Table1[[#This Row], [EXIT]],Sheet1!$A$70:$A$71,Sheet1!$C$70:$C$71))</f>
        <v>1625813.5874999999</v>
      </c>
      <c r="L1613" s="13" t="s">
        <v>65</v>
      </c>
      <c r="M1613" s="4">
        <f>IF(Table1[[#This Row], [EQUIPMENT]]="YES",Sheet1!$C$44*(1+Sheet1!$D$44),0)</f>
        <v>307500</v>
      </c>
      <c r="N1613" s="4">
        <f>_xlfn.XLOOKUP(Table1[[#This Row], [ROOM]],Sheet1!$A$47:$A$66,Sheet1!$F$47:$F$66)</f>
        <v>17350000</v>
      </c>
      <c r="O1613" s="9">
        <f>_xlfn.XLOOKUP(_xlfn.CONCAT(Table1[[#This Row], [TEAM]],Table1[[#This Row], [ROOM]]),'ROOM TIME'!$H$2:$H$121,'ROOM TIME'!$J$2:$J$121)</f>
        <v>38.398333333333326</v>
      </c>
      <c r="P1613" s="9">
        <f>(INDEX(Sheet1!$X$48:$Z$67,MATCH(Table1[[#This Row], [ROOM]],Sheet1!$P$48:$P$67,0),MATCH(Table1[[#This Row], [WEAPON]],Sheet1!$X$47:$Z$47,0)))/Table1[[#This Row], [NUM OF MEM]]</f>
        <v>3.8333333333333335</v>
      </c>
      <c r="Q1613" s="9">
        <f>Table1[[#This Row], [ROOM TIME]]+Table1[[#This Row], [GUARD TIME]]</f>
        <v>42.231666666666662</v>
      </c>
      <c r="R1613" s="4">
        <f>Sheet1!$K$3*_xlfn.XLOOKUP(Table1[[#This Row], [DISGUISE]],Sheet1!$A$21:$A$23,Sheet1!$D$21:$D$23)</f>
        <v>69</v>
      </c>
      <c r="S1613" s="9">
        <f>Table1[[#This Row], [TOTAL TIME]]-Table1[[#This Row], [TOTAL TIME TAKEN]]</f>
        <v>26.768333333333338</v>
      </c>
      <c r="T1613" t="str">
        <f>IF(Table1[[#This Row], [TIME DIFFERENCE]]&gt;=0,"PASS","FAIL")</f>
        <v>PASS</v>
      </c>
      <c r="U1613" s="9">
        <f>Table1[[#This Row], [TRC]]+Table1[[#This Row], [DRC]]+Table1[[#This Row], [WRC]]+Table1[[#This Row], [ERC]]+Table1[[#This Row], [EQRC]]</f>
        <v>8346963.5875000004</v>
      </c>
      <c r="V1613" s="9">
        <f>Table1[[#This Row], [TOTAL COST]]+_xlfn.XLOOKUP(Table1[[#This Row], [TEAM]],Sheet1!$A$12:$A$17,Sheet1!$I$12:$I$17)</f>
        <v>8658901.0875000004</v>
      </c>
      <c r="W1613" s="9">
        <f>Table1[[#This Row], [LOOT]]-Table1[[#This Row], [TOTAL COST]]</f>
        <v>9003036.4124999996</v>
      </c>
      <c r="X1613" s="9">
        <f>IF(Table1[[#This Row], [PASS/FAIL]]="FAIL",0,Table1[[#This Row], [PROFIT]])</f>
        <v>9003036.4124999996</v>
      </c>
    </row>
    <row r="1614" spans="1:24" ht="19.5" customHeight="1" x14ac:dyDescent="0.45">
      <c r="A1614" t="s">
        <v>9</v>
      </c>
      <c r="B1614" s="14">
        <f>_xlfn.XLOOKUP(Table1[[#This Row], [TEAM]],Sheet1!$A$12:$A$17,Sheet1!$F$12:$F$17)</f>
        <v>3</v>
      </c>
      <c r="C1614" s="14">
        <f>_xlfn.XLOOKUP(Table1[[#This Row], [TEAM]],Sheet1!$A$12:$A$17,Sheet1!$G$12:$G$17)</f>
        <v>6238750</v>
      </c>
      <c r="D1614" t="s">
        <v>17</v>
      </c>
      <c r="E1614" s="4">
        <f>_xlfn.XLOOKUP(Table1[[#This Row], [ROOM]],Sheet1!$A$47:$A$66,Sheet1!$B$47:$B$66)</f>
        <v>125</v>
      </c>
      <c r="F1614" t="s">
        <v>58</v>
      </c>
      <c r="G1614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4" s="13" t="s">
        <v>66</v>
      </c>
      <c r="I1614" s="4">
        <f>_xlfn.XLOOKUP(Table1[[#This Row], [WEAPON]],Sheet1!$A$27:$A$29,Sheet1!$B$27:$B$29)*Table1[[#This Row], [NUM OF MEM]]*(1+_xlfn.XLOOKUP(Table1[[#This Row], [WEAPON]],Sheet1!$A$27:$A$29,Sheet1!$C$27:$C$29))</f>
        <v>108000</v>
      </c>
      <c r="J1614" t="s">
        <v>64</v>
      </c>
      <c r="K1614" s="9">
        <f>Table1[[#This Row], [NUM OF MEM]]*Table1[[#This Row], [TOTAL TIME TAKEN]]*_xlfn.XLOOKUP(Table1[[#This Row], [EXIT]],Sheet1!$A$70:$A$71,Sheet1!$B$70:$B$71)*(1+_xlfn.XLOOKUP(Table1[[#This Row], [EXIT]],Sheet1!$A$70:$A$71,Sheet1!$C$70:$C$71))</f>
        <v>1654927.1999999995</v>
      </c>
      <c r="L1614" s="13" t="s">
        <v>65</v>
      </c>
      <c r="M1614" s="4">
        <f>IF(Table1[[#This Row], [EQUIPMENT]]="YES",Sheet1!$C$44*(1+Sheet1!$D$44),0)</f>
        <v>307500</v>
      </c>
      <c r="N1614" s="4">
        <f>_xlfn.XLOOKUP(Table1[[#This Row], [ROOM]],Sheet1!$A$47:$A$66,Sheet1!$F$47:$F$66)</f>
        <v>17350000</v>
      </c>
      <c r="O1614" s="9">
        <f>_xlfn.XLOOKUP(_xlfn.CONCAT(Table1[[#This Row], [TEAM]],Table1[[#This Row], [ROOM]]),'ROOM TIME'!$H$2:$H$121,'ROOM TIME'!$J$2:$J$121)</f>
        <v>38.398333333333326</v>
      </c>
      <c r="P1614" s="9">
        <f>(INDEX(Sheet1!$X$48:$Z$67,MATCH(Table1[[#This Row], [ROOM]],Sheet1!$P$48:$P$67,0),MATCH(Table1[[#This Row], [WEAPON]],Sheet1!$X$47:$Z$47,0)))/Table1[[#This Row], [NUM OF MEM]]</f>
        <v>4.166666666666667</v>
      </c>
      <c r="Q1614" s="9">
        <f>Table1[[#This Row], [ROOM TIME]]+Table1[[#This Row], [GUARD TIME]]</f>
        <v>42.564999999999991</v>
      </c>
      <c r="R1614" s="4">
        <f>Sheet1!$K$3*_xlfn.XLOOKUP(Table1[[#This Row], [DISGUISE]],Sheet1!$A$21:$A$23,Sheet1!$D$21:$D$23)</f>
        <v>69</v>
      </c>
      <c r="S1614" s="9">
        <f>Table1[[#This Row], [TOTAL TIME]]-Table1[[#This Row], [TOTAL TIME TAKEN]]</f>
        <v>26.435000000000009</v>
      </c>
      <c r="T1614" t="str">
        <f>IF(Table1[[#This Row], [TIME DIFFERENCE]]&gt;=0,"PASS","FAIL")</f>
        <v>PASS</v>
      </c>
      <c r="U1614" s="9">
        <f>Table1[[#This Row], [TRC]]+Table1[[#This Row], [DRC]]+Table1[[#This Row], [WRC]]+Table1[[#This Row], [ERC]]+Table1[[#This Row], [EQRC]]</f>
        <v>8347577.1999999993</v>
      </c>
      <c r="V1614" s="9">
        <f>Table1[[#This Row], [TOTAL COST]]+_xlfn.XLOOKUP(Table1[[#This Row], [TEAM]],Sheet1!$A$12:$A$17,Sheet1!$I$12:$I$17)</f>
        <v>8659514.6999999993</v>
      </c>
      <c r="W1614" s="9">
        <f>Table1[[#This Row], [LOOT]]-Table1[[#This Row], [TOTAL COST]]</f>
        <v>9002422.8000000007</v>
      </c>
      <c r="X1614" s="9">
        <f>IF(Table1[[#This Row], [PASS/FAIL]]="FAIL",0,Table1[[#This Row], [PROFIT]])</f>
        <v>9002422.8000000007</v>
      </c>
    </row>
    <row r="1615" spans="1:24" ht="19.5" customHeight="1" x14ac:dyDescent="0.45">
      <c r="A1615" t="s">
        <v>9</v>
      </c>
      <c r="B1615" s="14">
        <f>_xlfn.XLOOKUP(Table1[[#This Row], [TEAM]],Sheet1!$A$12:$A$17,Sheet1!$F$12:$F$17)</f>
        <v>3</v>
      </c>
      <c r="C1615" s="14">
        <f>_xlfn.XLOOKUP(Table1[[#This Row], [TEAM]],Sheet1!$A$12:$A$17,Sheet1!$G$12:$G$17)</f>
        <v>6238750</v>
      </c>
      <c r="D1615" t="s">
        <v>17</v>
      </c>
      <c r="E1615" s="4">
        <f>_xlfn.XLOOKUP(Table1[[#This Row], [ROOM]],Sheet1!$A$47:$A$66,Sheet1!$B$47:$B$66)</f>
        <v>125</v>
      </c>
      <c r="F1615" t="s">
        <v>58</v>
      </c>
      <c r="G1615" s="4">
        <f>_xlfn.XLOOKUP(Table1[[#This Row], [DISGUISE]],Sheet1!$A$21:$A$23,Sheet1!$B$21:$B$23)*Table1[[#This Row], [NUM OF MEM]]*(1+_xlfn.XLOOKUP(Table1[[#This Row], [DISGUISE]],Sheet1!$A$21:$A$23,Sheet1!$C$21:$C$23))</f>
        <v>38400</v>
      </c>
      <c r="H1615" s="13" t="s">
        <v>59</v>
      </c>
      <c r="I1615" s="4">
        <f>_xlfn.XLOOKUP(Table1[[#This Row], [WEAPON]],Sheet1!$A$27:$A$29,Sheet1!$B$27:$B$29)*Table1[[#This Row], [NUM OF MEM]]*(1+_xlfn.XLOOKUP(Table1[[#This Row], [WEAPON]],Sheet1!$A$27:$A$29,Sheet1!$C$27:$C$29))</f>
        <v>136500</v>
      </c>
      <c r="J1615" t="s">
        <v>64</v>
      </c>
      <c r="K1615" s="9">
        <f>Table1[[#This Row], [NUM OF MEM]]*Table1[[#This Row], [TOTAL TIME TAKEN]]*_xlfn.XLOOKUP(Table1[[#This Row], [EXIT]],Sheet1!$A$70:$A$71,Sheet1!$B$70:$B$71)*(1+_xlfn.XLOOKUP(Table1[[#This Row], [EXIT]],Sheet1!$A$70:$A$71,Sheet1!$C$70:$C$71))</f>
        <v>1641967.2</v>
      </c>
      <c r="L1615" s="13" t="s">
        <v>65</v>
      </c>
      <c r="M1615" s="4">
        <f>IF(Table1[[#This Row], [EQUIPMENT]]="YES",Sheet1!$C$44*(1+Sheet1!$D$44),0)</f>
        <v>307500</v>
      </c>
      <c r="N1615" s="4">
        <f>_xlfn.XLOOKUP(Table1[[#This Row], [ROOM]],Sheet1!$A$47:$A$66,Sheet1!$F$47:$F$66)</f>
        <v>17350000</v>
      </c>
      <c r="O1615" s="9">
        <f>_xlfn.XLOOKUP(_xlfn.CONCAT(Table1[[#This Row], [TEAM]],Table1[[#This Row], [ROOM]]),'ROOM TIME'!$H$2:$H$121,'ROOM TIME'!$J$2:$J$121)</f>
        <v>38.398333333333326</v>
      </c>
      <c r="P1615" s="9">
        <f>(INDEX(Sheet1!$X$48:$Z$67,MATCH(Table1[[#This Row], [ROOM]],Sheet1!$P$48:$P$67,0),MATCH(Table1[[#This Row], [WEAPON]],Sheet1!$X$47:$Z$47,0)))/Table1[[#This Row], [NUM OF MEM]]</f>
        <v>3.8333333333333335</v>
      </c>
      <c r="Q1615" s="9">
        <f>Table1[[#This Row], [ROOM TIME]]+Table1[[#This Row], [GUARD TIME]]</f>
        <v>42.231666666666662</v>
      </c>
      <c r="R1615" s="4">
        <f>Sheet1!$K$3*_xlfn.XLOOKUP(Table1[[#This Row], [DISGUISE]],Sheet1!$A$21:$A$23,Sheet1!$D$21:$D$23)</f>
        <v>69</v>
      </c>
      <c r="S1615" s="9">
        <f>Table1[[#This Row], [TOTAL TIME]]-Table1[[#This Row], [TOTAL TIME TAKEN]]</f>
        <v>26.768333333333338</v>
      </c>
      <c r="T1615" t="str">
        <f>IF(Table1[[#This Row], [TIME DIFFERENCE]]&gt;=0,"PASS","FAIL")</f>
        <v>PASS</v>
      </c>
      <c r="U1615" s="9">
        <f>Table1[[#This Row], [TRC]]+Table1[[#This Row], [DRC]]+Table1[[#This Row], [WRC]]+Table1[[#This Row], [ERC]]+Table1[[#This Row], [EQRC]]</f>
        <v>8363117.2000000002</v>
      </c>
      <c r="V1615" s="9">
        <f>Table1[[#This Row], [TOTAL COST]]+_xlfn.XLOOKUP(Table1[[#This Row], [TEAM]],Sheet1!$A$12:$A$17,Sheet1!$I$12:$I$17)</f>
        <v>8675054.6999999993</v>
      </c>
      <c r="W1615" s="9">
        <f>Table1[[#This Row], [LOOT]]-Table1[[#This Row], [TOTAL COST]]</f>
        <v>8986882.8000000007</v>
      </c>
      <c r="X1615" s="9">
        <f>IF(Table1[[#This Row], [PASS/FAIL]]="FAIL",0,Table1[[#This Row], [PROFIT]])</f>
        <v>8986882.8000000007</v>
      </c>
    </row>
    <row r="1616" spans="1:24" ht="19.5" customHeight="1" x14ac:dyDescent="0.45">
      <c r="A1616" t="s">
        <v>14</v>
      </c>
      <c r="B1616" s="14">
        <f>_xlfn.XLOOKUP(Table1[[#This Row], [TEAM]],Sheet1!$A$12:$A$17,Sheet1!$F$12:$F$17)</f>
        <v>2</v>
      </c>
      <c r="C1616" s="14">
        <f>_xlfn.XLOOKUP(Table1[[#This Row], [TEAM]],Sheet1!$A$12:$A$17,Sheet1!$G$12:$G$17)</f>
        <v>5949600</v>
      </c>
      <c r="D1616" t="s">
        <v>18</v>
      </c>
      <c r="E1616" s="4">
        <f>_xlfn.XLOOKUP(Table1[[#This Row], [ROOM]],Sheet1!$A$47:$A$66,Sheet1!$B$47:$B$66)</f>
        <v>134</v>
      </c>
      <c r="F1616" t="s">
        <v>58</v>
      </c>
      <c r="G1616" s="4">
        <f>_xlfn.XLOOKUP(Table1[[#This Row], [DISGUISE]],Sheet1!$A$21:$A$23,Sheet1!$B$21:$B$23)*Table1[[#This Row], [NUM OF MEM]]*(1+_xlfn.XLOOKUP(Table1[[#This Row], [DISGUISE]],Sheet1!$A$21:$A$23,Sheet1!$C$21:$C$23))</f>
        <v>25600</v>
      </c>
      <c r="H1616" s="13" t="s">
        <v>59</v>
      </c>
      <c r="I1616" s="4">
        <f>_xlfn.XLOOKUP(Table1[[#This Row], [WEAPON]],Sheet1!$A$27:$A$29,Sheet1!$B$27:$B$29)*Table1[[#This Row], [NUM OF MEM]]*(1+_xlfn.XLOOKUP(Table1[[#This Row], [WEAPON]],Sheet1!$A$27:$A$29,Sheet1!$C$27:$C$29))</f>
        <v>91000</v>
      </c>
      <c r="J1616" t="s">
        <v>60</v>
      </c>
      <c r="K1616" s="9">
        <f>Table1[[#This Row], [NUM OF MEM]]*Table1[[#This Row], [TOTAL TIME TAKEN]]*_xlfn.XLOOKUP(Table1[[#This Row], [EXIT]],Sheet1!$A$70:$A$71,Sheet1!$B$70:$B$71)*(1+_xlfn.XLOOKUP(Table1[[#This Row], [EXIT]],Sheet1!$A$70:$A$71,Sheet1!$C$70:$C$71))</f>
        <v>1776114.2437499999</v>
      </c>
      <c r="L1616" s="13" t="s">
        <v>61</v>
      </c>
      <c r="M1616" s="4">
        <f>IF(Table1[[#This Row], [EQUIPMENT]]="YES",Sheet1!$C$44*(1+Sheet1!$D$44),0)</f>
        <v>0</v>
      </c>
      <c r="N1616" s="4">
        <f>_xlfn.XLOOKUP(Table1[[#This Row], [ROOM]],Sheet1!$A$47:$A$66,Sheet1!$F$47:$F$66)</f>
        <v>18050000</v>
      </c>
      <c r="O1616" s="9">
        <f>_xlfn.XLOOKUP(_xlfn.CONCAT(Table1[[#This Row], [TEAM]],Table1[[#This Row], [ROOM]]),'ROOM TIME'!$H$2:$H$121,'ROOM TIME'!$J$2:$J$121)</f>
        <v>62.303749999999994</v>
      </c>
      <c r="P1616" s="9">
        <f>(INDEX(Sheet1!$X$48:$Z$67,MATCH(Table1[[#This Row], [ROOM]],Sheet1!$P$48:$P$67,0),MATCH(Table1[[#This Row], [WEAPON]],Sheet1!$X$47:$Z$47,0)))/Table1[[#This Row], [NUM OF MEM]]</f>
        <v>6.8999999999999995</v>
      </c>
      <c r="Q1616" s="9">
        <f>Table1[[#This Row], [ROOM TIME]]+Table1[[#This Row], [GUARD TIME]]</f>
        <v>69.203749999999999</v>
      </c>
      <c r="R1616" s="4">
        <f>Sheet1!$K$3*_xlfn.XLOOKUP(Table1[[#This Row], [DISGUISE]],Sheet1!$A$21:$A$23,Sheet1!$D$21:$D$23)</f>
        <v>69</v>
      </c>
      <c r="S1616" s="9">
        <f>Table1[[#This Row], [TOTAL TIME]]-Table1[[#This Row], [TOTAL TIME TAKEN]]</f>
        <v>-0.20374999999999943</v>
      </c>
      <c r="T1616" t="str">
        <f>IF(Table1[[#This Row], [TIME DIFFERENCE]]&gt;=0,"PASS","FAIL")</f>
        <v>FAIL</v>
      </c>
      <c r="U1616" s="9">
        <f>Table1[[#This Row], [TRC]]+Table1[[#This Row], [DRC]]+Table1[[#This Row], [WRC]]+Table1[[#This Row], [ERC]]+Table1[[#This Row], [EQRC]]</f>
        <v>7842314.2437500004</v>
      </c>
      <c r="V1616" s="9">
        <f>Table1[[#This Row], [TOTAL COST]]+_xlfn.XLOOKUP(Table1[[#This Row], [TEAM]],Sheet1!$A$12:$A$17,Sheet1!$I$12:$I$17)</f>
        <v>8139794.2437500004</v>
      </c>
      <c r="W1616" s="9">
        <f>Table1[[#This Row], [LOOT]]-Table1[[#This Row], [TOTAL COST]]</f>
        <v>10207685.75625</v>
      </c>
      <c r="X1616" s="4">
        <f>IF(Table1[[#This Row], [PASS/FAIL]]="FAIL",0,Table1[[#This Row], [PROFIT]])</f>
        <v>0</v>
      </c>
    </row>
    <row r="1617" spans="1:24" ht="19.5" customHeight="1" x14ac:dyDescent="0.45">
      <c r="A1617" t="s">
        <v>14</v>
      </c>
      <c r="B1617" s="14">
        <f>_xlfn.XLOOKUP(Table1[[#This Row], [TEAM]],Sheet1!$A$12:$A$17,Sheet1!$F$12:$F$17)</f>
        <v>2</v>
      </c>
      <c r="C1617" s="14">
        <f>_xlfn.XLOOKUP(Table1[[#This Row], [TEAM]],Sheet1!$A$12:$A$17,Sheet1!$G$12:$G$17)</f>
        <v>5949600</v>
      </c>
      <c r="D1617" t="s">
        <v>18</v>
      </c>
      <c r="E1617" s="4">
        <f>_xlfn.XLOOKUP(Table1[[#This Row], [ROOM]],Sheet1!$A$47:$A$66,Sheet1!$B$47:$B$66)</f>
        <v>134</v>
      </c>
      <c r="F1617" t="s">
        <v>58</v>
      </c>
      <c r="G161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17" s="13" t="s">
        <v>59</v>
      </c>
      <c r="I1617" s="4">
        <f>_xlfn.XLOOKUP(Table1[[#This Row], [WEAPON]],Sheet1!$A$27:$A$29,Sheet1!$B$27:$B$29)*Table1[[#This Row], [NUM OF MEM]]*(1+_xlfn.XLOOKUP(Table1[[#This Row], [WEAPON]],Sheet1!$A$27:$A$29,Sheet1!$C$27:$C$29))</f>
        <v>91000</v>
      </c>
      <c r="J1617" t="s">
        <v>64</v>
      </c>
      <c r="K1617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1793761.2</v>
      </c>
      <c r="L1617" s="13" t="s">
        <v>61</v>
      </c>
      <c r="M1617" s="4">
        <f>IF(Table1[[#This Row], [EQUIPMENT]]="YES",Sheet1!$C$44*(1+Sheet1!$D$44),0)</f>
        <v>0</v>
      </c>
      <c r="N1617" s="4">
        <f>_xlfn.XLOOKUP(Table1[[#This Row], [ROOM]],Sheet1!$A$47:$A$66,Sheet1!$F$47:$F$66)</f>
        <v>18050000</v>
      </c>
      <c r="O1617" s="9">
        <f>_xlfn.XLOOKUP(_xlfn.CONCAT(Table1[[#This Row], [TEAM]],Table1[[#This Row], [ROOM]]),'ROOM TIME'!$H$2:$H$121,'ROOM TIME'!$J$2:$J$121)</f>
        <v>62.303749999999994</v>
      </c>
      <c r="P1617" s="9">
        <f>(INDEX(Sheet1!$X$48:$Z$67,MATCH(Table1[[#This Row], [ROOM]],Sheet1!$P$48:$P$67,0),MATCH(Table1[[#This Row], [WEAPON]],Sheet1!$X$47:$Z$47,0)))/Table1[[#This Row], [NUM OF MEM]]</f>
        <v>6.8999999999999995</v>
      </c>
      <c r="Q1617" s="9">
        <f>Table1[[#This Row], [ROOM TIME]]+Table1[[#This Row], [GUARD TIME]]</f>
        <v>69.203749999999999</v>
      </c>
      <c r="R1617" s="4">
        <f>Sheet1!$K$3*_xlfn.XLOOKUP(Table1[[#This Row], [DISGUISE]],Sheet1!$A$21:$A$23,Sheet1!$D$21:$D$23)</f>
        <v>69</v>
      </c>
      <c r="S1617" s="9">
        <f>Table1[[#This Row], [TOTAL TIME]]-Table1[[#This Row], [TOTAL TIME TAKEN]]</f>
        <v>-0.20374999999999943</v>
      </c>
      <c r="T1617" t="str">
        <f>IF(Table1[[#This Row], [TIME DIFFERENCE]]&gt;=0,"PASS","FAIL")</f>
        <v>FAIL</v>
      </c>
      <c r="U1617" s="9">
        <f>Table1[[#This Row], [TRC]]+Table1[[#This Row], [DRC]]+Table1[[#This Row], [WRC]]+Table1[[#This Row], [ERC]]+Table1[[#This Row], [EQRC]]</f>
        <v>7859961.2000000002</v>
      </c>
      <c r="V1617" s="9">
        <f>Table1[[#This Row], [TOTAL COST]]+_xlfn.XLOOKUP(Table1[[#This Row], [TEAM]],Sheet1!$A$12:$A$17,Sheet1!$I$12:$I$17)</f>
        <v>8157441.2000000002</v>
      </c>
      <c r="W1617" s="9">
        <f>Table1[[#This Row], [LOOT]]-Table1[[#This Row], [TOTAL COST]]</f>
        <v>10190038.800000001</v>
      </c>
      <c r="X1617" s="4">
        <f>IF(Table1[[#This Row], [PASS/FAIL]]="FAIL",0,Table1[[#This Row], [PROFIT]])</f>
        <v>0</v>
      </c>
    </row>
    <row r="1618" spans="1:24" ht="19.5" customHeight="1" x14ac:dyDescent="0.45">
      <c r="A1618" t="s">
        <v>16</v>
      </c>
      <c r="B1618" s="14">
        <f>_xlfn.XLOOKUP(Table1[[#This Row], [TEAM]],Sheet1!$A$12:$A$17,Sheet1!$F$12:$F$17)</f>
        <v>2</v>
      </c>
      <c r="C1618" s="14">
        <f>_xlfn.XLOOKUP(Table1[[#This Row], [TEAM]],Sheet1!$A$12:$A$17,Sheet1!$G$12:$G$17)</f>
        <v>6082800</v>
      </c>
      <c r="D1618" t="s">
        <v>18</v>
      </c>
      <c r="E1618" s="4">
        <f>_xlfn.XLOOKUP(Table1[[#This Row], [ROOM]],Sheet1!$A$47:$A$66,Sheet1!$B$47:$B$66)</f>
        <v>134</v>
      </c>
      <c r="F1618" t="s">
        <v>58</v>
      </c>
      <c r="G1618" s="4">
        <f>_xlfn.XLOOKUP(Table1[[#This Row], [DISGUISE]],Sheet1!$A$21:$A$23,Sheet1!$B$21:$B$23)*Table1[[#This Row], [NUM OF MEM]]*(1+_xlfn.XLOOKUP(Table1[[#This Row], [DISGUISE]],Sheet1!$A$21:$A$23,Sheet1!$C$21:$C$23))</f>
        <v>25600</v>
      </c>
      <c r="H1618" s="13" t="s">
        <v>66</v>
      </c>
      <c r="I1618" s="4">
        <f>_xlfn.XLOOKUP(Table1[[#This Row], [WEAPON]],Sheet1!$A$27:$A$29,Sheet1!$B$27:$B$29)*Table1[[#This Row], [NUM OF MEM]]*(1+_xlfn.XLOOKUP(Table1[[#This Row], [WEAPON]],Sheet1!$A$27:$A$29,Sheet1!$C$27:$C$29))</f>
        <v>72000</v>
      </c>
      <c r="J1618" t="s">
        <v>60</v>
      </c>
      <c r="K1618" s="9">
        <f>Table1[[#This Row], [NUM OF MEM]]*Table1[[#This Row], [TOTAL TIME TAKEN]]*_xlfn.XLOOKUP(Table1[[#This Row], [EXIT]],Sheet1!$A$70:$A$71,Sheet1!$B$70:$B$71)*(1+_xlfn.XLOOKUP(Table1[[#This Row], [EXIT]],Sheet1!$A$70:$A$71,Sheet1!$C$70:$C$71))</f>
        <v>1773451.4999999993</v>
      </c>
      <c r="L1618" s="13" t="s">
        <v>61</v>
      </c>
      <c r="M1618" s="4">
        <f>IF(Table1[[#This Row], [EQUIPMENT]]="YES",Sheet1!$C$44*(1+Sheet1!$D$44),0)</f>
        <v>0</v>
      </c>
      <c r="N1618" s="4">
        <f>_xlfn.XLOOKUP(Table1[[#This Row], [ROOM]],Sheet1!$A$47:$A$66,Sheet1!$F$47:$F$66)</f>
        <v>18050000</v>
      </c>
      <c r="O1618" s="9">
        <f>_xlfn.XLOOKUP(_xlfn.CONCAT(Table1[[#This Row], [TEAM]],Table1[[#This Row], [ROOM]]),'ROOM TIME'!$H$2:$H$121,'ROOM TIME'!$J$2:$J$121)</f>
        <v>61.59999999999998</v>
      </c>
      <c r="P1618" s="9">
        <f>(INDEX(Sheet1!$X$48:$Z$67,MATCH(Table1[[#This Row], [ROOM]],Sheet1!$P$48:$P$67,0),MATCH(Table1[[#This Row], [WEAPON]],Sheet1!$X$47:$Z$47,0)))/Table1[[#This Row], [NUM OF MEM]]</f>
        <v>7.5</v>
      </c>
      <c r="Q1618" s="9">
        <f>Table1[[#This Row], [ROOM TIME]]+Table1[[#This Row], [GUARD TIME]]</f>
        <v>69.09999999999998</v>
      </c>
      <c r="R1618" s="4">
        <f>Sheet1!$K$3*_xlfn.XLOOKUP(Table1[[#This Row], [DISGUISE]],Sheet1!$A$21:$A$23,Sheet1!$D$21:$D$23)</f>
        <v>69</v>
      </c>
      <c r="S1618" s="9">
        <f>Table1[[#This Row], [TOTAL TIME]]-Table1[[#This Row], [TOTAL TIME TAKEN]]</f>
        <v>-9.9999999999980105E-2</v>
      </c>
      <c r="T1618" t="str">
        <f>IF(Table1[[#This Row], [TIME DIFFERENCE]]&gt;=0,"PASS","FAIL")</f>
        <v>FAIL</v>
      </c>
      <c r="U1618" s="9">
        <f>Table1[[#This Row], [TRC]]+Table1[[#This Row], [DRC]]+Table1[[#This Row], [WRC]]+Table1[[#This Row], [ERC]]+Table1[[#This Row], [EQRC]]</f>
        <v>7953851.4999999991</v>
      </c>
      <c r="V1618" s="9">
        <f>Table1[[#This Row], [TOTAL COST]]+_xlfn.XLOOKUP(Table1[[#This Row], [TEAM]],Sheet1!$A$12:$A$17,Sheet1!$I$12:$I$17)</f>
        <v>8257991.4999999991</v>
      </c>
      <c r="W1618" s="9">
        <f>Table1[[#This Row], [LOOT]]-Table1[[#This Row], [TOTAL COST]]</f>
        <v>10096148.5</v>
      </c>
      <c r="X1618" s="4">
        <f>IF(Table1[[#This Row], [PASS/FAIL]]="FAIL",0,Table1[[#This Row], [PROFIT]])</f>
        <v>0</v>
      </c>
    </row>
    <row r="1619" spans="1:24" ht="19.5" customHeight="1" x14ac:dyDescent="0.45">
      <c r="A1619" t="s">
        <v>16</v>
      </c>
      <c r="B1619" s="14">
        <f>_xlfn.XLOOKUP(Table1[[#This Row], [TEAM]],Sheet1!$A$12:$A$17,Sheet1!$F$12:$F$17)</f>
        <v>2</v>
      </c>
      <c r="C1619" s="14">
        <f>_xlfn.XLOOKUP(Table1[[#This Row], [TEAM]],Sheet1!$A$12:$A$17,Sheet1!$G$12:$G$17)</f>
        <v>6082800</v>
      </c>
      <c r="D1619" t="s">
        <v>18</v>
      </c>
      <c r="E1619" s="4">
        <f>_xlfn.XLOOKUP(Table1[[#This Row], [ROOM]],Sheet1!$A$47:$A$66,Sheet1!$B$47:$B$66)</f>
        <v>134</v>
      </c>
      <c r="F1619" t="s">
        <v>58</v>
      </c>
      <c r="G161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19" s="13" t="s">
        <v>66</v>
      </c>
      <c r="I1619" s="4">
        <f>_xlfn.XLOOKUP(Table1[[#This Row], [WEAPON]],Sheet1!$A$27:$A$29,Sheet1!$B$27:$B$29)*Table1[[#This Row], [NUM OF MEM]]*(1+_xlfn.XLOOKUP(Table1[[#This Row], [WEAPON]],Sheet1!$A$27:$A$29,Sheet1!$C$27:$C$29))</f>
        <v>72000</v>
      </c>
      <c r="J1619" t="s">
        <v>64</v>
      </c>
      <c r="K1619" s="9">
        <f>Table1[[#This Row], [NUM OF MEM]]*Table1[[#This Row], [TOTAL TIME TAKEN]]*_xlfn.XLOOKUP(Table1[[#This Row], [EXIT]],Sheet1!$A$70:$A$71,Sheet1!$B$70:$B$71)*(1+_xlfn.XLOOKUP(Table1[[#This Row], [EXIT]],Sheet1!$A$70:$A$71,Sheet1!$C$70:$C$71))</f>
        <v>1791071.9999999993</v>
      </c>
      <c r="L1619" s="13" t="s">
        <v>61</v>
      </c>
      <c r="M1619" s="4">
        <f>IF(Table1[[#This Row], [EQUIPMENT]]="YES",Sheet1!$C$44*(1+Sheet1!$D$44),0)</f>
        <v>0</v>
      </c>
      <c r="N1619" s="4">
        <f>_xlfn.XLOOKUP(Table1[[#This Row], [ROOM]],Sheet1!$A$47:$A$66,Sheet1!$F$47:$F$66)</f>
        <v>18050000</v>
      </c>
      <c r="O1619" s="9">
        <f>_xlfn.XLOOKUP(_xlfn.CONCAT(Table1[[#This Row], [TEAM]],Table1[[#This Row], [ROOM]]),'ROOM TIME'!$H$2:$H$121,'ROOM TIME'!$J$2:$J$121)</f>
        <v>61.59999999999998</v>
      </c>
      <c r="P1619" s="9">
        <f>(INDEX(Sheet1!$X$48:$Z$67,MATCH(Table1[[#This Row], [ROOM]],Sheet1!$P$48:$P$67,0),MATCH(Table1[[#This Row], [WEAPON]],Sheet1!$X$47:$Z$47,0)))/Table1[[#This Row], [NUM OF MEM]]</f>
        <v>7.5</v>
      </c>
      <c r="Q1619" s="9">
        <f>Table1[[#This Row], [ROOM TIME]]+Table1[[#This Row], [GUARD TIME]]</f>
        <v>69.09999999999998</v>
      </c>
      <c r="R1619" s="4">
        <f>Sheet1!$K$3*_xlfn.XLOOKUP(Table1[[#This Row], [DISGUISE]],Sheet1!$A$21:$A$23,Sheet1!$D$21:$D$23)</f>
        <v>69</v>
      </c>
      <c r="S1619" s="9">
        <f>Table1[[#This Row], [TOTAL TIME]]-Table1[[#This Row], [TOTAL TIME TAKEN]]</f>
        <v>-9.9999999999980105E-2</v>
      </c>
      <c r="T1619" t="str">
        <f>IF(Table1[[#This Row], [TIME DIFFERENCE]]&gt;=0,"PASS","FAIL")</f>
        <v>FAIL</v>
      </c>
      <c r="U1619" s="9">
        <f>Table1[[#This Row], [TRC]]+Table1[[#This Row], [DRC]]+Table1[[#This Row], [WRC]]+Table1[[#This Row], [ERC]]+Table1[[#This Row], [EQRC]]</f>
        <v>7971471.9999999991</v>
      </c>
      <c r="V1619" s="9">
        <f>Table1[[#This Row], [TOTAL COST]]+_xlfn.XLOOKUP(Table1[[#This Row], [TEAM]],Sheet1!$A$12:$A$17,Sheet1!$I$12:$I$17)</f>
        <v>8275611.9999999991</v>
      </c>
      <c r="W1619" s="4">
        <f>Table1[[#This Row], [LOOT]]-Table1[[#This Row], [TOTAL COST]]</f>
        <v>10078528</v>
      </c>
      <c r="X1619" s="4">
        <f>IF(Table1[[#This Row], [PASS/FAIL]]="FAIL",0,Table1[[#This Row], [PROFIT]])</f>
        <v>0</v>
      </c>
    </row>
    <row r="1620" spans="1:24" ht="19.5" customHeight="1" x14ac:dyDescent="0.45">
      <c r="A1620" t="s">
        <v>15</v>
      </c>
      <c r="B1620" s="14">
        <f>_xlfn.XLOOKUP(Table1[[#This Row], [TEAM]],Sheet1!$A$12:$A$17,Sheet1!$F$12:$F$17)</f>
        <v>2</v>
      </c>
      <c r="C1620" s="14">
        <f>_xlfn.XLOOKUP(Table1[[#This Row], [TEAM]],Sheet1!$A$12:$A$17,Sheet1!$G$12:$G$17)</f>
        <v>5932950</v>
      </c>
      <c r="D1620" t="s">
        <v>22</v>
      </c>
      <c r="E1620" s="4">
        <f>_xlfn.XLOOKUP(Table1[[#This Row], [ROOM]],Sheet1!$A$47:$A$66,Sheet1!$B$47:$B$66)</f>
        <v>235</v>
      </c>
      <c r="F1620" t="s">
        <v>58</v>
      </c>
      <c r="G1620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0" s="13" t="s">
        <v>59</v>
      </c>
      <c r="I1620" s="4">
        <f>_xlfn.XLOOKUP(Table1[[#This Row], [WEAPON]],Sheet1!$A$27:$A$29,Sheet1!$B$27:$B$29)*Table1[[#This Row], [NUM OF MEM]]*(1+_xlfn.XLOOKUP(Table1[[#This Row], [WEAPON]],Sheet1!$A$27:$A$29,Sheet1!$C$27:$C$29))</f>
        <v>91000</v>
      </c>
      <c r="J1620" t="s">
        <v>60</v>
      </c>
      <c r="K1620" s="9">
        <f>Table1[[#This Row], [NUM OF MEM]]*Table1[[#This Row], [TOTAL TIME TAKEN]]*_xlfn.XLOOKUP(Table1[[#This Row], [EXIT]],Sheet1!$A$70:$A$71,Sheet1!$B$70:$B$71)*(1+_xlfn.XLOOKUP(Table1[[#This Row], [EXIT]],Sheet1!$A$70:$A$71,Sheet1!$C$70:$C$71))</f>
        <v>1778392.0124999993</v>
      </c>
      <c r="L1620" s="13" t="s">
        <v>61</v>
      </c>
      <c r="M1620" s="4">
        <f>IF(Table1[[#This Row], [EQUIPMENT]]="YES",Sheet1!$C$44*(1+Sheet1!$D$44),0)</f>
        <v>0</v>
      </c>
      <c r="N1620" s="4">
        <f>_xlfn.XLOOKUP(Table1[[#This Row], [ROOM]],Sheet1!$A$47:$A$66,Sheet1!$F$47:$F$66)</f>
        <v>17800000</v>
      </c>
      <c r="O1620" s="9">
        <f>_xlfn.XLOOKUP(_xlfn.CONCAT(Table1[[#This Row], [TEAM]],Table1[[#This Row], [ROOM]]),'ROOM TIME'!$H$2:$H$121,'ROOM TIME'!$J$2:$J$121)</f>
        <v>62.392499999999977</v>
      </c>
      <c r="P1620" s="9">
        <f>(INDEX(Sheet1!$X$48:$Z$67,MATCH(Table1[[#This Row], [ROOM]],Sheet1!$P$48:$P$67,0),MATCH(Table1[[#This Row], [WEAPON]],Sheet1!$X$47:$Z$47,0)))/Table1[[#This Row], [NUM OF MEM]]</f>
        <v>6.8999999999999995</v>
      </c>
      <c r="Q1620" s="9">
        <f>Table1[[#This Row], [ROOM TIME]]+Table1[[#This Row], [GUARD TIME]]</f>
        <v>69.292499999999976</v>
      </c>
      <c r="R1620" s="4">
        <f>Sheet1!$K$3*_xlfn.XLOOKUP(Table1[[#This Row], [DISGUISE]],Sheet1!$A$21:$A$23,Sheet1!$D$21:$D$23)</f>
        <v>69</v>
      </c>
      <c r="S1620" s="9">
        <f>Table1[[#This Row], [TOTAL TIME]]-Table1[[#This Row], [TOTAL TIME TAKEN]]</f>
        <v>-0.29249999999997556</v>
      </c>
      <c r="T1620" t="str">
        <f>IF(Table1[[#This Row], [TIME DIFFERENCE]]&gt;=0,"PASS","FAIL")</f>
        <v>FAIL</v>
      </c>
      <c r="U1620" s="9">
        <f>Table1[[#This Row], [TRC]]+Table1[[#This Row], [DRC]]+Table1[[#This Row], [WRC]]+Table1[[#This Row], [ERC]]+Table1[[#This Row], [EQRC]]</f>
        <v>7827942.0124999993</v>
      </c>
      <c r="V1620" s="9">
        <f>Table1[[#This Row], [TOTAL COST]]+_xlfn.XLOOKUP(Table1[[#This Row], [TEAM]],Sheet1!$A$12:$A$17,Sheet1!$I$12:$I$17)</f>
        <v>8124589.5124999993</v>
      </c>
      <c r="W1620" s="9">
        <f>Table1[[#This Row], [LOOT]]-Table1[[#This Row], [TOTAL COST]]</f>
        <v>9972057.9875000007</v>
      </c>
      <c r="X1620" s="4">
        <f>IF(Table1[[#This Row], [PASS/FAIL]]="FAIL",0,Table1[[#This Row], [PROFIT]])</f>
        <v>0</v>
      </c>
    </row>
    <row r="1621" spans="1:24" ht="19.5" customHeight="1" x14ac:dyDescent="0.45">
      <c r="A1621" t="s">
        <v>15</v>
      </c>
      <c r="B1621" s="14">
        <f>_xlfn.XLOOKUP(Table1[[#This Row], [TEAM]],Sheet1!$A$12:$A$17,Sheet1!$F$12:$F$17)</f>
        <v>2</v>
      </c>
      <c r="C1621" s="14">
        <f>_xlfn.XLOOKUP(Table1[[#This Row], [TEAM]],Sheet1!$A$12:$A$17,Sheet1!$G$12:$G$17)</f>
        <v>5932950</v>
      </c>
      <c r="D1621" t="s">
        <v>22</v>
      </c>
      <c r="E1621" s="4">
        <f>_xlfn.XLOOKUP(Table1[[#This Row], [ROOM]],Sheet1!$A$47:$A$66,Sheet1!$B$47:$B$66)</f>
        <v>235</v>
      </c>
      <c r="F1621" t="s">
        <v>58</v>
      </c>
      <c r="G162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1" s="13" t="s">
        <v>59</v>
      </c>
      <c r="I1621" s="4">
        <f>_xlfn.XLOOKUP(Table1[[#This Row], [WEAPON]],Sheet1!$A$27:$A$29,Sheet1!$B$27:$B$29)*Table1[[#This Row], [NUM OF MEM]]*(1+_xlfn.XLOOKUP(Table1[[#This Row], [WEAPON]],Sheet1!$A$27:$A$29,Sheet1!$C$27:$C$29))</f>
        <v>91000</v>
      </c>
      <c r="J1621" t="s">
        <v>64</v>
      </c>
      <c r="K1621" s="9">
        <f>Table1[[#This Row], [NUM OF MEM]]*Table1[[#This Row], [TOTAL TIME TAKEN]]*_xlfn.XLOOKUP(Table1[[#This Row], [EXIT]],Sheet1!$A$70:$A$71,Sheet1!$B$70:$B$71)*(1+_xlfn.XLOOKUP(Table1[[#This Row], [EXIT]],Sheet1!$A$70:$A$71,Sheet1!$C$70:$C$71))</f>
        <v>1796061.5999999994</v>
      </c>
      <c r="L1621" s="13" t="s">
        <v>61</v>
      </c>
      <c r="M1621" s="4">
        <f>IF(Table1[[#This Row], [EQUIPMENT]]="YES",Sheet1!$C$44*(1+Sheet1!$D$44),0)</f>
        <v>0</v>
      </c>
      <c r="N1621" s="4">
        <f>_xlfn.XLOOKUP(Table1[[#This Row], [ROOM]],Sheet1!$A$47:$A$66,Sheet1!$F$47:$F$66)</f>
        <v>17800000</v>
      </c>
      <c r="O1621" s="9">
        <f>_xlfn.XLOOKUP(_xlfn.CONCAT(Table1[[#This Row], [TEAM]],Table1[[#This Row], [ROOM]]),'ROOM TIME'!$H$2:$H$121,'ROOM TIME'!$J$2:$J$121)</f>
        <v>62.392499999999977</v>
      </c>
      <c r="P1621" s="9">
        <f>(INDEX(Sheet1!$X$48:$Z$67,MATCH(Table1[[#This Row], [ROOM]],Sheet1!$P$48:$P$67,0),MATCH(Table1[[#This Row], [WEAPON]],Sheet1!$X$47:$Z$47,0)))/Table1[[#This Row], [NUM OF MEM]]</f>
        <v>6.8999999999999995</v>
      </c>
      <c r="Q1621" s="9">
        <f>Table1[[#This Row], [ROOM TIME]]+Table1[[#This Row], [GUARD TIME]]</f>
        <v>69.292499999999976</v>
      </c>
      <c r="R1621" s="4">
        <f>Sheet1!$K$3*_xlfn.XLOOKUP(Table1[[#This Row], [DISGUISE]],Sheet1!$A$21:$A$23,Sheet1!$D$21:$D$23)</f>
        <v>69</v>
      </c>
      <c r="S1621" s="9">
        <f>Table1[[#This Row], [TOTAL TIME]]-Table1[[#This Row], [TOTAL TIME TAKEN]]</f>
        <v>-0.29249999999997556</v>
      </c>
      <c r="T1621" t="str">
        <f>IF(Table1[[#This Row], [TIME DIFFERENCE]]&gt;=0,"PASS","FAIL")</f>
        <v>FAIL</v>
      </c>
      <c r="U1621" s="9">
        <f>Table1[[#This Row], [TRC]]+Table1[[#This Row], [DRC]]+Table1[[#This Row], [WRC]]+Table1[[#This Row], [ERC]]+Table1[[#This Row], [EQRC]]</f>
        <v>7845611.5999999996</v>
      </c>
      <c r="V1621" s="9">
        <f>Table1[[#This Row], [TOTAL COST]]+_xlfn.XLOOKUP(Table1[[#This Row], [TEAM]],Sheet1!$A$12:$A$17,Sheet1!$I$12:$I$17)</f>
        <v>8142259.0999999996</v>
      </c>
      <c r="W1621" s="9">
        <f>Table1[[#This Row], [LOOT]]-Table1[[#This Row], [TOTAL COST]]</f>
        <v>9954388.4000000004</v>
      </c>
      <c r="X1621" s="4">
        <f>IF(Table1[[#This Row], [PASS/FAIL]]="FAIL",0,Table1[[#This Row], [PROFIT]])</f>
        <v>0</v>
      </c>
    </row>
    <row r="1622" spans="1:24" ht="19.5" customHeight="1" x14ac:dyDescent="0.45">
      <c r="A1622" t="s">
        <v>14</v>
      </c>
      <c r="B1622" s="14">
        <f>_xlfn.XLOOKUP(Table1[[#This Row], [TEAM]],Sheet1!$A$12:$A$17,Sheet1!$F$12:$F$17)</f>
        <v>2</v>
      </c>
      <c r="C1622" s="14">
        <f>_xlfn.XLOOKUP(Table1[[#This Row], [TEAM]],Sheet1!$A$12:$A$17,Sheet1!$G$12:$G$17)</f>
        <v>5949600</v>
      </c>
      <c r="D1622" t="s">
        <v>22</v>
      </c>
      <c r="E1622" s="4">
        <f>_xlfn.XLOOKUP(Table1[[#This Row], [ROOM]],Sheet1!$A$47:$A$66,Sheet1!$B$47:$B$66)</f>
        <v>235</v>
      </c>
      <c r="F1622" t="s">
        <v>58</v>
      </c>
      <c r="G1622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2" s="13" t="s">
        <v>59</v>
      </c>
      <c r="I1622" s="4">
        <f>_xlfn.XLOOKUP(Table1[[#This Row], [WEAPON]],Sheet1!$A$27:$A$29,Sheet1!$B$27:$B$29)*Table1[[#This Row], [NUM OF MEM]]*(1+_xlfn.XLOOKUP(Table1[[#This Row], [WEAPON]],Sheet1!$A$27:$A$29,Sheet1!$C$27:$C$29))</f>
        <v>91000</v>
      </c>
      <c r="J1622" t="s">
        <v>60</v>
      </c>
      <c r="K1622" s="9">
        <f>Table1[[#This Row], [NUM OF MEM]]*Table1[[#This Row], [TOTAL TIME TAKEN]]*_xlfn.XLOOKUP(Table1[[#This Row], [EXIT]],Sheet1!$A$70:$A$71,Sheet1!$B$70:$B$71)*(1+_xlfn.XLOOKUP(Table1[[#This Row], [EXIT]],Sheet1!$A$70:$A$71,Sheet1!$C$70:$C$71))</f>
        <v>1780477.2937499997</v>
      </c>
      <c r="L1622" s="13" t="s">
        <v>61</v>
      </c>
      <c r="M1622" s="4">
        <f>IF(Table1[[#This Row], [EQUIPMENT]]="YES",Sheet1!$C$44*(1+Sheet1!$D$44),0)</f>
        <v>0</v>
      </c>
      <c r="N1622" s="4">
        <f>_xlfn.XLOOKUP(Table1[[#This Row], [ROOM]],Sheet1!$A$47:$A$66,Sheet1!$F$47:$F$66)</f>
        <v>17800000</v>
      </c>
      <c r="O1622" s="9">
        <f>_xlfn.XLOOKUP(_xlfn.CONCAT(Table1[[#This Row], [TEAM]],Table1[[#This Row], [ROOM]]),'ROOM TIME'!$H$2:$H$121,'ROOM TIME'!$J$2:$J$121)</f>
        <v>62.473749999999981</v>
      </c>
      <c r="P1622" s="9">
        <f>(INDEX(Sheet1!$X$48:$Z$67,MATCH(Table1[[#This Row], [ROOM]],Sheet1!$P$48:$P$67,0),MATCH(Table1[[#This Row], [WEAPON]],Sheet1!$X$47:$Z$47,0)))/Table1[[#This Row], [NUM OF MEM]]</f>
        <v>6.8999999999999995</v>
      </c>
      <c r="Q1622" s="9">
        <f>Table1[[#This Row], [ROOM TIME]]+Table1[[#This Row], [GUARD TIME]]</f>
        <v>69.373749999999987</v>
      </c>
      <c r="R1622" s="4">
        <f>Sheet1!$K$3*_xlfn.XLOOKUP(Table1[[#This Row], [DISGUISE]],Sheet1!$A$21:$A$23,Sheet1!$D$21:$D$23)</f>
        <v>69</v>
      </c>
      <c r="S1622" s="9">
        <f>Table1[[#This Row], [TOTAL TIME]]-Table1[[#This Row], [TOTAL TIME TAKEN]]</f>
        <v>-0.37374999999998693</v>
      </c>
      <c r="T1622" t="str">
        <f>IF(Table1[[#This Row], [TIME DIFFERENCE]]&gt;=0,"PASS","FAIL")</f>
        <v>FAIL</v>
      </c>
      <c r="U1622" s="9">
        <f>Table1[[#This Row], [TRC]]+Table1[[#This Row], [DRC]]+Table1[[#This Row], [WRC]]+Table1[[#This Row], [ERC]]+Table1[[#This Row], [EQRC]]</f>
        <v>7846677.2937499993</v>
      </c>
      <c r="V1622" s="9">
        <f>Table1[[#This Row], [TOTAL COST]]+_xlfn.XLOOKUP(Table1[[#This Row], [TEAM]],Sheet1!$A$12:$A$17,Sheet1!$I$12:$I$17)</f>
        <v>8144157.2937499993</v>
      </c>
      <c r="W1622" s="9">
        <f>Table1[[#This Row], [LOOT]]-Table1[[#This Row], [TOTAL COST]]</f>
        <v>9953322.7062500007</v>
      </c>
      <c r="X1622" s="4">
        <f>IF(Table1[[#This Row], [PASS/FAIL]]="FAIL",0,Table1[[#This Row], [PROFIT]])</f>
        <v>0</v>
      </c>
    </row>
    <row r="1623" spans="1:24" ht="19.5" customHeight="1" x14ac:dyDescent="0.45">
      <c r="A1623" t="s">
        <v>14</v>
      </c>
      <c r="B1623" s="14">
        <f>_xlfn.XLOOKUP(Table1[[#This Row], [TEAM]],Sheet1!$A$12:$A$17,Sheet1!$F$12:$F$17)</f>
        <v>2</v>
      </c>
      <c r="C1623" s="14">
        <f>_xlfn.XLOOKUP(Table1[[#This Row], [TEAM]],Sheet1!$A$12:$A$17,Sheet1!$G$12:$G$17)</f>
        <v>5949600</v>
      </c>
      <c r="D1623" t="s">
        <v>22</v>
      </c>
      <c r="E1623" s="4">
        <f>_xlfn.XLOOKUP(Table1[[#This Row], [ROOM]],Sheet1!$A$47:$A$66,Sheet1!$B$47:$B$66)</f>
        <v>235</v>
      </c>
      <c r="F1623" t="s">
        <v>58</v>
      </c>
      <c r="G162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3" s="13" t="s">
        <v>59</v>
      </c>
      <c r="I1623" s="4">
        <f>_xlfn.XLOOKUP(Table1[[#This Row], [WEAPON]],Sheet1!$A$27:$A$29,Sheet1!$B$27:$B$29)*Table1[[#This Row], [NUM OF MEM]]*(1+_xlfn.XLOOKUP(Table1[[#This Row], [WEAPON]],Sheet1!$A$27:$A$29,Sheet1!$C$27:$C$29))</f>
        <v>91000</v>
      </c>
      <c r="J1623" t="s">
        <v>64</v>
      </c>
      <c r="K1623" s="9">
        <f>Table1[[#This Row], [NUM OF MEM]]*Table1[[#This Row], [TOTAL TIME TAKEN]]*_xlfn.XLOOKUP(Table1[[#This Row], [EXIT]],Sheet1!$A$70:$A$71,Sheet1!$B$70:$B$71)*(1+_xlfn.XLOOKUP(Table1[[#This Row], [EXIT]],Sheet1!$A$70:$A$71,Sheet1!$C$70:$C$71))</f>
        <v>1798167.5999999996</v>
      </c>
      <c r="L1623" s="13" t="s">
        <v>61</v>
      </c>
      <c r="M1623" s="4">
        <f>IF(Table1[[#This Row], [EQUIPMENT]]="YES",Sheet1!$C$44*(1+Sheet1!$D$44),0)</f>
        <v>0</v>
      </c>
      <c r="N1623" s="4">
        <f>_xlfn.XLOOKUP(Table1[[#This Row], [ROOM]],Sheet1!$A$47:$A$66,Sheet1!$F$47:$F$66)</f>
        <v>17800000</v>
      </c>
      <c r="O1623" s="9">
        <f>_xlfn.XLOOKUP(_xlfn.CONCAT(Table1[[#This Row], [TEAM]],Table1[[#This Row], [ROOM]]),'ROOM TIME'!$H$2:$H$121,'ROOM TIME'!$J$2:$J$121)</f>
        <v>62.473749999999981</v>
      </c>
      <c r="P1623" s="9">
        <f>(INDEX(Sheet1!$X$48:$Z$67,MATCH(Table1[[#This Row], [ROOM]],Sheet1!$P$48:$P$67,0),MATCH(Table1[[#This Row], [WEAPON]],Sheet1!$X$47:$Z$47,0)))/Table1[[#This Row], [NUM OF MEM]]</f>
        <v>6.8999999999999995</v>
      </c>
      <c r="Q1623" s="9">
        <f>Table1[[#This Row], [ROOM TIME]]+Table1[[#This Row], [GUARD TIME]]</f>
        <v>69.373749999999987</v>
      </c>
      <c r="R1623" s="4">
        <f>Sheet1!$K$3*_xlfn.XLOOKUP(Table1[[#This Row], [DISGUISE]],Sheet1!$A$21:$A$23,Sheet1!$D$21:$D$23)</f>
        <v>69</v>
      </c>
      <c r="S1623" s="9">
        <f>Table1[[#This Row], [TOTAL TIME]]-Table1[[#This Row], [TOTAL TIME TAKEN]]</f>
        <v>-0.37374999999998693</v>
      </c>
      <c r="T1623" t="str">
        <f>IF(Table1[[#This Row], [TIME DIFFERENCE]]&gt;=0,"PASS","FAIL")</f>
        <v>FAIL</v>
      </c>
      <c r="U1623" s="9">
        <f>Table1[[#This Row], [TRC]]+Table1[[#This Row], [DRC]]+Table1[[#This Row], [WRC]]+Table1[[#This Row], [ERC]]+Table1[[#This Row], [EQRC]]</f>
        <v>7864367.5999999996</v>
      </c>
      <c r="V1623" s="9">
        <f>Table1[[#This Row], [TOTAL COST]]+_xlfn.XLOOKUP(Table1[[#This Row], [TEAM]],Sheet1!$A$12:$A$17,Sheet1!$I$12:$I$17)</f>
        <v>8161847.5999999996</v>
      </c>
      <c r="W1623" s="9">
        <f>Table1[[#This Row], [LOOT]]-Table1[[#This Row], [TOTAL COST]]</f>
        <v>9935632.4000000004</v>
      </c>
      <c r="X1623" s="4">
        <f>IF(Table1[[#This Row], [PASS/FAIL]]="FAIL",0,Table1[[#This Row], [PROFIT]])</f>
        <v>0</v>
      </c>
    </row>
    <row r="1624" spans="1:24" ht="19.5" customHeight="1" x14ac:dyDescent="0.45">
      <c r="A1624" t="s">
        <v>16</v>
      </c>
      <c r="B1624" s="14">
        <f>_xlfn.XLOOKUP(Table1[[#This Row], [TEAM]],Sheet1!$A$12:$A$17,Sheet1!$F$12:$F$17)</f>
        <v>2</v>
      </c>
      <c r="C1624" s="14">
        <f>_xlfn.XLOOKUP(Table1[[#This Row], [TEAM]],Sheet1!$A$12:$A$17,Sheet1!$G$12:$G$17)</f>
        <v>6082800</v>
      </c>
      <c r="D1624" t="s">
        <v>22</v>
      </c>
      <c r="E1624" s="4">
        <f>_xlfn.XLOOKUP(Table1[[#This Row], [ROOM]],Sheet1!$A$47:$A$66,Sheet1!$B$47:$B$66)</f>
        <v>235</v>
      </c>
      <c r="F1624" t="s">
        <v>58</v>
      </c>
      <c r="G1624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4" s="13" t="s">
        <v>66</v>
      </c>
      <c r="I1624" s="4">
        <f>_xlfn.XLOOKUP(Table1[[#This Row], [WEAPON]],Sheet1!$A$27:$A$29,Sheet1!$B$27:$B$29)*Table1[[#This Row], [NUM OF MEM]]*(1+_xlfn.XLOOKUP(Table1[[#This Row], [WEAPON]],Sheet1!$A$27:$A$29,Sheet1!$C$27:$C$29))</f>
        <v>72000</v>
      </c>
      <c r="J1624" t="s">
        <v>60</v>
      </c>
      <c r="K1624" s="9">
        <f>Table1[[#This Row], [NUM OF MEM]]*Table1[[#This Row], [TOTAL TIME TAKEN]]*_xlfn.XLOOKUP(Table1[[#This Row], [EXIT]],Sheet1!$A$70:$A$71,Sheet1!$B$70:$B$71)*(1+_xlfn.XLOOKUP(Table1[[#This Row], [EXIT]],Sheet1!$A$70:$A$71,Sheet1!$C$70:$C$71))</f>
        <v>1783172.1187499997</v>
      </c>
      <c r="L1624" s="13" t="s">
        <v>61</v>
      </c>
      <c r="M1624" s="4">
        <f>IF(Table1[[#This Row], [EQUIPMENT]]="YES",Sheet1!$C$44*(1+Sheet1!$D$44),0)</f>
        <v>0</v>
      </c>
      <c r="N1624" s="4">
        <f>_xlfn.XLOOKUP(Table1[[#This Row], [ROOM]],Sheet1!$A$47:$A$66,Sheet1!$F$47:$F$66)</f>
        <v>17800000</v>
      </c>
      <c r="O1624" s="9">
        <f>_xlfn.XLOOKUP(_xlfn.CONCAT(Table1[[#This Row], [TEAM]],Table1[[#This Row], [ROOM]]),'ROOM TIME'!$H$2:$H$121,'ROOM TIME'!$J$2:$J$121)</f>
        <v>61.978749999999984</v>
      </c>
      <c r="P1624" s="9">
        <f>(INDEX(Sheet1!$X$48:$Z$67,MATCH(Table1[[#This Row], [ROOM]],Sheet1!$P$48:$P$67,0),MATCH(Table1[[#This Row], [WEAPON]],Sheet1!$X$47:$Z$47,0)))/Table1[[#This Row], [NUM OF MEM]]</f>
        <v>7.5</v>
      </c>
      <c r="Q1624" s="9">
        <f>Table1[[#This Row], [ROOM TIME]]+Table1[[#This Row], [GUARD TIME]]</f>
        <v>69.478749999999991</v>
      </c>
      <c r="R1624" s="4">
        <f>Sheet1!$K$3*_xlfn.XLOOKUP(Table1[[#This Row], [DISGUISE]],Sheet1!$A$21:$A$23,Sheet1!$D$21:$D$23)</f>
        <v>69</v>
      </c>
      <c r="S1624" s="9">
        <f>Table1[[#This Row], [TOTAL TIME]]-Table1[[#This Row], [TOTAL TIME TAKEN]]</f>
        <v>-0.47874999999999091</v>
      </c>
      <c r="T1624" t="str">
        <f>IF(Table1[[#This Row], [TIME DIFFERENCE]]&gt;=0,"PASS","FAIL")</f>
        <v>FAIL</v>
      </c>
      <c r="U1624" s="9">
        <f>Table1[[#This Row], [TRC]]+Table1[[#This Row], [DRC]]+Table1[[#This Row], [WRC]]+Table1[[#This Row], [ERC]]+Table1[[#This Row], [EQRC]]</f>
        <v>7963572.1187499994</v>
      </c>
      <c r="V1624" s="9">
        <f>Table1[[#This Row], [TOTAL COST]]+_xlfn.XLOOKUP(Table1[[#This Row], [TEAM]],Sheet1!$A$12:$A$17,Sheet1!$I$12:$I$17)</f>
        <v>8267712.1187499994</v>
      </c>
      <c r="W1624" s="9">
        <f>Table1[[#This Row], [LOOT]]-Table1[[#This Row], [TOTAL COST]]</f>
        <v>9836427.8812500015</v>
      </c>
      <c r="X1624" s="4">
        <f>IF(Table1[[#This Row], [PASS/FAIL]]="FAIL",0,Table1[[#This Row], [PROFIT]])</f>
        <v>0</v>
      </c>
    </row>
    <row r="1625" spans="1:24" ht="19.5" customHeight="1" x14ac:dyDescent="0.45">
      <c r="A1625" t="s">
        <v>16</v>
      </c>
      <c r="B1625" s="14">
        <f>_xlfn.XLOOKUP(Table1[[#This Row], [TEAM]],Sheet1!$A$12:$A$17,Sheet1!$F$12:$F$17)</f>
        <v>2</v>
      </c>
      <c r="C1625" s="14">
        <f>_xlfn.XLOOKUP(Table1[[#This Row], [TEAM]],Sheet1!$A$12:$A$17,Sheet1!$G$12:$G$17)</f>
        <v>6082800</v>
      </c>
      <c r="D1625" t="s">
        <v>22</v>
      </c>
      <c r="E1625" s="4">
        <f>_xlfn.XLOOKUP(Table1[[#This Row], [ROOM]],Sheet1!$A$47:$A$66,Sheet1!$B$47:$B$66)</f>
        <v>235</v>
      </c>
      <c r="F1625" t="s">
        <v>58</v>
      </c>
      <c r="G162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5" s="13" t="s">
        <v>66</v>
      </c>
      <c r="I1625" s="4">
        <f>_xlfn.XLOOKUP(Table1[[#This Row], [WEAPON]],Sheet1!$A$27:$A$29,Sheet1!$B$27:$B$29)*Table1[[#This Row], [NUM OF MEM]]*(1+_xlfn.XLOOKUP(Table1[[#This Row], [WEAPON]],Sheet1!$A$27:$A$29,Sheet1!$C$27:$C$29))</f>
        <v>72000</v>
      </c>
      <c r="J1625" t="s">
        <v>64</v>
      </c>
      <c r="K1625" s="9">
        <f>Table1[[#This Row], [NUM OF MEM]]*Table1[[#This Row], [TOTAL TIME TAKEN]]*_xlfn.XLOOKUP(Table1[[#This Row], [EXIT]],Sheet1!$A$70:$A$71,Sheet1!$B$70:$B$71)*(1+_xlfn.XLOOKUP(Table1[[#This Row], [EXIT]],Sheet1!$A$70:$A$71,Sheet1!$C$70:$C$71))</f>
        <v>1800889.1999999997</v>
      </c>
      <c r="L1625" s="13" t="s">
        <v>61</v>
      </c>
      <c r="M1625" s="4">
        <f>IF(Table1[[#This Row], [EQUIPMENT]]="YES",Sheet1!$C$44*(1+Sheet1!$D$44),0)</f>
        <v>0</v>
      </c>
      <c r="N1625" s="4">
        <f>_xlfn.XLOOKUP(Table1[[#This Row], [ROOM]],Sheet1!$A$47:$A$66,Sheet1!$F$47:$F$66)</f>
        <v>17800000</v>
      </c>
      <c r="O1625" s="9">
        <f>_xlfn.XLOOKUP(_xlfn.CONCAT(Table1[[#This Row], [TEAM]],Table1[[#This Row], [ROOM]]),'ROOM TIME'!$H$2:$H$121,'ROOM TIME'!$J$2:$J$121)</f>
        <v>61.978749999999984</v>
      </c>
      <c r="P1625" s="9">
        <f>(INDEX(Sheet1!$X$48:$Z$67,MATCH(Table1[[#This Row], [ROOM]],Sheet1!$P$48:$P$67,0),MATCH(Table1[[#This Row], [WEAPON]],Sheet1!$X$47:$Z$47,0)))/Table1[[#This Row], [NUM OF MEM]]</f>
        <v>7.5</v>
      </c>
      <c r="Q1625" s="9">
        <f>Table1[[#This Row], [ROOM TIME]]+Table1[[#This Row], [GUARD TIME]]</f>
        <v>69.478749999999991</v>
      </c>
      <c r="R1625" s="4">
        <f>Sheet1!$K$3*_xlfn.XLOOKUP(Table1[[#This Row], [DISGUISE]],Sheet1!$A$21:$A$23,Sheet1!$D$21:$D$23)</f>
        <v>69</v>
      </c>
      <c r="S1625" s="9">
        <f>Table1[[#This Row], [TOTAL TIME]]-Table1[[#This Row], [TOTAL TIME TAKEN]]</f>
        <v>-0.47874999999999091</v>
      </c>
      <c r="T1625" t="str">
        <f>IF(Table1[[#This Row], [TIME DIFFERENCE]]&gt;=0,"PASS","FAIL")</f>
        <v>FAIL</v>
      </c>
      <c r="U1625" s="9">
        <f>Table1[[#This Row], [TRC]]+Table1[[#This Row], [DRC]]+Table1[[#This Row], [WRC]]+Table1[[#This Row], [ERC]]+Table1[[#This Row], [EQRC]]</f>
        <v>7981289.1999999993</v>
      </c>
      <c r="V1625" s="9">
        <f>Table1[[#This Row], [TOTAL COST]]+_xlfn.XLOOKUP(Table1[[#This Row], [TEAM]],Sheet1!$A$12:$A$17,Sheet1!$I$12:$I$17)</f>
        <v>8285429.1999999993</v>
      </c>
      <c r="W1625" s="9">
        <f>Table1[[#This Row], [LOOT]]-Table1[[#This Row], [TOTAL COST]]</f>
        <v>9818710.8000000007</v>
      </c>
      <c r="X1625" s="4">
        <f>IF(Table1[[#This Row], [PASS/FAIL]]="FAIL",0,Table1[[#This Row], [PROFIT]])</f>
        <v>0</v>
      </c>
    </row>
    <row r="1626" spans="1:24" ht="19.5" customHeight="1" x14ac:dyDescent="0.45">
      <c r="A1626" t="s">
        <v>14</v>
      </c>
      <c r="B1626" s="14">
        <f>_xlfn.XLOOKUP(Table1[[#This Row], [TEAM]],Sheet1!$A$12:$A$17,Sheet1!$F$12:$F$17)</f>
        <v>2</v>
      </c>
      <c r="C1626" s="14">
        <f>_xlfn.XLOOKUP(Table1[[#This Row], [TEAM]],Sheet1!$A$12:$A$17,Sheet1!$G$12:$G$17)</f>
        <v>5949600</v>
      </c>
      <c r="D1626" t="s">
        <v>18</v>
      </c>
      <c r="E1626" s="4">
        <f>_xlfn.XLOOKUP(Table1[[#This Row], [ROOM]],Sheet1!$A$47:$A$66,Sheet1!$B$47:$B$66)</f>
        <v>134</v>
      </c>
      <c r="F1626" t="s">
        <v>58</v>
      </c>
      <c r="G1626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6" s="13" t="s">
        <v>59</v>
      </c>
      <c r="I1626" s="4">
        <f>_xlfn.XLOOKUP(Table1[[#This Row], [WEAPON]],Sheet1!$A$27:$A$29,Sheet1!$B$27:$B$29)*Table1[[#This Row], [NUM OF MEM]]*(1+_xlfn.XLOOKUP(Table1[[#This Row], [WEAPON]],Sheet1!$A$27:$A$29,Sheet1!$C$27:$C$29))</f>
        <v>91000</v>
      </c>
      <c r="J1626" t="s">
        <v>60</v>
      </c>
      <c r="K1626" s="9">
        <f>Table1[[#This Row], [NUM OF MEM]]*Table1[[#This Row], [TOTAL TIME TAKEN]]*_xlfn.XLOOKUP(Table1[[#This Row], [EXIT]],Sheet1!$A$70:$A$71,Sheet1!$B$70:$B$71)*(1+_xlfn.XLOOKUP(Table1[[#This Row], [EXIT]],Sheet1!$A$70:$A$71,Sheet1!$C$70:$C$71))</f>
        <v>1776114.2437499999</v>
      </c>
      <c r="L1626" s="13" t="s">
        <v>65</v>
      </c>
      <c r="M1626" s="4">
        <f>IF(Table1[[#This Row], [EQUIPMENT]]="YES",Sheet1!$C$44*(1+Sheet1!$D$44),0)</f>
        <v>307500</v>
      </c>
      <c r="N1626" s="4">
        <f>_xlfn.XLOOKUP(Table1[[#This Row], [ROOM]],Sheet1!$A$47:$A$66,Sheet1!$F$47:$F$66)</f>
        <v>18050000</v>
      </c>
      <c r="O1626" s="9">
        <f>_xlfn.XLOOKUP(_xlfn.CONCAT(Table1[[#This Row], [TEAM]],Table1[[#This Row], [ROOM]]),'ROOM TIME'!$H$2:$H$121,'ROOM TIME'!$J$2:$J$121)</f>
        <v>62.303749999999994</v>
      </c>
      <c r="P1626" s="9">
        <f>(INDEX(Sheet1!$X$48:$Z$67,MATCH(Table1[[#This Row], [ROOM]],Sheet1!$P$48:$P$67,0),MATCH(Table1[[#This Row], [WEAPON]],Sheet1!$X$47:$Z$47,0)))/Table1[[#This Row], [NUM OF MEM]]</f>
        <v>6.8999999999999995</v>
      </c>
      <c r="Q1626" s="9">
        <f>Table1[[#This Row], [ROOM TIME]]+Table1[[#This Row], [GUARD TIME]]</f>
        <v>69.203749999999999</v>
      </c>
      <c r="R1626" s="4">
        <f>Sheet1!$K$3*_xlfn.XLOOKUP(Table1[[#This Row], [DISGUISE]],Sheet1!$A$21:$A$23,Sheet1!$D$21:$D$23)</f>
        <v>69</v>
      </c>
      <c r="S1626" s="9">
        <f>Table1[[#This Row], [TOTAL TIME]]-Table1[[#This Row], [TOTAL TIME TAKEN]]</f>
        <v>-0.20374999999999943</v>
      </c>
      <c r="T1626" t="str">
        <f>IF(Table1[[#This Row], [TIME DIFFERENCE]]&gt;=0,"PASS","FAIL")</f>
        <v>FAIL</v>
      </c>
      <c r="U1626" s="9">
        <f>Table1[[#This Row], [TRC]]+Table1[[#This Row], [DRC]]+Table1[[#This Row], [WRC]]+Table1[[#This Row], [ERC]]+Table1[[#This Row], [EQRC]]</f>
        <v>8149814.2437500004</v>
      </c>
      <c r="V1626" s="9">
        <f>Table1[[#This Row], [TOTAL COST]]+_xlfn.XLOOKUP(Table1[[#This Row], [TEAM]],Sheet1!$A$12:$A$17,Sheet1!$I$12:$I$17)</f>
        <v>8447294.2437500004</v>
      </c>
      <c r="W1626" s="9">
        <f>Table1[[#This Row], [LOOT]]-Table1[[#This Row], [TOTAL COST]]</f>
        <v>9900185.7562499996</v>
      </c>
      <c r="X1626" s="4">
        <f>IF(Table1[[#This Row], [PASS/FAIL]]="FAIL",0,Table1[[#This Row], [PROFIT]])</f>
        <v>0</v>
      </c>
    </row>
    <row r="1627" spans="1:24" ht="19.5" customHeight="1" x14ac:dyDescent="0.45">
      <c r="A1627" t="s">
        <v>14</v>
      </c>
      <c r="B1627" s="14">
        <f>_xlfn.XLOOKUP(Table1[[#This Row], [TEAM]],Sheet1!$A$12:$A$17,Sheet1!$F$12:$F$17)</f>
        <v>2</v>
      </c>
      <c r="C1627" s="14">
        <f>_xlfn.XLOOKUP(Table1[[#This Row], [TEAM]],Sheet1!$A$12:$A$17,Sheet1!$G$12:$G$17)</f>
        <v>5949600</v>
      </c>
      <c r="D1627" t="s">
        <v>18</v>
      </c>
      <c r="E1627" s="4">
        <f>_xlfn.XLOOKUP(Table1[[#This Row], [ROOM]],Sheet1!$A$47:$A$66,Sheet1!$B$47:$B$66)</f>
        <v>134</v>
      </c>
      <c r="F1627" t="s">
        <v>58</v>
      </c>
      <c r="G162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7" s="13" t="s">
        <v>59</v>
      </c>
      <c r="I1627" s="4">
        <f>_xlfn.XLOOKUP(Table1[[#This Row], [WEAPON]],Sheet1!$A$27:$A$29,Sheet1!$B$27:$B$29)*Table1[[#This Row], [NUM OF MEM]]*(1+_xlfn.XLOOKUP(Table1[[#This Row], [WEAPON]],Sheet1!$A$27:$A$29,Sheet1!$C$27:$C$29))</f>
        <v>91000</v>
      </c>
      <c r="J1627" t="s">
        <v>64</v>
      </c>
      <c r="K1627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1793761.2</v>
      </c>
      <c r="L1627" s="13" t="s">
        <v>65</v>
      </c>
      <c r="M1627" s="4">
        <f>IF(Table1[[#This Row], [EQUIPMENT]]="YES",Sheet1!$C$44*(1+Sheet1!$D$44),0)</f>
        <v>307500</v>
      </c>
      <c r="N1627" s="4">
        <f>_xlfn.XLOOKUP(Table1[[#This Row], [ROOM]],Sheet1!$A$47:$A$66,Sheet1!$F$47:$F$66)</f>
        <v>18050000</v>
      </c>
      <c r="O1627" s="9">
        <f>_xlfn.XLOOKUP(_xlfn.CONCAT(Table1[[#This Row], [TEAM]],Table1[[#This Row], [ROOM]]),'ROOM TIME'!$H$2:$H$121,'ROOM TIME'!$J$2:$J$121)</f>
        <v>62.303749999999994</v>
      </c>
      <c r="P1627" s="9">
        <f>(INDEX(Sheet1!$X$48:$Z$67,MATCH(Table1[[#This Row], [ROOM]],Sheet1!$P$48:$P$67,0),MATCH(Table1[[#This Row], [WEAPON]],Sheet1!$X$47:$Z$47,0)))/Table1[[#This Row], [NUM OF MEM]]</f>
        <v>6.8999999999999995</v>
      </c>
      <c r="Q1627" s="9">
        <f>Table1[[#This Row], [ROOM TIME]]+Table1[[#This Row], [GUARD TIME]]</f>
        <v>69.203749999999999</v>
      </c>
      <c r="R1627" s="4">
        <f>Sheet1!$K$3*_xlfn.XLOOKUP(Table1[[#This Row], [DISGUISE]],Sheet1!$A$21:$A$23,Sheet1!$D$21:$D$23)</f>
        <v>69</v>
      </c>
      <c r="S1627" s="9">
        <f>Table1[[#This Row], [TOTAL TIME]]-Table1[[#This Row], [TOTAL TIME TAKEN]]</f>
        <v>-0.20374999999999943</v>
      </c>
      <c r="T1627" t="str">
        <f>IF(Table1[[#This Row], [TIME DIFFERENCE]]&gt;=0,"PASS","FAIL")</f>
        <v>FAIL</v>
      </c>
      <c r="U1627" s="9">
        <f>Table1[[#This Row], [TRC]]+Table1[[#This Row], [DRC]]+Table1[[#This Row], [WRC]]+Table1[[#This Row], [ERC]]+Table1[[#This Row], [EQRC]]</f>
        <v>8167461.2000000002</v>
      </c>
      <c r="V1627" s="9">
        <f>Table1[[#This Row], [TOTAL COST]]+_xlfn.XLOOKUP(Table1[[#This Row], [TEAM]],Sheet1!$A$12:$A$17,Sheet1!$I$12:$I$17)</f>
        <v>8464941.1999999993</v>
      </c>
      <c r="W1627" s="9">
        <f>Table1[[#This Row], [LOOT]]-Table1[[#This Row], [TOTAL COST]]</f>
        <v>9882538.8000000007</v>
      </c>
      <c r="X1627" s="4">
        <f>IF(Table1[[#This Row], [PASS/FAIL]]="FAIL",0,Table1[[#This Row], [PROFIT]])</f>
        <v>0</v>
      </c>
    </row>
    <row r="1628" spans="1:24" ht="19.5" customHeight="1" x14ac:dyDescent="0.45">
      <c r="A1628" t="s">
        <v>16</v>
      </c>
      <c r="B1628" s="14">
        <f>_xlfn.XLOOKUP(Table1[[#This Row], [TEAM]],Sheet1!$A$12:$A$17,Sheet1!$F$12:$F$17)</f>
        <v>2</v>
      </c>
      <c r="C1628" s="14">
        <f>_xlfn.XLOOKUP(Table1[[#This Row], [TEAM]],Sheet1!$A$12:$A$17,Sheet1!$G$12:$G$17)</f>
        <v>6082800</v>
      </c>
      <c r="D1628" t="s">
        <v>18</v>
      </c>
      <c r="E1628" s="4">
        <f>_xlfn.XLOOKUP(Table1[[#This Row], [ROOM]],Sheet1!$A$47:$A$66,Sheet1!$B$47:$B$66)</f>
        <v>134</v>
      </c>
      <c r="F1628" t="s">
        <v>58</v>
      </c>
      <c r="G1628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8" s="13" t="s">
        <v>66</v>
      </c>
      <c r="I1628" s="4">
        <f>_xlfn.XLOOKUP(Table1[[#This Row], [WEAPON]],Sheet1!$A$27:$A$29,Sheet1!$B$27:$B$29)*Table1[[#This Row], [NUM OF MEM]]*(1+_xlfn.XLOOKUP(Table1[[#This Row], [WEAPON]],Sheet1!$A$27:$A$29,Sheet1!$C$27:$C$29))</f>
        <v>72000</v>
      </c>
      <c r="J1628" t="s">
        <v>60</v>
      </c>
      <c r="K1628" s="9">
        <f>Table1[[#This Row], [NUM OF MEM]]*Table1[[#This Row], [TOTAL TIME TAKEN]]*_xlfn.XLOOKUP(Table1[[#This Row], [EXIT]],Sheet1!$A$70:$A$71,Sheet1!$B$70:$B$71)*(1+_xlfn.XLOOKUP(Table1[[#This Row], [EXIT]],Sheet1!$A$70:$A$71,Sheet1!$C$70:$C$71))</f>
        <v>1773451.4999999993</v>
      </c>
      <c r="L1628" s="13" t="s">
        <v>65</v>
      </c>
      <c r="M1628" s="4">
        <f>IF(Table1[[#This Row], [EQUIPMENT]]="YES",Sheet1!$C$44*(1+Sheet1!$D$44),0)</f>
        <v>307500</v>
      </c>
      <c r="N1628" s="4">
        <f>_xlfn.XLOOKUP(Table1[[#This Row], [ROOM]],Sheet1!$A$47:$A$66,Sheet1!$F$47:$F$66)</f>
        <v>18050000</v>
      </c>
      <c r="O1628" s="9">
        <f>_xlfn.XLOOKUP(_xlfn.CONCAT(Table1[[#This Row], [TEAM]],Table1[[#This Row], [ROOM]]),'ROOM TIME'!$H$2:$H$121,'ROOM TIME'!$J$2:$J$121)</f>
        <v>61.59999999999998</v>
      </c>
      <c r="P1628" s="9">
        <f>(INDEX(Sheet1!$X$48:$Z$67,MATCH(Table1[[#This Row], [ROOM]],Sheet1!$P$48:$P$67,0),MATCH(Table1[[#This Row], [WEAPON]],Sheet1!$X$47:$Z$47,0)))/Table1[[#This Row], [NUM OF MEM]]</f>
        <v>7.5</v>
      </c>
      <c r="Q1628" s="9">
        <f>Table1[[#This Row], [ROOM TIME]]+Table1[[#This Row], [GUARD TIME]]</f>
        <v>69.09999999999998</v>
      </c>
      <c r="R1628" s="4">
        <f>Sheet1!$K$3*_xlfn.XLOOKUP(Table1[[#This Row], [DISGUISE]],Sheet1!$A$21:$A$23,Sheet1!$D$21:$D$23)</f>
        <v>69</v>
      </c>
      <c r="S1628" s="9">
        <f>Table1[[#This Row], [TOTAL TIME]]-Table1[[#This Row], [TOTAL TIME TAKEN]]</f>
        <v>-9.9999999999980105E-2</v>
      </c>
      <c r="T1628" t="str">
        <f>IF(Table1[[#This Row], [TIME DIFFERENCE]]&gt;=0,"PASS","FAIL")</f>
        <v>FAIL</v>
      </c>
      <c r="U1628" s="9">
        <f>Table1[[#This Row], [TRC]]+Table1[[#This Row], [DRC]]+Table1[[#This Row], [WRC]]+Table1[[#This Row], [ERC]]+Table1[[#This Row], [EQRC]]</f>
        <v>8261351.4999999991</v>
      </c>
      <c r="V1628" s="9">
        <f>Table1[[#This Row], [TOTAL COST]]+_xlfn.XLOOKUP(Table1[[#This Row], [TEAM]],Sheet1!$A$12:$A$17,Sheet1!$I$12:$I$17)</f>
        <v>8565491.5</v>
      </c>
      <c r="W1628" s="9">
        <f>Table1[[#This Row], [LOOT]]-Table1[[#This Row], [TOTAL COST]]</f>
        <v>9788648.5</v>
      </c>
      <c r="X1628" s="4">
        <f>IF(Table1[[#This Row], [PASS/FAIL]]="FAIL",0,Table1[[#This Row], [PROFIT]])</f>
        <v>0</v>
      </c>
    </row>
    <row r="1629" spans="1:24" ht="19.5" customHeight="1" x14ac:dyDescent="0.45">
      <c r="A1629" t="s">
        <v>16</v>
      </c>
      <c r="B1629" s="14">
        <f>_xlfn.XLOOKUP(Table1[[#This Row], [TEAM]],Sheet1!$A$12:$A$17,Sheet1!$F$12:$F$17)</f>
        <v>2</v>
      </c>
      <c r="C1629" s="14">
        <f>_xlfn.XLOOKUP(Table1[[#This Row], [TEAM]],Sheet1!$A$12:$A$17,Sheet1!$G$12:$G$17)</f>
        <v>6082800</v>
      </c>
      <c r="D1629" t="s">
        <v>18</v>
      </c>
      <c r="E1629" s="4">
        <f>_xlfn.XLOOKUP(Table1[[#This Row], [ROOM]],Sheet1!$A$47:$A$66,Sheet1!$B$47:$B$66)</f>
        <v>134</v>
      </c>
      <c r="F1629" t="s">
        <v>58</v>
      </c>
      <c r="G16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29" s="13" t="s">
        <v>66</v>
      </c>
      <c r="I1629" s="4">
        <f>_xlfn.XLOOKUP(Table1[[#This Row], [WEAPON]],Sheet1!$A$27:$A$29,Sheet1!$B$27:$B$29)*Table1[[#This Row], [NUM OF MEM]]*(1+_xlfn.XLOOKUP(Table1[[#This Row], [WEAPON]],Sheet1!$A$27:$A$29,Sheet1!$C$27:$C$29))</f>
        <v>72000</v>
      </c>
      <c r="J1629" t="s">
        <v>64</v>
      </c>
      <c r="K1629" s="9">
        <f>Table1[[#This Row], [NUM OF MEM]]*Table1[[#This Row], [TOTAL TIME TAKEN]]*_xlfn.XLOOKUP(Table1[[#This Row], [EXIT]],Sheet1!$A$70:$A$71,Sheet1!$B$70:$B$71)*(1+_xlfn.XLOOKUP(Table1[[#This Row], [EXIT]],Sheet1!$A$70:$A$71,Sheet1!$C$70:$C$71))</f>
        <v>1791071.9999999993</v>
      </c>
      <c r="L1629" s="13" t="s">
        <v>65</v>
      </c>
      <c r="M1629" s="4">
        <f>IF(Table1[[#This Row], [EQUIPMENT]]="YES",Sheet1!$C$44*(1+Sheet1!$D$44),0)</f>
        <v>307500</v>
      </c>
      <c r="N1629" s="4">
        <f>_xlfn.XLOOKUP(Table1[[#This Row], [ROOM]],Sheet1!$A$47:$A$66,Sheet1!$F$47:$F$66)</f>
        <v>18050000</v>
      </c>
      <c r="O1629" s="9">
        <f>_xlfn.XLOOKUP(_xlfn.CONCAT(Table1[[#This Row], [TEAM]],Table1[[#This Row], [ROOM]]),'ROOM TIME'!$H$2:$H$121,'ROOM TIME'!$J$2:$J$121)</f>
        <v>61.59999999999998</v>
      </c>
      <c r="P1629" s="9">
        <f>(INDEX(Sheet1!$X$48:$Z$67,MATCH(Table1[[#This Row], [ROOM]],Sheet1!$P$48:$P$67,0),MATCH(Table1[[#This Row], [WEAPON]],Sheet1!$X$47:$Z$47,0)))/Table1[[#This Row], [NUM OF MEM]]</f>
        <v>7.5</v>
      </c>
      <c r="Q1629" s="9">
        <f>Table1[[#This Row], [ROOM TIME]]+Table1[[#This Row], [GUARD TIME]]</f>
        <v>69.09999999999998</v>
      </c>
      <c r="R1629" s="4">
        <f>Sheet1!$K$3*_xlfn.XLOOKUP(Table1[[#This Row], [DISGUISE]],Sheet1!$A$21:$A$23,Sheet1!$D$21:$D$23)</f>
        <v>69</v>
      </c>
      <c r="S1629" s="9">
        <f>Table1[[#This Row], [TOTAL TIME]]-Table1[[#This Row], [TOTAL TIME TAKEN]]</f>
        <v>-9.9999999999980105E-2</v>
      </c>
      <c r="T1629" t="str">
        <f>IF(Table1[[#This Row], [TIME DIFFERENCE]]&gt;=0,"PASS","FAIL")</f>
        <v>FAIL</v>
      </c>
      <c r="U1629" s="9">
        <f>Table1[[#This Row], [TRC]]+Table1[[#This Row], [DRC]]+Table1[[#This Row], [WRC]]+Table1[[#This Row], [ERC]]+Table1[[#This Row], [EQRC]]</f>
        <v>8278971.9999999991</v>
      </c>
      <c r="V1629" s="4">
        <f>Table1[[#This Row], [TOTAL COST]]+_xlfn.XLOOKUP(Table1[[#This Row], [TEAM]],Sheet1!$A$12:$A$17,Sheet1!$I$12:$I$17)</f>
        <v>8583112</v>
      </c>
      <c r="W1629" s="4">
        <f>Table1[[#This Row], [LOOT]]-Table1[[#This Row], [TOTAL COST]]</f>
        <v>9771028</v>
      </c>
      <c r="X1629" s="4">
        <f>IF(Table1[[#This Row], [PASS/FAIL]]="FAIL",0,Table1[[#This Row], [PROFIT]])</f>
        <v>0</v>
      </c>
    </row>
    <row r="1630" spans="1:24" ht="19.5" customHeight="1" x14ac:dyDescent="0.45">
      <c r="A1630" t="s">
        <v>15</v>
      </c>
      <c r="B1630" s="14">
        <f>_xlfn.XLOOKUP(Table1[[#This Row], [TEAM]],Sheet1!$A$12:$A$17,Sheet1!$F$12:$F$17)</f>
        <v>2</v>
      </c>
      <c r="C1630" s="14">
        <f>_xlfn.XLOOKUP(Table1[[#This Row], [TEAM]],Sheet1!$A$12:$A$17,Sheet1!$G$12:$G$17)</f>
        <v>5932950</v>
      </c>
      <c r="D1630" t="s">
        <v>22</v>
      </c>
      <c r="E1630" s="4">
        <f>_xlfn.XLOOKUP(Table1[[#This Row], [ROOM]],Sheet1!$A$47:$A$66,Sheet1!$B$47:$B$66)</f>
        <v>235</v>
      </c>
      <c r="F1630" t="s">
        <v>58</v>
      </c>
      <c r="G1630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0" s="13" t="s">
        <v>59</v>
      </c>
      <c r="I1630" s="4">
        <f>_xlfn.XLOOKUP(Table1[[#This Row], [WEAPON]],Sheet1!$A$27:$A$29,Sheet1!$B$27:$B$29)*Table1[[#This Row], [NUM OF MEM]]*(1+_xlfn.XLOOKUP(Table1[[#This Row], [WEAPON]],Sheet1!$A$27:$A$29,Sheet1!$C$27:$C$29))</f>
        <v>91000</v>
      </c>
      <c r="J1630" t="s">
        <v>60</v>
      </c>
      <c r="K1630" s="9">
        <f>Table1[[#This Row], [NUM OF MEM]]*Table1[[#This Row], [TOTAL TIME TAKEN]]*_xlfn.XLOOKUP(Table1[[#This Row], [EXIT]],Sheet1!$A$70:$A$71,Sheet1!$B$70:$B$71)*(1+_xlfn.XLOOKUP(Table1[[#This Row], [EXIT]],Sheet1!$A$70:$A$71,Sheet1!$C$70:$C$71))</f>
        <v>1778392.0124999993</v>
      </c>
      <c r="L1630" s="13" t="s">
        <v>65</v>
      </c>
      <c r="M1630" s="4">
        <f>IF(Table1[[#This Row], [EQUIPMENT]]="YES",Sheet1!$C$44*(1+Sheet1!$D$44),0)</f>
        <v>307500</v>
      </c>
      <c r="N1630" s="4">
        <f>_xlfn.XLOOKUP(Table1[[#This Row], [ROOM]],Sheet1!$A$47:$A$66,Sheet1!$F$47:$F$66)</f>
        <v>17800000</v>
      </c>
      <c r="O1630" s="9">
        <f>_xlfn.XLOOKUP(_xlfn.CONCAT(Table1[[#This Row], [TEAM]],Table1[[#This Row], [ROOM]]),'ROOM TIME'!$H$2:$H$121,'ROOM TIME'!$J$2:$J$121)</f>
        <v>62.392499999999977</v>
      </c>
      <c r="P1630" s="9">
        <f>(INDEX(Sheet1!$X$48:$Z$67,MATCH(Table1[[#This Row], [ROOM]],Sheet1!$P$48:$P$67,0),MATCH(Table1[[#This Row], [WEAPON]],Sheet1!$X$47:$Z$47,0)))/Table1[[#This Row], [NUM OF MEM]]</f>
        <v>6.8999999999999995</v>
      </c>
      <c r="Q1630" s="9">
        <f>Table1[[#This Row], [ROOM TIME]]+Table1[[#This Row], [GUARD TIME]]</f>
        <v>69.292499999999976</v>
      </c>
      <c r="R1630" s="4">
        <f>Sheet1!$K$3*_xlfn.XLOOKUP(Table1[[#This Row], [DISGUISE]],Sheet1!$A$21:$A$23,Sheet1!$D$21:$D$23)</f>
        <v>69</v>
      </c>
      <c r="S1630" s="9">
        <f>Table1[[#This Row], [TOTAL TIME]]-Table1[[#This Row], [TOTAL TIME TAKEN]]</f>
        <v>-0.29249999999997556</v>
      </c>
      <c r="T1630" t="str">
        <f>IF(Table1[[#This Row], [TIME DIFFERENCE]]&gt;=0,"PASS","FAIL")</f>
        <v>FAIL</v>
      </c>
      <c r="U1630" s="9">
        <f>Table1[[#This Row], [TRC]]+Table1[[#This Row], [DRC]]+Table1[[#This Row], [WRC]]+Table1[[#This Row], [ERC]]+Table1[[#This Row], [EQRC]]</f>
        <v>8135442.0124999993</v>
      </c>
      <c r="V1630" s="9">
        <f>Table1[[#This Row], [TOTAL COST]]+_xlfn.XLOOKUP(Table1[[#This Row], [TEAM]],Sheet1!$A$12:$A$17,Sheet1!$I$12:$I$17)</f>
        <v>8432089.5124999993</v>
      </c>
      <c r="W1630" s="9">
        <f>Table1[[#This Row], [LOOT]]-Table1[[#This Row], [TOTAL COST]]</f>
        <v>9664557.9875000007</v>
      </c>
      <c r="X1630" s="4">
        <f>IF(Table1[[#This Row], [PASS/FAIL]]="FAIL",0,Table1[[#This Row], [PROFIT]])</f>
        <v>0</v>
      </c>
    </row>
    <row r="1631" spans="1:24" ht="19.5" customHeight="1" x14ac:dyDescent="0.45">
      <c r="A1631" t="s">
        <v>15</v>
      </c>
      <c r="B1631" s="14">
        <f>_xlfn.XLOOKUP(Table1[[#This Row], [TEAM]],Sheet1!$A$12:$A$17,Sheet1!$F$12:$F$17)</f>
        <v>2</v>
      </c>
      <c r="C1631" s="14">
        <f>_xlfn.XLOOKUP(Table1[[#This Row], [TEAM]],Sheet1!$A$12:$A$17,Sheet1!$G$12:$G$17)</f>
        <v>5932950</v>
      </c>
      <c r="D1631" t="s">
        <v>22</v>
      </c>
      <c r="E1631" s="4">
        <f>_xlfn.XLOOKUP(Table1[[#This Row], [ROOM]],Sheet1!$A$47:$A$66,Sheet1!$B$47:$B$66)</f>
        <v>235</v>
      </c>
      <c r="F1631" t="s">
        <v>58</v>
      </c>
      <c r="G163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1" s="13" t="s">
        <v>59</v>
      </c>
      <c r="I1631" s="4">
        <f>_xlfn.XLOOKUP(Table1[[#This Row], [WEAPON]],Sheet1!$A$27:$A$29,Sheet1!$B$27:$B$29)*Table1[[#This Row], [NUM OF MEM]]*(1+_xlfn.XLOOKUP(Table1[[#This Row], [WEAPON]],Sheet1!$A$27:$A$29,Sheet1!$C$27:$C$29))</f>
        <v>91000</v>
      </c>
      <c r="J1631" t="s">
        <v>64</v>
      </c>
      <c r="K1631" s="9">
        <f>Table1[[#This Row], [NUM OF MEM]]*Table1[[#This Row], [TOTAL TIME TAKEN]]*_xlfn.XLOOKUP(Table1[[#This Row], [EXIT]],Sheet1!$A$70:$A$71,Sheet1!$B$70:$B$71)*(1+_xlfn.XLOOKUP(Table1[[#This Row], [EXIT]],Sheet1!$A$70:$A$71,Sheet1!$C$70:$C$71))</f>
        <v>1796061.5999999994</v>
      </c>
      <c r="L1631" s="13" t="s">
        <v>65</v>
      </c>
      <c r="M1631" s="4">
        <f>IF(Table1[[#This Row], [EQUIPMENT]]="YES",Sheet1!$C$44*(1+Sheet1!$D$44),0)</f>
        <v>307500</v>
      </c>
      <c r="N1631" s="4">
        <f>_xlfn.XLOOKUP(Table1[[#This Row], [ROOM]],Sheet1!$A$47:$A$66,Sheet1!$F$47:$F$66)</f>
        <v>17800000</v>
      </c>
      <c r="O1631" s="9">
        <f>_xlfn.XLOOKUP(_xlfn.CONCAT(Table1[[#This Row], [TEAM]],Table1[[#This Row], [ROOM]]),'ROOM TIME'!$H$2:$H$121,'ROOM TIME'!$J$2:$J$121)</f>
        <v>62.392499999999977</v>
      </c>
      <c r="P1631" s="9">
        <f>(INDEX(Sheet1!$X$48:$Z$67,MATCH(Table1[[#This Row], [ROOM]],Sheet1!$P$48:$P$67,0),MATCH(Table1[[#This Row], [WEAPON]],Sheet1!$X$47:$Z$47,0)))/Table1[[#This Row], [NUM OF MEM]]</f>
        <v>6.8999999999999995</v>
      </c>
      <c r="Q1631" s="9">
        <f>Table1[[#This Row], [ROOM TIME]]+Table1[[#This Row], [GUARD TIME]]</f>
        <v>69.292499999999976</v>
      </c>
      <c r="R1631" s="4">
        <f>Sheet1!$K$3*_xlfn.XLOOKUP(Table1[[#This Row], [DISGUISE]],Sheet1!$A$21:$A$23,Sheet1!$D$21:$D$23)</f>
        <v>69</v>
      </c>
      <c r="S1631" s="9">
        <f>Table1[[#This Row], [TOTAL TIME]]-Table1[[#This Row], [TOTAL TIME TAKEN]]</f>
        <v>-0.29249999999997556</v>
      </c>
      <c r="T1631" t="str">
        <f>IF(Table1[[#This Row], [TIME DIFFERENCE]]&gt;=0,"PASS","FAIL")</f>
        <v>FAIL</v>
      </c>
      <c r="U1631" s="9">
        <f>Table1[[#This Row], [TRC]]+Table1[[#This Row], [DRC]]+Table1[[#This Row], [WRC]]+Table1[[#This Row], [ERC]]+Table1[[#This Row], [EQRC]]</f>
        <v>8153111.5999999996</v>
      </c>
      <c r="V1631" s="9">
        <f>Table1[[#This Row], [TOTAL COST]]+_xlfn.XLOOKUP(Table1[[#This Row], [TEAM]],Sheet1!$A$12:$A$17,Sheet1!$I$12:$I$17)</f>
        <v>8449759.0999999996</v>
      </c>
      <c r="W1631" s="9">
        <f>Table1[[#This Row], [LOOT]]-Table1[[#This Row], [TOTAL COST]]</f>
        <v>9646888.4000000004</v>
      </c>
      <c r="X1631" s="4">
        <f>IF(Table1[[#This Row], [PASS/FAIL]]="FAIL",0,Table1[[#This Row], [PROFIT]])</f>
        <v>0</v>
      </c>
    </row>
    <row r="1632" spans="1:24" ht="19.5" customHeight="1" x14ac:dyDescent="0.45">
      <c r="A1632" t="s">
        <v>14</v>
      </c>
      <c r="B1632" s="14">
        <f>_xlfn.XLOOKUP(Table1[[#This Row], [TEAM]],Sheet1!$A$12:$A$17,Sheet1!$F$12:$F$17)</f>
        <v>2</v>
      </c>
      <c r="C1632" s="14">
        <f>_xlfn.XLOOKUP(Table1[[#This Row], [TEAM]],Sheet1!$A$12:$A$17,Sheet1!$G$12:$G$17)</f>
        <v>5949600</v>
      </c>
      <c r="D1632" t="s">
        <v>22</v>
      </c>
      <c r="E1632" s="4">
        <f>_xlfn.XLOOKUP(Table1[[#This Row], [ROOM]],Sheet1!$A$47:$A$66,Sheet1!$B$47:$B$66)</f>
        <v>235</v>
      </c>
      <c r="F1632" t="s">
        <v>58</v>
      </c>
      <c r="G1632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2" s="13" t="s">
        <v>59</v>
      </c>
      <c r="I1632" s="4">
        <f>_xlfn.XLOOKUP(Table1[[#This Row], [WEAPON]],Sheet1!$A$27:$A$29,Sheet1!$B$27:$B$29)*Table1[[#This Row], [NUM OF MEM]]*(1+_xlfn.XLOOKUP(Table1[[#This Row], [WEAPON]],Sheet1!$A$27:$A$29,Sheet1!$C$27:$C$29))</f>
        <v>91000</v>
      </c>
      <c r="J1632" t="s">
        <v>60</v>
      </c>
      <c r="K1632" s="9">
        <f>Table1[[#This Row], [NUM OF MEM]]*Table1[[#This Row], [TOTAL TIME TAKEN]]*_xlfn.XLOOKUP(Table1[[#This Row], [EXIT]],Sheet1!$A$70:$A$71,Sheet1!$B$70:$B$71)*(1+_xlfn.XLOOKUP(Table1[[#This Row], [EXIT]],Sheet1!$A$70:$A$71,Sheet1!$C$70:$C$71))</f>
        <v>1780477.2937499997</v>
      </c>
      <c r="L1632" s="13" t="s">
        <v>65</v>
      </c>
      <c r="M1632" s="4">
        <f>IF(Table1[[#This Row], [EQUIPMENT]]="YES",Sheet1!$C$44*(1+Sheet1!$D$44),0)</f>
        <v>307500</v>
      </c>
      <c r="N1632" s="4">
        <f>_xlfn.XLOOKUP(Table1[[#This Row], [ROOM]],Sheet1!$A$47:$A$66,Sheet1!$F$47:$F$66)</f>
        <v>17800000</v>
      </c>
      <c r="O1632" s="9">
        <f>_xlfn.XLOOKUP(_xlfn.CONCAT(Table1[[#This Row], [TEAM]],Table1[[#This Row], [ROOM]]),'ROOM TIME'!$H$2:$H$121,'ROOM TIME'!$J$2:$J$121)</f>
        <v>62.473749999999981</v>
      </c>
      <c r="P1632" s="9">
        <f>(INDEX(Sheet1!$X$48:$Z$67,MATCH(Table1[[#This Row], [ROOM]],Sheet1!$P$48:$P$67,0),MATCH(Table1[[#This Row], [WEAPON]],Sheet1!$X$47:$Z$47,0)))/Table1[[#This Row], [NUM OF MEM]]</f>
        <v>6.8999999999999995</v>
      </c>
      <c r="Q1632" s="9">
        <f>Table1[[#This Row], [ROOM TIME]]+Table1[[#This Row], [GUARD TIME]]</f>
        <v>69.373749999999987</v>
      </c>
      <c r="R1632" s="4">
        <f>Sheet1!$K$3*_xlfn.XLOOKUP(Table1[[#This Row], [DISGUISE]],Sheet1!$A$21:$A$23,Sheet1!$D$21:$D$23)</f>
        <v>69</v>
      </c>
      <c r="S1632" s="9">
        <f>Table1[[#This Row], [TOTAL TIME]]-Table1[[#This Row], [TOTAL TIME TAKEN]]</f>
        <v>-0.37374999999998693</v>
      </c>
      <c r="T1632" t="str">
        <f>IF(Table1[[#This Row], [TIME DIFFERENCE]]&gt;=0,"PASS","FAIL")</f>
        <v>FAIL</v>
      </c>
      <c r="U1632" s="9">
        <f>Table1[[#This Row], [TRC]]+Table1[[#This Row], [DRC]]+Table1[[#This Row], [WRC]]+Table1[[#This Row], [ERC]]+Table1[[#This Row], [EQRC]]</f>
        <v>8154177.2937499993</v>
      </c>
      <c r="V1632" s="9">
        <f>Table1[[#This Row], [TOTAL COST]]+_xlfn.XLOOKUP(Table1[[#This Row], [TEAM]],Sheet1!$A$12:$A$17,Sheet1!$I$12:$I$17)</f>
        <v>8451657.2937499993</v>
      </c>
      <c r="W1632" s="9">
        <f>Table1[[#This Row], [LOOT]]-Table1[[#This Row], [TOTAL COST]]</f>
        <v>9645822.7062500007</v>
      </c>
      <c r="X1632" s="4">
        <f>IF(Table1[[#This Row], [PASS/FAIL]]="FAIL",0,Table1[[#This Row], [PROFIT]])</f>
        <v>0</v>
      </c>
    </row>
    <row r="1633" spans="1:24" ht="19.5" customHeight="1" x14ac:dyDescent="0.45">
      <c r="A1633" t="s">
        <v>14</v>
      </c>
      <c r="B1633" s="14">
        <f>_xlfn.XLOOKUP(Table1[[#This Row], [TEAM]],Sheet1!$A$12:$A$17,Sheet1!$F$12:$F$17)</f>
        <v>2</v>
      </c>
      <c r="C1633" s="14">
        <f>_xlfn.XLOOKUP(Table1[[#This Row], [TEAM]],Sheet1!$A$12:$A$17,Sheet1!$G$12:$G$17)</f>
        <v>5949600</v>
      </c>
      <c r="D1633" t="s">
        <v>22</v>
      </c>
      <c r="E1633" s="4">
        <f>_xlfn.XLOOKUP(Table1[[#This Row], [ROOM]],Sheet1!$A$47:$A$66,Sheet1!$B$47:$B$66)</f>
        <v>235</v>
      </c>
      <c r="F1633" t="s">
        <v>58</v>
      </c>
      <c r="G163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3" s="13" t="s">
        <v>59</v>
      </c>
      <c r="I1633" s="4">
        <f>_xlfn.XLOOKUP(Table1[[#This Row], [WEAPON]],Sheet1!$A$27:$A$29,Sheet1!$B$27:$B$29)*Table1[[#This Row], [NUM OF MEM]]*(1+_xlfn.XLOOKUP(Table1[[#This Row], [WEAPON]],Sheet1!$A$27:$A$29,Sheet1!$C$27:$C$29))</f>
        <v>91000</v>
      </c>
      <c r="J1633" t="s">
        <v>64</v>
      </c>
      <c r="K1633" s="9">
        <f>Table1[[#This Row], [NUM OF MEM]]*Table1[[#This Row], [TOTAL TIME TAKEN]]*_xlfn.XLOOKUP(Table1[[#This Row], [EXIT]],Sheet1!$A$70:$A$71,Sheet1!$B$70:$B$71)*(1+_xlfn.XLOOKUP(Table1[[#This Row], [EXIT]],Sheet1!$A$70:$A$71,Sheet1!$C$70:$C$71))</f>
        <v>1798167.5999999996</v>
      </c>
      <c r="L1633" s="13" t="s">
        <v>65</v>
      </c>
      <c r="M1633" s="4">
        <f>IF(Table1[[#This Row], [EQUIPMENT]]="YES",Sheet1!$C$44*(1+Sheet1!$D$44),0)</f>
        <v>307500</v>
      </c>
      <c r="N1633" s="4">
        <f>_xlfn.XLOOKUP(Table1[[#This Row], [ROOM]],Sheet1!$A$47:$A$66,Sheet1!$F$47:$F$66)</f>
        <v>17800000</v>
      </c>
      <c r="O1633" s="9">
        <f>_xlfn.XLOOKUP(_xlfn.CONCAT(Table1[[#This Row], [TEAM]],Table1[[#This Row], [ROOM]]),'ROOM TIME'!$H$2:$H$121,'ROOM TIME'!$J$2:$J$121)</f>
        <v>62.473749999999981</v>
      </c>
      <c r="P1633" s="9">
        <f>(INDEX(Sheet1!$X$48:$Z$67,MATCH(Table1[[#This Row], [ROOM]],Sheet1!$P$48:$P$67,0),MATCH(Table1[[#This Row], [WEAPON]],Sheet1!$X$47:$Z$47,0)))/Table1[[#This Row], [NUM OF MEM]]</f>
        <v>6.8999999999999995</v>
      </c>
      <c r="Q1633" s="9">
        <f>Table1[[#This Row], [ROOM TIME]]+Table1[[#This Row], [GUARD TIME]]</f>
        <v>69.373749999999987</v>
      </c>
      <c r="R1633" s="4">
        <f>Sheet1!$K$3*_xlfn.XLOOKUP(Table1[[#This Row], [DISGUISE]],Sheet1!$A$21:$A$23,Sheet1!$D$21:$D$23)</f>
        <v>69</v>
      </c>
      <c r="S1633" s="9">
        <f>Table1[[#This Row], [TOTAL TIME]]-Table1[[#This Row], [TOTAL TIME TAKEN]]</f>
        <v>-0.37374999999998693</v>
      </c>
      <c r="T1633" t="str">
        <f>IF(Table1[[#This Row], [TIME DIFFERENCE]]&gt;=0,"PASS","FAIL")</f>
        <v>FAIL</v>
      </c>
      <c r="U1633" s="9">
        <f>Table1[[#This Row], [TRC]]+Table1[[#This Row], [DRC]]+Table1[[#This Row], [WRC]]+Table1[[#This Row], [ERC]]+Table1[[#This Row], [EQRC]]</f>
        <v>8171867.5999999996</v>
      </c>
      <c r="V1633" s="9">
        <f>Table1[[#This Row], [TOTAL COST]]+_xlfn.XLOOKUP(Table1[[#This Row], [TEAM]],Sheet1!$A$12:$A$17,Sheet1!$I$12:$I$17)</f>
        <v>8469347.5999999996</v>
      </c>
      <c r="W1633" s="9">
        <f>Table1[[#This Row], [LOOT]]-Table1[[#This Row], [TOTAL COST]]</f>
        <v>9628132.4000000004</v>
      </c>
      <c r="X1633" s="4">
        <f>IF(Table1[[#This Row], [PASS/FAIL]]="FAIL",0,Table1[[#This Row], [PROFIT]])</f>
        <v>0</v>
      </c>
    </row>
    <row r="1634" spans="1:24" ht="19.5" customHeight="1" x14ac:dyDescent="0.45">
      <c r="A1634" t="s">
        <v>16</v>
      </c>
      <c r="B1634" s="14">
        <f>_xlfn.XLOOKUP(Table1[[#This Row], [TEAM]],Sheet1!$A$12:$A$17,Sheet1!$F$12:$F$17)</f>
        <v>2</v>
      </c>
      <c r="C1634" s="14">
        <f>_xlfn.XLOOKUP(Table1[[#This Row], [TEAM]],Sheet1!$A$12:$A$17,Sheet1!$G$12:$G$17)</f>
        <v>6082800</v>
      </c>
      <c r="D1634" t="s">
        <v>22</v>
      </c>
      <c r="E1634" s="4">
        <f>_xlfn.XLOOKUP(Table1[[#This Row], [ROOM]],Sheet1!$A$47:$A$66,Sheet1!$B$47:$B$66)</f>
        <v>235</v>
      </c>
      <c r="F1634" t="s">
        <v>58</v>
      </c>
      <c r="G1634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4" s="13" t="s">
        <v>66</v>
      </c>
      <c r="I1634" s="4">
        <f>_xlfn.XLOOKUP(Table1[[#This Row], [WEAPON]],Sheet1!$A$27:$A$29,Sheet1!$B$27:$B$29)*Table1[[#This Row], [NUM OF MEM]]*(1+_xlfn.XLOOKUP(Table1[[#This Row], [WEAPON]],Sheet1!$A$27:$A$29,Sheet1!$C$27:$C$29))</f>
        <v>72000</v>
      </c>
      <c r="J1634" t="s">
        <v>60</v>
      </c>
      <c r="K1634" s="9">
        <f>Table1[[#This Row], [NUM OF MEM]]*Table1[[#This Row], [TOTAL TIME TAKEN]]*_xlfn.XLOOKUP(Table1[[#This Row], [EXIT]],Sheet1!$A$70:$A$71,Sheet1!$B$70:$B$71)*(1+_xlfn.XLOOKUP(Table1[[#This Row], [EXIT]],Sheet1!$A$70:$A$71,Sheet1!$C$70:$C$71))</f>
        <v>1783172.1187499997</v>
      </c>
      <c r="L1634" s="13" t="s">
        <v>65</v>
      </c>
      <c r="M1634" s="4">
        <f>IF(Table1[[#This Row], [EQUIPMENT]]="YES",Sheet1!$C$44*(1+Sheet1!$D$44),0)</f>
        <v>307500</v>
      </c>
      <c r="N1634" s="4">
        <f>_xlfn.XLOOKUP(Table1[[#This Row], [ROOM]],Sheet1!$A$47:$A$66,Sheet1!$F$47:$F$66)</f>
        <v>17800000</v>
      </c>
      <c r="O1634" s="9">
        <f>_xlfn.XLOOKUP(_xlfn.CONCAT(Table1[[#This Row], [TEAM]],Table1[[#This Row], [ROOM]]),'ROOM TIME'!$H$2:$H$121,'ROOM TIME'!$J$2:$J$121)</f>
        <v>61.978749999999984</v>
      </c>
      <c r="P1634" s="9">
        <f>(INDEX(Sheet1!$X$48:$Z$67,MATCH(Table1[[#This Row], [ROOM]],Sheet1!$P$48:$P$67,0),MATCH(Table1[[#This Row], [WEAPON]],Sheet1!$X$47:$Z$47,0)))/Table1[[#This Row], [NUM OF MEM]]</f>
        <v>7.5</v>
      </c>
      <c r="Q1634" s="9">
        <f>Table1[[#This Row], [ROOM TIME]]+Table1[[#This Row], [GUARD TIME]]</f>
        <v>69.478749999999991</v>
      </c>
      <c r="R1634" s="4">
        <f>Sheet1!$K$3*_xlfn.XLOOKUP(Table1[[#This Row], [DISGUISE]],Sheet1!$A$21:$A$23,Sheet1!$D$21:$D$23)</f>
        <v>69</v>
      </c>
      <c r="S1634" s="9">
        <f>Table1[[#This Row], [TOTAL TIME]]-Table1[[#This Row], [TOTAL TIME TAKEN]]</f>
        <v>-0.47874999999999091</v>
      </c>
      <c r="T1634" t="str">
        <f>IF(Table1[[#This Row], [TIME DIFFERENCE]]&gt;=0,"PASS","FAIL")</f>
        <v>FAIL</v>
      </c>
      <c r="U1634" s="9">
        <f>Table1[[#This Row], [TRC]]+Table1[[#This Row], [DRC]]+Table1[[#This Row], [WRC]]+Table1[[#This Row], [ERC]]+Table1[[#This Row], [EQRC]]</f>
        <v>8271072.1187499994</v>
      </c>
      <c r="V1634" s="9">
        <f>Table1[[#This Row], [TOTAL COST]]+_xlfn.XLOOKUP(Table1[[#This Row], [TEAM]],Sheet1!$A$12:$A$17,Sheet1!$I$12:$I$17)</f>
        <v>8575212.1187499985</v>
      </c>
      <c r="W1634" s="9">
        <f>Table1[[#This Row], [LOOT]]-Table1[[#This Row], [TOTAL COST]]</f>
        <v>9528927.8812500015</v>
      </c>
      <c r="X1634" s="4">
        <f>IF(Table1[[#This Row], [PASS/FAIL]]="FAIL",0,Table1[[#This Row], [PROFIT]])</f>
        <v>0</v>
      </c>
    </row>
    <row r="1635" spans="1:24" ht="19.5" customHeight="1" x14ac:dyDescent="0.45">
      <c r="A1635" t="s">
        <v>16</v>
      </c>
      <c r="B1635" s="14">
        <f>_xlfn.XLOOKUP(Table1[[#This Row], [TEAM]],Sheet1!$A$12:$A$17,Sheet1!$F$12:$F$17)</f>
        <v>2</v>
      </c>
      <c r="C1635" s="14">
        <f>_xlfn.XLOOKUP(Table1[[#This Row], [TEAM]],Sheet1!$A$12:$A$17,Sheet1!$G$12:$G$17)</f>
        <v>6082800</v>
      </c>
      <c r="D1635" t="s">
        <v>22</v>
      </c>
      <c r="E1635" s="4">
        <f>_xlfn.XLOOKUP(Table1[[#This Row], [ROOM]],Sheet1!$A$47:$A$66,Sheet1!$B$47:$B$66)</f>
        <v>235</v>
      </c>
      <c r="F1635" t="s">
        <v>58</v>
      </c>
      <c r="G163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5" s="13" t="s">
        <v>66</v>
      </c>
      <c r="I1635" s="4">
        <f>_xlfn.XLOOKUP(Table1[[#This Row], [WEAPON]],Sheet1!$A$27:$A$29,Sheet1!$B$27:$B$29)*Table1[[#This Row], [NUM OF MEM]]*(1+_xlfn.XLOOKUP(Table1[[#This Row], [WEAPON]],Sheet1!$A$27:$A$29,Sheet1!$C$27:$C$29))</f>
        <v>72000</v>
      </c>
      <c r="J1635" t="s">
        <v>64</v>
      </c>
      <c r="K1635" s="9">
        <f>Table1[[#This Row], [NUM OF MEM]]*Table1[[#This Row], [TOTAL TIME TAKEN]]*_xlfn.XLOOKUP(Table1[[#This Row], [EXIT]],Sheet1!$A$70:$A$71,Sheet1!$B$70:$B$71)*(1+_xlfn.XLOOKUP(Table1[[#This Row], [EXIT]],Sheet1!$A$70:$A$71,Sheet1!$C$70:$C$71))</f>
        <v>1800889.1999999997</v>
      </c>
      <c r="L1635" s="13" t="s">
        <v>65</v>
      </c>
      <c r="M1635" s="4">
        <f>IF(Table1[[#This Row], [EQUIPMENT]]="YES",Sheet1!$C$44*(1+Sheet1!$D$44),0)</f>
        <v>307500</v>
      </c>
      <c r="N1635" s="4">
        <f>_xlfn.XLOOKUP(Table1[[#This Row], [ROOM]],Sheet1!$A$47:$A$66,Sheet1!$F$47:$F$66)</f>
        <v>17800000</v>
      </c>
      <c r="O1635" s="9">
        <f>_xlfn.XLOOKUP(_xlfn.CONCAT(Table1[[#This Row], [TEAM]],Table1[[#This Row], [ROOM]]),'ROOM TIME'!$H$2:$H$121,'ROOM TIME'!$J$2:$J$121)</f>
        <v>61.978749999999984</v>
      </c>
      <c r="P1635" s="9">
        <f>(INDEX(Sheet1!$X$48:$Z$67,MATCH(Table1[[#This Row], [ROOM]],Sheet1!$P$48:$P$67,0),MATCH(Table1[[#This Row], [WEAPON]],Sheet1!$X$47:$Z$47,0)))/Table1[[#This Row], [NUM OF MEM]]</f>
        <v>7.5</v>
      </c>
      <c r="Q1635" s="9">
        <f>Table1[[#This Row], [ROOM TIME]]+Table1[[#This Row], [GUARD TIME]]</f>
        <v>69.478749999999991</v>
      </c>
      <c r="R1635" s="4">
        <f>Sheet1!$K$3*_xlfn.XLOOKUP(Table1[[#This Row], [DISGUISE]],Sheet1!$A$21:$A$23,Sheet1!$D$21:$D$23)</f>
        <v>69</v>
      </c>
      <c r="S1635" s="9">
        <f>Table1[[#This Row], [TOTAL TIME]]-Table1[[#This Row], [TOTAL TIME TAKEN]]</f>
        <v>-0.47874999999999091</v>
      </c>
      <c r="T1635" t="str">
        <f>IF(Table1[[#This Row], [TIME DIFFERENCE]]&gt;=0,"PASS","FAIL")</f>
        <v>FAIL</v>
      </c>
      <c r="U1635" s="9">
        <f>Table1[[#This Row], [TRC]]+Table1[[#This Row], [DRC]]+Table1[[#This Row], [WRC]]+Table1[[#This Row], [ERC]]+Table1[[#This Row], [EQRC]]</f>
        <v>8288789.1999999993</v>
      </c>
      <c r="V1635" s="9">
        <f>Table1[[#This Row], [TOTAL COST]]+_xlfn.XLOOKUP(Table1[[#This Row], [TEAM]],Sheet1!$A$12:$A$17,Sheet1!$I$12:$I$17)</f>
        <v>8592929.1999999993</v>
      </c>
      <c r="W1635" s="9">
        <f>Table1[[#This Row], [LOOT]]-Table1[[#This Row], [TOTAL COST]]</f>
        <v>9511210.8000000007</v>
      </c>
      <c r="X1635" s="4">
        <f>IF(Table1[[#This Row], [PASS/FAIL]]="FAIL",0,Table1[[#This Row], [PROFIT]])</f>
        <v>0</v>
      </c>
    </row>
    <row r="1636" spans="1:24" ht="19.5" customHeight="1" x14ac:dyDescent="0.45">
      <c r="A1636" t="s">
        <v>14</v>
      </c>
      <c r="B1636" s="14">
        <f>_xlfn.XLOOKUP(Table1[[#This Row], [TEAM]],Sheet1!$A$12:$A$17,Sheet1!$F$12:$F$17)</f>
        <v>2</v>
      </c>
      <c r="C1636" s="14">
        <f>_xlfn.XLOOKUP(Table1[[#This Row], [TEAM]],Sheet1!$A$12:$A$17,Sheet1!$G$12:$G$17)</f>
        <v>5949600</v>
      </c>
      <c r="D1636" t="s">
        <v>10</v>
      </c>
      <c r="E1636" s="4">
        <f>_xlfn.XLOOKUP(Table1[[#This Row], [ROOM]],Sheet1!$A$47:$A$66,Sheet1!$B$47:$B$66)</f>
        <v>123</v>
      </c>
      <c r="F1636" t="s">
        <v>62</v>
      </c>
      <c r="G1636" s="4">
        <f>_xlfn.XLOOKUP(Table1[[#This Row], [DISGUISE]],Sheet1!$A$21:$A$23,Sheet1!$B$21:$B$23)*Table1[[#This Row], [NUM OF MEM]]*(1+_xlfn.XLOOKUP(Table1[[#This Row], [DISGUISE]],Sheet1!$A$21:$A$23,Sheet1!$C$21:$C$23))</f>
        <v>10400</v>
      </c>
      <c r="H1636" s="13" t="s">
        <v>59</v>
      </c>
      <c r="I1636" s="4">
        <f>_xlfn.XLOOKUP(Table1[[#This Row], [WEAPON]],Sheet1!$A$27:$A$29,Sheet1!$B$27:$B$29)*Table1[[#This Row], [NUM OF MEM]]*(1+_xlfn.XLOOKUP(Table1[[#This Row], [WEAPON]],Sheet1!$A$27:$A$29,Sheet1!$C$27:$C$29))</f>
        <v>91000</v>
      </c>
      <c r="J1636" t="s">
        <v>60</v>
      </c>
      <c r="K1636" s="9">
        <f>Table1[[#This Row], [NUM OF MEM]]*Table1[[#This Row], [TOTAL TIME TAKEN]]*_xlfn.XLOOKUP(Table1[[#This Row], [EXIT]],Sheet1!$A$70:$A$71,Sheet1!$B$70:$B$71)*(1+_xlfn.XLOOKUP(Table1[[#This Row], [EXIT]],Sheet1!$A$70:$A$71,Sheet1!$C$70:$C$71))</f>
        <v>1795683.8062499999</v>
      </c>
      <c r="L1636" s="13" t="s">
        <v>61</v>
      </c>
      <c r="M1636" s="4">
        <f>IF(Table1[[#This Row], [EQUIPMENT]]="YES",Sheet1!$C$44*(1+Sheet1!$D$44),0)</f>
        <v>0</v>
      </c>
      <c r="N1636" s="4">
        <f>_xlfn.XLOOKUP(Table1[[#This Row], [ROOM]],Sheet1!$A$47:$A$66,Sheet1!$F$47:$F$66)</f>
        <v>17850000</v>
      </c>
      <c r="O1636" s="9">
        <f>_xlfn.XLOOKUP(_xlfn.CONCAT(Table1[[#This Row], [TEAM]],Table1[[#This Row], [ROOM]]),'ROOM TIME'!$H$2:$H$121,'ROOM TIME'!$J$2:$J$121)</f>
        <v>63.066249999999997</v>
      </c>
      <c r="P1636" s="9">
        <f>(INDEX(Sheet1!$X$48:$Z$67,MATCH(Table1[[#This Row], [ROOM]],Sheet1!$P$48:$P$67,0),MATCH(Table1[[#This Row], [WEAPON]],Sheet1!$X$47:$Z$47,0)))/Table1[[#This Row], [NUM OF MEM]]</f>
        <v>6.8999999999999995</v>
      </c>
      <c r="Q1636" s="9">
        <f>Table1[[#This Row], [ROOM TIME]]+Table1[[#This Row], [GUARD TIME]]</f>
        <v>69.966250000000002</v>
      </c>
      <c r="R1636" s="4">
        <f>Sheet1!$K$3*_xlfn.XLOOKUP(Table1[[#This Row], [DISGUISE]],Sheet1!$A$21:$A$23,Sheet1!$D$21:$D$23)</f>
        <v>66</v>
      </c>
      <c r="S1636" s="9">
        <f>Table1[[#This Row], [TOTAL TIME]]-Table1[[#This Row], [TOTAL TIME TAKEN]]</f>
        <v>-3.9662500000000023</v>
      </c>
      <c r="T1636" t="str">
        <f>IF(Table1[[#This Row], [TIME DIFFERENCE]]&gt;=0,"PASS","FAIL")</f>
        <v>FAIL</v>
      </c>
      <c r="U1636" s="9">
        <f>Table1[[#This Row], [TRC]]+Table1[[#This Row], [DRC]]+Table1[[#This Row], [WRC]]+Table1[[#This Row], [ERC]]+Table1[[#This Row], [EQRC]]</f>
        <v>7846683.8062500004</v>
      </c>
      <c r="V1636" s="9">
        <f>Table1[[#This Row], [TOTAL COST]]+_xlfn.XLOOKUP(Table1[[#This Row], [TEAM]],Sheet1!$A$12:$A$17,Sheet1!$I$12:$I$17)</f>
        <v>8144163.8062500004</v>
      </c>
      <c r="W1636" s="9">
        <f>Table1[[#This Row], [LOOT]]-Table1[[#This Row], [TOTAL COST]]</f>
        <v>10003316.19375</v>
      </c>
      <c r="X1636" s="4">
        <f>IF(Table1[[#This Row], [PASS/FAIL]]="FAIL",0,Table1[[#This Row], [PROFIT]])</f>
        <v>0</v>
      </c>
    </row>
    <row r="1637" spans="1:24" ht="19.5" customHeight="1" x14ac:dyDescent="0.45">
      <c r="A1637" t="s">
        <v>14</v>
      </c>
      <c r="B1637" s="14">
        <f>_xlfn.XLOOKUP(Table1[[#This Row], [TEAM]],Sheet1!$A$12:$A$17,Sheet1!$F$12:$F$17)</f>
        <v>2</v>
      </c>
      <c r="C1637" s="14">
        <f>_xlfn.XLOOKUP(Table1[[#This Row], [TEAM]],Sheet1!$A$12:$A$17,Sheet1!$G$12:$G$17)</f>
        <v>5949600</v>
      </c>
      <c r="D1637" t="s">
        <v>10</v>
      </c>
      <c r="E1637" s="4">
        <f>_xlfn.XLOOKUP(Table1[[#This Row], [ROOM]],Sheet1!$A$47:$A$66,Sheet1!$B$47:$B$66)</f>
        <v>123</v>
      </c>
      <c r="F1637" t="s">
        <v>58</v>
      </c>
      <c r="G163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7" s="13" t="s">
        <v>59</v>
      </c>
      <c r="I1637" s="4">
        <f>_xlfn.XLOOKUP(Table1[[#This Row], [WEAPON]],Sheet1!$A$27:$A$29,Sheet1!$B$27:$B$29)*Table1[[#This Row], [NUM OF MEM]]*(1+_xlfn.XLOOKUP(Table1[[#This Row], [WEAPON]],Sheet1!$A$27:$A$29,Sheet1!$C$27:$C$29))</f>
        <v>91000</v>
      </c>
      <c r="J1637" t="s">
        <v>60</v>
      </c>
      <c r="K1637" s="9">
        <f>Table1[[#This Row], [NUM OF MEM]]*Table1[[#This Row], [TOTAL TIME TAKEN]]*_xlfn.XLOOKUP(Table1[[#This Row], [EXIT]],Sheet1!$A$70:$A$71,Sheet1!$B$70:$B$71)*(1+_xlfn.XLOOKUP(Table1[[#This Row], [EXIT]],Sheet1!$A$70:$A$71,Sheet1!$C$70:$C$71))</f>
        <v>1795683.8062499999</v>
      </c>
      <c r="L1637" s="13" t="s">
        <v>61</v>
      </c>
      <c r="M1637" s="4">
        <f>IF(Table1[[#This Row], [EQUIPMENT]]="YES",Sheet1!$C$44*(1+Sheet1!$D$44),0)</f>
        <v>0</v>
      </c>
      <c r="N1637" s="4">
        <f>_xlfn.XLOOKUP(Table1[[#This Row], [ROOM]],Sheet1!$A$47:$A$66,Sheet1!$F$47:$F$66)</f>
        <v>17850000</v>
      </c>
      <c r="O1637" s="9">
        <f>_xlfn.XLOOKUP(_xlfn.CONCAT(Table1[[#This Row], [TEAM]],Table1[[#This Row], [ROOM]]),'ROOM TIME'!$H$2:$H$121,'ROOM TIME'!$J$2:$J$121)</f>
        <v>63.066249999999997</v>
      </c>
      <c r="P1637" s="9">
        <f>(INDEX(Sheet1!$X$48:$Z$67,MATCH(Table1[[#This Row], [ROOM]],Sheet1!$P$48:$P$67,0),MATCH(Table1[[#This Row], [WEAPON]],Sheet1!$X$47:$Z$47,0)))/Table1[[#This Row], [NUM OF MEM]]</f>
        <v>6.8999999999999995</v>
      </c>
      <c r="Q1637" s="9">
        <f>Table1[[#This Row], [ROOM TIME]]+Table1[[#This Row], [GUARD TIME]]</f>
        <v>69.966250000000002</v>
      </c>
      <c r="R1637" s="4">
        <f>Sheet1!$K$3*_xlfn.XLOOKUP(Table1[[#This Row], [DISGUISE]],Sheet1!$A$21:$A$23,Sheet1!$D$21:$D$23)</f>
        <v>69</v>
      </c>
      <c r="S1637" s="9">
        <f>Table1[[#This Row], [TOTAL TIME]]-Table1[[#This Row], [TOTAL TIME TAKEN]]</f>
        <v>-0.96625000000000227</v>
      </c>
      <c r="T1637" t="str">
        <f>IF(Table1[[#This Row], [TIME DIFFERENCE]]&gt;=0,"PASS","FAIL")</f>
        <v>FAIL</v>
      </c>
      <c r="U1637" s="9">
        <f>Table1[[#This Row], [TRC]]+Table1[[#This Row], [DRC]]+Table1[[#This Row], [WRC]]+Table1[[#This Row], [ERC]]+Table1[[#This Row], [EQRC]]</f>
        <v>7861883.8062500004</v>
      </c>
      <c r="V1637" s="9">
        <f>Table1[[#This Row], [TOTAL COST]]+_xlfn.XLOOKUP(Table1[[#This Row], [TEAM]],Sheet1!$A$12:$A$17,Sheet1!$I$12:$I$17)</f>
        <v>8159363.8062500004</v>
      </c>
      <c r="W1637" s="9">
        <f>Table1[[#This Row], [LOOT]]-Table1[[#This Row], [TOTAL COST]]</f>
        <v>9988116.1937499996</v>
      </c>
      <c r="X1637" s="4">
        <f>IF(Table1[[#This Row], [PASS/FAIL]]="FAIL",0,Table1[[#This Row], [PROFIT]])</f>
        <v>0</v>
      </c>
    </row>
    <row r="1638" spans="1:24" ht="19.5" customHeight="1" x14ac:dyDescent="0.45">
      <c r="A1638" t="s">
        <v>14</v>
      </c>
      <c r="B1638" s="14">
        <f>_xlfn.XLOOKUP(Table1[[#This Row], [TEAM]],Sheet1!$A$12:$A$17,Sheet1!$F$12:$F$17)</f>
        <v>2</v>
      </c>
      <c r="C1638" s="14">
        <f>_xlfn.XLOOKUP(Table1[[#This Row], [TEAM]],Sheet1!$A$12:$A$17,Sheet1!$G$12:$G$17)</f>
        <v>5949600</v>
      </c>
      <c r="D1638" t="s">
        <v>10</v>
      </c>
      <c r="E1638" s="4">
        <f>_xlfn.XLOOKUP(Table1[[#This Row], [ROOM]],Sheet1!$A$47:$A$66,Sheet1!$B$47:$B$66)</f>
        <v>123</v>
      </c>
      <c r="F1638" t="s">
        <v>62</v>
      </c>
      <c r="G1638" s="4">
        <f>_xlfn.XLOOKUP(Table1[[#This Row], [DISGUISE]],Sheet1!$A$21:$A$23,Sheet1!$B$21:$B$23)*Table1[[#This Row], [NUM OF MEM]]*(1+_xlfn.XLOOKUP(Table1[[#This Row], [DISGUISE]],Sheet1!$A$21:$A$23,Sheet1!$C$21:$C$23))</f>
        <v>10400</v>
      </c>
      <c r="H1638" s="13" t="s">
        <v>59</v>
      </c>
      <c r="I1638" s="4">
        <f>_xlfn.XLOOKUP(Table1[[#This Row], [WEAPON]],Sheet1!$A$27:$A$29,Sheet1!$B$27:$B$29)*Table1[[#This Row], [NUM OF MEM]]*(1+_xlfn.XLOOKUP(Table1[[#This Row], [WEAPON]],Sheet1!$A$27:$A$29,Sheet1!$C$27:$C$29))</f>
        <v>91000</v>
      </c>
      <c r="J1638" t="s">
        <v>64</v>
      </c>
      <c r="K1638" s="9">
        <f>Table1[[#This Row], [NUM OF MEM]]*Table1[[#This Row], [TOTAL TIME TAKEN]]*_xlfn.XLOOKUP(Table1[[#This Row], [EXIT]],Sheet1!$A$70:$A$71,Sheet1!$B$70:$B$71)*(1+_xlfn.XLOOKUP(Table1[[#This Row], [EXIT]],Sheet1!$A$70:$A$71,Sheet1!$C$70:$C$71))</f>
        <v>1813525.2</v>
      </c>
      <c r="L1638" s="13" t="s">
        <v>61</v>
      </c>
      <c r="M1638" s="4">
        <f>IF(Table1[[#This Row], [EQUIPMENT]]="YES",Sheet1!$C$44*(1+Sheet1!$D$44),0)</f>
        <v>0</v>
      </c>
      <c r="N1638" s="4">
        <f>_xlfn.XLOOKUP(Table1[[#This Row], [ROOM]],Sheet1!$A$47:$A$66,Sheet1!$F$47:$F$66)</f>
        <v>17850000</v>
      </c>
      <c r="O1638" s="9">
        <f>_xlfn.XLOOKUP(_xlfn.CONCAT(Table1[[#This Row], [TEAM]],Table1[[#This Row], [ROOM]]),'ROOM TIME'!$H$2:$H$121,'ROOM TIME'!$J$2:$J$121)</f>
        <v>63.066249999999997</v>
      </c>
      <c r="P1638" s="9">
        <f>(INDEX(Sheet1!$X$48:$Z$67,MATCH(Table1[[#This Row], [ROOM]],Sheet1!$P$48:$P$67,0),MATCH(Table1[[#This Row], [WEAPON]],Sheet1!$X$47:$Z$47,0)))/Table1[[#This Row], [NUM OF MEM]]</f>
        <v>6.8999999999999995</v>
      </c>
      <c r="Q1638" s="9">
        <f>Table1[[#This Row], [ROOM TIME]]+Table1[[#This Row], [GUARD TIME]]</f>
        <v>69.966250000000002</v>
      </c>
      <c r="R1638" s="4">
        <f>Sheet1!$K$3*_xlfn.XLOOKUP(Table1[[#This Row], [DISGUISE]],Sheet1!$A$21:$A$23,Sheet1!$D$21:$D$23)</f>
        <v>66</v>
      </c>
      <c r="S1638" s="9">
        <f>Table1[[#This Row], [TOTAL TIME]]-Table1[[#This Row], [TOTAL TIME TAKEN]]</f>
        <v>-3.9662500000000023</v>
      </c>
      <c r="T1638" t="str">
        <f>IF(Table1[[#This Row], [TIME DIFFERENCE]]&gt;=0,"PASS","FAIL")</f>
        <v>FAIL</v>
      </c>
      <c r="U1638" s="9">
        <f>Table1[[#This Row], [TRC]]+Table1[[#This Row], [DRC]]+Table1[[#This Row], [WRC]]+Table1[[#This Row], [ERC]]+Table1[[#This Row], [EQRC]]</f>
        <v>7864525.2000000002</v>
      </c>
      <c r="V1638" s="9">
        <f>Table1[[#This Row], [TOTAL COST]]+_xlfn.XLOOKUP(Table1[[#This Row], [TEAM]],Sheet1!$A$12:$A$17,Sheet1!$I$12:$I$17)</f>
        <v>8162005.2000000002</v>
      </c>
      <c r="W1638" s="9">
        <f>Table1[[#This Row], [LOOT]]-Table1[[#This Row], [TOTAL COST]]</f>
        <v>9985474.8000000007</v>
      </c>
      <c r="X1638" s="4">
        <f>IF(Table1[[#This Row], [PASS/FAIL]]="FAIL",0,Table1[[#This Row], [PROFIT]])</f>
        <v>0</v>
      </c>
    </row>
    <row r="1639" spans="1:24" ht="19.5" customHeight="1" x14ac:dyDescent="0.45">
      <c r="A1639" t="s">
        <v>14</v>
      </c>
      <c r="B1639" s="14">
        <f>_xlfn.XLOOKUP(Table1[[#This Row], [TEAM]],Sheet1!$A$12:$A$17,Sheet1!$F$12:$F$17)</f>
        <v>2</v>
      </c>
      <c r="C1639" s="14">
        <f>_xlfn.XLOOKUP(Table1[[#This Row], [TEAM]],Sheet1!$A$12:$A$17,Sheet1!$G$12:$G$17)</f>
        <v>5949600</v>
      </c>
      <c r="D1639" t="s">
        <v>10</v>
      </c>
      <c r="E1639" s="4">
        <f>_xlfn.XLOOKUP(Table1[[#This Row], [ROOM]],Sheet1!$A$47:$A$66,Sheet1!$B$47:$B$66)</f>
        <v>123</v>
      </c>
      <c r="F1639" t="s">
        <v>58</v>
      </c>
      <c r="G163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39" s="13" t="s">
        <v>59</v>
      </c>
      <c r="I1639" s="4">
        <f>_xlfn.XLOOKUP(Table1[[#This Row], [WEAPON]],Sheet1!$A$27:$A$29,Sheet1!$B$27:$B$29)*Table1[[#This Row], [NUM OF MEM]]*(1+_xlfn.XLOOKUP(Table1[[#This Row], [WEAPON]],Sheet1!$A$27:$A$29,Sheet1!$C$27:$C$29))</f>
        <v>91000</v>
      </c>
      <c r="J1639" t="s">
        <v>64</v>
      </c>
      <c r="K1639" s="9">
        <f>Table1[[#This Row], [NUM OF MEM]]*Table1[[#This Row], [TOTAL TIME TAKEN]]*_xlfn.XLOOKUP(Table1[[#This Row], [EXIT]],Sheet1!$A$70:$A$71,Sheet1!$B$70:$B$71)*(1+_xlfn.XLOOKUP(Table1[[#This Row], [EXIT]],Sheet1!$A$70:$A$71,Sheet1!$C$70:$C$71))</f>
        <v>1813525.2</v>
      </c>
      <c r="L1639" s="13" t="s">
        <v>61</v>
      </c>
      <c r="M1639" s="4">
        <f>IF(Table1[[#This Row], [EQUIPMENT]]="YES",Sheet1!$C$44*(1+Sheet1!$D$44),0)</f>
        <v>0</v>
      </c>
      <c r="N1639" s="4">
        <f>_xlfn.XLOOKUP(Table1[[#This Row], [ROOM]],Sheet1!$A$47:$A$66,Sheet1!$F$47:$F$66)</f>
        <v>17850000</v>
      </c>
      <c r="O1639" s="9">
        <f>_xlfn.XLOOKUP(_xlfn.CONCAT(Table1[[#This Row], [TEAM]],Table1[[#This Row], [ROOM]]),'ROOM TIME'!$H$2:$H$121,'ROOM TIME'!$J$2:$J$121)</f>
        <v>63.066249999999997</v>
      </c>
      <c r="P1639" s="9">
        <f>(INDEX(Sheet1!$X$48:$Z$67,MATCH(Table1[[#This Row], [ROOM]],Sheet1!$P$48:$P$67,0),MATCH(Table1[[#This Row], [WEAPON]],Sheet1!$X$47:$Z$47,0)))/Table1[[#This Row], [NUM OF MEM]]</f>
        <v>6.8999999999999995</v>
      </c>
      <c r="Q1639" s="9">
        <f>Table1[[#This Row], [ROOM TIME]]+Table1[[#This Row], [GUARD TIME]]</f>
        <v>69.966250000000002</v>
      </c>
      <c r="R1639" s="4">
        <f>Sheet1!$K$3*_xlfn.XLOOKUP(Table1[[#This Row], [DISGUISE]],Sheet1!$A$21:$A$23,Sheet1!$D$21:$D$23)</f>
        <v>69</v>
      </c>
      <c r="S1639" s="9">
        <f>Table1[[#This Row], [TOTAL TIME]]-Table1[[#This Row], [TOTAL TIME TAKEN]]</f>
        <v>-0.96625000000000227</v>
      </c>
      <c r="T1639" t="str">
        <f>IF(Table1[[#This Row], [TIME DIFFERENCE]]&gt;=0,"PASS","FAIL")</f>
        <v>FAIL</v>
      </c>
      <c r="U1639" s="9">
        <f>Table1[[#This Row], [TRC]]+Table1[[#This Row], [DRC]]+Table1[[#This Row], [WRC]]+Table1[[#This Row], [ERC]]+Table1[[#This Row], [EQRC]]</f>
        <v>7879725.2000000002</v>
      </c>
      <c r="V1639" s="9">
        <f>Table1[[#This Row], [TOTAL COST]]+_xlfn.XLOOKUP(Table1[[#This Row], [TEAM]],Sheet1!$A$12:$A$17,Sheet1!$I$12:$I$17)</f>
        <v>8177205.2000000002</v>
      </c>
      <c r="W1639" s="9">
        <f>Table1[[#This Row], [LOOT]]-Table1[[#This Row], [TOTAL COST]]</f>
        <v>9970274.8000000007</v>
      </c>
      <c r="X1639" s="4">
        <f>IF(Table1[[#This Row], [PASS/FAIL]]="FAIL",0,Table1[[#This Row], [PROFIT]])</f>
        <v>0</v>
      </c>
    </row>
    <row r="1640" spans="1:24" ht="19.5" customHeight="1" x14ac:dyDescent="0.45">
      <c r="A1640" t="s">
        <v>14</v>
      </c>
      <c r="B1640" s="14">
        <f>_xlfn.XLOOKUP(Table1[[#This Row], [TEAM]],Sheet1!$A$12:$A$17,Sheet1!$F$12:$F$17)</f>
        <v>2</v>
      </c>
      <c r="C1640" s="14">
        <f>_xlfn.XLOOKUP(Table1[[#This Row], [TEAM]],Sheet1!$A$12:$A$17,Sheet1!$G$12:$G$17)</f>
        <v>5949600</v>
      </c>
      <c r="D1640" t="s">
        <v>10</v>
      </c>
      <c r="E1640" s="4">
        <f>_xlfn.XLOOKUP(Table1[[#This Row], [ROOM]],Sheet1!$A$47:$A$66,Sheet1!$B$47:$B$66)</f>
        <v>123</v>
      </c>
      <c r="F1640" t="s">
        <v>62</v>
      </c>
      <c r="G1640" s="4">
        <f>_xlfn.XLOOKUP(Table1[[#This Row], [DISGUISE]],Sheet1!$A$21:$A$23,Sheet1!$B$21:$B$23)*Table1[[#This Row], [NUM OF MEM]]*(1+_xlfn.XLOOKUP(Table1[[#This Row], [DISGUISE]],Sheet1!$A$21:$A$23,Sheet1!$C$21:$C$23))</f>
        <v>10400</v>
      </c>
      <c r="H1640" s="13" t="s">
        <v>59</v>
      </c>
      <c r="I1640" s="4">
        <f>_xlfn.XLOOKUP(Table1[[#This Row], [WEAPON]],Sheet1!$A$27:$A$29,Sheet1!$B$27:$B$29)*Table1[[#This Row], [NUM OF MEM]]*(1+_xlfn.XLOOKUP(Table1[[#This Row], [WEAPON]],Sheet1!$A$27:$A$29,Sheet1!$C$27:$C$29))</f>
        <v>91000</v>
      </c>
      <c r="J1640" t="s">
        <v>60</v>
      </c>
      <c r="K1640" s="9">
        <f>Table1[[#This Row], [NUM OF MEM]]*Table1[[#This Row], [TOTAL TIME TAKEN]]*_xlfn.XLOOKUP(Table1[[#This Row], [EXIT]],Sheet1!$A$70:$A$71,Sheet1!$B$70:$B$71)*(1+_xlfn.XLOOKUP(Table1[[#This Row], [EXIT]],Sheet1!$A$70:$A$71,Sheet1!$C$70:$C$71))</f>
        <v>1795683.8062499999</v>
      </c>
      <c r="L1640" s="13" t="s">
        <v>65</v>
      </c>
      <c r="M1640" s="4">
        <f>IF(Table1[[#This Row], [EQUIPMENT]]="YES",Sheet1!$C$44*(1+Sheet1!$D$44),0)</f>
        <v>307500</v>
      </c>
      <c r="N1640" s="4">
        <f>_xlfn.XLOOKUP(Table1[[#This Row], [ROOM]],Sheet1!$A$47:$A$66,Sheet1!$F$47:$F$66)</f>
        <v>17850000</v>
      </c>
      <c r="O1640" s="9">
        <f>_xlfn.XLOOKUP(_xlfn.CONCAT(Table1[[#This Row], [TEAM]],Table1[[#This Row], [ROOM]]),'ROOM TIME'!$H$2:$H$121,'ROOM TIME'!$J$2:$J$121)</f>
        <v>63.066249999999997</v>
      </c>
      <c r="P1640" s="9">
        <f>(INDEX(Sheet1!$X$48:$Z$67,MATCH(Table1[[#This Row], [ROOM]],Sheet1!$P$48:$P$67,0),MATCH(Table1[[#This Row], [WEAPON]],Sheet1!$X$47:$Z$47,0)))/Table1[[#This Row], [NUM OF MEM]]</f>
        <v>6.8999999999999995</v>
      </c>
      <c r="Q1640" s="9">
        <f>Table1[[#This Row], [ROOM TIME]]+Table1[[#This Row], [GUARD TIME]]</f>
        <v>69.966250000000002</v>
      </c>
      <c r="R1640" s="4">
        <f>Sheet1!$K$3*_xlfn.XLOOKUP(Table1[[#This Row], [DISGUISE]],Sheet1!$A$21:$A$23,Sheet1!$D$21:$D$23)</f>
        <v>66</v>
      </c>
      <c r="S1640" s="9">
        <f>Table1[[#This Row], [TOTAL TIME]]-Table1[[#This Row], [TOTAL TIME TAKEN]]</f>
        <v>-3.9662500000000023</v>
      </c>
      <c r="T1640" t="str">
        <f>IF(Table1[[#This Row], [TIME DIFFERENCE]]&gt;=0,"PASS","FAIL")</f>
        <v>FAIL</v>
      </c>
      <c r="U1640" s="9">
        <f>Table1[[#This Row], [TRC]]+Table1[[#This Row], [DRC]]+Table1[[#This Row], [WRC]]+Table1[[#This Row], [ERC]]+Table1[[#This Row], [EQRC]]</f>
        <v>8154183.8062500004</v>
      </c>
      <c r="V1640" s="9">
        <f>Table1[[#This Row], [TOTAL COST]]+_xlfn.XLOOKUP(Table1[[#This Row], [TEAM]],Sheet1!$A$12:$A$17,Sheet1!$I$12:$I$17)</f>
        <v>8451663.8062500004</v>
      </c>
      <c r="W1640" s="9">
        <f>Table1[[#This Row], [LOOT]]-Table1[[#This Row], [TOTAL COST]]</f>
        <v>9695816.1937499996</v>
      </c>
      <c r="X1640" s="4">
        <f>IF(Table1[[#This Row], [PASS/FAIL]]="FAIL",0,Table1[[#This Row], [PROFIT]])</f>
        <v>0</v>
      </c>
    </row>
    <row r="1641" spans="1:24" ht="19.5" customHeight="1" x14ac:dyDescent="0.45">
      <c r="A1641" t="s">
        <v>14</v>
      </c>
      <c r="B1641" s="14">
        <f>_xlfn.XLOOKUP(Table1[[#This Row], [TEAM]],Sheet1!$A$12:$A$17,Sheet1!$F$12:$F$17)</f>
        <v>2</v>
      </c>
      <c r="C1641" s="14">
        <f>_xlfn.XLOOKUP(Table1[[#This Row], [TEAM]],Sheet1!$A$12:$A$17,Sheet1!$G$12:$G$17)</f>
        <v>5949600</v>
      </c>
      <c r="D1641" t="s">
        <v>10</v>
      </c>
      <c r="E1641" s="4">
        <f>_xlfn.XLOOKUP(Table1[[#This Row], [ROOM]],Sheet1!$A$47:$A$66,Sheet1!$B$47:$B$66)</f>
        <v>123</v>
      </c>
      <c r="F1641" t="s">
        <v>58</v>
      </c>
      <c r="G164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1" s="13" t="s">
        <v>59</v>
      </c>
      <c r="I1641" s="4">
        <f>_xlfn.XLOOKUP(Table1[[#This Row], [WEAPON]],Sheet1!$A$27:$A$29,Sheet1!$B$27:$B$29)*Table1[[#This Row], [NUM OF MEM]]*(1+_xlfn.XLOOKUP(Table1[[#This Row], [WEAPON]],Sheet1!$A$27:$A$29,Sheet1!$C$27:$C$29))</f>
        <v>91000</v>
      </c>
      <c r="J1641" t="s">
        <v>60</v>
      </c>
      <c r="K1641" s="9">
        <f>Table1[[#This Row], [NUM OF MEM]]*Table1[[#This Row], [TOTAL TIME TAKEN]]*_xlfn.XLOOKUP(Table1[[#This Row], [EXIT]],Sheet1!$A$70:$A$71,Sheet1!$B$70:$B$71)*(1+_xlfn.XLOOKUP(Table1[[#This Row], [EXIT]],Sheet1!$A$70:$A$71,Sheet1!$C$70:$C$71))</f>
        <v>1795683.8062499999</v>
      </c>
      <c r="L1641" s="13" t="s">
        <v>65</v>
      </c>
      <c r="M1641" s="4">
        <f>IF(Table1[[#This Row], [EQUIPMENT]]="YES",Sheet1!$C$44*(1+Sheet1!$D$44),0)</f>
        <v>307500</v>
      </c>
      <c r="N1641" s="4">
        <f>_xlfn.XLOOKUP(Table1[[#This Row], [ROOM]],Sheet1!$A$47:$A$66,Sheet1!$F$47:$F$66)</f>
        <v>17850000</v>
      </c>
      <c r="O1641" s="9">
        <f>_xlfn.XLOOKUP(_xlfn.CONCAT(Table1[[#This Row], [TEAM]],Table1[[#This Row], [ROOM]]),'ROOM TIME'!$H$2:$H$121,'ROOM TIME'!$J$2:$J$121)</f>
        <v>63.066249999999997</v>
      </c>
      <c r="P1641" s="9">
        <f>(INDEX(Sheet1!$X$48:$Z$67,MATCH(Table1[[#This Row], [ROOM]],Sheet1!$P$48:$P$67,0),MATCH(Table1[[#This Row], [WEAPON]],Sheet1!$X$47:$Z$47,0)))/Table1[[#This Row], [NUM OF MEM]]</f>
        <v>6.8999999999999995</v>
      </c>
      <c r="Q1641" s="9">
        <f>Table1[[#This Row], [ROOM TIME]]+Table1[[#This Row], [GUARD TIME]]</f>
        <v>69.966250000000002</v>
      </c>
      <c r="R1641" s="4">
        <f>Sheet1!$K$3*_xlfn.XLOOKUP(Table1[[#This Row], [DISGUISE]],Sheet1!$A$21:$A$23,Sheet1!$D$21:$D$23)</f>
        <v>69</v>
      </c>
      <c r="S1641" s="9">
        <f>Table1[[#This Row], [TOTAL TIME]]-Table1[[#This Row], [TOTAL TIME TAKEN]]</f>
        <v>-0.96625000000000227</v>
      </c>
      <c r="T1641" t="str">
        <f>IF(Table1[[#This Row], [TIME DIFFERENCE]]&gt;=0,"PASS","FAIL")</f>
        <v>FAIL</v>
      </c>
      <c r="U1641" s="9">
        <f>Table1[[#This Row], [TRC]]+Table1[[#This Row], [DRC]]+Table1[[#This Row], [WRC]]+Table1[[#This Row], [ERC]]+Table1[[#This Row], [EQRC]]</f>
        <v>8169383.8062500004</v>
      </c>
      <c r="V1641" s="9">
        <f>Table1[[#This Row], [TOTAL COST]]+_xlfn.XLOOKUP(Table1[[#This Row], [TEAM]],Sheet1!$A$12:$A$17,Sheet1!$I$12:$I$17)</f>
        <v>8466863.8062500004</v>
      </c>
      <c r="W1641" s="9">
        <f>Table1[[#This Row], [LOOT]]-Table1[[#This Row], [TOTAL COST]]</f>
        <v>9680616.1937499996</v>
      </c>
      <c r="X1641" s="4">
        <f>IF(Table1[[#This Row], [PASS/FAIL]]="FAIL",0,Table1[[#This Row], [PROFIT]])</f>
        <v>0</v>
      </c>
    </row>
    <row r="1642" spans="1:24" ht="19.5" customHeight="1" x14ac:dyDescent="0.45">
      <c r="A1642" t="s">
        <v>14</v>
      </c>
      <c r="B1642" s="14">
        <f>_xlfn.XLOOKUP(Table1[[#This Row], [TEAM]],Sheet1!$A$12:$A$17,Sheet1!$F$12:$F$17)</f>
        <v>2</v>
      </c>
      <c r="C1642" s="14">
        <f>_xlfn.XLOOKUP(Table1[[#This Row], [TEAM]],Sheet1!$A$12:$A$17,Sheet1!$G$12:$G$17)</f>
        <v>5949600</v>
      </c>
      <c r="D1642" t="s">
        <v>10</v>
      </c>
      <c r="E1642" s="4">
        <f>_xlfn.XLOOKUP(Table1[[#This Row], [ROOM]],Sheet1!$A$47:$A$66,Sheet1!$B$47:$B$66)</f>
        <v>123</v>
      </c>
      <c r="F1642" t="s">
        <v>62</v>
      </c>
      <c r="G1642" s="4">
        <f>_xlfn.XLOOKUP(Table1[[#This Row], [DISGUISE]],Sheet1!$A$21:$A$23,Sheet1!$B$21:$B$23)*Table1[[#This Row], [NUM OF MEM]]*(1+_xlfn.XLOOKUP(Table1[[#This Row], [DISGUISE]],Sheet1!$A$21:$A$23,Sheet1!$C$21:$C$23))</f>
        <v>10400</v>
      </c>
      <c r="H1642" s="13" t="s">
        <v>59</v>
      </c>
      <c r="I1642" s="4">
        <f>_xlfn.XLOOKUP(Table1[[#This Row], [WEAPON]],Sheet1!$A$27:$A$29,Sheet1!$B$27:$B$29)*Table1[[#This Row], [NUM OF MEM]]*(1+_xlfn.XLOOKUP(Table1[[#This Row], [WEAPON]],Sheet1!$A$27:$A$29,Sheet1!$C$27:$C$29))</f>
        <v>91000</v>
      </c>
      <c r="J1642" t="s">
        <v>64</v>
      </c>
      <c r="K1642" s="9">
        <f>Table1[[#This Row], [NUM OF MEM]]*Table1[[#This Row], [TOTAL TIME TAKEN]]*_xlfn.XLOOKUP(Table1[[#This Row], [EXIT]],Sheet1!$A$70:$A$71,Sheet1!$B$70:$B$71)*(1+_xlfn.XLOOKUP(Table1[[#This Row], [EXIT]],Sheet1!$A$70:$A$71,Sheet1!$C$70:$C$71))</f>
        <v>1813525.2</v>
      </c>
      <c r="L1642" s="13" t="s">
        <v>65</v>
      </c>
      <c r="M1642" s="4">
        <f>IF(Table1[[#This Row], [EQUIPMENT]]="YES",Sheet1!$C$44*(1+Sheet1!$D$44),0)</f>
        <v>307500</v>
      </c>
      <c r="N1642" s="4">
        <f>_xlfn.XLOOKUP(Table1[[#This Row], [ROOM]],Sheet1!$A$47:$A$66,Sheet1!$F$47:$F$66)</f>
        <v>17850000</v>
      </c>
      <c r="O1642" s="9">
        <f>_xlfn.XLOOKUP(_xlfn.CONCAT(Table1[[#This Row], [TEAM]],Table1[[#This Row], [ROOM]]),'ROOM TIME'!$H$2:$H$121,'ROOM TIME'!$J$2:$J$121)</f>
        <v>63.066249999999997</v>
      </c>
      <c r="P1642" s="9">
        <f>(INDEX(Sheet1!$X$48:$Z$67,MATCH(Table1[[#This Row], [ROOM]],Sheet1!$P$48:$P$67,0),MATCH(Table1[[#This Row], [WEAPON]],Sheet1!$X$47:$Z$47,0)))/Table1[[#This Row], [NUM OF MEM]]</f>
        <v>6.8999999999999995</v>
      </c>
      <c r="Q1642" s="9">
        <f>Table1[[#This Row], [ROOM TIME]]+Table1[[#This Row], [GUARD TIME]]</f>
        <v>69.966250000000002</v>
      </c>
      <c r="R1642" s="4">
        <f>Sheet1!$K$3*_xlfn.XLOOKUP(Table1[[#This Row], [DISGUISE]],Sheet1!$A$21:$A$23,Sheet1!$D$21:$D$23)</f>
        <v>66</v>
      </c>
      <c r="S1642" s="9">
        <f>Table1[[#This Row], [TOTAL TIME]]-Table1[[#This Row], [TOTAL TIME TAKEN]]</f>
        <v>-3.9662500000000023</v>
      </c>
      <c r="T1642" t="str">
        <f>IF(Table1[[#This Row], [TIME DIFFERENCE]]&gt;=0,"PASS","FAIL")</f>
        <v>FAIL</v>
      </c>
      <c r="U1642" s="9">
        <f>Table1[[#This Row], [TRC]]+Table1[[#This Row], [DRC]]+Table1[[#This Row], [WRC]]+Table1[[#This Row], [ERC]]+Table1[[#This Row], [EQRC]]</f>
        <v>8172025.2000000002</v>
      </c>
      <c r="V1642" s="9">
        <f>Table1[[#This Row], [TOTAL COST]]+_xlfn.XLOOKUP(Table1[[#This Row], [TEAM]],Sheet1!$A$12:$A$17,Sheet1!$I$12:$I$17)</f>
        <v>8469505.1999999993</v>
      </c>
      <c r="W1642" s="9">
        <f>Table1[[#This Row], [LOOT]]-Table1[[#This Row], [TOTAL COST]]</f>
        <v>9677974.8000000007</v>
      </c>
      <c r="X1642" s="4">
        <f>IF(Table1[[#This Row], [PASS/FAIL]]="FAIL",0,Table1[[#This Row], [PROFIT]])</f>
        <v>0</v>
      </c>
    </row>
    <row r="1643" spans="1:24" ht="19.5" customHeight="1" x14ac:dyDescent="0.45">
      <c r="A1643" t="s">
        <v>14</v>
      </c>
      <c r="B1643" s="14">
        <f>_xlfn.XLOOKUP(Table1[[#This Row], [TEAM]],Sheet1!$A$12:$A$17,Sheet1!$F$12:$F$17)</f>
        <v>2</v>
      </c>
      <c r="C1643" s="14">
        <f>_xlfn.XLOOKUP(Table1[[#This Row], [TEAM]],Sheet1!$A$12:$A$17,Sheet1!$G$12:$G$17)</f>
        <v>5949600</v>
      </c>
      <c r="D1643" t="s">
        <v>10</v>
      </c>
      <c r="E1643" s="4">
        <f>_xlfn.XLOOKUP(Table1[[#This Row], [ROOM]],Sheet1!$A$47:$A$66,Sheet1!$B$47:$B$66)</f>
        <v>123</v>
      </c>
      <c r="F1643" t="s">
        <v>58</v>
      </c>
      <c r="G164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3" s="13" t="s">
        <v>59</v>
      </c>
      <c r="I1643" s="4">
        <f>_xlfn.XLOOKUP(Table1[[#This Row], [WEAPON]],Sheet1!$A$27:$A$29,Sheet1!$B$27:$B$29)*Table1[[#This Row], [NUM OF MEM]]*(1+_xlfn.XLOOKUP(Table1[[#This Row], [WEAPON]],Sheet1!$A$27:$A$29,Sheet1!$C$27:$C$29))</f>
        <v>91000</v>
      </c>
      <c r="J1643" t="s">
        <v>64</v>
      </c>
      <c r="K1643" s="9">
        <f>Table1[[#This Row], [NUM OF MEM]]*Table1[[#This Row], [TOTAL TIME TAKEN]]*_xlfn.XLOOKUP(Table1[[#This Row], [EXIT]],Sheet1!$A$70:$A$71,Sheet1!$B$70:$B$71)*(1+_xlfn.XLOOKUP(Table1[[#This Row], [EXIT]],Sheet1!$A$70:$A$71,Sheet1!$C$70:$C$71))</f>
        <v>1813525.2</v>
      </c>
      <c r="L1643" s="13" t="s">
        <v>65</v>
      </c>
      <c r="M1643" s="4">
        <f>IF(Table1[[#This Row], [EQUIPMENT]]="YES",Sheet1!$C$44*(1+Sheet1!$D$44),0)</f>
        <v>307500</v>
      </c>
      <c r="N1643" s="4">
        <f>_xlfn.XLOOKUP(Table1[[#This Row], [ROOM]],Sheet1!$A$47:$A$66,Sheet1!$F$47:$F$66)</f>
        <v>17850000</v>
      </c>
      <c r="O1643" s="9">
        <f>_xlfn.XLOOKUP(_xlfn.CONCAT(Table1[[#This Row], [TEAM]],Table1[[#This Row], [ROOM]]),'ROOM TIME'!$H$2:$H$121,'ROOM TIME'!$J$2:$J$121)</f>
        <v>63.066249999999997</v>
      </c>
      <c r="P1643" s="9">
        <f>(INDEX(Sheet1!$X$48:$Z$67,MATCH(Table1[[#This Row], [ROOM]],Sheet1!$P$48:$P$67,0),MATCH(Table1[[#This Row], [WEAPON]],Sheet1!$X$47:$Z$47,0)))/Table1[[#This Row], [NUM OF MEM]]</f>
        <v>6.8999999999999995</v>
      </c>
      <c r="Q1643" s="9">
        <f>Table1[[#This Row], [ROOM TIME]]+Table1[[#This Row], [GUARD TIME]]</f>
        <v>69.966250000000002</v>
      </c>
      <c r="R1643" s="4">
        <f>Sheet1!$K$3*_xlfn.XLOOKUP(Table1[[#This Row], [DISGUISE]],Sheet1!$A$21:$A$23,Sheet1!$D$21:$D$23)</f>
        <v>69</v>
      </c>
      <c r="S1643" s="9">
        <f>Table1[[#This Row], [TOTAL TIME]]-Table1[[#This Row], [TOTAL TIME TAKEN]]</f>
        <v>-0.96625000000000227</v>
      </c>
      <c r="T1643" t="str">
        <f>IF(Table1[[#This Row], [TIME DIFFERENCE]]&gt;=0,"PASS","FAIL")</f>
        <v>FAIL</v>
      </c>
      <c r="U1643" s="9">
        <f>Table1[[#This Row], [TRC]]+Table1[[#This Row], [DRC]]+Table1[[#This Row], [WRC]]+Table1[[#This Row], [ERC]]+Table1[[#This Row], [EQRC]]</f>
        <v>8187225.2000000002</v>
      </c>
      <c r="V1643" s="9">
        <f>Table1[[#This Row], [TOTAL COST]]+_xlfn.XLOOKUP(Table1[[#This Row], [TEAM]],Sheet1!$A$12:$A$17,Sheet1!$I$12:$I$17)</f>
        <v>8484705.1999999993</v>
      </c>
      <c r="W1643" s="9">
        <f>Table1[[#This Row], [LOOT]]-Table1[[#This Row], [TOTAL COST]]</f>
        <v>9662774.8000000007</v>
      </c>
      <c r="X1643" s="4">
        <f>IF(Table1[[#This Row], [PASS/FAIL]]="FAIL",0,Table1[[#This Row], [PROFIT]])</f>
        <v>0</v>
      </c>
    </row>
    <row r="1644" spans="1:24" ht="19.5" customHeight="1" x14ac:dyDescent="0.45">
      <c r="A1644" t="s">
        <v>14</v>
      </c>
      <c r="B1644" s="14">
        <f>_xlfn.XLOOKUP(Table1[[#This Row], [TEAM]],Sheet1!$A$12:$A$17,Sheet1!$F$12:$F$17)</f>
        <v>2</v>
      </c>
      <c r="C1644" s="14">
        <f>_xlfn.XLOOKUP(Table1[[#This Row], [TEAM]],Sheet1!$A$12:$A$17,Sheet1!$G$12:$G$17)</f>
        <v>5949600</v>
      </c>
      <c r="D1644" t="s">
        <v>10</v>
      </c>
      <c r="E1644" s="4">
        <f>_xlfn.XLOOKUP(Table1[[#This Row], [ROOM]],Sheet1!$A$47:$A$66,Sheet1!$B$47:$B$66)</f>
        <v>123</v>
      </c>
      <c r="F1644" t="s">
        <v>58</v>
      </c>
      <c r="G1644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4" s="13" t="s">
        <v>63</v>
      </c>
      <c r="I1644" s="4">
        <f>_xlfn.XLOOKUP(Table1[[#This Row], [WEAPON]],Sheet1!$A$27:$A$29,Sheet1!$B$27:$B$29)*Table1[[#This Row], [NUM OF MEM]]*(1+_xlfn.XLOOKUP(Table1[[#This Row], [WEAPON]],Sheet1!$A$27:$A$29,Sheet1!$C$27:$C$29))</f>
        <v>46000</v>
      </c>
      <c r="J1644" t="s">
        <v>60</v>
      </c>
      <c r="K1644" s="9">
        <f>Table1[[#This Row], [NUM OF MEM]]*Table1[[#This Row], [TOTAL TIME TAKEN]]*_xlfn.XLOOKUP(Table1[[#This Row], [EXIT]],Sheet1!$A$70:$A$71,Sheet1!$B$70:$B$71)*(1+_xlfn.XLOOKUP(Table1[[#This Row], [EXIT]],Sheet1!$A$70:$A$71,Sheet1!$C$70:$C$71))</f>
        <v>1826481.8062499997</v>
      </c>
      <c r="L1644" s="13" t="s">
        <v>61</v>
      </c>
      <c r="M1644" s="4">
        <f>IF(Table1[[#This Row], [EQUIPMENT]]="YES",Sheet1!$C$44*(1+Sheet1!$D$44),0)</f>
        <v>0</v>
      </c>
      <c r="N1644" s="4">
        <f>_xlfn.XLOOKUP(Table1[[#This Row], [ROOM]],Sheet1!$A$47:$A$66,Sheet1!$F$47:$F$66)</f>
        <v>17850000</v>
      </c>
      <c r="O1644" s="9">
        <f>_xlfn.XLOOKUP(_xlfn.CONCAT(Table1[[#This Row], [TEAM]],Table1[[#This Row], [ROOM]]),'ROOM TIME'!$H$2:$H$121,'ROOM TIME'!$J$2:$J$121)</f>
        <v>63.066249999999997</v>
      </c>
      <c r="P1644" s="9">
        <f>(INDEX(Sheet1!$X$48:$Z$67,MATCH(Table1[[#This Row], [ROOM]],Sheet1!$P$48:$P$67,0),MATCH(Table1[[#This Row], [WEAPON]],Sheet1!$X$47:$Z$47,0)))/Table1[[#This Row], [NUM OF MEM]]</f>
        <v>8.1000000000000014</v>
      </c>
      <c r="Q1644" s="9">
        <f>Table1[[#This Row], [ROOM TIME]]+Table1[[#This Row], [GUARD TIME]]</f>
        <v>71.166249999999991</v>
      </c>
      <c r="R1644" s="4">
        <f>Sheet1!$K$3*_xlfn.XLOOKUP(Table1[[#This Row], [DISGUISE]],Sheet1!$A$21:$A$23,Sheet1!$D$21:$D$23)</f>
        <v>69</v>
      </c>
      <c r="S1644" s="9">
        <f>Table1[[#This Row], [TOTAL TIME]]-Table1[[#This Row], [TOTAL TIME TAKEN]]</f>
        <v>-2.1662499999999909</v>
      </c>
      <c r="T1644" t="str">
        <f>IF(Table1[[#This Row], [TIME DIFFERENCE]]&gt;=0,"PASS","FAIL")</f>
        <v>FAIL</v>
      </c>
      <c r="U1644" s="9">
        <f>Table1[[#This Row], [TRC]]+Table1[[#This Row], [DRC]]+Table1[[#This Row], [WRC]]+Table1[[#This Row], [ERC]]+Table1[[#This Row], [EQRC]]</f>
        <v>7847681.8062499994</v>
      </c>
      <c r="V1644" s="9">
        <f>Table1[[#This Row], [TOTAL COST]]+_xlfn.XLOOKUP(Table1[[#This Row], [TEAM]],Sheet1!$A$12:$A$17,Sheet1!$I$12:$I$17)</f>
        <v>8145161.8062499994</v>
      </c>
      <c r="W1644" s="9">
        <f>Table1[[#This Row], [LOOT]]-Table1[[#This Row], [TOTAL COST]]</f>
        <v>10002318.193750001</v>
      </c>
      <c r="X1644" s="4">
        <f>IF(Table1[[#This Row], [PASS/FAIL]]="FAIL",0,Table1[[#This Row], [PROFIT]])</f>
        <v>0</v>
      </c>
    </row>
    <row r="1645" spans="1:24" ht="19.5" customHeight="1" x14ac:dyDescent="0.45">
      <c r="A1645" t="s">
        <v>14</v>
      </c>
      <c r="B1645" s="14">
        <f>_xlfn.XLOOKUP(Table1[[#This Row], [TEAM]],Sheet1!$A$12:$A$17,Sheet1!$F$12:$F$17)</f>
        <v>2</v>
      </c>
      <c r="C1645" s="14">
        <f>_xlfn.XLOOKUP(Table1[[#This Row], [TEAM]],Sheet1!$A$12:$A$17,Sheet1!$G$12:$G$17)</f>
        <v>5949600</v>
      </c>
      <c r="D1645" t="s">
        <v>10</v>
      </c>
      <c r="E1645" s="4">
        <f>_xlfn.XLOOKUP(Table1[[#This Row], [ROOM]],Sheet1!$A$47:$A$66,Sheet1!$B$47:$B$66)</f>
        <v>123</v>
      </c>
      <c r="F1645" t="s">
        <v>58</v>
      </c>
      <c r="G164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5" s="13" t="s">
        <v>63</v>
      </c>
      <c r="I1645" s="4">
        <f>_xlfn.XLOOKUP(Table1[[#This Row], [WEAPON]],Sheet1!$A$27:$A$29,Sheet1!$B$27:$B$29)*Table1[[#This Row], [NUM OF MEM]]*(1+_xlfn.XLOOKUP(Table1[[#This Row], [WEAPON]],Sheet1!$A$27:$A$29,Sheet1!$C$27:$C$29))</f>
        <v>46000</v>
      </c>
      <c r="J1645" t="s">
        <v>64</v>
      </c>
      <c r="K1645" s="9">
        <f>Table1[[#This Row], [NUM OF MEM]]*Table1[[#This Row], [TOTAL TIME TAKEN]]*_xlfn.XLOOKUP(Table1[[#This Row], [EXIT]],Sheet1!$A$70:$A$71,Sheet1!$B$70:$B$71)*(1+_xlfn.XLOOKUP(Table1[[#This Row], [EXIT]],Sheet1!$A$70:$A$71,Sheet1!$C$70:$C$71))</f>
        <v>1844629.1999999997</v>
      </c>
      <c r="L1645" s="13" t="s">
        <v>61</v>
      </c>
      <c r="M1645" s="4">
        <f>IF(Table1[[#This Row], [EQUIPMENT]]="YES",Sheet1!$C$44*(1+Sheet1!$D$44),0)</f>
        <v>0</v>
      </c>
      <c r="N1645" s="4">
        <f>_xlfn.XLOOKUP(Table1[[#This Row], [ROOM]],Sheet1!$A$47:$A$66,Sheet1!$F$47:$F$66)</f>
        <v>17850000</v>
      </c>
      <c r="O1645" s="9">
        <f>_xlfn.XLOOKUP(_xlfn.CONCAT(Table1[[#This Row], [TEAM]],Table1[[#This Row], [ROOM]]),'ROOM TIME'!$H$2:$H$121,'ROOM TIME'!$J$2:$J$121)</f>
        <v>63.066249999999997</v>
      </c>
      <c r="P1645" s="9">
        <f>(INDEX(Sheet1!$X$48:$Z$67,MATCH(Table1[[#This Row], [ROOM]],Sheet1!$P$48:$P$67,0),MATCH(Table1[[#This Row], [WEAPON]],Sheet1!$X$47:$Z$47,0)))/Table1[[#This Row], [NUM OF MEM]]</f>
        <v>8.1000000000000014</v>
      </c>
      <c r="Q1645" s="9">
        <f>Table1[[#This Row], [ROOM TIME]]+Table1[[#This Row], [GUARD TIME]]</f>
        <v>71.166249999999991</v>
      </c>
      <c r="R1645" s="4">
        <f>Sheet1!$K$3*_xlfn.XLOOKUP(Table1[[#This Row], [DISGUISE]],Sheet1!$A$21:$A$23,Sheet1!$D$21:$D$23)</f>
        <v>69</v>
      </c>
      <c r="S1645" s="9">
        <f>Table1[[#This Row], [TOTAL TIME]]-Table1[[#This Row], [TOTAL TIME TAKEN]]</f>
        <v>-2.1662499999999909</v>
      </c>
      <c r="T1645" t="str">
        <f>IF(Table1[[#This Row], [TIME DIFFERENCE]]&gt;=0,"PASS","FAIL")</f>
        <v>FAIL</v>
      </c>
      <c r="U1645" s="9">
        <f>Table1[[#This Row], [TRC]]+Table1[[#This Row], [DRC]]+Table1[[#This Row], [WRC]]+Table1[[#This Row], [ERC]]+Table1[[#This Row], [EQRC]]</f>
        <v>7865829.1999999993</v>
      </c>
      <c r="V1645" s="9">
        <f>Table1[[#This Row], [TOTAL COST]]+_xlfn.XLOOKUP(Table1[[#This Row], [TEAM]],Sheet1!$A$12:$A$17,Sheet1!$I$12:$I$17)</f>
        <v>8163309.1999999993</v>
      </c>
      <c r="W1645" s="9">
        <f>Table1[[#This Row], [LOOT]]-Table1[[#This Row], [TOTAL COST]]</f>
        <v>9984170.8000000007</v>
      </c>
      <c r="X1645" s="4">
        <f>IF(Table1[[#This Row], [PASS/FAIL]]="FAIL",0,Table1[[#This Row], [PROFIT]])</f>
        <v>0</v>
      </c>
    </row>
    <row r="1646" spans="1:24" ht="19.5" customHeight="1" x14ac:dyDescent="0.45">
      <c r="A1646" t="s">
        <v>14</v>
      </c>
      <c r="B1646" s="14">
        <f>_xlfn.XLOOKUP(Table1[[#This Row], [TEAM]],Sheet1!$A$12:$A$17,Sheet1!$F$12:$F$17)</f>
        <v>2</v>
      </c>
      <c r="C1646" s="14">
        <f>_xlfn.XLOOKUP(Table1[[#This Row], [TEAM]],Sheet1!$A$12:$A$17,Sheet1!$G$12:$G$17)</f>
        <v>5949600</v>
      </c>
      <c r="D1646" t="s">
        <v>10</v>
      </c>
      <c r="E1646" s="4">
        <f>_xlfn.XLOOKUP(Table1[[#This Row], [ROOM]],Sheet1!$A$47:$A$66,Sheet1!$B$47:$B$66)</f>
        <v>123</v>
      </c>
      <c r="F1646" t="s">
        <v>58</v>
      </c>
      <c r="G1646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6" s="13" t="s">
        <v>63</v>
      </c>
      <c r="I1646" s="4">
        <f>_xlfn.XLOOKUP(Table1[[#This Row], [WEAPON]],Sheet1!$A$27:$A$29,Sheet1!$B$27:$B$29)*Table1[[#This Row], [NUM OF MEM]]*(1+_xlfn.XLOOKUP(Table1[[#This Row], [WEAPON]],Sheet1!$A$27:$A$29,Sheet1!$C$27:$C$29))</f>
        <v>46000</v>
      </c>
      <c r="J1646" t="s">
        <v>60</v>
      </c>
      <c r="K1646" s="9">
        <f>Table1[[#This Row], [NUM OF MEM]]*Table1[[#This Row], [TOTAL TIME TAKEN]]*_xlfn.XLOOKUP(Table1[[#This Row], [EXIT]],Sheet1!$A$70:$A$71,Sheet1!$B$70:$B$71)*(1+_xlfn.XLOOKUP(Table1[[#This Row], [EXIT]],Sheet1!$A$70:$A$71,Sheet1!$C$70:$C$71))</f>
        <v>1826481.8062499997</v>
      </c>
      <c r="L1646" s="13" t="s">
        <v>65</v>
      </c>
      <c r="M1646" s="4">
        <f>IF(Table1[[#This Row], [EQUIPMENT]]="YES",Sheet1!$C$44*(1+Sheet1!$D$44),0)</f>
        <v>307500</v>
      </c>
      <c r="N1646" s="4">
        <f>_xlfn.XLOOKUP(Table1[[#This Row], [ROOM]],Sheet1!$A$47:$A$66,Sheet1!$F$47:$F$66)</f>
        <v>17850000</v>
      </c>
      <c r="O1646" s="9">
        <f>_xlfn.XLOOKUP(_xlfn.CONCAT(Table1[[#This Row], [TEAM]],Table1[[#This Row], [ROOM]]),'ROOM TIME'!$H$2:$H$121,'ROOM TIME'!$J$2:$J$121)</f>
        <v>63.066249999999997</v>
      </c>
      <c r="P1646" s="9">
        <f>(INDEX(Sheet1!$X$48:$Z$67,MATCH(Table1[[#This Row], [ROOM]],Sheet1!$P$48:$P$67,0),MATCH(Table1[[#This Row], [WEAPON]],Sheet1!$X$47:$Z$47,0)))/Table1[[#This Row], [NUM OF MEM]]</f>
        <v>8.1000000000000014</v>
      </c>
      <c r="Q1646" s="9">
        <f>Table1[[#This Row], [ROOM TIME]]+Table1[[#This Row], [GUARD TIME]]</f>
        <v>71.166249999999991</v>
      </c>
      <c r="R1646" s="4">
        <f>Sheet1!$K$3*_xlfn.XLOOKUP(Table1[[#This Row], [DISGUISE]],Sheet1!$A$21:$A$23,Sheet1!$D$21:$D$23)</f>
        <v>69</v>
      </c>
      <c r="S1646" s="9">
        <f>Table1[[#This Row], [TOTAL TIME]]-Table1[[#This Row], [TOTAL TIME TAKEN]]</f>
        <v>-2.1662499999999909</v>
      </c>
      <c r="T1646" t="str">
        <f>IF(Table1[[#This Row], [TIME DIFFERENCE]]&gt;=0,"PASS","FAIL")</f>
        <v>FAIL</v>
      </c>
      <c r="U1646" s="9">
        <f>Table1[[#This Row], [TRC]]+Table1[[#This Row], [DRC]]+Table1[[#This Row], [WRC]]+Table1[[#This Row], [ERC]]+Table1[[#This Row], [EQRC]]</f>
        <v>8155181.8062499994</v>
      </c>
      <c r="V1646" s="9">
        <f>Table1[[#This Row], [TOTAL COST]]+_xlfn.XLOOKUP(Table1[[#This Row], [TEAM]],Sheet1!$A$12:$A$17,Sheet1!$I$12:$I$17)</f>
        <v>8452661.8062499985</v>
      </c>
      <c r="W1646" s="9">
        <f>Table1[[#This Row], [LOOT]]-Table1[[#This Row], [TOTAL COST]]</f>
        <v>9694818.1937500015</v>
      </c>
      <c r="X1646" s="4">
        <f>IF(Table1[[#This Row], [PASS/FAIL]]="FAIL",0,Table1[[#This Row], [PROFIT]])</f>
        <v>0</v>
      </c>
    </row>
    <row r="1647" spans="1:24" ht="19.5" customHeight="1" x14ac:dyDescent="0.45">
      <c r="A1647" t="s">
        <v>14</v>
      </c>
      <c r="B1647" s="14">
        <f>_xlfn.XLOOKUP(Table1[[#This Row], [TEAM]],Sheet1!$A$12:$A$17,Sheet1!$F$12:$F$17)</f>
        <v>2</v>
      </c>
      <c r="C1647" s="14">
        <f>_xlfn.XLOOKUP(Table1[[#This Row], [TEAM]],Sheet1!$A$12:$A$17,Sheet1!$G$12:$G$17)</f>
        <v>5949600</v>
      </c>
      <c r="D1647" t="s">
        <v>10</v>
      </c>
      <c r="E1647" s="4">
        <f>_xlfn.XLOOKUP(Table1[[#This Row], [ROOM]],Sheet1!$A$47:$A$66,Sheet1!$B$47:$B$66)</f>
        <v>123</v>
      </c>
      <c r="F1647" t="s">
        <v>58</v>
      </c>
      <c r="G164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47" s="13" t="s">
        <v>63</v>
      </c>
      <c r="I1647" s="4">
        <f>_xlfn.XLOOKUP(Table1[[#This Row], [WEAPON]],Sheet1!$A$27:$A$29,Sheet1!$B$27:$B$29)*Table1[[#This Row], [NUM OF MEM]]*(1+_xlfn.XLOOKUP(Table1[[#This Row], [WEAPON]],Sheet1!$A$27:$A$29,Sheet1!$C$27:$C$29))</f>
        <v>46000</v>
      </c>
      <c r="J1647" t="s">
        <v>64</v>
      </c>
      <c r="K1647" s="9">
        <f>Table1[[#This Row], [NUM OF MEM]]*Table1[[#This Row], [TOTAL TIME TAKEN]]*_xlfn.XLOOKUP(Table1[[#This Row], [EXIT]],Sheet1!$A$70:$A$71,Sheet1!$B$70:$B$71)*(1+_xlfn.XLOOKUP(Table1[[#This Row], [EXIT]],Sheet1!$A$70:$A$71,Sheet1!$C$70:$C$71))</f>
        <v>1844629.1999999997</v>
      </c>
      <c r="L1647" s="13" t="s">
        <v>65</v>
      </c>
      <c r="M1647" s="4">
        <f>IF(Table1[[#This Row], [EQUIPMENT]]="YES",Sheet1!$C$44*(1+Sheet1!$D$44),0)</f>
        <v>307500</v>
      </c>
      <c r="N1647" s="4">
        <f>_xlfn.XLOOKUP(Table1[[#This Row], [ROOM]],Sheet1!$A$47:$A$66,Sheet1!$F$47:$F$66)</f>
        <v>17850000</v>
      </c>
      <c r="O1647" s="9">
        <f>_xlfn.XLOOKUP(_xlfn.CONCAT(Table1[[#This Row], [TEAM]],Table1[[#This Row], [ROOM]]),'ROOM TIME'!$H$2:$H$121,'ROOM TIME'!$J$2:$J$121)</f>
        <v>63.066249999999997</v>
      </c>
      <c r="P1647" s="9">
        <f>(INDEX(Sheet1!$X$48:$Z$67,MATCH(Table1[[#This Row], [ROOM]],Sheet1!$P$48:$P$67,0),MATCH(Table1[[#This Row], [WEAPON]],Sheet1!$X$47:$Z$47,0)))/Table1[[#This Row], [NUM OF MEM]]</f>
        <v>8.1000000000000014</v>
      </c>
      <c r="Q1647" s="9">
        <f>Table1[[#This Row], [ROOM TIME]]+Table1[[#This Row], [GUARD TIME]]</f>
        <v>71.166249999999991</v>
      </c>
      <c r="R1647" s="4">
        <f>Sheet1!$K$3*_xlfn.XLOOKUP(Table1[[#This Row], [DISGUISE]],Sheet1!$A$21:$A$23,Sheet1!$D$21:$D$23)</f>
        <v>69</v>
      </c>
      <c r="S1647" s="9">
        <f>Table1[[#This Row], [TOTAL TIME]]-Table1[[#This Row], [TOTAL TIME TAKEN]]</f>
        <v>-2.1662499999999909</v>
      </c>
      <c r="T1647" t="str">
        <f>IF(Table1[[#This Row], [TIME DIFFERENCE]]&gt;=0,"PASS","FAIL")</f>
        <v>FAIL</v>
      </c>
      <c r="U1647" s="9">
        <f>Table1[[#This Row], [TRC]]+Table1[[#This Row], [DRC]]+Table1[[#This Row], [WRC]]+Table1[[#This Row], [ERC]]+Table1[[#This Row], [EQRC]]</f>
        <v>8173329.1999999993</v>
      </c>
      <c r="V1647" s="9">
        <f>Table1[[#This Row], [TOTAL COST]]+_xlfn.XLOOKUP(Table1[[#This Row], [TEAM]],Sheet1!$A$12:$A$17,Sheet1!$I$12:$I$17)</f>
        <v>8470809.1999999993</v>
      </c>
      <c r="W1647" s="9">
        <f>Table1[[#This Row], [LOOT]]-Table1[[#This Row], [TOTAL COST]]</f>
        <v>9676670.8000000007</v>
      </c>
      <c r="X1647" s="4">
        <f>IF(Table1[[#This Row], [PASS/FAIL]]="FAIL",0,Table1[[#This Row], [PROFIT]])</f>
        <v>0</v>
      </c>
    </row>
    <row r="1648" spans="1:24" ht="19.5" customHeight="1" x14ac:dyDescent="0.45">
      <c r="A1648" t="s">
        <v>14</v>
      </c>
      <c r="B1648" s="14">
        <f>_xlfn.XLOOKUP(Table1[[#This Row], [TEAM]],Sheet1!$A$12:$A$17,Sheet1!$F$12:$F$17)</f>
        <v>2</v>
      </c>
      <c r="C1648" s="14">
        <f>_xlfn.XLOOKUP(Table1[[#This Row], [TEAM]],Sheet1!$A$12:$A$17,Sheet1!$G$12:$G$17)</f>
        <v>5949600</v>
      </c>
      <c r="D1648" t="s">
        <v>10</v>
      </c>
      <c r="E1648" s="4">
        <f>_xlfn.XLOOKUP(Table1[[#This Row], [ROOM]],Sheet1!$A$47:$A$66,Sheet1!$B$47:$B$66)</f>
        <v>123</v>
      </c>
      <c r="F1648" t="s">
        <v>62</v>
      </c>
      <c r="G1648" s="4">
        <f>_xlfn.XLOOKUP(Table1[[#This Row], [DISGUISE]],Sheet1!$A$21:$A$23,Sheet1!$B$21:$B$23)*Table1[[#This Row], [NUM OF MEM]]*(1+_xlfn.XLOOKUP(Table1[[#This Row], [DISGUISE]],Sheet1!$A$21:$A$23,Sheet1!$C$21:$C$23))</f>
        <v>10400</v>
      </c>
      <c r="H1648" s="13" t="s">
        <v>63</v>
      </c>
      <c r="I1648" s="4">
        <f>_xlfn.XLOOKUP(Table1[[#This Row], [WEAPON]],Sheet1!$A$27:$A$29,Sheet1!$B$27:$B$29)*Table1[[#This Row], [NUM OF MEM]]*(1+_xlfn.XLOOKUP(Table1[[#This Row], [WEAPON]],Sheet1!$A$27:$A$29,Sheet1!$C$27:$C$29))</f>
        <v>46000</v>
      </c>
      <c r="J1648" t="s">
        <v>60</v>
      </c>
      <c r="K1648" s="9">
        <f>Table1[[#This Row], [NUM OF MEM]]*Table1[[#This Row], [TOTAL TIME TAKEN]]*_xlfn.XLOOKUP(Table1[[#This Row], [EXIT]],Sheet1!$A$70:$A$71,Sheet1!$B$70:$B$71)*(1+_xlfn.XLOOKUP(Table1[[#This Row], [EXIT]],Sheet1!$A$70:$A$71,Sheet1!$C$70:$C$71))</f>
        <v>1826481.8062499997</v>
      </c>
      <c r="L1648" s="13" t="s">
        <v>61</v>
      </c>
      <c r="M1648" s="4">
        <f>IF(Table1[[#This Row], [EQUIPMENT]]="YES",Sheet1!$C$44*(1+Sheet1!$D$44),0)</f>
        <v>0</v>
      </c>
      <c r="N1648" s="4">
        <f>_xlfn.XLOOKUP(Table1[[#This Row], [ROOM]],Sheet1!$A$47:$A$66,Sheet1!$F$47:$F$66)</f>
        <v>17850000</v>
      </c>
      <c r="O1648" s="9">
        <f>_xlfn.XLOOKUP(_xlfn.CONCAT(Table1[[#This Row], [TEAM]],Table1[[#This Row], [ROOM]]),'ROOM TIME'!$H$2:$H$121,'ROOM TIME'!$J$2:$J$121)</f>
        <v>63.066249999999997</v>
      </c>
      <c r="P1648" s="9">
        <f>(INDEX(Sheet1!$X$48:$Z$67,MATCH(Table1[[#This Row], [ROOM]],Sheet1!$P$48:$P$67,0),MATCH(Table1[[#This Row], [WEAPON]],Sheet1!$X$47:$Z$47,0)))/Table1[[#This Row], [NUM OF MEM]]</f>
        <v>8.1000000000000014</v>
      </c>
      <c r="Q1648" s="9">
        <f>Table1[[#This Row], [ROOM TIME]]+Table1[[#This Row], [GUARD TIME]]</f>
        <v>71.166249999999991</v>
      </c>
      <c r="R1648" s="4">
        <f>Sheet1!$K$3*_xlfn.XLOOKUP(Table1[[#This Row], [DISGUISE]],Sheet1!$A$21:$A$23,Sheet1!$D$21:$D$23)</f>
        <v>66</v>
      </c>
      <c r="S1648" s="9">
        <f>Table1[[#This Row], [TOTAL TIME]]-Table1[[#This Row], [TOTAL TIME TAKEN]]</f>
        <v>-5.1662499999999909</v>
      </c>
      <c r="T1648" t="str">
        <f>IF(Table1[[#This Row], [TIME DIFFERENCE]]&gt;=0,"PASS","FAIL")</f>
        <v>FAIL</v>
      </c>
      <c r="U1648" s="9">
        <f>Table1[[#This Row], [TRC]]+Table1[[#This Row], [DRC]]+Table1[[#This Row], [WRC]]+Table1[[#This Row], [ERC]]+Table1[[#This Row], [EQRC]]</f>
        <v>7832481.8062499994</v>
      </c>
      <c r="V1648" s="9">
        <f>Table1[[#This Row], [TOTAL COST]]+_xlfn.XLOOKUP(Table1[[#This Row], [TEAM]],Sheet1!$A$12:$A$17,Sheet1!$I$12:$I$17)</f>
        <v>8129961.8062499994</v>
      </c>
      <c r="W1648" s="9">
        <f>Table1[[#This Row], [LOOT]]-Table1[[#This Row], [TOTAL COST]]</f>
        <v>10017518.193750001</v>
      </c>
      <c r="X1648" s="4">
        <f>IF(Table1[[#This Row], [PASS/FAIL]]="FAIL",0,Table1[[#This Row], [PROFIT]])</f>
        <v>0</v>
      </c>
    </row>
    <row r="1649" spans="1:24" ht="19.5" customHeight="1" x14ac:dyDescent="0.45">
      <c r="A1649" t="s">
        <v>14</v>
      </c>
      <c r="B1649" s="14">
        <f>_xlfn.XLOOKUP(Table1[[#This Row], [TEAM]],Sheet1!$A$12:$A$17,Sheet1!$F$12:$F$17)</f>
        <v>2</v>
      </c>
      <c r="C1649" s="14">
        <f>_xlfn.XLOOKUP(Table1[[#This Row], [TEAM]],Sheet1!$A$12:$A$17,Sheet1!$G$12:$G$17)</f>
        <v>5949600</v>
      </c>
      <c r="D1649" t="s">
        <v>10</v>
      </c>
      <c r="E1649" s="4">
        <f>_xlfn.XLOOKUP(Table1[[#This Row], [ROOM]],Sheet1!$A$47:$A$66,Sheet1!$B$47:$B$66)</f>
        <v>123</v>
      </c>
      <c r="F1649" t="s">
        <v>62</v>
      </c>
      <c r="G1649" s="4">
        <f>_xlfn.XLOOKUP(Table1[[#This Row], [DISGUISE]],Sheet1!$A$21:$A$23,Sheet1!$B$21:$B$23)*Table1[[#This Row], [NUM OF MEM]]*(1+_xlfn.XLOOKUP(Table1[[#This Row], [DISGUISE]],Sheet1!$A$21:$A$23,Sheet1!$C$21:$C$23))</f>
        <v>10400</v>
      </c>
      <c r="H1649" s="13" t="s">
        <v>66</v>
      </c>
      <c r="I1649" s="4">
        <f>_xlfn.XLOOKUP(Table1[[#This Row], [WEAPON]],Sheet1!$A$27:$A$29,Sheet1!$B$27:$B$29)*Table1[[#This Row], [NUM OF MEM]]*(1+_xlfn.XLOOKUP(Table1[[#This Row], [WEAPON]],Sheet1!$A$27:$A$29,Sheet1!$C$27:$C$29))</f>
        <v>72000</v>
      </c>
      <c r="J1649" t="s">
        <v>60</v>
      </c>
      <c r="K1649" s="9">
        <f>Table1[[#This Row], [NUM OF MEM]]*Table1[[#This Row], [TOTAL TIME TAKEN]]*_xlfn.XLOOKUP(Table1[[#This Row], [EXIT]],Sheet1!$A$70:$A$71,Sheet1!$B$70:$B$71)*(1+_xlfn.XLOOKUP(Table1[[#This Row], [EXIT]],Sheet1!$A$70:$A$71,Sheet1!$C$70:$C$71))</f>
        <v>1811082.8062499999</v>
      </c>
      <c r="L1649" s="13" t="s">
        <v>61</v>
      </c>
      <c r="M1649" s="4">
        <f>IF(Table1[[#This Row], [EQUIPMENT]]="YES",Sheet1!$C$44*(1+Sheet1!$D$44),0)</f>
        <v>0</v>
      </c>
      <c r="N1649" s="4">
        <f>_xlfn.XLOOKUP(Table1[[#This Row], [ROOM]],Sheet1!$A$47:$A$66,Sheet1!$F$47:$F$66)</f>
        <v>17850000</v>
      </c>
      <c r="O1649" s="9">
        <f>_xlfn.XLOOKUP(_xlfn.CONCAT(Table1[[#This Row], [TEAM]],Table1[[#This Row], [ROOM]]),'ROOM TIME'!$H$2:$H$121,'ROOM TIME'!$J$2:$J$121)</f>
        <v>63.066249999999997</v>
      </c>
      <c r="P1649" s="9">
        <f>(INDEX(Sheet1!$X$48:$Z$67,MATCH(Table1[[#This Row], [ROOM]],Sheet1!$P$48:$P$67,0),MATCH(Table1[[#This Row], [WEAPON]],Sheet1!$X$47:$Z$47,0)))/Table1[[#This Row], [NUM OF MEM]]</f>
        <v>7.5</v>
      </c>
      <c r="Q1649" s="9">
        <f>Table1[[#This Row], [ROOM TIME]]+Table1[[#This Row], [GUARD TIME]]</f>
        <v>70.566249999999997</v>
      </c>
      <c r="R1649" s="4">
        <f>Sheet1!$K$3*_xlfn.XLOOKUP(Table1[[#This Row], [DISGUISE]],Sheet1!$A$21:$A$23,Sheet1!$D$21:$D$23)</f>
        <v>66</v>
      </c>
      <c r="S1649" s="9">
        <f>Table1[[#This Row], [TOTAL TIME]]-Table1[[#This Row], [TOTAL TIME TAKEN]]</f>
        <v>-4.5662499999999966</v>
      </c>
      <c r="T1649" t="str">
        <f>IF(Table1[[#This Row], [TIME DIFFERENCE]]&gt;=0,"PASS","FAIL")</f>
        <v>FAIL</v>
      </c>
      <c r="U1649" s="9">
        <f>Table1[[#This Row], [TRC]]+Table1[[#This Row], [DRC]]+Table1[[#This Row], [WRC]]+Table1[[#This Row], [ERC]]+Table1[[#This Row], [EQRC]]</f>
        <v>7843082.8062500004</v>
      </c>
      <c r="V1649" s="9">
        <f>Table1[[#This Row], [TOTAL COST]]+_xlfn.XLOOKUP(Table1[[#This Row], [TEAM]],Sheet1!$A$12:$A$17,Sheet1!$I$12:$I$17)</f>
        <v>8140562.8062500004</v>
      </c>
      <c r="W1649" s="9">
        <f>Table1[[#This Row], [LOOT]]-Table1[[#This Row], [TOTAL COST]]</f>
        <v>10006917.19375</v>
      </c>
      <c r="X1649" s="4">
        <f>IF(Table1[[#This Row], [PASS/FAIL]]="FAIL",0,Table1[[#This Row], [PROFIT]])</f>
        <v>0</v>
      </c>
    </row>
    <row r="1650" spans="1:24" ht="19.5" customHeight="1" x14ac:dyDescent="0.45">
      <c r="A1650" t="s">
        <v>14</v>
      </c>
      <c r="B1650" s="14">
        <f>_xlfn.XLOOKUP(Table1[[#This Row], [TEAM]],Sheet1!$A$12:$A$17,Sheet1!$F$12:$F$17)</f>
        <v>2</v>
      </c>
      <c r="C1650" s="14">
        <f>_xlfn.XLOOKUP(Table1[[#This Row], [TEAM]],Sheet1!$A$12:$A$17,Sheet1!$G$12:$G$17)</f>
        <v>5949600</v>
      </c>
      <c r="D1650" t="s">
        <v>10</v>
      </c>
      <c r="E1650" s="4">
        <f>_xlfn.XLOOKUP(Table1[[#This Row], [ROOM]],Sheet1!$A$47:$A$66,Sheet1!$B$47:$B$66)</f>
        <v>123</v>
      </c>
      <c r="F1650" t="s">
        <v>58</v>
      </c>
      <c r="G1650" s="4">
        <f>_xlfn.XLOOKUP(Table1[[#This Row], [DISGUISE]],Sheet1!$A$21:$A$23,Sheet1!$B$21:$B$23)*Table1[[#This Row], [NUM OF MEM]]*(1+_xlfn.XLOOKUP(Table1[[#This Row], [DISGUISE]],Sheet1!$A$21:$A$23,Sheet1!$C$21:$C$23))</f>
        <v>25600</v>
      </c>
      <c r="H1650" s="13" t="s">
        <v>66</v>
      </c>
      <c r="I1650" s="4">
        <f>_xlfn.XLOOKUP(Table1[[#This Row], [WEAPON]],Sheet1!$A$27:$A$29,Sheet1!$B$27:$B$29)*Table1[[#This Row], [NUM OF MEM]]*(1+_xlfn.XLOOKUP(Table1[[#This Row], [WEAPON]],Sheet1!$A$27:$A$29,Sheet1!$C$27:$C$29))</f>
        <v>72000</v>
      </c>
      <c r="J1650" t="s">
        <v>60</v>
      </c>
      <c r="K1650" s="9">
        <f>Table1[[#This Row], [NUM OF MEM]]*Table1[[#This Row], [TOTAL TIME TAKEN]]*_xlfn.XLOOKUP(Table1[[#This Row], [EXIT]],Sheet1!$A$70:$A$71,Sheet1!$B$70:$B$71)*(1+_xlfn.XLOOKUP(Table1[[#This Row], [EXIT]],Sheet1!$A$70:$A$71,Sheet1!$C$70:$C$71))</f>
        <v>1811082.8062499999</v>
      </c>
      <c r="L1650" s="13" t="s">
        <v>61</v>
      </c>
      <c r="M1650" s="4">
        <f>IF(Table1[[#This Row], [EQUIPMENT]]="YES",Sheet1!$C$44*(1+Sheet1!$D$44),0)</f>
        <v>0</v>
      </c>
      <c r="N1650" s="4">
        <f>_xlfn.XLOOKUP(Table1[[#This Row], [ROOM]],Sheet1!$A$47:$A$66,Sheet1!$F$47:$F$66)</f>
        <v>17850000</v>
      </c>
      <c r="O1650" s="9">
        <f>_xlfn.XLOOKUP(_xlfn.CONCAT(Table1[[#This Row], [TEAM]],Table1[[#This Row], [ROOM]]),'ROOM TIME'!$H$2:$H$121,'ROOM TIME'!$J$2:$J$121)</f>
        <v>63.066249999999997</v>
      </c>
      <c r="P1650" s="9">
        <f>(INDEX(Sheet1!$X$48:$Z$67,MATCH(Table1[[#This Row], [ROOM]],Sheet1!$P$48:$P$67,0),MATCH(Table1[[#This Row], [WEAPON]],Sheet1!$X$47:$Z$47,0)))/Table1[[#This Row], [NUM OF MEM]]</f>
        <v>7.5</v>
      </c>
      <c r="Q1650" s="9">
        <f>Table1[[#This Row], [ROOM TIME]]+Table1[[#This Row], [GUARD TIME]]</f>
        <v>70.566249999999997</v>
      </c>
      <c r="R1650" s="4">
        <f>Sheet1!$K$3*_xlfn.XLOOKUP(Table1[[#This Row], [DISGUISE]],Sheet1!$A$21:$A$23,Sheet1!$D$21:$D$23)</f>
        <v>69</v>
      </c>
      <c r="S1650" s="9">
        <f>Table1[[#This Row], [TOTAL TIME]]-Table1[[#This Row], [TOTAL TIME TAKEN]]</f>
        <v>-1.5662499999999966</v>
      </c>
      <c r="T1650" t="str">
        <f>IF(Table1[[#This Row], [TIME DIFFERENCE]]&gt;=0,"PASS","FAIL")</f>
        <v>FAIL</v>
      </c>
      <c r="U1650" s="9">
        <f>Table1[[#This Row], [TRC]]+Table1[[#This Row], [DRC]]+Table1[[#This Row], [WRC]]+Table1[[#This Row], [ERC]]+Table1[[#This Row], [EQRC]]</f>
        <v>7858282.8062500004</v>
      </c>
      <c r="V1650" s="9">
        <f>Table1[[#This Row], [TOTAL COST]]+_xlfn.XLOOKUP(Table1[[#This Row], [TEAM]],Sheet1!$A$12:$A$17,Sheet1!$I$12:$I$17)</f>
        <v>8155762.8062500004</v>
      </c>
      <c r="W1650" s="9">
        <f>Table1[[#This Row], [LOOT]]-Table1[[#This Row], [TOTAL COST]]</f>
        <v>9991717.1937499996</v>
      </c>
      <c r="X1650" s="4">
        <f>IF(Table1[[#This Row], [PASS/FAIL]]="FAIL",0,Table1[[#This Row], [PROFIT]])</f>
        <v>0</v>
      </c>
    </row>
    <row r="1651" spans="1:24" ht="19.5" customHeight="1" x14ac:dyDescent="0.45">
      <c r="A1651" t="s">
        <v>14</v>
      </c>
      <c r="B1651" s="14">
        <f>_xlfn.XLOOKUP(Table1[[#This Row], [TEAM]],Sheet1!$A$12:$A$17,Sheet1!$F$12:$F$17)</f>
        <v>2</v>
      </c>
      <c r="C1651" s="14">
        <f>_xlfn.XLOOKUP(Table1[[#This Row], [TEAM]],Sheet1!$A$12:$A$17,Sheet1!$G$12:$G$17)</f>
        <v>5949600</v>
      </c>
      <c r="D1651" t="s">
        <v>10</v>
      </c>
      <c r="E1651" s="4">
        <f>_xlfn.XLOOKUP(Table1[[#This Row], [ROOM]],Sheet1!$A$47:$A$66,Sheet1!$B$47:$B$66)</f>
        <v>123</v>
      </c>
      <c r="F1651" t="s">
        <v>62</v>
      </c>
      <c r="G1651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1" s="13" t="s">
        <v>63</v>
      </c>
      <c r="I1651" s="4">
        <f>_xlfn.XLOOKUP(Table1[[#This Row], [WEAPON]],Sheet1!$A$27:$A$29,Sheet1!$B$27:$B$29)*Table1[[#This Row], [NUM OF MEM]]*(1+_xlfn.XLOOKUP(Table1[[#This Row], [WEAPON]],Sheet1!$A$27:$A$29,Sheet1!$C$27:$C$29))</f>
        <v>46000</v>
      </c>
      <c r="J1651" t="s">
        <v>64</v>
      </c>
      <c r="K1651" s="9">
        <f>Table1[[#This Row], [NUM OF MEM]]*Table1[[#This Row], [TOTAL TIME TAKEN]]*_xlfn.XLOOKUP(Table1[[#This Row], [EXIT]],Sheet1!$A$70:$A$71,Sheet1!$B$70:$B$71)*(1+_xlfn.XLOOKUP(Table1[[#This Row], [EXIT]],Sheet1!$A$70:$A$71,Sheet1!$C$70:$C$71))</f>
        <v>1844629.1999999997</v>
      </c>
      <c r="L1651" s="13" t="s">
        <v>61</v>
      </c>
      <c r="M1651" s="4">
        <f>IF(Table1[[#This Row], [EQUIPMENT]]="YES",Sheet1!$C$44*(1+Sheet1!$D$44),0)</f>
        <v>0</v>
      </c>
      <c r="N1651" s="4">
        <f>_xlfn.XLOOKUP(Table1[[#This Row], [ROOM]],Sheet1!$A$47:$A$66,Sheet1!$F$47:$F$66)</f>
        <v>17850000</v>
      </c>
      <c r="O1651" s="9">
        <f>_xlfn.XLOOKUP(_xlfn.CONCAT(Table1[[#This Row], [TEAM]],Table1[[#This Row], [ROOM]]),'ROOM TIME'!$H$2:$H$121,'ROOM TIME'!$J$2:$J$121)</f>
        <v>63.066249999999997</v>
      </c>
      <c r="P1651" s="9">
        <f>(INDEX(Sheet1!$X$48:$Z$67,MATCH(Table1[[#This Row], [ROOM]],Sheet1!$P$48:$P$67,0),MATCH(Table1[[#This Row], [WEAPON]],Sheet1!$X$47:$Z$47,0)))/Table1[[#This Row], [NUM OF MEM]]</f>
        <v>8.1000000000000014</v>
      </c>
      <c r="Q1651" s="9">
        <f>Table1[[#This Row], [ROOM TIME]]+Table1[[#This Row], [GUARD TIME]]</f>
        <v>71.166249999999991</v>
      </c>
      <c r="R1651" s="4">
        <f>Sheet1!$K$3*_xlfn.XLOOKUP(Table1[[#This Row], [DISGUISE]],Sheet1!$A$21:$A$23,Sheet1!$D$21:$D$23)</f>
        <v>66</v>
      </c>
      <c r="S1651" s="9">
        <f>Table1[[#This Row], [TOTAL TIME]]-Table1[[#This Row], [TOTAL TIME TAKEN]]</f>
        <v>-5.1662499999999909</v>
      </c>
      <c r="T1651" t="str">
        <f>IF(Table1[[#This Row], [TIME DIFFERENCE]]&gt;=0,"PASS","FAIL")</f>
        <v>FAIL</v>
      </c>
      <c r="U1651" s="9">
        <f>Table1[[#This Row], [TRC]]+Table1[[#This Row], [DRC]]+Table1[[#This Row], [WRC]]+Table1[[#This Row], [ERC]]+Table1[[#This Row], [EQRC]]</f>
        <v>7850629.1999999993</v>
      </c>
      <c r="V1651" s="9">
        <f>Table1[[#This Row], [TOTAL COST]]+_xlfn.XLOOKUP(Table1[[#This Row], [TEAM]],Sheet1!$A$12:$A$17,Sheet1!$I$12:$I$17)</f>
        <v>8148109.1999999993</v>
      </c>
      <c r="W1651" s="9">
        <f>Table1[[#This Row], [LOOT]]-Table1[[#This Row], [TOTAL COST]]</f>
        <v>9999370.8000000007</v>
      </c>
      <c r="X1651" s="4">
        <f>IF(Table1[[#This Row], [PASS/FAIL]]="FAIL",0,Table1[[#This Row], [PROFIT]])</f>
        <v>0</v>
      </c>
    </row>
    <row r="1652" spans="1:24" ht="19.5" customHeight="1" x14ac:dyDescent="0.45">
      <c r="A1652" t="s">
        <v>14</v>
      </c>
      <c r="B1652" s="14">
        <f>_xlfn.XLOOKUP(Table1[[#This Row], [TEAM]],Sheet1!$A$12:$A$17,Sheet1!$F$12:$F$17)</f>
        <v>2</v>
      </c>
      <c r="C1652" s="14">
        <f>_xlfn.XLOOKUP(Table1[[#This Row], [TEAM]],Sheet1!$A$12:$A$17,Sheet1!$G$12:$G$17)</f>
        <v>5949600</v>
      </c>
      <c r="D1652" t="s">
        <v>10</v>
      </c>
      <c r="E1652" s="4">
        <f>_xlfn.XLOOKUP(Table1[[#This Row], [ROOM]],Sheet1!$A$47:$A$66,Sheet1!$B$47:$B$66)</f>
        <v>123</v>
      </c>
      <c r="F1652" t="s">
        <v>62</v>
      </c>
      <c r="G1652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2" s="13" t="s">
        <v>66</v>
      </c>
      <c r="I1652" s="4">
        <f>_xlfn.XLOOKUP(Table1[[#This Row], [WEAPON]],Sheet1!$A$27:$A$29,Sheet1!$B$27:$B$29)*Table1[[#This Row], [NUM OF MEM]]*(1+_xlfn.XLOOKUP(Table1[[#This Row], [WEAPON]],Sheet1!$A$27:$A$29,Sheet1!$C$27:$C$29))</f>
        <v>72000</v>
      </c>
      <c r="J1652" t="s">
        <v>64</v>
      </c>
      <c r="K1652" s="9">
        <f>Table1[[#This Row], [NUM OF MEM]]*Table1[[#This Row], [TOTAL TIME TAKEN]]*_xlfn.XLOOKUP(Table1[[#This Row], [EXIT]],Sheet1!$A$70:$A$71,Sheet1!$B$70:$B$71)*(1+_xlfn.XLOOKUP(Table1[[#This Row], [EXIT]],Sheet1!$A$70:$A$71,Sheet1!$C$70:$C$71))</f>
        <v>1829077.2</v>
      </c>
      <c r="L1652" s="13" t="s">
        <v>61</v>
      </c>
      <c r="M1652" s="4">
        <f>IF(Table1[[#This Row], [EQUIPMENT]]="YES",Sheet1!$C$44*(1+Sheet1!$D$44),0)</f>
        <v>0</v>
      </c>
      <c r="N1652" s="4">
        <f>_xlfn.XLOOKUP(Table1[[#This Row], [ROOM]],Sheet1!$A$47:$A$66,Sheet1!$F$47:$F$66)</f>
        <v>17850000</v>
      </c>
      <c r="O1652" s="9">
        <f>_xlfn.XLOOKUP(_xlfn.CONCAT(Table1[[#This Row], [TEAM]],Table1[[#This Row], [ROOM]]),'ROOM TIME'!$H$2:$H$121,'ROOM TIME'!$J$2:$J$121)</f>
        <v>63.066249999999997</v>
      </c>
      <c r="P1652" s="9">
        <f>(INDEX(Sheet1!$X$48:$Z$67,MATCH(Table1[[#This Row], [ROOM]],Sheet1!$P$48:$P$67,0),MATCH(Table1[[#This Row], [WEAPON]],Sheet1!$X$47:$Z$47,0)))/Table1[[#This Row], [NUM OF MEM]]</f>
        <v>7.5</v>
      </c>
      <c r="Q1652" s="9">
        <f>Table1[[#This Row], [ROOM TIME]]+Table1[[#This Row], [GUARD TIME]]</f>
        <v>70.566249999999997</v>
      </c>
      <c r="R1652" s="4">
        <f>Sheet1!$K$3*_xlfn.XLOOKUP(Table1[[#This Row], [DISGUISE]],Sheet1!$A$21:$A$23,Sheet1!$D$21:$D$23)</f>
        <v>66</v>
      </c>
      <c r="S1652" s="9">
        <f>Table1[[#This Row], [TOTAL TIME]]-Table1[[#This Row], [TOTAL TIME TAKEN]]</f>
        <v>-4.5662499999999966</v>
      </c>
      <c r="T1652" t="str">
        <f>IF(Table1[[#This Row], [TIME DIFFERENCE]]&gt;=0,"PASS","FAIL")</f>
        <v>FAIL</v>
      </c>
      <c r="U1652" s="9">
        <f>Table1[[#This Row], [TRC]]+Table1[[#This Row], [DRC]]+Table1[[#This Row], [WRC]]+Table1[[#This Row], [ERC]]+Table1[[#This Row], [EQRC]]</f>
        <v>7861077.2000000002</v>
      </c>
      <c r="V1652" s="9">
        <f>Table1[[#This Row], [TOTAL COST]]+_xlfn.XLOOKUP(Table1[[#This Row], [TEAM]],Sheet1!$A$12:$A$17,Sheet1!$I$12:$I$17)</f>
        <v>8158557.2000000002</v>
      </c>
      <c r="W1652" s="9">
        <f>Table1[[#This Row], [LOOT]]-Table1[[#This Row], [TOTAL COST]]</f>
        <v>9988922.8000000007</v>
      </c>
      <c r="X1652" s="4">
        <f>IF(Table1[[#This Row], [PASS/FAIL]]="FAIL",0,Table1[[#This Row], [PROFIT]])</f>
        <v>0</v>
      </c>
    </row>
    <row r="1653" spans="1:24" ht="19.5" customHeight="1" x14ac:dyDescent="0.45">
      <c r="A1653" t="s">
        <v>14</v>
      </c>
      <c r="B1653" s="14">
        <f>_xlfn.XLOOKUP(Table1[[#This Row], [TEAM]],Sheet1!$A$12:$A$17,Sheet1!$F$12:$F$17)</f>
        <v>2</v>
      </c>
      <c r="C1653" s="14">
        <f>_xlfn.XLOOKUP(Table1[[#This Row], [TEAM]],Sheet1!$A$12:$A$17,Sheet1!$G$12:$G$17)</f>
        <v>5949600</v>
      </c>
      <c r="D1653" t="s">
        <v>10</v>
      </c>
      <c r="E1653" s="4">
        <f>_xlfn.XLOOKUP(Table1[[#This Row], [ROOM]],Sheet1!$A$47:$A$66,Sheet1!$B$47:$B$66)</f>
        <v>123</v>
      </c>
      <c r="F1653" t="s">
        <v>58</v>
      </c>
      <c r="G165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53" s="13" t="s">
        <v>66</v>
      </c>
      <c r="I1653" s="4">
        <f>_xlfn.XLOOKUP(Table1[[#This Row], [WEAPON]],Sheet1!$A$27:$A$29,Sheet1!$B$27:$B$29)*Table1[[#This Row], [NUM OF MEM]]*(1+_xlfn.XLOOKUP(Table1[[#This Row], [WEAPON]],Sheet1!$A$27:$A$29,Sheet1!$C$27:$C$29))</f>
        <v>72000</v>
      </c>
      <c r="J1653" t="s">
        <v>64</v>
      </c>
      <c r="K1653" s="9">
        <f>Table1[[#This Row], [NUM OF MEM]]*Table1[[#This Row], [TOTAL TIME TAKEN]]*_xlfn.XLOOKUP(Table1[[#This Row], [EXIT]],Sheet1!$A$70:$A$71,Sheet1!$B$70:$B$71)*(1+_xlfn.XLOOKUP(Table1[[#This Row], [EXIT]],Sheet1!$A$70:$A$71,Sheet1!$C$70:$C$71))</f>
        <v>1829077.2</v>
      </c>
      <c r="L1653" s="13" t="s">
        <v>61</v>
      </c>
      <c r="M1653" s="4">
        <f>IF(Table1[[#This Row], [EQUIPMENT]]="YES",Sheet1!$C$44*(1+Sheet1!$D$44),0)</f>
        <v>0</v>
      </c>
      <c r="N1653" s="4">
        <f>_xlfn.XLOOKUP(Table1[[#This Row], [ROOM]],Sheet1!$A$47:$A$66,Sheet1!$F$47:$F$66)</f>
        <v>17850000</v>
      </c>
      <c r="O1653" s="9">
        <f>_xlfn.XLOOKUP(_xlfn.CONCAT(Table1[[#This Row], [TEAM]],Table1[[#This Row], [ROOM]]),'ROOM TIME'!$H$2:$H$121,'ROOM TIME'!$J$2:$J$121)</f>
        <v>63.066249999999997</v>
      </c>
      <c r="P1653" s="9">
        <f>(INDEX(Sheet1!$X$48:$Z$67,MATCH(Table1[[#This Row], [ROOM]],Sheet1!$P$48:$P$67,0),MATCH(Table1[[#This Row], [WEAPON]],Sheet1!$X$47:$Z$47,0)))/Table1[[#This Row], [NUM OF MEM]]</f>
        <v>7.5</v>
      </c>
      <c r="Q1653" s="9">
        <f>Table1[[#This Row], [ROOM TIME]]+Table1[[#This Row], [GUARD TIME]]</f>
        <v>70.566249999999997</v>
      </c>
      <c r="R1653" s="4">
        <f>Sheet1!$K$3*_xlfn.XLOOKUP(Table1[[#This Row], [DISGUISE]],Sheet1!$A$21:$A$23,Sheet1!$D$21:$D$23)</f>
        <v>69</v>
      </c>
      <c r="S1653" s="9">
        <f>Table1[[#This Row], [TOTAL TIME]]-Table1[[#This Row], [TOTAL TIME TAKEN]]</f>
        <v>-1.5662499999999966</v>
      </c>
      <c r="T1653" t="str">
        <f>IF(Table1[[#This Row], [TIME DIFFERENCE]]&gt;=0,"PASS","FAIL")</f>
        <v>FAIL</v>
      </c>
      <c r="U1653" s="9">
        <f>Table1[[#This Row], [TRC]]+Table1[[#This Row], [DRC]]+Table1[[#This Row], [WRC]]+Table1[[#This Row], [ERC]]+Table1[[#This Row], [EQRC]]</f>
        <v>7876277.2000000002</v>
      </c>
      <c r="V1653" s="9">
        <f>Table1[[#This Row], [TOTAL COST]]+_xlfn.XLOOKUP(Table1[[#This Row], [TEAM]],Sheet1!$A$12:$A$17,Sheet1!$I$12:$I$17)</f>
        <v>8173757.2000000002</v>
      </c>
      <c r="W1653" s="9">
        <f>Table1[[#This Row], [LOOT]]-Table1[[#This Row], [TOTAL COST]]</f>
        <v>9973722.8000000007</v>
      </c>
      <c r="X1653" s="4">
        <f>IF(Table1[[#This Row], [PASS/FAIL]]="FAIL",0,Table1[[#This Row], [PROFIT]])</f>
        <v>0</v>
      </c>
    </row>
    <row r="1654" spans="1:24" ht="19.5" customHeight="1" x14ac:dyDescent="0.45">
      <c r="A1654" t="s">
        <v>14</v>
      </c>
      <c r="B1654" s="14">
        <f>_xlfn.XLOOKUP(Table1[[#This Row], [TEAM]],Sheet1!$A$12:$A$17,Sheet1!$F$12:$F$17)</f>
        <v>2</v>
      </c>
      <c r="C1654" s="14">
        <f>_xlfn.XLOOKUP(Table1[[#This Row], [TEAM]],Sheet1!$A$12:$A$17,Sheet1!$G$12:$G$17)</f>
        <v>5949600</v>
      </c>
      <c r="D1654" t="s">
        <v>10</v>
      </c>
      <c r="E1654" s="4">
        <f>_xlfn.XLOOKUP(Table1[[#This Row], [ROOM]],Sheet1!$A$47:$A$66,Sheet1!$B$47:$B$66)</f>
        <v>123</v>
      </c>
      <c r="F1654" t="s">
        <v>62</v>
      </c>
      <c r="G1654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4" s="13" t="s">
        <v>63</v>
      </c>
      <c r="I1654" s="4">
        <f>_xlfn.XLOOKUP(Table1[[#This Row], [WEAPON]],Sheet1!$A$27:$A$29,Sheet1!$B$27:$B$29)*Table1[[#This Row], [NUM OF MEM]]*(1+_xlfn.XLOOKUP(Table1[[#This Row], [WEAPON]],Sheet1!$A$27:$A$29,Sheet1!$C$27:$C$29))</f>
        <v>46000</v>
      </c>
      <c r="J1654" t="s">
        <v>60</v>
      </c>
      <c r="K1654" s="9">
        <f>Table1[[#This Row], [NUM OF MEM]]*Table1[[#This Row], [TOTAL TIME TAKEN]]*_xlfn.XLOOKUP(Table1[[#This Row], [EXIT]],Sheet1!$A$70:$A$71,Sheet1!$B$70:$B$71)*(1+_xlfn.XLOOKUP(Table1[[#This Row], [EXIT]],Sheet1!$A$70:$A$71,Sheet1!$C$70:$C$71))</f>
        <v>1826481.8062499997</v>
      </c>
      <c r="L1654" s="13" t="s">
        <v>65</v>
      </c>
      <c r="M1654" s="4">
        <f>IF(Table1[[#This Row], [EQUIPMENT]]="YES",Sheet1!$C$44*(1+Sheet1!$D$44),0)</f>
        <v>307500</v>
      </c>
      <c r="N1654" s="4">
        <f>_xlfn.XLOOKUP(Table1[[#This Row], [ROOM]],Sheet1!$A$47:$A$66,Sheet1!$F$47:$F$66)</f>
        <v>17850000</v>
      </c>
      <c r="O1654" s="9">
        <f>_xlfn.XLOOKUP(_xlfn.CONCAT(Table1[[#This Row], [TEAM]],Table1[[#This Row], [ROOM]]),'ROOM TIME'!$H$2:$H$121,'ROOM TIME'!$J$2:$J$121)</f>
        <v>63.066249999999997</v>
      </c>
      <c r="P1654" s="9">
        <f>(INDEX(Sheet1!$X$48:$Z$67,MATCH(Table1[[#This Row], [ROOM]],Sheet1!$P$48:$P$67,0),MATCH(Table1[[#This Row], [WEAPON]],Sheet1!$X$47:$Z$47,0)))/Table1[[#This Row], [NUM OF MEM]]</f>
        <v>8.1000000000000014</v>
      </c>
      <c r="Q1654" s="9">
        <f>Table1[[#This Row], [ROOM TIME]]+Table1[[#This Row], [GUARD TIME]]</f>
        <v>71.166249999999991</v>
      </c>
      <c r="R1654" s="4">
        <f>Sheet1!$K$3*_xlfn.XLOOKUP(Table1[[#This Row], [DISGUISE]],Sheet1!$A$21:$A$23,Sheet1!$D$21:$D$23)</f>
        <v>66</v>
      </c>
      <c r="S1654" s="9">
        <f>Table1[[#This Row], [TOTAL TIME]]-Table1[[#This Row], [TOTAL TIME TAKEN]]</f>
        <v>-5.1662499999999909</v>
      </c>
      <c r="T1654" t="str">
        <f>IF(Table1[[#This Row], [TIME DIFFERENCE]]&gt;=0,"PASS","FAIL")</f>
        <v>FAIL</v>
      </c>
      <c r="U1654" s="9">
        <f>Table1[[#This Row], [TRC]]+Table1[[#This Row], [DRC]]+Table1[[#This Row], [WRC]]+Table1[[#This Row], [ERC]]+Table1[[#This Row], [EQRC]]</f>
        <v>8139981.8062499994</v>
      </c>
      <c r="V1654" s="9">
        <f>Table1[[#This Row], [TOTAL COST]]+_xlfn.XLOOKUP(Table1[[#This Row], [TEAM]],Sheet1!$A$12:$A$17,Sheet1!$I$12:$I$17)</f>
        <v>8437461.8062499985</v>
      </c>
      <c r="W1654" s="9">
        <f>Table1[[#This Row], [LOOT]]-Table1[[#This Row], [TOTAL COST]]</f>
        <v>9710018.1937500015</v>
      </c>
      <c r="X1654" s="4">
        <f>IF(Table1[[#This Row], [PASS/FAIL]]="FAIL",0,Table1[[#This Row], [PROFIT]])</f>
        <v>0</v>
      </c>
    </row>
    <row r="1655" spans="1:24" ht="19.5" customHeight="1" x14ac:dyDescent="0.45">
      <c r="A1655" t="s">
        <v>14</v>
      </c>
      <c r="B1655" s="14">
        <f>_xlfn.XLOOKUP(Table1[[#This Row], [TEAM]],Sheet1!$A$12:$A$17,Sheet1!$F$12:$F$17)</f>
        <v>2</v>
      </c>
      <c r="C1655" s="14">
        <f>_xlfn.XLOOKUP(Table1[[#This Row], [TEAM]],Sheet1!$A$12:$A$17,Sheet1!$G$12:$G$17)</f>
        <v>5949600</v>
      </c>
      <c r="D1655" t="s">
        <v>10</v>
      </c>
      <c r="E1655" s="4">
        <f>_xlfn.XLOOKUP(Table1[[#This Row], [ROOM]],Sheet1!$A$47:$A$66,Sheet1!$B$47:$B$66)</f>
        <v>123</v>
      </c>
      <c r="F1655" t="s">
        <v>62</v>
      </c>
      <c r="G1655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5" s="13" t="s">
        <v>66</v>
      </c>
      <c r="I1655" s="4">
        <f>_xlfn.XLOOKUP(Table1[[#This Row], [WEAPON]],Sheet1!$A$27:$A$29,Sheet1!$B$27:$B$29)*Table1[[#This Row], [NUM OF MEM]]*(1+_xlfn.XLOOKUP(Table1[[#This Row], [WEAPON]],Sheet1!$A$27:$A$29,Sheet1!$C$27:$C$29))</f>
        <v>72000</v>
      </c>
      <c r="J1655" t="s">
        <v>60</v>
      </c>
      <c r="K1655" s="9">
        <f>Table1[[#This Row], [NUM OF MEM]]*Table1[[#This Row], [TOTAL TIME TAKEN]]*_xlfn.XLOOKUP(Table1[[#This Row], [EXIT]],Sheet1!$A$70:$A$71,Sheet1!$B$70:$B$71)*(1+_xlfn.XLOOKUP(Table1[[#This Row], [EXIT]],Sheet1!$A$70:$A$71,Sheet1!$C$70:$C$71))</f>
        <v>1811082.8062499999</v>
      </c>
      <c r="L1655" s="13" t="s">
        <v>65</v>
      </c>
      <c r="M1655" s="4">
        <f>IF(Table1[[#This Row], [EQUIPMENT]]="YES",Sheet1!$C$44*(1+Sheet1!$D$44),0)</f>
        <v>307500</v>
      </c>
      <c r="N1655" s="4">
        <f>_xlfn.XLOOKUP(Table1[[#This Row], [ROOM]],Sheet1!$A$47:$A$66,Sheet1!$F$47:$F$66)</f>
        <v>17850000</v>
      </c>
      <c r="O1655" s="9">
        <f>_xlfn.XLOOKUP(_xlfn.CONCAT(Table1[[#This Row], [TEAM]],Table1[[#This Row], [ROOM]]),'ROOM TIME'!$H$2:$H$121,'ROOM TIME'!$J$2:$J$121)</f>
        <v>63.066249999999997</v>
      </c>
      <c r="P1655" s="9">
        <f>(INDEX(Sheet1!$X$48:$Z$67,MATCH(Table1[[#This Row], [ROOM]],Sheet1!$P$48:$P$67,0),MATCH(Table1[[#This Row], [WEAPON]],Sheet1!$X$47:$Z$47,0)))/Table1[[#This Row], [NUM OF MEM]]</f>
        <v>7.5</v>
      </c>
      <c r="Q1655" s="9">
        <f>Table1[[#This Row], [ROOM TIME]]+Table1[[#This Row], [GUARD TIME]]</f>
        <v>70.566249999999997</v>
      </c>
      <c r="R1655" s="4">
        <f>Sheet1!$K$3*_xlfn.XLOOKUP(Table1[[#This Row], [DISGUISE]],Sheet1!$A$21:$A$23,Sheet1!$D$21:$D$23)</f>
        <v>66</v>
      </c>
      <c r="S1655" s="9">
        <f>Table1[[#This Row], [TOTAL TIME]]-Table1[[#This Row], [TOTAL TIME TAKEN]]</f>
        <v>-4.5662499999999966</v>
      </c>
      <c r="T1655" t="str">
        <f>IF(Table1[[#This Row], [TIME DIFFERENCE]]&gt;=0,"PASS","FAIL")</f>
        <v>FAIL</v>
      </c>
      <c r="U1655" s="9">
        <f>Table1[[#This Row], [TRC]]+Table1[[#This Row], [DRC]]+Table1[[#This Row], [WRC]]+Table1[[#This Row], [ERC]]+Table1[[#This Row], [EQRC]]</f>
        <v>8150582.8062500004</v>
      </c>
      <c r="V1655" s="9">
        <f>Table1[[#This Row], [TOTAL COST]]+_xlfn.XLOOKUP(Table1[[#This Row], [TEAM]],Sheet1!$A$12:$A$17,Sheet1!$I$12:$I$17)</f>
        <v>8448062.8062500004</v>
      </c>
      <c r="W1655" s="9">
        <f>Table1[[#This Row], [LOOT]]-Table1[[#This Row], [TOTAL COST]]</f>
        <v>9699417.1937499996</v>
      </c>
      <c r="X1655" s="4">
        <f>IF(Table1[[#This Row], [PASS/FAIL]]="FAIL",0,Table1[[#This Row], [PROFIT]])</f>
        <v>0</v>
      </c>
    </row>
    <row r="1656" spans="1:24" ht="19.5" customHeight="1" x14ac:dyDescent="0.45">
      <c r="A1656" t="s">
        <v>14</v>
      </c>
      <c r="B1656" s="14">
        <f>_xlfn.XLOOKUP(Table1[[#This Row], [TEAM]],Sheet1!$A$12:$A$17,Sheet1!$F$12:$F$17)</f>
        <v>2</v>
      </c>
      <c r="C1656" s="14">
        <f>_xlfn.XLOOKUP(Table1[[#This Row], [TEAM]],Sheet1!$A$12:$A$17,Sheet1!$G$12:$G$17)</f>
        <v>5949600</v>
      </c>
      <c r="D1656" t="s">
        <v>10</v>
      </c>
      <c r="E1656" s="4">
        <f>_xlfn.XLOOKUP(Table1[[#This Row], [ROOM]],Sheet1!$A$47:$A$66,Sheet1!$B$47:$B$66)</f>
        <v>123</v>
      </c>
      <c r="F1656" t="s">
        <v>58</v>
      </c>
      <c r="G1656" s="4">
        <f>_xlfn.XLOOKUP(Table1[[#This Row], [DISGUISE]],Sheet1!$A$21:$A$23,Sheet1!$B$21:$B$23)*Table1[[#This Row], [NUM OF MEM]]*(1+_xlfn.XLOOKUP(Table1[[#This Row], [DISGUISE]],Sheet1!$A$21:$A$23,Sheet1!$C$21:$C$23))</f>
        <v>25600</v>
      </c>
      <c r="H1656" s="13" t="s">
        <v>66</v>
      </c>
      <c r="I1656" s="4">
        <f>_xlfn.XLOOKUP(Table1[[#This Row], [WEAPON]],Sheet1!$A$27:$A$29,Sheet1!$B$27:$B$29)*Table1[[#This Row], [NUM OF MEM]]*(1+_xlfn.XLOOKUP(Table1[[#This Row], [WEAPON]],Sheet1!$A$27:$A$29,Sheet1!$C$27:$C$29))</f>
        <v>72000</v>
      </c>
      <c r="J1656" t="s">
        <v>60</v>
      </c>
      <c r="K1656" s="9">
        <f>Table1[[#This Row], [NUM OF MEM]]*Table1[[#This Row], [TOTAL TIME TAKEN]]*_xlfn.XLOOKUP(Table1[[#This Row], [EXIT]],Sheet1!$A$70:$A$71,Sheet1!$B$70:$B$71)*(1+_xlfn.XLOOKUP(Table1[[#This Row], [EXIT]],Sheet1!$A$70:$A$71,Sheet1!$C$70:$C$71))</f>
        <v>1811082.8062499999</v>
      </c>
      <c r="L1656" s="13" t="s">
        <v>65</v>
      </c>
      <c r="M1656" s="4">
        <f>IF(Table1[[#This Row], [EQUIPMENT]]="YES",Sheet1!$C$44*(1+Sheet1!$D$44),0)</f>
        <v>307500</v>
      </c>
      <c r="N1656" s="4">
        <f>_xlfn.XLOOKUP(Table1[[#This Row], [ROOM]],Sheet1!$A$47:$A$66,Sheet1!$F$47:$F$66)</f>
        <v>17850000</v>
      </c>
      <c r="O1656" s="9">
        <f>_xlfn.XLOOKUP(_xlfn.CONCAT(Table1[[#This Row], [TEAM]],Table1[[#This Row], [ROOM]]),'ROOM TIME'!$H$2:$H$121,'ROOM TIME'!$J$2:$J$121)</f>
        <v>63.066249999999997</v>
      </c>
      <c r="P1656" s="9">
        <f>(INDEX(Sheet1!$X$48:$Z$67,MATCH(Table1[[#This Row], [ROOM]],Sheet1!$P$48:$P$67,0),MATCH(Table1[[#This Row], [WEAPON]],Sheet1!$X$47:$Z$47,0)))/Table1[[#This Row], [NUM OF MEM]]</f>
        <v>7.5</v>
      </c>
      <c r="Q1656" s="9">
        <f>Table1[[#This Row], [ROOM TIME]]+Table1[[#This Row], [GUARD TIME]]</f>
        <v>70.566249999999997</v>
      </c>
      <c r="R1656" s="4">
        <f>Sheet1!$K$3*_xlfn.XLOOKUP(Table1[[#This Row], [DISGUISE]],Sheet1!$A$21:$A$23,Sheet1!$D$21:$D$23)</f>
        <v>69</v>
      </c>
      <c r="S1656" s="9">
        <f>Table1[[#This Row], [TOTAL TIME]]-Table1[[#This Row], [TOTAL TIME TAKEN]]</f>
        <v>-1.5662499999999966</v>
      </c>
      <c r="T1656" t="str">
        <f>IF(Table1[[#This Row], [TIME DIFFERENCE]]&gt;=0,"PASS","FAIL")</f>
        <v>FAIL</v>
      </c>
      <c r="U1656" s="9">
        <f>Table1[[#This Row], [TRC]]+Table1[[#This Row], [DRC]]+Table1[[#This Row], [WRC]]+Table1[[#This Row], [ERC]]+Table1[[#This Row], [EQRC]]</f>
        <v>8165782.8062500004</v>
      </c>
      <c r="V1656" s="9">
        <f>Table1[[#This Row], [TOTAL COST]]+_xlfn.XLOOKUP(Table1[[#This Row], [TEAM]],Sheet1!$A$12:$A$17,Sheet1!$I$12:$I$17)</f>
        <v>8463262.8062500004</v>
      </c>
      <c r="W1656" s="9">
        <f>Table1[[#This Row], [LOOT]]-Table1[[#This Row], [TOTAL COST]]</f>
        <v>9684217.1937499996</v>
      </c>
      <c r="X1656" s="4">
        <f>IF(Table1[[#This Row], [PASS/FAIL]]="FAIL",0,Table1[[#This Row], [PROFIT]])</f>
        <v>0</v>
      </c>
    </row>
    <row r="1657" spans="1:24" ht="19.5" customHeight="1" x14ac:dyDescent="0.45">
      <c r="A1657" t="s">
        <v>14</v>
      </c>
      <c r="B1657" s="14">
        <f>_xlfn.XLOOKUP(Table1[[#This Row], [TEAM]],Sheet1!$A$12:$A$17,Sheet1!$F$12:$F$17)</f>
        <v>2</v>
      </c>
      <c r="C1657" s="14">
        <f>_xlfn.XLOOKUP(Table1[[#This Row], [TEAM]],Sheet1!$A$12:$A$17,Sheet1!$G$12:$G$17)</f>
        <v>5949600</v>
      </c>
      <c r="D1657" t="s">
        <v>10</v>
      </c>
      <c r="E1657" s="4">
        <f>_xlfn.XLOOKUP(Table1[[#This Row], [ROOM]],Sheet1!$A$47:$A$66,Sheet1!$B$47:$B$66)</f>
        <v>123</v>
      </c>
      <c r="F1657" t="s">
        <v>62</v>
      </c>
      <c r="G1657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7" s="13" t="s">
        <v>63</v>
      </c>
      <c r="I1657" s="4">
        <f>_xlfn.XLOOKUP(Table1[[#This Row], [WEAPON]],Sheet1!$A$27:$A$29,Sheet1!$B$27:$B$29)*Table1[[#This Row], [NUM OF MEM]]*(1+_xlfn.XLOOKUP(Table1[[#This Row], [WEAPON]],Sheet1!$A$27:$A$29,Sheet1!$C$27:$C$29))</f>
        <v>46000</v>
      </c>
      <c r="J1657" t="s">
        <v>64</v>
      </c>
      <c r="K1657" s="9">
        <f>Table1[[#This Row], [NUM OF MEM]]*Table1[[#This Row], [TOTAL TIME TAKEN]]*_xlfn.XLOOKUP(Table1[[#This Row], [EXIT]],Sheet1!$A$70:$A$71,Sheet1!$B$70:$B$71)*(1+_xlfn.XLOOKUP(Table1[[#This Row], [EXIT]],Sheet1!$A$70:$A$71,Sheet1!$C$70:$C$71))</f>
        <v>1844629.1999999997</v>
      </c>
      <c r="L1657" s="13" t="s">
        <v>65</v>
      </c>
      <c r="M1657" s="4">
        <f>IF(Table1[[#This Row], [EQUIPMENT]]="YES",Sheet1!$C$44*(1+Sheet1!$D$44),0)</f>
        <v>307500</v>
      </c>
      <c r="N1657" s="4">
        <f>_xlfn.XLOOKUP(Table1[[#This Row], [ROOM]],Sheet1!$A$47:$A$66,Sheet1!$F$47:$F$66)</f>
        <v>17850000</v>
      </c>
      <c r="O1657" s="9">
        <f>_xlfn.XLOOKUP(_xlfn.CONCAT(Table1[[#This Row], [TEAM]],Table1[[#This Row], [ROOM]]),'ROOM TIME'!$H$2:$H$121,'ROOM TIME'!$J$2:$J$121)</f>
        <v>63.066249999999997</v>
      </c>
      <c r="P1657" s="9">
        <f>(INDEX(Sheet1!$X$48:$Z$67,MATCH(Table1[[#This Row], [ROOM]],Sheet1!$P$48:$P$67,0),MATCH(Table1[[#This Row], [WEAPON]],Sheet1!$X$47:$Z$47,0)))/Table1[[#This Row], [NUM OF MEM]]</f>
        <v>8.1000000000000014</v>
      </c>
      <c r="Q1657" s="9">
        <f>Table1[[#This Row], [ROOM TIME]]+Table1[[#This Row], [GUARD TIME]]</f>
        <v>71.166249999999991</v>
      </c>
      <c r="R1657" s="4">
        <f>Sheet1!$K$3*_xlfn.XLOOKUP(Table1[[#This Row], [DISGUISE]],Sheet1!$A$21:$A$23,Sheet1!$D$21:$D$23)</f>
        <v>66</v>
      </c>
      <c r="S1657" s="9">
        <f>Table1[[#This Row], [TOTAL TIME]]-Table1[[#This Row], [TOTAL TIME TAKEN]]</f>
        <v>-5.1662499999999909</v>
      </c>
      <c r="T1657" t="str">
        <f>IF(Table1[[#This Row], [TIME DIFFERENCE]]&gt;=0,"PASS","FAIL")</f>
        <v>FAIL</v>
      </c>
      <c r="U1657" s="9">
        <f>Table1[[#This Row], [TRC]]+Table1[[#This Row], [DRC]]+Table1[[#This Row], [WRC]]+Table1[[#This Row], [ERC]]+Table1[[#This Row], [EQRC]]</f>
        <v>8158129.1999999993</v>
      </c>
      <c r="V1657" s="9">
        <f>Table1[[#This Row], [TOTAL COST]]+_xlfn.XLOOKUP(Table1[[#This Row], [TEAM]],Sheet1!$A$12:$A$17,Sheet1!$I$12:$I$17)</f>
        <v>8455609.1999999993</v>
      </c>
      <c r="W1657" s="9">
        <f>Table1[[#This Row], [LOOT]]-Table1[[#This Row], [TOTAL COST]]</f>
        <v>9691870.8000000007</v>
      </c>
      <c r="X1657" s="4">
        <f>IF(Table1[[#This Row], [PASS/FAIL]]="FAIL",0,Table1[[#This Row], [PROFIT]])</f>
        <v>0</v>
      </c>
    </row>
    <row r="1658" spans="1:24" ht="19.5" customHeight="1" x14ac:dyDescent="0.45">
      <c r="A1658" t="s">
        <v>14</v>
      </c>
      <c r="B1658" s="14">
        <f>_xlfn.XLOOKUP(Table1[[#This Row], [TEAM]],Sheet1!$A$12:$A$17,Sheet1!$F$12:$F$17)</f>
        <v>2</v>
      </c>
      <c r="C1658" s="14">
        <f>_xlfn.XLOOKUP(Table1[[#This Row], [TEAM]],Sheet1!$A$12:$A$17,Sheet1!$G$12:$G$17)</f>
        <v>5949600</v>
      </c>
      <c r="D1658" t="s">
        <v>10</v>
      </c>
      <c r="E1658" s="4">
        <f>_xlfn.XLOOKUP(Table1[[#This Row], [ROOM]],Sheet1!$A$47:$A$66,Sheet1!$B$47:$B$66)</f>
        <v>123</v>
      </c>
      <c r="F1658" t="s">
        <v>62</v>
      </c>
      <c r="G1658" s="4">
        <f>_xlfn.XLOOKUP(Table1[[#This Row], [DISGUISE]],Sheet1!$A$21:$A$23,Sheet1!$B$21:$B$23)*Table1[[#This Row], [NUM OF MEM]]*(1+_xlfn.XLOOKUP(Table1[[#This Row], [DISGUISE]],Sheet1!$A$21:$A$23,Sheet1!$C$21:$C$23))</f>
        <v>10400</v>
      </c>
      <c r="H1658" s="13" t="s">
        <v>66</v>
      </c>
      <c r="I1658" s="4">
        <f>_xlfn.XLOOKUP(Table1[[#This Row], [WEAPON]],Sheet1!$A$27:$A$29,Sheet1!$B$27:$B$29)*Table1[[#This Row], [NUM OF MEM]]*(1+_xlfn.XLOOKUP(Table1[[#This Row], [WEAPON]],Sheet1!$A$27:$A$29,Sheet1!$C$27:$C$29))</f>
        <v>72000</v>
      </c>
      <c r="J1658" t="s">
        <v>64</v>
      </c>
      <c r="K1658" s="9">
        <f>Table1[[#This Row], [NUM OF MEM]]*Table1[[#This Row], [TOTAL TIME TAKEN]]*_xlfn.XLOOKUP(Table1[[#This Row], [EXIT]],Sheet1!$A$70:$A$71,Sheet1!$B$70:$B$71)*(1+_xlfn.XLOOKUP(Table1[[#This Row], [EXIT]],Sheet1!$A$70:$A$71,Sheet1!$C$70:$C$71))</f>
        <v>1829077.2</v>
      </c>
      <c r="L1658" s="13" t="s">
        <v>65</v>
      </c>
      <c r="M1658" s="4">
        <f>IF(Table1[[#This Row], [EQUIPMENT]]="YES",Sheet1!$C$44*(1+Sheet1!$D$44),0)</f>
        <v>307500</v>
      </c>
      <c r="N1658" s="4">
        <f>_xlfn.XLOOKUP(Table1[[#This Row], [ROOM]],Sheet1!$A$47:$A$66,Sheet1!$F$47:$F$66)</f>
        <v>17850000</v>
      </c>
      <c r="O1658" s="9">
        <f>_xlfn.XLOOKUP(_xlfn.CONCAT(Table1[[#This Row], [TEAM]],Table1[[#This Row], [ROOM]]),'ROOM TIME'!$H$2:$H$121,'ROOM TIME'!$J$2:$J$121)</f>
        <v>63.066249999999997</v>
      </c>
      <c r="P1658" s="9">
        <f>(INDEX(Sheet1!$X$48:$Z$67,MATCH(Table1[[#This Row], [ROOM]],Sheet1!$P$48:$P$67,0),MATCH(Table1[[#This Row], [WEAPON]],Sheet1!$X$47:$Z$47,0)))/Table1[[#This Row], [NUM OF MEM]]</f>
        <v>7.5</v>
      </c>
      <c r="Q1658" s="9">
        <f>Table1[[#This Row], [ROOM TIME]]+Table1[[#This Row], [GUARD TIME]]</f>
        <v>70.566249999999997</v>
      </c>
      <c r="R1658" s="4">
        <f>Sheet1!$K$3*_xlfn.XLOOKUP(Table1[[#This Row], [DISGUISE]],Sheet1!$A$21:$A$23,Sheet1!$D$21:$D$23)</f>
        <v>66</v>
      </c>
      <c r="S1658" s="9">
        <f>Table1[[#This Row], [TOTAL TIME]]-Table1[[#This Row], [TOTAL TIME TAKEN]]</f>
        <v>-4.5662499999999966</v>
      </c>
      <c r="T1658" t="str">
        <f>IF(Table1[[#This Row], [TIME DIFFERENCE]]&gt;=0,"PASS","FAIL")</f>
        <v>FAIL</v>
      </c>
      <c r="U1658" s="9">
        <f>Table1[[#This Row], [TRC]]+Table1[[#This Row], [DRC]]+Table1[[#This Row], [WRC]]+Table1[[#This Row], [ERC]]+Table1[[#This Row], [EQRC]]</f>
        <v>8168577.2000000002</v>
      </c>
      <c r="V1658" s="9">
        <f>Table1[[#This Row], [TOTAL COST]]+_xlfn.XLOOKUP(Table1[[#This Row], [TEAM]],Sheet1!$A$12:$A$17,Sheet1!$I$12:$I$17)</f>
        <v>8466057.1999999993</v>
      </c>
      <c r="W1658" s="9">
        <f>Table1[[#This Row], [LOOT]]-Table1[[#This Row], [TOTAL COST]]</f>
        <v>9681422.8000000007</v>
      </c>
      <c r="X1658" s="4">
        <f>IF(Table1[[#This Row], [PASS/FAIL]]="FAIL",0,Table1[[#This Row], [PROFIT]])</f>
        <v>0</v>
      </c>
    </row>
    <row r="1659" spans="1:24" ht="19.5" customHeight="1" x14ac:dyDescent="0.45">
      <c r="A1659" t="s">
        <v>14</v>
      </c>
      <c r="B1659" s="14">
        <f>_xlfn.XLOOKUP(Table1[[#This Row], [TEAM]],Sheet1!$A$12:$A$17,Sheet1!$F$12:$F$17)</f>
        <v>2</v>
      </c>
      <c r="C1659" s="14">
        <f>_xlfn.XLOOKUP(Table1[[#This Row], [TEAM]],Sheet1!$A$12:$A$17,Sheet1!$G$12:$G$17)</f>
        <v>5949600</v>
      </c>
      <c r="D1659" t="s">
        <v>10</v>
      </c>
      <c r="E1659" s="4">
        <f>_xlfn.XLOOKUP(Table1[[#This Row], [ROOM]],Sheet1!$A$47:$A$66,Sheet1!$B$47:$B$66)</f>
        <v>123</v>
      </c>
      <c r="F1659" t="s">
        <v>58</v>
      </c>
      <c r="G165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59" s="13" t="s">
        <v>66</v>
      </c>
      <c r="I1659" s="4">
        <f>_xlfn.XLOOKUP(Table1[[#This Row], [WEAPON]],Sheet1!$A$27:$A$29,Sheet1!$B$27:$B$29)*Table1[[#This Row], [NUM OF MEM]]*(1+_xlfn.XLOOKUP(Table1[[#This Row], [WEAPON]],Sheet1!$A$27:$A$29,Sheet1!$C$27:$C$29))</f>
        <v>72000</v>
      </c>
      <c r="J1659" t="s">
        <v>64</v>
      </c>
      <c r="K1659" s="9">
        <f>Table1[[#This Row], [NUM OF MEM]]*Table1[[#This Row], [TOTAL TIME TAKEN]]*_xlfn.XLOOKUP(Table1[[#This Row], [EXIT]],Sheet1!$A$70:$A$71,Sheet1!$B$70:$B$71)*(1+_xlfn.XLOOKUP(Table1[[#This Row], [EXIT]],Sheet1!$A$70:$A$71,Sheet1!$C$70:$C$71))</f>
        <v>1829077.2</v>
      </c>
      <c r="L1659" s="13" t="s">
        <v>65</v>
      </c>
      <c r="M1659" s="4">
        <f>IF(Table1[[#This Row], [EQUIPMENT]]="YES",Sheet1!$C$44*(1+Sheet1!$D$44),0)</f>
        <v>307500</v>
      </c>
      <c r="N1659" s="4">
        <f>_xlfn.XLOOKUP(Table1[[#This Row], [ROOM]],Sheet1!$A$47:$A$66,Sheet1!$F$47:$F$66)</f>
        <v>17850000</v>
      </c>
      <c r="O1659" s="9">
        <f>_xlfn.XLOOKUP(_xlfn.CONCAT(Table1[[#This Row], [TEAM]],Table1[[#This Row], [ROOM]]),'ROOM TIME'!$H$2:$H$121,'ROOM TIME'!$J$2:$J$121)</f>
        <v>63.066249999999997</v>
      </c>
      <c r="P1659" s="9">
        <f>(INDEX(Sheet1!$X$48:$Z$67,MATCH(Table1[[#This Row], [ROOM]],Sheet1!$P$48:$P$67,0),MATCH(Table1[[#This Row], [WEAPON]],Sheet1!$X$47:$Z$47,0)))/Table1[[#This Row], [NUM OF MEM]]</f>
        <v>7.5</v>
      </c>
      <c r="Q1659" s="9">
        <f>Table1[[#This Row], [ROOM TIME]]+Table1[[#This Row], [GUARD TIME]]</f>
        <v>70.566249999999997</v>
      </c>
      <c r="R1659" s="4">
        <f>Sheet1!$K$3*_xlfn.XLOOKUP(Table1[[#This Row], [DISGUISE]],Sheet1!$A$21:$A$23,Sheet1!$D$21:$D$23)</f>
        <v>69</v>
      </c>
      <c r="S1659" s="9">
        <f>Table1[[#This Row], [TOTAL TIME]]-Table1[[#This Row], [TOTAL TIME TAKEN]]</f>
        <v>-1.5662499999999966</v>
      </c>
      <c r="T1659" t="str">
        <f>IF(Table1[[#This Row], [TIME DIFFERENCE]]&gt;=0,"PASS","FAIL")</f>
        <v>FAIL</v>
      </c>
      <c r="U1659" s="9">
        <f>Table1[[#This Row], [TRC]]+Table1[[#This Row], [DRC]]+Table1[[#This Row], [WRC]]+Table1[[#This Row], [ERC]]+Table1[[#This Row], [EQRC]]</f>
        <v>8183777.2000000002</v>
      </c>
      <c r="V1659" s="9">
        <f>Table1[[#This Row], [TOTAL COST]]+_xlfn.XLOOKUP(Table1[[#This Row], [TEAM]],Sheet1!$A$12:$A$17,Sheet1!$I$12:$I$17)</f>
        <v>8481257.1999999993</v>
      </c>
      <c r="W1659" s="9">
        <f>Table1[[#This Row], [LOOT]]-Table1[[#This Row], [TOTAL COST]]</f>
        <v>9666222.8000000007</v>
      </c>
      <c r="X1659" s="4">
        <f>IF(Table1[[#This Row], [PASS/FAIL]]="FAIL",0,Table1[[#This Row], [PROFIT]])</f>
        <v>0</v>
      </c>
    </row>
    <row r="1660" spans="1:24" ht="19.5" customHeight="1" x14ac:dyDescent="0.45">
      <c r="A1660" t="s">
        <v>15</v>
      </c>
      <c r="B1660" s="14">
        <f>_xlfn.XLOOKUP(Table1[[#This Row], [TEAM]],Sheet1!$A$12:$A$17,Sheet1!$F$12:$F$17)</f>
        <v>2</v>
      </c>
      <c r="C1660" s="14">
        <f>_xlfn.XLOOKUP(Table1[[#This Row], [TEAM]],Sheet1!$A$12:$A$17,Sheet1!$G$12:$G$17)</f>
        <v>5932950</v>
      </c>
      <c r="D1660" t="s">
        <v>10</v>
      </c>
      <c r="E1660" s="4">
        <f>_xlfn.XLOOKUP(Table1[[#This Row], [ROOM]],Sheet1!$A$47:$A$66,Sheet1!$B$47:$B$66)</f>
        <v>123</v>
      </c>
      <c r="F1660" t="s">
        <v>62</v>
      </c>
      <c r="G1660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0" s="13" t="s">
        <v>59</v>
      </c>
      <c r="I1660" s="4">
        <f>_xlfn.XLOOKUP(Table1[[#This Row], [WEAPON]],Sheet1!$A$27:$A$29,Sheet1!$B$27:$B$29)*Table1[[#This Row], [NUM OF MEM]]*(1+_xlfn.XLOOKUP(Table1[[#This Row], [WEAPON]],Sheet1!$A$27:$A$29,Sheet1!$C$27:$C$29))</f>
        <v>91000</v>
      </c>
      <c r="J1660" t="s">
        <v>60</v>
      </c>
      <c r="K1660" s="9">
        <f>Table1[[#This Row], [NUM OF MEM]]*Table1[[#This Row], [TOTAL TIME TAKEN]]*_xlfn.XLOOKUP(Table1[[#This Row], [EXIT]],Sheet1!$A$70:$A$71,Sheet1!$B$70:$B$71)*(1+_xlfn.XLOOKUP(Table1[[#This Row], [EXIT]],Sheet1!$A$70:$A$71,Sheet1!$C$70:$C$71))</f>
        <v>1805917.7249999996</v>
      </c>
      <c r="L1660" s="13" t="s">
        <v>61</v>
      </c>
      <c r="M1660" s="4">
        <f>IF(Table1[[#This Row], [EQUIPMENT]]="YES",Sheet1!$C$44*(1+Sheet1!$D$44),0)</f>
        <v>0</v>
      </c>
      <c r="N1660" s="4">
        <f>_xlfn.XLOOKUP(Table1[[#This Row], [ROOM]],Sheet1!$A$47:$A$66,Sheet1!$F$47:$F$66)</f>
        <v>17850000</v>
      </c>
      <c r="O1660" s="9">
        <f>_xlfn.XLOOKUP(_xlfn.CONCAT(Table1[[#This Row], [TEAM]],Table1[[#This Row], [ROOM]]),'ROOM TIME'!$H$2:$H$121,'ROOM TIME'!$J$2:$J$121)</f>
        <v>63.464999999999975</v>
      </c>
      <c r="P1660" s="9">
        <f>(INDEX(Sheet1!$X$48:$Z$67,MATCH(Table1[[#This Row], [ROOM]],Sheet1!$P$48:$P$67,0),MATCH(Table1[[#This Row], [WEAPON]],Sheet1!$X$47:$Z$47,0)))/Table1[[#This Row], [NUM OF MEM]]</f>
        <v>6.8999999999999995</v>
      </c>
      <c r="Q1660" s="9">
        <f>Table1[[#This Row], [ROOM TIME]]+Table1[[#This Row], [GUARD TIME]]</f>
        <v>70.364999999999981</v>
      </c>
      <c r="R1660" s="4">
        <f>Sheet1!$K$3*_xlfn.XLOOKUP(Table1[[#This Row], [DISGUISE]],Sheet1!$A$21:$A$23,Sheet1!$D$21:$D$23)</f>
        <v>66</v>
      </c>
      <c r="S1660" s="9">
        <f>Table1[[#This Row], [TOTAL TIME]]-Table1[[#This Row], [TOTAL TIME TAKEN]]</f>
        <v>-4.3649999999999807</v>
      </c>
      <c r="T1660" t="str">
        <f>IF(Table1[[#This Row], [TIME DIFFERENCE]]&gt;=0,"PASS","FAIL")</f>
        <v>FAIL</v>
      </c>
      <c r="U1660" s="9">
        <f>Table1[[#This Row], [TRC]]+Table1[[#This Row], [DRC]]+Table1[[#This Row], [WRC]]+Table1[[#This Row], [ERC]]+Table1[[#This Row], [EQRC]]</f>
        <v>7840267.7249999996</v>
      </c>
      <c r="V1660" s="9">
        <f>Table1[[#This Row], [TOTAL COST]]+_xlfn.XLOOKUP(Table1[[#This Row], [TEAM]],Sheet1!$A$12:$A$17,Sheet1!$I$12:$I$17)</f>
        <v>8136915.2249999996</v>
      </c>
      <c r="W1660" s="9">
        <f>Table1[[#This Row], [LOOT]]-Table1[[#This Row], [TOTAL COST]]</f>
        <v>10009732.275</v>
      </c>
      <c r="X1660" s="4">
        <f>IF(Table1[[#This Row], [PASS/FAIL]]="FAIL",0,Table1[[#This Row], [PROFIT]])</f>
        <v>0</v>
      </c>
    </row>
    <row r="1661" spans="1:24" ht="19.5" customHeight="1" x14ac:dyDescent="0.45">
      <c r="A1661" t="s">
        <v>15</v>
      </c>
      <c r="B1661" s="14">
        <f>_xlfn.XLOOKUP(Table1[[#This Row], [TEAM]],Sheet1!$A$12:$A$17,Sheet1!$F$12:$F$17)</f>
        <v>2</v>
      </c>
      <c r="C1661" s="14">
        <f>_xlfn.XLOOKUP(Table1[[#This Row], [TEAM]],Sheet1!$A$12:$A$17,Sheet1!$G$12:$G$17)</f>
        <v>5932950</v>
      </c>
      <c r="D1661" t="s">
        <v>10</v>
      </c>
      <c r="E1661" s="4">
        <f>_xlfn.XLOOKUP(Table1[[#This Row], [ROOM]],Sheet1!$A$47:$A$66,Sheet1!$B$47:$B$66)</f>
        <v>123</v>
      </c>
      <c r="F1661" t="s">
        <v>58</v>
      </c>
      <c r="G166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61" s="13" t="s">
        <v>59</v>
      </c>
      <c r="I1661" s="4">
        <f>_xlfn.XLOOKUP(Table1[[#This Row], [WEAPON]],Sheet1!$A$27:$A$29,Sheet1!$B$27:$B$29)*Table1[[#This Row], [NUM OF MEM]]*(1+_xlfn.XLOOKUP(Table1[[#This Row], [WEAPON]],Sheet1!$A$27:$A$29,Sheet1!$C$27:$C$29))</f>
        <v>91000</v>
      </c>
      <c r="J1661" t="s">
        <v>60</v>
      </c>
      <c r="K1661" s="9">
        <f>Table1[[#This Row], [NUM OF MEM]]*Table1[[#This Row], [TOTAL TIME TAKEN]]*_xlfn.XLOOKUP(Table1[[#This Row], [EXIT]],Sheet1!$A$70:$A$71,Sheet1!$B$70:$B$71)*(1+_xlfn.XLOOKUP(Table1[[#This Row], [EXIT]],Sheet1!$A$70:$A$71,Sheet1!$C$70:$C$71))</f>
        <v>1805917.7249999996</v>
      </c>
      <c r="L1661" s="13" t="s">
        <v>61</v>
      </c>
      <c r="M1661" s="4">
        <f>IF(Table1[[#This Row], [EQUIPMENT]]="YES",Sheet1!$C$44*(1+Sheet1!$D$44),0)</f>
        <v>0</v>
      </c>
      <c r="N1661" s="4">
        <f>_xlfn.XLOOKUP(Table1[[#This Row], [ROOM]],Sheet1!$A$47:$A$66,Sheet1!$F$47:$F$66)</f>
        <v>17850000</v>
      </c>
      <c r="O1661" s="9">
        <f>_xlfn.XLOOKUP(_xlfn.CONCAT(Table1[[#This Row], [TEAM]],Table1[[#This Row], [ROOM]]),'ROOM TIME'!$H$2:$H$121,'ROOM TIME'!$J$2:$J$121)</f>
        <v>63.464999999999975</v>
      </c>
      <c r="P1661" s="9">
        <f>(INDEX(Sheet1!$X$48:$Z$67,MATCH(Table1[[#This Row], [ROOM]],Sheet1!$P$48:$P$67,0),MATCH(Table1[[#This Row], [WEAPON]],Sheet1!$X$47:$Z$47,0)))/Table1[[#This Row], [NUM OF MEM]]</f>
        <v>6.8999999999999995</v>
      </c>
      <c r="Q1661" s="9">
        <f>Table1[[#This Row], [ROOM TIME]]+Table1[[#This Row], [GUARD TIME]]</f>
        <v>70.364999999999981</v>
      </c>
      <c r="R1661" s="4">
        <f>Sheet1!$K$3*_xlfn.XLOOKUP(Table1[[#This Row], [DISGUISE]],Sheet1!$A$21:$A$23,Sheet1!$D$21:$D$23)</f>
        <v>69</v>
      </c>
      <c r="S1661" s="9">
        <f>Table1[[#This Row], [TOTAL TIME]]-Table1[[#This Row], [TOTAL TIME TAKEN]]</f>
        <v>-1.3649999999999807</v>
      </c>
      <c r="T1661" t="str">
        <f>IF(Table1[[#This Row], [TIME DIFFERENCE]]&gt;=0,"PASS","FAIL")</f>
        <v>FAIL</v>
      </c>
      <c r="U1661" s="9">
        <f>Table1[[#This Row], [TRC]]+Table1[[#This Row], [DRC]]+Table1[[#This Row], [WRC]]+Table1[[#This Row], [ERC]]+Table1[[#This Row], [EQRC]]</f>
        <v>7855467.7249999996</v>
      </c>
      <c r="V1661" s="9">
        <f>Table1[[#This Row], [TOTAL COST]]+_xlfn.XLOOKUP(Table1[[#This Row], [TEAM]],Sheet1!$A$12:$A$17,Sheet1!$I$12:$I$17)</f>
        <v>8152115.2249999996</v>
      </c>
      <c r="W1661" s="9">
        <f>Table1[[#This Row], [LOOT]]-Table1[[#This Row], [TOTAL COST]]</f>
        <v>9994532.2750000004</v>
      </c>
      <c r="X1661" s="4">
        <f>IF(Table1[[#This Row], [PASS/FAIL]]="FAIL",0,Table1[[#This Row], [PROFIT]])</f>
        <v>0</v>
      </c>
    </row>
    <row r="1662" spans="1:24" ht="19.5" customHeight="1" x14ac:dyDescent="0.45">
      <c r="A1662" t="s">
        <v>15</v>
      </c>
      <c r="B1662" s="14">
        <f>_xlfn.XLOOKUP(Table1[[#This Row], [TEAM]],Sheet1!$A$12:$A$17,Sheet1!$F$12:$F$17)</f>
        <v>2</v>
      </c>
      <c r="C1662" s="14">
        <f>_xlfn.XLOOKUP(Table1[[#This Row], [TEAM]],Sheet1!$A$12:$A$17,Sheet1!$G$12:$G$17)</f>
        <v>5932950</v>
      </c>
      <c r="D1662" t="s">
        <v>10</v>
      </c>
      <c r="E1662" s="4">
        <f>_xlfn.XLOOKUP(Table1[[#This Row], [ROOM]],Sheet1!$A$47:$A$66,Sheet1!$B$47:$B$66)</f>
        <v>123</v>
      </c>
      <c r="F1662" t="s">
        <v>62</v>
      </c>
      <c r="G1662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2" s="13" t="s">
        <v>59</v>
      </c>
      <c r="I1662" s="4">
        <f>_xlfn.XLOOKUP(Table1[[#This Row], [WEAPON]],Sheet1!$A$27:$A$29,Sheet1!$B$27:$B$29)*Table1[[#This Row], [NUM OF MEM]]*(1+_xlfn.XLOOKUP(Table1[[#This Row], [WEAPON]],Sheet1!$A$27:$A$29,Sheet1!$C$27:$C$29))</f>
        <v>91000</v>
      </c>
      <c r="J1662" t="s">
        <v>64</v>
      </c>
      <c r="K1662" s="9">
        <f>Table1[[#This Row], [NUM OF MEM]]*Table1[[#This Row], [TOTAL TIME TAKEN]]*_xlfn.XLOOKUP(Table1[[#This Row], [EXIT]],Sheet1!$A$70:$A$71,Sheet1!$B$70:$B$71)*(1+_xlfn.XLOOKUP(Table1[[#This Row], [EXIT]],Sheet1!$A$70:$A$71,Sheet1!$C$70:$C$71))</f>
        <v>1823860.7999999993</v>
      </c>
      <c r="L1662" s="13" t="s">
        <v>61</v>
      </c>
      <c r="M1662" s="4">
        <f>IF(Table1[[#This Row], [EQUIPMENT]]="YES",Sheet1!$C$44*(1+Sheet1!$D$44),0)</f>
        <v>0</v>
      </c>
      <c r="N1662" s="4">
        <f>_xlfn.XLOOKUP(Table1[[#This Row], [ROOM]],Sheet1!$A$47:$A$66,Sheet1!$F$47:$F$66)</f>
        <v>17850000</v>
      </c>
      <c r="O1662" s="9">
        <f>_xlfn.XLOOKUP(_xlfn.CONCAT(Table1[[#This Row], [TEAM]],Table1[[#This Row], [ROOM]]),'ROOM TIME'!$H$2:$H$121,'ROOM TIME'!$J$2:$J$121)</f>
        <v>63.464999999999975</v>
      </c>
      <c r="P1662" s="9">
        <f>(INDEX(Sheet1!$X$48:$Z$67,MATCH(Table1[[#This Row], [ROOM]],Sheet1!$P$48:$P$67,0),MATCH(Table1[[#This Row], [WEAPON]],Sheet1!$X$47:$Z$47,0)))/Table1[[#This Row], [NUM OF MEM]]</f>
        <v>6.8999999999999995</v>
      </c>
      <c r="Q1662" s="9">
        <f>Table1[[#This Row], [ROOM TIME]]+Table1[[#This Row], [GUARD TIME]]</f>
        <v>70.364999999999981</v>
      </c>
      <c r="R1662" s="4">
        <f>Sheet1!$K$3*_xlfn.XLOOKUP(Table1[[#This Row], [DISGUISE]],Sheet1!$A$21:$A$23,Sheet1!$D$21:$D$23)</f>
        <v>66</v>
      </c>
      <c r="S1662" s="9">
        <f>Table1[[#This Row], [TOTAL TIME]]-Table1[[#This Row], [TOTAL TIME TAKEN]]</f>
        <v>-4.3649999999999807</v>
      </c>
      <c r="T1662" t="str">
        <f>IF(Table1[[#This Row], [TIME DIFFERENCE]]&gt;=0,"PASS","FAIL")</f>
        <v>FAIL</v>
      </c>
      <c r="U1662" s="9">
        <f>Table1[[#This Row], [TRC]]+Table1[[#This Row], [DRC]]+Table1[[#This Row], [WRC]]+Table1[[#This Row], [ERC]]+Table1[[#This Row], [EQRC]]</f>
        <v>7858210.7999999989</v>
      </c>
      <c r="V1662" s="9">
        <f>Table1[[#This Row], [TOTAL COST]]+_xlfn.XLOOKUP(Table1[[#This Row], [TEAM]],Sheet1!$A$12:$A$17,Sheet1!$I$12:$I$17)</f>
        <v>8154858.2999999989</v>
      </c>
      <c r="W1662" s="9">
        <f>Table1[[#This Row], [LOOT]]-Table1[[#This Row], [TOTAL COST]]</f>
        <v>9991789.2000000011</v>
      </c>
      <c r="X1662" s="4">
        <f>IF(Table1[[#This Row], [PASS/FAIL]]="FAIL",0,Table1[[#This Row], [PROFIT]])</f>
        <v>0</v>
      </c>
    </row>
    <row r="1663" spans="1:24" ht="19.5" customHeight="1" x14ac:dyDescent="0.45">
      <c r="A1663" t="s">
        <v>15</v>
      </c>
      <c r="B1663" s="14">
        <f>_xlfn.XLOOKUP(Table1[[#This Row], [TEAM]],Sheet1!$A$12:$A$17,Sheet1!$F$12:$F$17)</f>
        <v>2</v>
      </c>
      <c r="C1663" s="14">
        <f>_xlfn.XLOOKUP(Table1[[#This Row], [TEAM]],Sheet1!$A$12:$A$17,Sheet1!$G$12:$G$17)</f>
        <v>5932950</v>
      </c>
      <c r="D1663" t="s">
        <v>10</v>
      </c>
      <c r="E1663" s="4">
        <f>_xlfn.XLOOKUP(Table1[[#This Row], [ROOM]],Sheet1!$A$47:$A$66,Sheet1!$B$47:$B$66)</f>
        <v>123</v>
      </c>
      <c r="F1663" t="s">
        <v>58</v>
      </c>
      <c r="G166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63" s="13" t="s">
        <v>59</v>
      </c>
      <c r="I1663" s="4">
        <f>_xlfn.XLOOKUP(Table1[[#This Row], [WEAPON]],Sheet1!$A$27:$A$29,Sheet1!$B$27:$B$29)*Table1[[#This Row], [NUM OF MEM]]*(1+_xlfn.XLOOKUP(Table1[[#This Row], [WEAPON]],Sheet1!$A$27:$A$29,Sheet1!$C$27:$C$29))</f>
        <v>91000</v>
      </c>
      <c r="J1663" t="s">
        <v>64</v>
      </c>
      <c r="K1663" s="9">
        <f>Table1[[#This Row], [NUM OF MEM]]*Table1[[#This Row], [TOTAL TIME TAKEN]]*_xlfn.XLOOKUP(Table1[[#This Row], [EXIT]],Sheet1!$A$70:$A$71,Sheet1!$B$70:$B$71)*(1+_xlfn.XLOOKUP(Table1[[#This Row], [EXIT]],Sheet1!$A$70:$A$71,Sheet1!$C$70:$C$71))</f>
        <v>1823860.7999999993</v>
      </c>
      <c r="L1663" s="13" t="s">
        <v>61</v>
      </c>
      <c r="M1663" s="4">
        <f>IF(Table1[[#This Row], [EQUIPMENT]]="YES",Sheet1!$C$44*(1+Sheet1!$D$44),0)</f>
        <v>0</v>
      </c>
      <c r="N1663" s="4">
        <f>_xlfn.XLOOKUP(Table1[[#This Row], [ROOM]],Sheet1!$A$47:$A$66,Sheet1!$F$47:$F$66)</f>
        <v>17850000</v>
      </c>
      <c r="O1663" s="9">
        <f>_xlfn.XLOOKUP(_xlfn.CONCAT(Table1[[#This Row], [TEAM]],Table1[[#This Row], [ROOM]]),'ROOM TIME'!$H$2:$H$121,'ROOM TIME'!$J$2:$J$121)</f>
        <v>63.464999999999975</v>
      </c>
      <c r="P1663" s="9">
        <f>(INDEX(Sheet1!$X$48:$Z$67,MATCH(Table1[[#This Row], [ROOM]],Sheet1!$P$48:$P$67,0),MATCH(Table1[[#This Row], [WEAPON]],Sheet1!$X$47:$Z$47,0)))/Table1[[#This Row], [NUM OF MEM]]</f>
        <v>6.8999999999999995</v>
      </c>
      <c r="Q1663" s="9">
        <f>Table1[[#This Row], [ROOM TIME]]+Table1[[#This Row], [GUARD TIME]]</f>
        <v>70.364999999999981</v>
      </c>
      <c r="R1663" s="4">
        <f>Sheet1!$K$3*_xlfn.XLOOKUP(Table1[[#This Row], [DISGUISE]],Sheet1!$A$21:$A$23,Sheet1!$D$21:$D$23)</f>
        <v>69</v>
      </c>
      <c r="S1663" s="9">
        <f>Table1[[#This Row], [TOTAL TIME]]-Table1[[#This Row], [TOTAL TIME TAKEN]]</f>
        <v>-1.3649999999999807</v>
      </c>
      <c r="T1663" t="str">
        <f>IF(Table1[[#This Row], [TIME DIFFERENCE]]&gt;=0,"PASS","FAIL")</f>
        <v>FAIL</v>
      </c>
      <c r="U1663" s="9">
        <f>Table1[[#This Row], [TRC]]+Table1[[#This Row], [DRC]]+Table1[[#This Row], [WRC]]+Table1[[#This Row], [ERC]]+Table1[[#This Row], [EQRC]]</f>
        <v>7873410.7999999989</v>
      </c>
      <c r="V1663" s="9">
        <f>Table1[[#This Row], [TOTAL COST]]+_xlfn.XLOOKUP(Table1[[#This Row], [TEAM]],Sheet1!$A$12:$A$17,Sheet1!$I$12:$I$17)</f>
        <v>8170058.2999999989</v>
      </c>
      <c r="W1663" s="9">
        <f>Table1[[#This Row], [LOOT]]-Table1[[#This Row], [TOTAL COST]]</f>
        <v>9976589.2000000011</v>
      </c>
      <c r="X1663" s="4">
        <f>IF(Table1[[#This Row], [PASS/FAIL]]="FAIL",0,Table1[[#This Row], [PROFIT]])</f>
        <v>0</v>
      </c>
    </row>
    <row r="1664" spans="1:24" ht="19.5" customHeight="1" x14ac:dyDescent="0.45">
      <c r="A1664" t="s">
        <v>15</v>
      </c>
      <c r="B1664" s="14">
        <f>_xlfn.XLOOKUP(Table1[[#This Row], [TEAM]],Sheet1!$A$12:$A$17,Sheet1!$F$12:$F$17)</f>
        <v>2</v>
      </c>
      <c r="C1664" s="14">
        <f>_xlfn.XLOOKUP(Table1[[#This Row], [TEAM]],Sheet1!$A$12:$A$17,Sheet1!$G$12:$G$17)</f>
        <v>5932950</v>
      </c>
      <c r="D1664" t="s">
        <v>10</v>
      </c>
      <c r="E1664" s="4">
        <f>_xlfn.XLOOKUP(Table1[[#This Row], [ROOM]],Sheet1!$A$47:$A$66,Sheet1!$B$47:$B$66)</f>
        <v>123</v>
      </c>
      <c r="F1664" t="s">
        <v>62</v>
      </c>
      <c r="G1664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4" s="13" t="s">
        <v>59</v>
      </c>
      <c r="I1664" s="4">
        <f>_xlfn.XLOOKUP(Table1[[#This Row], [WEAPON]],Sheet1!$A$27:$A$29,Sheet1!$B$27:$B$29)*Table1[[#This Row], [NUM OF MEM]]*(1+_xlfn.XLOOKUP(Table1[[#This Row], [WEAPON]],Sheet1!$A$27:$A$29,Sheet1!$C$27:$C$29))</f>
        <v>91000</v>
      </c>
      <c r="J1664" t="s">
        <v>60</v>
      </c>
      <c r="K1664" s="9">
        <f>Table1[[#This Row], [NUM OF MEM]]*Table1[[#This Row], [TOTAL TIME TAKEN]]*_xlfn.XLOOKUP(Table1[[#This Row], [EXIT]],Sheet1!$A$70:$A$71,Sheet1!$B$70:$B$71)*(1+_xlfn.XLOOKUP(Table1[[#This Row], [EXIT]],Sheet1!$A$70:$A$71,Sheet1!$C$70:$C$71))</f>
        <v>1805917.7249999996</v>
      </c>
      <c r="L1664" s="13" t="s">
        <v>65</v>
      </c>
      <c r="M1664" s="4">
        <f>IF(Table1[[#This Row], [EQUIPMENT]]="YES",Sheet1!$C$44*(1+Sheet1!$D$44),0)</f>
        <v>307500</v>
      </c>
      <c r="N1664" s="4">
        <f>_xlfn.XLOOKUP(Table1[[#This Row], [ROOM]],Sheet1!$A$47:$A$66,Sheet1!$F$47:$F$66)</f>
        <v>17850000</v>
      </c>
      <c r="O1664" s="9">
        <f>_xlfn.XLOOKUP(_xlfn.CONCAT(Table1[[#This Row], [TEAM]],Table1[[#This Row], [ROOM]]),'ROOM TIME'!$H$2:$H$121,'ROOM TIME'!$J$2:$J$121)</f>
        <v>63.464999999999975</v>
      </c>
      <c r="P1664" s="9">
        <f>(INDEX(Sheet1!$X$48:$Z$67,MATCH(Table1[[#This Row], [ROOM]],Sheet1!$P$48:$P$67,0),MATCH(Table1[[#This Row], [WEAPON]],Sheet1!$X$47:$Z$47,0)))/Table1[[#This Row], [NUM OF MEM]]</f>
        <v>6.8999999999999995</v>
      </c>
      <c r="Q1664" s="9">
        <f>Table1[[#This Row], [ROOM TIME]]+Table1[[#This Row], [GUARD TIME]]</f>
        <v>70.364999999999981</v>
      </c>
      <c r="R1664" s="4">
        <f>Sheet1!$K$3*_xlfn.XLOOKUP(Table1[[#This Row], [DISGUISE]],Sheet1!$A$21:$A$23,Sheet1!$D$21:$D$23)</f>
        <v>66</v>
      </c>
      <c r="S1664" s="9">
        <f>Table1[[#This Row], [TOTAL TIME]]-Table1[[#This Row], [TOTAL TIME TAKEN]]</f>
        <v>-4.3649999999999807</v>
      </c>
      <c r="T1664" t="str">
        <f>IF(Table1[[#This Row], [TIME DIFFERENCE]]&gt;=0,"PASS","FAIL")</f>
        <v>FAIL</v>
      </c>
      <c r="U1664" s="9">
        <f>Table1[[#This Row], [TRC]]+Table1[[#This Row], [DRC]]+Table1[[#This Row], [WRC]]+Table1[[#This Row], [ERC]]+Table1[[#This Row], [EQRC]]</f>
        <v>8147767.7249999996</v>
      </c>
      <c r="V1664" s="9">
        <f>Table1[[#This Row], [TOTAL COST]]+_xlfn.XLOOKUP(Table1[[#This Row], [TEAM]],Sheet1!$A$12:$A$17,Sheet1!$I$12:$I$17)</f>
        <v>8444415.2249999996</v>
      </c>
      <c r="W1664" s="9">
        <f>Table1[[#This Row], [LOOT]]-Table1[[#This Row], [TOTAL COST]]</f>
        <v>9702232.2750000004</v>
      </c>
      <c r="X1664" s="4">
        <f>IF(Table1[[#This Row], [PASS/FAIL]]="FAIL",0,Table1[[#This Row], [PROFIT]])</f>
        <v>0</v>
      </c>
    </row>
    <row r="1665" spans="1:24" ht="19.5" customHeight="1" x14ac:dyDescent="0.45">
      <c r="A1665" t="s">
        <v>15</v>
      </c>
      <c r="B1665" s="14">
        <f>_xlfn.XLOOKUP(Table1[[#This Row], [TEAM]],Sheet1!$A$12:$A$17,Sheet1!$F$12:$F$17)</f>
        <v>2</v>
      </c>
      <c r="C1665" s="14">
        <f>_xlfn.XLOOKUP(Table1[[#This Row], [TEAM]],Sheet1!$A$12:$A$17,Sheet1!$G$12:$G$17)</f>
        <v>5932950</v>
      </c>
      <c r="D1665" t="s">
        <v>10</v>
      </c>
      <c r="E1665" s="4">
        <f>_xlfn.XLOOKUP(Table1[[#This Row], [ROOM]],Sheet1!$A$47:$A$66,Sheet1!$B$47:$B$66)</f>
        <v>123</v>
      </c>
      <c r="F1665" t="s">
        <v>58</v>
      </c>
      <c r="G166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65" s="13" t="s">
        <v>59</v>
      </c>
      <c r="I1665" s="4">
        <f>_xlfn.XLOOKUP(Table1[[#This Row], [WEAPON]],Sheet1!$A$27:$A$29,Sheet1!$B$27:$B$29)*Table1[[#This Row], [NUM OF MEM]]*(1+_xlfn.XLOOKUP(Table1[[#This Row], [WEAPON]],Sheet1!$A$27:$A$29,Sheet1!$C$27:$C$29))</f>
        <v>91000</v>
      </c>
      <c r="J1665" t="s">
        <v>60</v>
      </c>
      <c r="K1665" s="9">
        <f>Table1[[#This Row], [NUM OF MEM]]*Table1[[#This Row], [TOTAL TIME TAKEN]]*_xlfn.XLOOKUP(Table1[[#This Row], [EXIT]],Sheet1!$A$70:$A$71,Sheet1!$B$70:$B$71)*(1+_xlfn.XLOOKUP(Table1[[#This Row], [EXIT]],Sheet1!$A$70:$A$71,Sheet1!$C$70:$C$71))</f>
        <v>1805917.7249999996</v>
      </c>
      <c r="L1665" s="13" t="s">
        <v>65</v>
      </c>
      <c r="M1665" s="4">
        <f>IF(Table1[[#This Row], [EQUIPMENT]]="YES",Sheet1!$C$44*(1+Sheet1!$D$44),0)</f>
        <v>307500</v>
      </c>
      <c r="N1665" s="4">
        <f>_xlfn.XLOOKUP(Table1[[#This Row], [ROOM]],Sheet1!$A$47:$A$66,Sheet1!$F$47:$F$66)</f>
        <v>17850000</v>
      </c>
      <c r="O1665" s="9">
        <f>_xlfn.XLOOKUP(_xlfn.CONCAT(Table1[[#This Row], [TEAM]],Table1[[#This Row], [ROOM]]),'ROOM TIME'!$H$2:$H$121,'ROOM TIME'!$J$2:$J$121)</f>
        <v>63.464999999999975</v>
      </c>
      <c r="P1665" s="9">
        <f>(INDEX(Sheet1!$X$48:$Z$67,MATCH(Table1[[#This Row], [ROOM]],Sheet1!$P$48:$P$67,0),MATCH(Table1[[#This Row], [WEAPON]],Sheet1!$X$47:$Z$47,0)))/Table1[[#This Row], [NUM OF MEM]]</f>
        <v>6.8999999999999995</v>
      </c>
      <c r="Q1665" s="9">
        <f>Table1[[#This Row], [ROOM TIME]]+Table1[[#This Row], [GUARD TIME]]</f>
        <v>70.364999999999981</v>
      </c>
      <c r="R1665" s="4">
        <f>Sheet1!$K$3*_xlfn.XLOOKUP(Table1[[#This Row], [DISGUISE]],Sheet1!$A$21:$A$23,Sheet1!$D$21:$D$23)</f>
        <v>69</v>
      </c>
      <c r="S1665" s="9">
        <f>Table1[[#This Row], [TOTAL TIME]]-Table1[[#This Row], [TOTAL TIME TAKEN]]</f>
        <v>-1.3649999999999807</v>
      </c>
      <c r="T1665" t="str">
        <f>IF(Table1[[#This Row], [TIME DIFFERENCE]]&gt;=0,"PASS","FAIL")</f>
        <v>FAIL</v>
      </c>
      <c r="U1665" s="9">
        <f>Table1[[#This Row], [TRC]]+Table1[[#This Row], [DRC]]+Table1[[#This Row], [WRC]]+Table1[[#This Row], [ERC]]+Table1[[#This Row], [EQRC]]</f>
        <v>8162967.7249999996</v>
      </c>
      <c r="V1665" s="9">
        <f>Table1[[#This Row], [TOTAL COST]]+_xlfn.XLOOKUP(Table1[[#This Row], [TEAM]],Sheet1!$A$12:$A$17,Sheet1!$I$12:$I$17)</f>
        <v>8459615.2249999996</v>
      </c>
      <c r="W1665" s="9">
        <f>Table1[[#This Row], [LOOT]]-Table1[[#This Row], [TOTAL COST]]</f>
        <v>9687032.2750000004</v>
      </c>
      <c r="X1665" s="4">
        <f>IF(Table1[[#This Row], [PASS/FAIL]]="FAIL",0,Table1[[#This Row], [PROFIT]])</f>
        <v>0</v>
      </c>
    </row>
    <row r="1666" spans="1:24" ht="19.5" customHeight="1" x14ac:dyDescent="0.45">
      <c r="A1666" t="s">
        <v>15</v>
      </c>
      <c r="B1666" s="14">
        <f>_xlfn.XLOOKUP(Table1[[#This Row], [TEAM]],Sheet1!$A$12:$A$17,Sheet1!$F$12:$F$17)</f>
        <v>2</v>
      </c>
      <c r="C1666" s="14">
        <f>_xlfn.XLOOKUP(Table1[[#This Row], [TEAM]],Sheet1!$A$12:$A$17,Sheet1!$G$12:$G$17)</f>
        <v>5932950</v>
      </c>
      <c r="D1666" t="s">
        <v>10</v>
      </c>
      <c r="E1666" s="4">
        <f>_xlfn.XLOOKUP(Table1[[#This Row], [ROOM]],Sheet1!$A$47:$A$66,Sheet1!$B$47:$B$66)</f>
        <v>123</v>
      </c>
      <c r="F1666" t="s">
        <v>62</v>
      </c>
      <c r="G1666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6" s="13" t="s">
        <v>59</v>
      </c>
      <c r="I1666" s="4">
        <f>_xlfn.XLOOKUP(Table1[[#This Row], [WEAPON]],Sheet1!$A$27:$A$29,Sheet1!$B$27:$B$29)*Table1[[#This Row], [NUM OF MEM]]*(1+_xlfn.XLOOKUP(Table1[[#This Row], [WEAPON]],Sheet1!$A$27:$A$29,Sheet1!$C$27:$C$29))</f>
        <v>91000</v>
      </c>
      <c r="J1666" t="s">
        <v>64</v>
      </c>
      <c r="K1666" s="9">
        <f>Table1[[#This Row], [NUM OF MEM]]*Table1[[#This Row], [TOTAL TIME TAKEN]]*_xlfn.XLOOKUP(Table1[[#This Row], [EXIT]],Sheet1!$A$70:$A$71,Sheet1!$B$70:$B$71)*(1+_xlfn.XLOOKUP(Table1[[#This Row], [EXIT]],Sheet1!$A$70:$A$71,Sheet1!$C$70:$C$71))</f>
        <v>1823860.7999999993</v>
      </c>
      <c r="L1666" s="13" t="s">
        <v>65</v>
      </c>
      <c r="M1666" s="4">
        <f>IF(Table1[[#This Row], [EQUIPMENT]]="YES",Sheet1!$C$44*(1+Sheet1!$D$44),0)</f>
        <v>307500</v>
      </c>
      <c r="N1666" s="4">
        <f>_xlfn.XLOOKUP(Table1[[#This Row], [ROOM]],Sheet1!$A$47:$A$66,Sheet1!$F$47:$F$66)</f>
        <v>17850000</v>
      </c>
      <c r="O1666" s="9">
        <f>_xlfn.XLOOKUP(_xlfn.CONCAT(Table1[[#This Row], [TEAM]],Table1[[#This Row], [ROOM]]),'ROOM TIME'!$H$2:$H$121,'ROOM TIME'!$J$2:$J$121)</f>
        <v>63.464999999999975</v>
      </c>
      <c r="P1666" s="9">
        <f>(INDEX(Sheet1!$X$48:$Z$67,MATCH(Table1[[#This Row], [ROOM]],Sheet1!$P$48:$P$67,0),MATCH(Table1[[#This Row], [WEAPON]],Sheet1!$X$47:$Z$47,0)))/Table1[[#This Row], [NUM OF MEM]]</f>
        <v>6.8999999999999995</v>
      </c>
      <c r="Q1666" s="9">
        <f>Table1[[#This Row], [ROOM TIME]]+Table1[[#This Row], [GUARD TIME]]</f>
        <v>70.364999999999981</v>
      </c>
      <c r="R1666" s="4">
        <f>Sheet1!$K$3*_xlfn.XLOOKUP(Table1[[#This Row], [DISGUISE]],Sheet1!$A$21:$A$23,Sheet1!$D$21:$D$23)</f>
        <v>66</v>
      </c>
      <c r="S1666" s="9">
        <f>Table1[[#This Row], [TOTAL TIME]]-Table1[[#This Row], [TOTAL TIME TAKEN]]</f>
        <v>-4.3649999999999807</v>
      </c>
      <c r="T1666" t="str">
        <f>IF(Table1[[#This Row], [TIME DIFFERENCE]]&gt;=0,"PASS","FAIL")</f>
        <v>FAIL</v>
      </c>
      <c r="U1666" s="9">
        <f>Table1[[#This Row], [TRC]]+Table1[[#This Row], [DRC]]+Table1[[#This Row], [WRC]]+Table1[[#This Row], [ERC]]+Table1[[#This Row], [EQRC]]</f>
        <v>8165710.7999999989</v>
      </c>
      <c r="V1666" s="9">
        <f>Table1[[#This Row], [TOTAL COST]]+_xlfn.XLOOKUP(Table1[[#This Row], [TEAM]],Sheet1!$A$12:$A$17,Sheet1!$I$12:$I$17)</f>
        <v>8462358.2999999989</v>
      </c>
      <c r="W1666" s="9">
        <f>Table1[[#This Row], [LOOT]]-Table1[[#This Row], [TOTAL COST]]</f>
        <v>9684289.2000000011</v>
      </c>
      <c r="X1666" s="4">
        <f>IF(Table1[[#This Row], [PASS/FAIL]]="FAIL",0,Table1[[#This Row], [PROFIT]])</f>
        <v>0</v>
      </c>
    </row>
    <row r="1667" spans="1:24" ht="19.5" customHeight="1" x14ac:dyDescent="0.45">
      <c r="A1667" t="s">
        <v>15</v>
      </c>
      <c r="B1667" s="14">
        <f>_xlfn.XLOOKUP(Table1[[#This Row], [TEAM]],Sheet1!$A$12:$A$17,Sheet1!$F$12:$F$17)</f>
        <v>2</v>
      </c>
      <c r="C1667" s="14">
        <f>_xlfn.XLOOKUP(Table1[[#This Row], [TEAM]],Sheet1!$A$12:$A$17,Sheet1!$G$12:$G$17)</f>
        <v>5932950</v>
      </c>
      <c r="D1667" t="s">
        <v>10</v>
      </c>
      <c r="E1667" s="4">
        <f>_xlfn.XLOOKUP(Table1[[#This Row], [ROOM]],Sheet1!$A$47:$A$66,Sheet1!$B$47:$B$66)</f>
        <v>123</v>
      </c>
      <c r="F1667" t="s">
        <v>58</v>
      </c>
      <c r="G166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67" s="13" t="s">
        <v>59</v>
      </c>
      <c r="I1667" s="4">
        <f>_xlfn.XLOOKUP(Table1[[#This Row], [WEAPON]],Sheet1!$A$27:$A$29,Sheet1!$B$27:$B$29)*Table1[[#This Row], [NUM OF MEM]]*(1+_xlfn.XLOOKUP(Table1[[#This Row], [WEAPON]],Sheet1!$A$27:$A$29,Sheet1!$C$27:$C$29))</f>
        <v>91000</v>
      </c>
      <c r="J1667" t="s">
        <v>64</v>
      </c>
      <c r="K1667" s="9">
        <f>Table1[[#This Row], [NUM OF MEM]]*Table1[[#This Row], [TOTAL TIME TAKEN]]*_xlfn.XLOOKUP(Table1[[#This Row], [EXIT]],Sheet1!$A$70:$A$71,Sheet1!$B$70:$B$71)*(1+_xlfn.XLOOKUP(Table1[[#This Row], [EXIT]],Sheet1!$A$70:$A$71,Sheet1!$C$70:$C$71))</f>
        <v>1823860.7999999993</v>
      </c>
      <c r="L1667" s="13" t="s">
        <v>65</v>
      </c>
      <c r="M1667" s="4">
        <f>IF(Table1[[#This Row], [EQUIPMENT]]="YES",Sheet1!$C$44*(1+Sheet1!$D$44),0)</f>
        <v>307500</v>
      </c>
      <c r="N1667" s="4">
        <f>_xlfn.XLOOKUP(Table1[[#This Row], [ROOM]],Sheet1!$A$47:$A$66,Sheet1!$F$47:$F$66)</f>
        <v>17850000</v>
      </c>
      <c r="O1667" s="9">
        <f>_xlfn.XLOOKUP(_xlfn.CONCAT(Table1[[#This Row], [TEAM]],Table1[[#This Row], [ROOM]]),'ROOM TIME'!$H$2:$H$121,'ROOM TIME'!$J$2:$J$121)</f>
        <v>63.464999999999975</v>
      </c>
      <c r="P1667" s="9">
        <f>(INDEX(Sheet1!$X$48:$Z$67,MATCH(Table1[[#This Row], [ROOM]],Sheet1!$P$48:$P$67,0),MATCH(Table1[[#This Row], [WEAPON]],Sheet1!$X$47:$Z$47,0)))/Table1[[#This Row], [NUM OF MEM]]</f>
        <v>6.8999999999999995</v>
      </c>
      <c r="Q1667" s="9">
        <f>Table1[[#This Row], [ROOM TIME]]+Table1[[#This Row], [GUARD TIME]]</f>
        <v>70.364999999999981</v>
      </c>
      <c r="R1667" s="4">
        <f>Sheet1!$K$3*_xlfn.XLOOKUP(Table1[[#This Row], [DISGUISE]],Sheet1!$A$21:$A$23,Sheet1!$D$21:$D$23)</f>
        <v>69</v>
      </c>
      <c r="S1667" s="9">
        <f>Table1[[#This Row], [TOTAL TIME]]-Table1[[#This Row], [TOTAL TIME TAKEN]]</f>
        <v>-1.3649999999999807</v>
      </c>
      <c r="T1667" t="str">
        <f>IF(Table1[[#This Row], [TIME DIFFERENCE]]&gt;=0,"PASS","FAIL")</f>
        <v>FAIL</v>
      </c>
      <c r="U1667" s="9">
        <f>Table1[[#This Row], [TRC]]+Table1[[#This Row], [DRC]]+Table1[[#This Row], [WRC]]+Table1[[#This Row], [ERC]]+Table1[[#This Row], [EQRC]]</f>
        <v>8180910.7999999989</v>
      </c>
      <c r="V1667" s="9">
        <f>Table1[[#This Row], [TOTAL COST]]+_xlfn.XLOOKUP(Table1[[#This Row], [TEAM]],Sheet1!$A$12:$A$17,Sheet1!$I$12:$I$17)</f>
        <v>8477558.2999999989</v>
      </c>
      <c r="W1667" s="9">
        <f>Table1[[#This Row], [LOOT]]-Table1[[#This Row], [TOTAL COST]]</f>
        <v>9669089.2000000011</v>
      </c>
      <c r="X1667" s="4">
        <f>IF(Table1[[#This Row], [PASS/FAIL]]="FAIL",0,Table1[[#This Row], [PROFIT]])</f>
        <v>0</v>
      </c>
    </row>
    <row r="1668" spans="1:24" ht="19.5" customHeight="1" x14ac:dyDescent="0.45">
      <c r="A1668" t="s">
        <v>15</v>
      </c>
      <c r="B1668" s="14">
        <f>_xlfn.XLOOKUP(Table1[[#This Row], [TEAM]],Sheet1!$A$12:$A$17,Sheet1!$F$12:$F$17)</f>
        <v>2</v>
      </c>
      <c r="C1668" s="14">
        <f>_xlfn.XLOOKUP(Table1[[#This Row], [TEAM]],Sheet1!$A$12:$A$17,Sheet1!$G$12:$G$17)</f>
        <v>5932950</v>
      </c>
      <c r="D1668" t="s">
        <v>10</v>
      </c>
      <c r="E1668" s="4">
        <f>_xlfn.XLOOKUP(Table1[[#This Row], [ROOM]],Sheet1!$A$47:$A$66,Sheet1!$B$47:$B$66)</f>
        <v>123</v>
      </c>
      <c r="F1668" t="s">
        <v>62</v>
      </c>
      <c r="G1668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8" s="13" t="s">
        <v>63</v>
      </c>
      <c r="I1668" s="4">
        <f>_xlfn.XLOOKUP(Table1[[#This Row], [WEAPON]],Sheet1!$A$27:$A$29,Sheet1!$B$27:$B$29)*Table1[[#This Row], [NUM OF MEM]]*(1+_xlfn.XLOOKUP(Table1[[#This Row], [WEAPON]],Sheet1!$A$27:$A$29,Sheet1!$C$27:$C$29))</f>
        <v>46000</v>
      </c>
      <c r="J1668" t="s">
        <v>60</v>
      </c>
      <c r="K1668" s="9">
        <f>Table1[[#This Row], [NUM OF MEM]]*Table1[[#This Row], [TOTAL TIME TAKEN]]*_xlfn.XLOOKUP(Table1[[#This Row], [EXIT]],Sheet1!$A$70:$A$71,Sheet1!$B$70:$B$71)*(1+_xlfn.XLOOKUP(Table1[[#This Row], [EXIT]],Sheet1!$A$70:$A$71,Sheet1!$C$70:$C$71))</f>
        <v>1836715.7249999992</v>
      </c>
      <c r="L1668" s="13" t="s">
        <v>61</v>
      </c>
      <c r="M1668" s="4">
        <f>IF(Table1[[#This Row], [EQUIPMENT]]="YES",Sheet1!$C$44*(1+Sheet1!$D$44),0)</f>
        <v>0</v>
      </c>
      <c r="N1668" s="4">
        <f>_xlfn.XLOOKUP(Table1[[#This Row], [ROOM]],Sheet1!$A$47:$A$66,Sheet1!$F$47:$F$66)</f>
        <v>17850000</v>
      </c>
      <c r="O1668" s="9">
        <f>_xlfn.XLOOKUP(_xlfn.CONCAT(Table1[[#This Row], [TEAM]],Table1[[#This Row], [ROOM]]),'ROOM TIME'!$H$2:$H$121,'ROOM TIME'!$J$2:$J$121)</f>
        <v>63.464999999999975</v>
      </c>
      <c r="P1668" s="9">
        <f>(INDEX(Sheet1!$X$48:$Z$67,MATCH(Table1[[#This Row], [ROOM]],Sheet1!$P$48:$P$67,0),MATCH(Table1[[#This Row], [WEAPON]],Sheet1!$X$47:$Z$47,0)))/Table1[[#This Row], [NUM OF MEM]]</f>
        <v>8.1000000000000014</v>
      </c>
      <c r="Q1668" s="9">
        <f>Table1[[#This Row], [ROOM TIME]]+Table1[[#This Row], [GUARD TIME]]</f>
        <v>71.564999999999969</v>
      </c>
      <c r="R1668" s="4">
        <f>Sheet1!$K$3*_xlfn.XLOOKUP(Table1[[#This Row], [DISGUISE]],Sheet1!$A$21:$A$23,Sheet1!$D$21:$D$23)</f>
        <v>66</v>
      </c>
      <c r="S1668" s="9">
        <f>Table1[[#This Row], [TOTAL TIME]]-Table1[[#This Row], [TOTAL TIME TAKEN]]</f>
        <v>-5.5649999999999693</v>
      </c>
      <c r="T1668" t="str">
        <f>IF(Table1[[#This Row], [TIME DIFFERENCE]]&gt;=0,"PASS","FAIL")</f>
        <v>FAIL</v>
      </c>
      <c r="U1668" s="9">
        <f>Table1[[#This Row], [TRC]]+Table1[[#This Row], [DRC]]+Table1[[#This Row], [WRC]]+Table1[[#This Row], [ERC]]+Table1[[#This Row], [EQRC]]</f>
        <v>7826065.7249999996</v>
      </c>
      <c r="V1668" s="9">
        <f>Table1[[#This Row], [TOTAL COST]]+_xlfn.XLOOKUP(Table1[[#This Row], [TEAM]],Sheet1!$A$12:$A$17,Sheet1!$I$12:$I$17)</f>
        <v>8122713.2249999996</v>
      </c>
      <c r="W1668" s="9">
        <f>Table1[[#This Row], [LOOT]]-Table1[[#This Row], [TOTAL COST]]</f>
        <v>10023934.275</v>
      </c>
      <c r="X1668" s="4">
        <f>IF(Table1[[#This Row], [PASS/FAIL]]="FAIL",0,Table1[[#This Row], [PROFIT]])</f>
        <v>0</v>
      </c>
    </row>
    <row r="1669" spans="1:24" ht="19.5" customHeight="1" x14ac:dyDescent="0.45">
      <c r="A1669" t="s">
        <v>15</v>
      </c>
      <c r="B1669" s="14">
        <f>_xlfn.XLOOKUP(Table1[[#This Row], [TEAM]],Sheet1!$A$12:$A$17,Sheet1!$F$12:$F$17)</f>
        <v>2</v>
      </c>
      <c r="C1669" s="14">
        <f>_xlfn.XLOOKUP(Table1[[#This Row], [TEAM]],Sheet1!$A$12:$A$17,Sheet1!$G$12:$G$17)</f>
        <v>5932950</v>
      </c>
      <c r="D1669" t="s">
        <v>10</v>
      </c>
      <c r="E1669" s="4">
        <f>_xlfn.XLOOKUP(Table1[[#This Row], [ROOM]],Sheet1!$A$47:$A$66,Sheet1!$B$47:$B$66)</f>
        <v>123</v>
      </c>
      <c r="F1669" t="s">
        <v>62</v>
      </c>
      <c r="G1669" s="4">
        <f>_xlfn.XLOOKUP(Table1[[#This Row], [DISGUISE]],Sheet1!$A$21:$A$23,Sheet1!$B$21:$B$23)*Table1[[#This Row], [NUM OF MEM]]*(1+_xlfn.XLOOKUP(Table1[[#This Row], [DISGUISE]],Sheet1!$A$21:$A$23,Sheet1!$C$21:$C$23))</f>
        <v>10400</v>
      </c>
      <c r="H1669" s="13" t="s">
        <v>66</v>
      </c>
      <c r="I1669" s="4">
        <f>_xlfn.XLOOKUP(Table1[[#This Row], [WEAPON]],Sheet1!$A$27:$A$29,Sheet1!$B$27:$B$29)*Table1[[#This Row], [NUM OF MEM]]*(1+_xlfn.XLOOKUP(Table1[[#This Row], [WEAPON]],Sheet1!$A$27:$A$29,Sheet1!$C$27:$C$29))</f>
        <v>72000</v>
      </c>
      <c r="J1669" t="s">
        <v>60</v>
      </c>
      <c r="K1669" s="9">
        <f>Table1[[#This Row], [NUM OF MEM]]*Table1[[#This Row], [TOTAL TIME TAKEN]]*_xlfn.XLOOKUP(Table1[[#This Row], [EXIT]],Sheet1!$A$70:$A$71,Sheet1!$B$70:$B$71)*(1+_xlfn.XLOOKUP(Table1[[#This Row], [EXIT]],Sheet1!$A$70:$A$71,Sheet1!$C$70:$C$71))</f>
        <v>1821316.7249999992</v>
      </c>
      <c r="L1669" s="13" t="s">
        <v>61</v>
      </c>
      <c r="M1669" s="4">
        <f>IF(Table1[[#This Row], [EQUIPMENT]]="YES",Sheet1!$C$44*(1+Sheet1!$D$44),0)</f>
        <v>0</v>
      </c>
      <c r="N1669" s="4">
        <f>_xlfn.XLOOKUP(Table1[[#This Row], [ROOM]],Sheet1!$A$47:$A$66,Sheet1!$F$47:$F$66)</f>
        <v>17850000</v>
      </c>
      <c r="O1669" s="9">
        <f>_xlfn.XLOOKUP(_xlfn.CONCAT(Table1[[#This Row], [TEAM]],Table1[[#This Row], [ROOM]]),'ROOM TIME'!$H$2:$H$121,'ROOM TIME'!$J$2:$J$121)</f>
        <v>63.464999999999975</v>
      </c>
      <c r="P1669" s="9">
        <f>(INDEX(Sheet1!$X$48:$Z$67,MATCH(Table1[[#This Row], [ROOM]],Sheet1!$P$48:$P$67,0),MATCH(Table1[[#This Row], [WEAPON]],Sheet1!$X$47:$Z$47,0)))/Table1[[#This Row], [NUM OF MEM]]</f>
        <v>7.5</v>
      </c>
      <c r="Q1669" s="9">
        <f>Table1[[#This Row], [ROOM TIME]]+Table1[[#This Row], [GUARD TIME]]</f>
        <v>70.964999999999975</v>
      </c>
      <c r="R1669" s="4">
        <f>Sheet1!$K$3*_xlfn.XLOOKUP(Table1[[#This Row], [DISGUISE]],Sheet1!$A$21:$A$23,Sheet1!$D$21:$D$23)</f>
        <v>66</v>
      </c>
      <c r="S1669" s="9">
        <f>Table1[[#This Row], [TOTAL TIME]]-Table1[[#This Row], [TOTAL TIME TAKEN]]</f>
        <v>-4.964999999999975</v>
      </c>
      <c r="T1669" t="str">
        <f>IF(Table1[[#This Row], [TIME DIFFERENCE]]&gt;=0,"PASS","FAIL")</f>
        <v>FAIL</v>
      </c>
      <c r="U1669" s="9">
        <f>Table1[[#This Row], [TRC]]+Table1[[#This Row], [DRC]]+Table1[[#This Row], [WRC]]+Table1[[#This Row], [ERC]]+Table1[[#This Row], [EQRC]]</f>
        <v>7836666.7249999996</v>
      </c>
      <c r="V1669" s="9">
        <f>Table1[[#This Row], [TOTAL COST]]+_xlfn.XLOOKUP(Table1[[#This Row], [TEAM]],Sheet1!$A$12:$A$17,Sheet1!$I$12:$I$17)</f>
        <v>8133314.2249999996</v>
      </c>
      <c r="W1669" s="9">
        <f>Table1[[#This Row], [LOOT]]-Table1[[#This Row], [TOTAL COST]]</f>
        <v>10013333.275</v>
      </c>
      <c r="X1669" s="4">
        <f>IF(Table1[[#This Row], [PASS/FAIL]]="FAIL",0,Table1[[#This Row], [PROFIT]])</f>
        <v>0</v>
      </c>
    </row>
    <row r="1670" spans="1:24" ht="19.5" customHeight="1" x14ac:dyDescent="0.45">
      <c r="A1670" t="s">
        <v>15</v>
      </c>
      <c r="B1670" s="14">
        <f>_xlfn.XLOOKUP(Table1[[#This Row], [TEAM]],Sheet1!$A$12:$A$17,Sheet1!$F$12:$F$17)</f>
        <v>2</v>
      </c>
      <c r="C1670" s="14">
        <f>_xlfn.XLOOKUP(Table1[[#This Row], [TEAM]],Sheet1!$A$12:$A$17,Sheet1!$G$12:$G$17)</f>
        <v>5932950</v>
      </c>
      <c r="D1670" t="s">
        <v>10</v>
      </c>
      <c r="E1670" s="4">
        <f>_xlfn.XLOOKUP(Table1[[#This Row], [ROOM]],Sheet1!$A$47:$A$66,Sheet1!$B$47:$B$66)</f>
        <v>123</v>
      </c>
      <c r="F1670" t="s">
        <v>58</v>
      </c>
      <c r="G1670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0" s="13" t="s">
        <v>63</v>
      </c>
      <c r="I1670" s="4">
        <f>_xlfn.XLOOKUP(Table1[[#This Row], [WEAPON]],Sheet1!$A$27:$A$29,Sheet1!$B$27:$B$29)*Table1[[#This Row], [NUM OF MEM]]*(1+_xlfn.XLOOKUP(Table1[[#This Row], [WEAPON]],Sheet1!$A$27:$A$29,Sheet1!$C$27:$C$29))</f>
        <v>46000</v>
      </c>
      <c r="J1670" t="s">
        <v>60</v>
      </c>
      <c r="K1670" s="9">
        <f>Table1[[#This Row], [NUM OF MEM]]*Table1[[#This Row], [TOTAL TIME TAKEN]]*_xlfn.XLOOKUP(Table1[[#This Row], [EXIT]],Sheet1!$A$70:$A$71,Sheet1!$B$70:$B$71)*(1+_xlfn.XLOOKUP(Table1[[#This Row], [EXIT]],Sheet1!$A$70:$A$71,Sheet1!$C$70:$C$71))</f>
        <v>1836715.7249999992</v>
      </c>
      <c r="L1670" s="13" t="s">
        <v>61</v>
      </c>
      <c r="M1670" s="4">
        <f>IF(Table1[[#This Row], [EQUIPMENT]]="YES",Sheet1!$C$44*(1+Sheet1!$D$44),0)</f>
        <v>0</v>
      </c>
      <c r="N1670" s="4">
        <f>_xlfn.XLOOKUP(Table1[[#This Row], [ROOM]],Sheet1!$A$47:$A$66,Sheet1!$F$47:$F$66)</f>
        <v>17850000</v>
      </c>
      <c r="O1670" s="9">
        <f>_xlfn.XLOOKUP(_xlfn.CONCAT(Table1[[#This Row], [TEAM]],Table1[[#This Row], [ROOM]]),'ROOM TIME'!$H$2:$H$121,'ROOM TIME'!$J$2:$J$121)</f>
        <v>63.464999999999975</v>
      </c>
      <c r="P1670" s="9">
        <f>(INDEX(Sheet1!$X$48:$Z$67,MATCH(Table1[[#This Row], [ROOM]],Sheet1!$P$48:$P$67,0),MATCH(Table1[[#This Row], [WEAPON]],Sheet1!$X$47:$Z$47,0)))/Table1[[#This Row], [NUM OF MEM]]</f>
        <v>8.1000000000000014</v>
      </c>
      <c r="Q1670" s="9">
        <f>Table1[[#This Row], [ROOM TIME]]+Table1[[#This Row], [GUARD TIME]]</f>
        <v>71.564999999999969</v>
      </c>
      <c r="R1670" s="4">
        <f>Sheet1!$K$3*_xlfn.XLOOKUP(Table1[[#This Row], [DISGUISE]],Sheet1!$A$21:$A$23,Sheet1!$D$21:$D$23)</f>
        <v>69</v>
      </c>
      <c r="S1670" s="9">
        <f>Table1[[#This Row], [TOTAL TIME]]-Table1[[#This Row], [TOTAL TIME TAKEN]]</f>
        <v>-2.5649999999999693</v>
      </c>
      <c r="T1670" t="str">
        <f>IF(Table1[[#This Row], [TIME DIFFERENCE]]&gt;=0,"PASS","FAIL")</f>
        <v>FAIL</v>
      </c>
      <c r="U1670" s="9">
        <f>Table1[[#This Row], [TRC]]+Table1[[#This Row], [DRC]]+Table1[[#This Row], [WRC]]+Table1[[#This Row], [ERC]]+Table1[[#This Row], [EQRC]]</f>
        <v>7841265.7249999996</v>
      </c>
      <c r="V1670" s="9">
        <f>Table1[[#This Row], [TOTAL COST]]+_xlfn.XLOOKUP(Table1[[#This Row], [TEAM]],Sheet1!$A$12:$A$17,Sheet1!$I$12:$I$17)</f>
        <v>8137913.2249999996</v>
      </c>
      <c r="W1670" s="9">
        <f>Table1[[#This Row], [LOOT]]-Table1[[#This Row], [TOTAL COST]]</f>
        <v>10008734.275</v>
      </c>
      <c r="X1670" s="4">
        <f>IF(Table1[[#This Row], [PASS/FAIL]]="FAIL",0,Table1[[#This Row], [PROFIT]])</f>
        <v>0</v>
      </c>
    </row>
    <row r="1671" spans="1:24" ht="19.5" customHeight="1" x14ac:dyDescent="0.45">
      <c r="A1671" t="s">
        <v>15</v>
      </c>
      <c r="B1671" s="14">
        <f>_xlfn.XLOOKUP(Table1[[#This Row], [TEAM]],Sheet1!$A$12:$A$17,Sheet1!$F$12:$F$17)</f>
        <v>2</v>
      </c>
      <c r="C1671" s="14">
        <f>_xlfn.XLOOKUP(Table1[[#This Row], [TEAM]],Sheet1!$A$12:$A$17,Sheet1!$G$12:$G$17)</f>
        <v>5932950</v>
      </c>
      <c r="D1671" t="s">
        <v>10</v>
      </c>
      <c r="E1671" s="4">
        <f>_xlfn.XLOOKUP(Table1[[#This Row], [ROOM]],Sheet1!$A$47:$A$66,Sheet1!$B$47:$B$66)</f>
        <v>123</v>
      </c>
      <c r="F1671" t="s">
        <v>58</v>
      </c>
      <c r="G167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1" s="13" t="s">
        <v>66</v>
      </c>
      <c r="I1671" s="4">
        <f>_xlfn.XLOOKUP(Table1[[#This Row], [WEAPON]],Sheet1!$A$27:$A$29,Sheet1!$B$27:$B$29)*Table1[[#This Row], [NUM OF MEM]]*(1+_xlfn.XLOOKUP(Table1[[#This Row], [WEAPON]],Sheet1!$A$27:$A$29,Sheet1!$C$27:$C$29))</f>
        <v>72000</v>
      </c>
      <c r="J1671" t="s">
        <v>60</v>
      </c>
      <c r="K1671" s="9">
        <f>Table1[[#This Row], [NUM OF MEM]]*Table1[[#This Row], [TOTAL TIME TAKEN]]*_xlfn.XLOOKUP(Table1[[#This Row], [EXIT]],Sheet1!$A$70:$A$71,Sheet1!$B$70:$B$71)*(1+_xlfn.XLOOKUP(Table1[[#This Row], [EXIT]],Sheet1!$A$70:$A$71,Sheet1!$C$70:$C$71))</f>
        <v>1821316.7249999992</v>
      </c>
      <c r="L1671" s="13" t="s">
        <v>61</v>
      </c>
      <c r="M1671" s="4">
        <f>IF(Table1[[#This Row], [EQUIPMENT]]="YES",Sheet1!$C$44*(1+Sheet1!$D$44),0)</f>
        <v>0</v>
      </c>
      <c r="N1671" s="4">
        <f>_xlfn.XLOOKUP(Table1[[#This Row], [ROOM]],Sheet1!$A$47:$A$66,Sheet1!$F$47:$F$66)</f>
        <v>17850000</v>
      </c>
      <c r="O1671" s="9">
        <f>_xlfn.XLOOKUP(_xlfn.CONCAT(Table1[[#This Row], [TEAM]],Table1[[#This Row], [ROOM]]),'ROOM TIME'!$H$2:$H$121,'ROOM TIME'!$J$2:$J$121)</f>
        <v>63.464999999999975</v>
      </c>
      <c r="P1671" s="9">
        <f>(INDEX(Sheet1!$X$48:$Z$67,MATCH(Table1[[#This Row], [ROOM]],Sheet1!$P$48:$P$67,0),MATCH(Table1[[#This Row], [WEAPON]],Sheet1!$X$47:$Z$47,0)))/Table1[[#This Row], [NUM OF MEM]]</f>
        <v>7.5</v>
      </c>
      <c r="Q1671" s="9">
        <f>Table1[[#This Row], [ROOM TIME]]+Table1[[#This Row], [GUARD TIME]]</f>
        <v>70.964999999999975</v>
      </c>
      <c r="R1671" s="4">
        <f>Sheet1!$K$3*_xlfn.XLOOKUP(Table1[[#This Row], [DISGUISE]],Sheet1!$A$21:$A$23,Sheet1!$D$21:$D$23)</f>
        <v>69</v>
      </c>
      <c r="S1671" s="9">
        <f>Table1[[#This Row], [TOTAL TIME]]-Table1[[#This Row], [TOTAL TIME TAKEN]]</f>
        <v>-1.964999999999975</v>
      </c>
      <c r="T1671" t="str">
        <f>IF(Table1[[#This Row], [TIME DIFFERENCE]]&gt;=0,"PASS","FAIL")</f>
        <v>FAIL</v>
      </c>
      <c r="U1671" s="9">
        <f>Table1[[#This Row], [TRC]]+Table1[[#This Row], [DRC]]+Table1[[#This Row], [WRC]]+Table1[[#This Row], [ERC]]+Table1[[#This Row], [EQRC]]</f>
        <v>7851866.7249999996</v>
      </c>
      <c r="V1671" s="9">
        <f>Table1[[#This Row], [TOTAL COST]]+_xlfn.XLOOKUP(Table1[[#This Row], [TEAM]],Sheet1!$A$12:$A$17,Sheet1!$I$12:$I$17)</f>
        <v>8148514.2249999996</v>
      </c>
      <c r="W1671" s="9">
        <f>Table1[[#This Row], [LOOT]]-Table1[[#This Row], [TOTAL COST]]</f>
        <v>9998133.2750000004</v>
      </c>
      <c r="X1671" s="4">
        <f>IF(Table1[[#This Row], [PASS/FAIL]]="FAIL",0,Table1[[#This Row], [PROFIT]])</f>
        <v>0</v>
      </c>
    </row>
    <row r="1672" spans="1:24" ht="19.5" customHeight="1" x14ac:dyDescent="0.45">
      <c r="A1672" t="s">
        <v>15</v>
      </c>
      <c r="B1672" s="14">
        <f>_xlfn.XLOOKUP(Table1[[#This Row], [TEAM]],Sheet1!$A$12:$A$17,Sheet1!$F$12:$F$17)</f>
        <v>2</v>
      </c>
      <c r="C1672" s="14">
        <f>_xlfn.XLOOKUP(Table1[[#This Row], [TEAM]],Sheet1!$A$12:$A$17,Sheet1!$G$12:$G$17)</f>
        <v>5932950</v>
      </c>
      <c r="D1672" t="s">
        <v>10</v>
      </c>
      <c r="E1672" s="4">
        <f>_xlfn.XLOOKUP(Table1[[#This Row], [ROOM]],Sheet1!$A$47:$A$66,Sheet1!$B$47:$B$66)</f>
        <v>123</v>
      </c>
      <c r="F1672" t="s">
        <v>62</v>
      </c>
      <c r="G1672" s="4">
        <f>_xlfn.XLOOKUP(Table1[[#This Row], [DISGUISE]],Sheet1!$A$21:$A$23,Sheet1!$B$21:$B$23)*Table1[[#This Row], [NUM OF MEM]]*(1+_xlfn.XLOOKUP(Table1[[#This Row], [DISGUISE]],Sheet1!$A$21:$A$23,Sheet1!$C$21:$C$23))</f>
        <v>10400</v>
      </c>
      <c r="H1672" s="13" t="s">
        <v>63</v>
      </c>
      <c r="I1672" s="4">
        <f>_xlfn.XLOOKUP(Table1[[#This Row], [WEAPON]],Sheet1!$A$27:$A$29,Sheet1!$B$27:$B$29)*Table1[[#This Row], [NUM OF MEM]]*(1+_xlfn.XLOOKUP(Table1[[#This Row], [WEAPON]],Sheet1!$A$27:$A$29,Sheet1!$C$27:$C$29))</f>
        <v>46000</v>
      </c>
      <c r="J1672" t="s">
        <v>64</v>
      </c>
      <c r="K1672" s="9">
        <f>Table1[[#This Row], [NUM OF MEM]]*Table1[[#This Row], [TOTAL TIME TAKEN]]*_xlfn.XLOOKUP(Table1[[#This Row], [EXIT]],Sheet1!$A$70:$A$71,Sheet1!$B$70:$B$71)*(1+_xlfn.XLOOKUP(Table1[[#This Row], [EXIT]],Sheet1!$A$70:$A$71,Sheet1!$C$70:$C$71))</f>
        <v>1854964.7999999991</v>
      </c>
      <c r="L1672" s="13" t="s">
        <v>61</v>
      </c>
      <c r="M1672" s="4">
        <f>IF(Table1[[#This Row], [EQUIPMENT]]="YES",Sheet1!$C$44*(1+Sheet1!$D$44),0)</f>
        <v>0</v>
      </c>
      <c r="N1672" s="4">
        <f>_xlfn.XLOOKUP(Table1[[#This Row], [ROOM]],Sheet1!$A$47:$A$66,Sheet1!$F$47:$F$66)</f>
        <v>17850000</v>
      </c>
      <c r="O1672" s="9">
        <f>_xlfn.XLOOKUP(_xlfn.CONCAT(Table1[[#This Row], [TEAM]],Table1[[#This Row], [ROOM]]),'ROOM TIME'!$H$2:$H$121,'ROOM TIME'!$J$2:$J$121)</f>
        <v>63.464999999999975</v>
      </c>
      <c r="P1672" s="9">
        <f>(INDEX(Sheet1!$X$48:$Z$67,MATCH(Table1[[#This Row], [ROOM]],Sheet1!$P$48:$P$67,0),MATCH(Table1[[#This Row], [WEAPON]],Sheet1!$X$47:$Z$47,0)))/Table1[[#This Row], [NUM OF MEM]]</f>
        <v>8.1000000000000014</v>
      </c>
      <c r="Q1672" s="9">
        <f>Table1[[#This Row], [ROOM TIME]]+Table1[[#This Row], [GUARD TIME]]</f>
        <v>71.564999999999969</v>
      </c>
      <c r="R1672" s="4">
        <f>Sheet1!$K$3*_xlfn.XLOOKUP(Table1[[#This Row], [DISGUISE]],Sheet1!$A$21:$A$23,Sheet1!$D$21:$D$23)</f>
        <v>66</v>
      </c>
      <c r="S1672" s="9">
        <f>Table1[[#This Row], [TOTAL TIME]]-Table1[[#This Row], [TOTAL TIME TAKEN]]</f>
        <v>-5.5649999999999693</v>
      </c>
      <c r="T1672" t="str">
        <f>IF(Table1[[#This Row], [TIME DIFFERENCE]]&gt;=0,"PASS","FAIL")</f>
        <v>FAIL</v>
      </c>
      <c r="U1672" s="9">
        <f>Table1[[#This Row], [TRC]]+Table1[[#This Row], [DRC]]+Table1[[#This Row], [WRC]]+Table1[[#This Row], [ERC]]+Table1[[#This Row], [EQRC]]</f>
        <v>7844314.7999999989</v>
      </c>
      <c r="V1672" s="9">
        <f>Table1[[#This Row], [TOTAL COST]]+_xlfn.XLOOKUP(Table1[[#This Row], [TEAM]],Sheet1!$A$12:$A$17,Sheet1!$I$12:$I$17)</f>
        <v>8140962.2999999989</v>
      </c>
      <c r="W1672" s="9">
        <f>Table1[[#This Row], [LOOT]]-Table1[[#This Row], [TOTAL COST]]</f>
        <v>10005685.200000001</v>
      </c>
      <c r="X1672" s="4">
        <f>IF(Table1[[#This Row], [PASS/FAIL]]="FAIL",0,Table1[[#This Row], [PROFIT]])</f>
        <v>0</v>
      </c>
    </row>
    <row r="1673" spans="1:24" ht="19.5" customHeight="1" x14ac:dyDescent="0.45">
      <c r="A1673" t="s">
        <v>15</v>
      </c>
      <c r="B1673" s="14">
        <f>_xlfn.XLOOKUP(Table1[[#This Row], [TEAM]],Sheet1!$A$12:$A$17,Sheet1!$F$12:$F$17)</f>
        <v>2</v>
      </c>
      <c r="C1673" s="14">
        <f>_xlfn.XLOOKUP(Table1[[#This Row], [TEAM]],Sheet1!$A$12:$A$17,Sheet1!$G$12:$G$17)</f>
        <v>5932950</v>
      </c>
      <c r="D1673" t="s">
        <v>10</v>
      </c>
      <c r="E1673" s="4">
        <f>_xlfn.XLOOKUP(Table1[[#This Row], [ROOM]],Sheet1!$A$47:$A$66,Sheet1!$B$47:$B$66)</f>
        <v>123</v>
      </c>
      <c r="F1673" t="s">
        <v>62</v>
      </c>
      <c r="G1673" s="4">
        <f>_xlfn.XLOOKUP(Table1[[#This Row], [DISGUISE]],Sheet1!$A$21:$A$23,Sheet1!$B$21:$B$23)*Table1[[#This Row], [NUM OF MEM]]*(1+_xlfn.XLOOKUP(Table1[[#This Row], [DISGUISE]],Sheet1!$A$21:$A$23,Sheet1!$C$21:$C$23))</f>
        <v>10400</v>
      </c>
      <c r="H1673" s="13" t="s">
        <v>66</v>
      </c>
      <c r="I1673" s="4">
        <f>_xlfn.XLOOKUP(Table1[[#This Row], [WEAPON]],Sheet1!$A$27:$A$29,Sheet1!$B$27:$B$29)*Table1[[#This Row], [NUM OF MEM]]*(1+_xlfn.XLOOKUP(Table1[[#This Row], [WEAPON]],Sheet1!$A$27:$A$29,Sheet1!$C$27:$C$29))</f>
        <v>72000</v>
      </c>
      <c r="J1673" t="s">
        <v>64</v>
      </c>
      <c r="K1673" s="9">
        <f>Table1[[#This Row], [NUM OF MEM]]*Table1[[#This Row], [TOTAL TIME TAKEN]]*_xlfn.XLOOKUP(Table1[[#This Row], [EXIT]],Sheet1!$A$70:$A$71,Sheet1!$B$70:$B$71)*(1+_xlfn.XLOOKUP(Table1[[#This Row], [EXIT]],Sheet1!$A$70:$A$71,Sheet1!$C$70:$C$71))</f>
        <v>1839412.7999999993</v>
      </c>
      <c r="L1673" s="13" t="s">
        <v>61</v>
      </c>
      <c r="M1673" s="4">
        <f>IF(Table1[[#This Row], [EQUIPMENT]]="YES",Sheet1!$C$44*(1+Sheet1!$D$44),0)</f>
        <v>0</v>
      </c>
      <c r="N1673" s="4">
        <f>_xlfn.XLOOKUP(Table1[[#This Row], [ROOM]],Sheet1!$A$47:$A$66,Sheet1!$F$47:$F$66)</f>
        <v>17850000</v>
      </c>
      <c r="O1673" s="9">
        <f>_xlfn.XLOOKUP(_xlfn.CONCAT(Table1[[#This Row], [TEAM]],Table1[[#This Row], [ROOM]]),'ROOM TIME'!$H$2:$H$121,'ROOM TIME'!$J$2:$J$121)</f>
        <v>63.464999999999975</v>
      </c>
      <c r="P1673" s="9">
        <f>(INDEX(Sheet1!$X$48:$Z$67,MATCH(Table1[[#This Row], [ROOM]],Sheet1!$P$48:$P$67,0),MATCH(Table1[[#This Row], [WEAPON]],Sheet1!$X$47:$Z$47,0)))/Table1[[#This Row], [NUM OF MEM]]</f>
        <v>7.5</v>
      </c>
      <c r="Q1673" s="9">
        <f>Table1[[#This Row], [ROOM TIME]]+Table1[[#This Row], [GUARD TIME]]</f>
        <v>70.964999999999975</v>
      </c>
      <c r="R1673" s="4">
        <f>Sheet1!$K$3*_xlfn.XLOOKUP(Table1[[#This Row], [DISGUISE]],Sheet1!$A$21:$A$23,Sheet1!$D$21:$D$23)</f>
        <v>66</v>
      </c>
      <c r="S1673" s="9">
        <f>Table1[[#This Row], [TOTAL TIME]]-Table1[[#This Row], [TOTAL TIME TAKEN]]</f>
        <v>-4.964999999999975</v>
      </c>
      <c r="T1673" t="str">
        <f>IF(Table1[[#This Row], [TIME DIFFERENCE]]&gt;=0,"PASS","FAIL")</f>
        <v>FAIL</v>
      </c>
      <c r="U1673" s="9">
        <f>Table1[[#This Row], [TRC]]+Table1[[#This Row], [DRC]]+Table1[[#This Row], [WRC]]+Table1[[#This Row], [ERC]]+Table1[[#This Row], [EQRC]]</f>
        <v>7854762.7999999989</v>
      </c>
      <c r="V1673" s="9">
        <f>Table1[[#This Row], [TOTAL COST]]+_xlfn.XLOOKUP(Table1[[#This Row], [TEAM]],Sheet1!$A$12:$A$17,Sheet1!$I$12:$I$17)</f>
        <v>8151410.2999999989</v>
      </c>
      <c r="W1673" s="9">
        <f>Table1[[#This Row], [LOOT]]-Table1[[#This Row], [TOTAL COST]]</f>
        <v>9995237.2000000011</v>
      </c>
      <c r="X1673" s="4">
        <f>IF(Table1[[#This Row], [PASS/FAIL]]="FAIL",0,Table1[[#This Row], [PROFIT]])</f>
        <v>0</v>
      </c>
    </row>
    <row r="1674" spans="1:24" ht="19.5" customHeight="1" x14ac:dyDescent="0.45">
      <c r="A1674" t="s">
        <v>15</v>
      </c>
      <c r="B1674" s="14">
        <f>_xlfn.XLOOKUP(Table1[[#This Row], [TEAM]],Sheet1!$A$12:$A$17,Sheet1!$F$12:$F$17)</f>
        <v>2</v>
      </c>
      <c r="C1674" s="14">
        <f>_xlfn.XLOOKUP(Table1[[#This Row], [TEAM]],Sheet1!$A$12:$A$17,Sheet1!$G$12:$G$17)</f>
        <v>5932950</v>
      </c>
      <c r="D1674" t="s">
        <v>10</v>
      </c>
      <c r="E1674" s="4">
        <f>_xlfn.XLOOKUP(Table1[[#This Row], [ROOM]],Sheet1!$A$47:$A$66,Sheet1!$B$47:$B$66)</f>
        <v>123</v>
      </c>
      <c r="F1674" t="s">
        <v>58</v>
      </c>
      <c r="G1674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4" s="13" t="s">
        <v>63</v>
      </c>
      <c r="I1674" s="4">
        <f>_xlfn.XLOOKUP(Table1[[#This Row], [WEAPON]],Sheet1!$A$27:$A$29,Sheet1!$B$27:$B$29)*Table1[[#This Row], [NUM OF MEM]]*(1+_xlfn.XLOOKUP(Table1[[#This Row], [WEAPON]],Sheet1!$A$27:$A$29,Sheet1!$C$27:$C$29))</f>
        <v>46000</v>
      </c>
      <c r="J1674" t="s">
        <v>64</v>
      </c>
      <c r="K1674" s="9">
        <f>Table1[[#This Row], [NUM OF MEM]]*Table1[[#This Row], [TOTAL TIME TAKEN]]*_xlfn.XLOOKUP(Table1[[#This Row], [EXIT]],Sheet1!$A$70:$A$71,Sheet1!$B$70:$B$71)*(1+_xlfn.XLOOKUP(Table1[[#This Row], [EXIT]],Sheet1!$A$70:$A$71,Sheet1!$C$70:$C$71))</f>
        <v>1854964.7999999991</v>
      </c>
      <c r="L1674" s="13" t="s">
        <v>61</v>
      </c>
      <c r="M1674" s="4">
        <f>IF(Table1[[#This Row], [EQUIPMENT]]="YES",Sheet1!$C$44*(1+Sheet1!$D$44),0)</f>
        <v>0</v>
      </c>
      <c r="N1674" s="4">
        <f>_xlfn.XLOOKUP(Table1[[#This Row], [ROOM]],Sheet1!$A$47:$A$66,Sheet1!$F$47:$F$66)</f>
        <v>17850000</v>
      </c>
      <c r="O1674" s="9">
        <f>_xlfn.XLOOKUP(_xlfn.CONCAT(Table1[[#This Row], [TEAM]],Table1[[#This Row], [ROOM]]),'ROOM TIME'!$H$2:$H$121,'ROOM TIME'!$J$2:$J$121)</f>
        <v>63.464999999999975</v>
      </c>
      <c r="P1674" s="9">
        <f>(INDEX(Sheet1!$X$48:$Z$67,MATCH(Table1[[#This Row], [ROOM]],Sheet1!$P$48:$P$67,0),MATCH(Table1[[#This Row], [WEAPON]],Sheet1!$X$47:$Z$47,0)))/Table1[[#This Row], [NUM OF MEM]]</f>
        <v>8.1000000000000014</v>
      </c>
      <c r="Q1674" s="9">
        <f>Table1[[#This Row], [ROOM TIME]]+Table1[[#This Row], [GUARD TIME]]</f>
        <v>71.564999999999969</v>
      </c>
      <c r="R1674" s="4">
        <f>Sheet1!$K$3*_xlfn.XLOOKUP(Table1[[#This Row], [DISGUISE]],Sheet1!$A$21:$A$23,Sheet1!$D$21:$D$23)</f>
        <v>69</v>
      </c>
      <c r="S1674" s="9">
        <f>Table1[[#This Row], [TOTAL TIME]]-Table1[[#This Row], [TOTAL TIME TAKEN]]</f>
        <v>-2.5649999999999693</v>
      </c>
      <c r="T1674" t="str">
        <f>IF(Table1[[#This Row], [TIME DIFFERENCE]]&gt;=0,"PASS","FAIL")</f>
        <v>FAIL</v>
      </c>
      <c r="U1674" s="9">
        <f>Table1[[#This Row], [TRC]]+Table1[[#This Row], [DRC]]+Table1[[#This Row], [WRC]]+Table1[[#This Row], [ERC]]+Table1[[#This Row], [EQRC]]</f>
        <v>7859514.7999999989</v>
      </c>
      <c r="V1674" s="9">
        <f>Table1[[#This Row], [TOTAL COST]]+_xlfn.XLOOKUP(Table1[[#This Row], [TEAM]],Sheet1!$A$12:$A$17,Sheet1!$I$12:$I$17)</f>
        <v>8156162.2999999989</v>
      </c>
      <c r="W1674" s="9">
        <f>Table1[[#This Row], [LOOT]]-Table1[[#This Row], [TOTAL COST]]</f>
        <v>9990485.2000000011</v>
      </c>
      <c r="X1674" s="4">
        <f>IF(Table1[[#This Row], [PASS/FAIL]]="FAIL",0,Table1[[#This Row], [PROFIT]])</f>
        <v>0</v>
      </c>
    </row>
    <row r="1675" spans="1:24" ht="19.5" customHeight="1" x14ac:dyDescent="0.45">
      <c r="A1675" t="s">
        <v>15</v>
      </c>
      <c r="B1675" s="14">
        <f>_xlfn.XLOOKUP(Table1[[#This Row], [TEAM]],Sheet1!$A$12:$A$17,Sheet1!$F$12:$F$17)</f>
        <v>2</v>
      </c>
      <c r="C1675" s="14">
        <f>_xlfn.XLOOKUP(Table1[[#This Row], [TEAM]],Sheet1!$A$12:$A$17,Sheet1!$G$12:$G$17)</f>
        <v>5932950</v>
      </c>
      <c r="D1675" t="s">
        <v>10</v>
      </c>
      <c r="E1675" s="4">
        <f>_xlfn.XLOOKUP(Table1[[#This Row], [ROOM]],Sheet1!$A$47:$A$66,Sheet1!$B$47:$B$66)</f>
        <v>123</v>
      </c>
      <c r="F1675" t="s">
        <v>58</v>
      </c>
      <c r="G167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5" s="13" t="s">
        <v>66</v>
      </c>
      <c r="I1675" s="4">
        <f>_xlfn.XLOOKUP(Table1[[#This Row], [WEAPON]],Sheet1!$A$27:$A$29,Sheet1!$B$27:$B$29)*Table1[[#This Row], [NUM OF MEM]]*(1+_xlfn.XLOOKUP(Table1[[#This Row], [WEAPON]],Sheet1!$A$27:$A$29,Sheet1!$C$27:$C$29))</f>
        <v>72000</v>
      </c>
      <c r="J1675" t="s">
        <v>64</v>
      </c>
      <c r="K1675" s="9">
        <f>Table1[[#This Row], [NUM OF MEM]]*Table1[[#This Row], [TOTAL TIME TAKEN]]*_xlfn.XLOOKUP(Table1[[#This Row], [EXIT]],Sheet1!$A$70:$A$71,Sheet1!$B$70:$B$71)*(1+_xlfn.XLOOKUP(Table1[[#This Row], [EXIT]],Sheet1!$A$70:$A$71,Sheet1!$C$70:$C$71))</f>
        <v>1839412.7999999993</v>
      </c>
      <c r="L1675" s="13" t="s">
        <v>61</v>
      </c>
      <c r="M1675" s="4">
        <f>IF(Table1[[#This Row], [EQUIPMENT]]="YES",Sheet1!$C$44*(1+Sheet1!$D$44),0)</f>
        <v>0</v>
      </c>
      <c r="N1675" s="4">
        <f>_xlfn.XLOOKUP(Table1[[#This Row], [ROOM]],Sheet1!$A$47:$A$66,Sheet1!$F$47:$F$66)</f>
        <v>17850000</v>
      </c>
      <c r="O1675" s="9">
        <f>_xlfn.XLOOKUP(_xlfn.CONCAT(Table1[[#This Row], [TEAM]],Table1[[#This Row], [ROOM]]),'ROOM TIME'!$H$2:$H$121,'ROOM TIME'!$J$2:$J$121)</f>
        <v>63.464999999999975</v>
      </c>
      <c r="P1675" s="9">
        <f>(INDEX(Sheet1!$X$48:$Z$67,MATCH(Table1[[#This Row], [ROOM]],Sheet1!$P$48:$P$67,0),MATCH(Table1[[#This Row], [WEAPON]],Sheet1!$X$47:$Z$47,0)))/Table1[[#This Row], [NUM OF MEM]]</f>
        <v>7.5</v>
      </c>
      <c r="Q1675" s="9">
        <f>Table1[[#This Row], [ROOM TIME]]+Table1[[#This Row], [GUARD TIME]]</f>
        <v>70.964999999999975</v>
      </c>
      <c r="R1675" s="4">
        <f>Sheet1!$K$3*_xlfn.XLOOKUP(Table1[[#This Row], [DISGUISE]],Sheet1!$A$21:$A$23,Sheet1!$D$21:$D$23)</f>
        <v>69</v>
      </c>
      <c r="S1675" s="9">
        <f>Table1[[#This Row], [TOTAL TIME]]-Table1[[#This Row], [TOTAL TIME TAKEN]]</f>
        <v>-1.964999999999975</v>
      </c>
      <c r="T1675" t="str">
        <f>IF(Table1[[#This Row], [TIME DIFFERENCE]]&gt;=0,"PASS","FAIL")</f>
        <v>FAIL</v>
      </c>
      <c r="U1675" s="9">
        <f>Table1[[#This Row], [TRC]]+Table1[[#This Row], [DRC]]+Table1[[#This Row], [WRC]]+Table1[[#This Row], [ERC]]+Table1[[#This Row], [EQRC]]</f>
        <v>7869962.7999999989</v>
      </c>
      <c r="V1675" s="9">
        <f>Table1[[#This Row], [TOTAL COST]]+_xlfn.XLOOKUP(Table1[[#This Row], [TEAM]],Sheet1!$A$12:$A$17,Sheet1!$I$12:$I$17)</f>
        <v>8166610.2999999989</v>
      </c>
      <c r="W1675" s="9">
        <f>Table1[[#This Row], [LOOT]]-Table1[[#This Row], [TOTAL COST]]</f>
        <v>9980037.2000000011</v>
      </c>
      <c r="X1675" s="4">
        <f>IF(Table1[[#This Row], [PASS/FAIL]]="FAIL",0,Table1[[#This Row], [PROFIT]])</f>
        <v>0</v>
      </c>
    </row>
    <row r="1676" spans="1:24" ht="19.5" customHeight="1" x14ac:dyDescent="0.45">
      <c r="A1676" t="s">
        <v>15</v>
      </c>
      <c r="B1676" s="14">
        <f>_xlfn.XLOOKUP(Table1[[#This Row], [TEAM]],Sheet1!$A$12:$A$17,Sheet1!$F$12:$F$17)</f>
        <v>2</v>
      </c>
      <c r="C1676" s="14">
        <f>_xlfn.XLOOKUP(Table1[[#This Row], [TEAM]],Sheet1!$A$12:$A$17,Sheet1!$G$12:$G$17)</f>
        <v>5932950</v>
      </c>
      <c r="D1676" t="s">
        <v>10</v>
      </c>
      <c r="E1676" s="4">
        <f>_xlfn.XLOOKUP(Table1[[#This Row], [ROOM]],Sheet1!$A$47:$A$66,Sheet1!$B$47:$B$66)</f>
        <v>123</v>
      </c>
      <c r="F1676" t="s">
        <v>62</v>
      </c>
      <c r="G1676" s="4">
        <f>_xlfn.XLOOKUP(Table1[[#This Row], [DISGUISE]],Sheet1!$A$21:$A$23,Sheet1!$B$21:$B$23)*Table1[[#This Row], [NUM OF MEM]]*(1+_xlfn.XLOOKUP(Table1[[#This Row], [DISGUISE]],Sheet1!$A$21:$A$23,Sheet1!$C$21:$C$23))</f>
        <v>10400</v>
      </c>
      <c r="H1676" s="13" t="s">
        <v>63</v>
      </c>
      <c r="I1676" s="4">
        <f>_xlfn.XLOOKUP(Table1[[#This Row], [WEAPON]],Sheet1!$A$27:$A$29,Sheet1!$B$27:$B$29)*Table1[[#This Row], [NUM OF MEM]]*(1+_xlfn.XLOOKUP(Table1[[#This Row], [WEAPON]],Sheet1!$A$27:$A$29,Sheet1!$C$27:$C$29))</f>
        <v>46000</v>
      </c>
      <c r="J1676" t="s">
        <v>60</v>
      </c>
      <c r="K1676" s="9">
        <f>Table1[[#This Row], [NUM OF MEM]]*Table1[[#This Row], [TOTAL TIME TAKEN]]*_xlfn.XLOOKUP(Table1[[#This Row], [EXIT]],Sheet1!$A$70:$A$71,Sheet1!$B$70:$B$71)*(1+_xlfn.XLOOKUP(Table1[[#This Row], [EXIT]],Sheet1!$A$70:$A$71,Sheet1!$C$70:$C$71))</f>
        <v>1836715.7249999992</v>
      </c>
      <c r="L1676" s="13" t="s">
        <v>65</v>
      </c>
      <c r="M1676" s="4">
        <f>IF(Table1[[#This Row], [EQUIPMENT]]="YES",Sheet1!$C$44*(1+Sheet1!$D$44),0)</f>
        <v>307500</v>
      </c>
      <c r="N1676" s="4">
        <f>_xlfn.XLOOKUP(Table1[[#This Row], [ROOM]],Sheet1!$A$47:$A$66,Sheet1!$F$47:$F$66)</f>
        <v>17850000</v>
      </c>
      <c r="O1676" s="9">
        <f>_xlfn.XLOOKUP(_xlfn.CONCAT(Table1[[#This Row], [TEAM]],Table1[[#This Row], [ROOM]]),'ROOM TIME'!$H$2:$H$121,'ROOM TIME'!$J$2:$J$121)</f>
        <v>63.464999999999975</v>
      </c>
      <c r="P1676" s="9">
        <f>(INDEX(Sheet1!$X$48:$Z$67,MATCH(Table1[[#This Row], [ROOM]],Sheet1!$P$48:$P$67,0),MATCH(Table1[[#This Row], [WEAPON]],Sheet1!$X$47:$Z$47,0)))/Table1[[#This Row], [NUM OF MEM]]</f>
        <v>8.1000000000000014</v>
      </c>
      <c r="Q1676" s="9">
        <f>Table1[[#This Row], [ROOM TIME]]+Table1[[#This Row], [GUARD TIME]]</f>
        <v>71.564999999999969</v>
      </c>
      <c r="R1676" s="4">
        <f>Sheet1!$K$3*_xlfn.XLOOKUP(Table1[[#This Row], [DISGUISE]],Sheet1!$A$21:$A$23,Sheet1!$D$21:$D$23)</f>
        <v>66</v>
      </c>
      <c r="S1676" s="9">
        <f>Table1[[#This Row], [TOTAL TIME]]-Table1[[#This Row], [TOTAL TIME TAKEN]]</f>
        <v>-5.5649999999999693</v>
      </c>
      <c r="T1676" t="str">
        <f>IF(Table1[[#This Row], [TIME DIFFERENCE]]&gt;=0,"PASS","FAIL")</f>
        <v>FAIL</v>
      </c>
      <c r="U1676" s="9">
        <f>Table1[[#This Row], [TRC]]+Table1[[#This Row], [DRC]]+Table1[[#This Row], [WRC]]+Table1[[#This Row], [ERC]]+Table1[[#This Row], [EQRC]]</f>
        <v>8133565.7249999996</v>
      </c>
      <c r="V1676" s="9">
        <f>Table1[[#This Row], [TOTAL COST]]+_xlfn.XLOOKUP(Table1[[#This Row], [TEAM]],Sheet1!$A$12:$A$17,Sheet1!$I$12:$I$17)</f>
        <v>8430213.2249999996</v>
      </c>
      <c r="W1676" s="9">
        <f>Table1[[#This Row], [LOOT]]-Table1[[#This Row], [TOTAL COST]]</f>
        <v>9716434.2750000004</v>
      </c>
      <c r="X1676" s="4">
        <f>IF(Table1[[#This Row], [PASS/FAIL]]="FAIL",0,Table1[[#This Row], [PROFIT]])</f>
        <v>0</v>
      </c>
    </row>
    <row r="1677" spans="1:24" ht="19.5" customHeight="1" x14ac:dyDescent="0.45">
      <c r="A1677" t="s">
        <v>15</v>
      </c>
      <c r="B1677" s="14">
        <f>_xlfn.XLOOKUP(Table1[[#This Row], [TEAM]],Sheet1!$A$12:$A$17,Sheet1!$F$12:$F$17)</f>
        <v>2</v>
      </c>
      <c r="C1677" s="14">
        <f>_xlfn.XLOOKUP(Table1[[#This Row], [TEAM]],Sheet1!$A$12:$A$17,Sheet1!$G$12:$G$17)</f>
        <v>5932950</v>
      </c>
      <c r="D1677" t="s">
        <v>10</v>
      </c>
      <c r="E1677" s="4">
        <f>_xlfn.XLOOKUP(Table1[[#This Row], [ROOM]],Sheet1!$A$47:$A$66,Sheet1!$B$47:$B$66)</f>
        <v>123</v>
      </c>
      <c r="F1677" t="s">
        <v>62</v>
      </c>
      <c r="G1677" s="4">
        <f>_xlfn.XLOOKUP(Table1[[#This Row], [DISGUISE]],Sheet1!$A$21:$A$23,Sheet1!$B$21:$B$23)*Table1[[#This Row], [NUM OF MEM]]*(1+_xlfn.XLOOKUP(Table1[[#This Row], [DISGUISE]],Sheet1!$A$21:$A$23,Sheet1!$C$21:$C$23))</f>
        <v>10400</v>
      </c>
      <c r="H1677" s="13" t="s">
        <v>66</v>
      </c>
      <c r="I1677" s="4">
        <f>_xlfn.XLOOKUP(Table1[[#This Row], [WEAPON]],Sheet1!$A$27:$A$29,Sheet1!$B$27:$B$29)*Table1[[#This Row], [NUM OF MEM]]*(1+_xlfn.XLOOKUP(Table1[[#This Row], [WEAPON]],Sheet1!$A$27:$A$29,Sheet1!$C$27:$C$29))</f>
        <v>72000</v>
      </c>
      <c r="J1677" t="s">
        <v>60</v>
      </c>
      <c r="K1677" s="9">
        <f>Table1[[#This Row], [NUM OF MEM]]*Table1[[#This Row], [TOTAL TIME TAKEN]]*_xlfn.XLOOKUP(Table1[[#This Row], [EXIT]],Sheet1!$A$70:$A$71,Sheet1!$B$70:$B$71)*(1+_xlfn.XLOOKUP(Table1[[#This Row], [EXIT]],Sheet1!$A$70:$A$71,Sheet1!$C$70:$C$71))</f>
        <v>1821316.7249999992</v>
      </c>
      <c r="L1677" s="13" t="s">
        <v>65</v>
      </c>
      <c r="M1677" s="4">
        <f>IF(Table1[[#This Row], [EQUIPMENT]]="YES",Sheet1!$C$44*(1+Sheet1!$D$44),0)</f>
        <v>307500</v>
      </c>
      <c r="N1677" s="4">
        <f>_xlfn.XLOOKUP(Table1[[#This Row], [ROOM]],Sheet1!$A$47:$A$66,Sheet1!$F$47:$F$66)</f>
        <v>17850000</v>
      </c>
      <c r="O1677" s="9">
        <f>_xlfn.XLOOKUP(_xlfn.CONCAT(Table1[[#This Row], [TEAM]],Table1[[#This Row], [ROOM]]),'ROOM TIME'!$H$2:$H$121,'ROOM TIME'!$J$2:$J$121)</f>
        <v>63.464999999999975</v>
      </c>
      <c r="P1677" s="9">
        <f>(INDEX(Sheet1!$X$48:$Z$67,MATCH(Table1[[#This Row], [ROOM]],Sheet1!$P$48:$P$67,0),MATCH(Table1[[#This Row], [WEAPON]],Sheet1!$X$47:$Z$47,0)))/Table1[[#This Row], [NUM OF MEM]]</f>
        <v>7.5</v>
      </c>
      <c r="Q1677" s="9">
        <f>Table1[[#This Row], [ROOM TIME]]+Table1[[#This Row], [GUARD TIME]]</f>
        <v>70.964999999999975</v>
      </c>
      <c r="R1677" s="4">
        <f>Sheet1!$K$3*_xlfn.XLOOKUP(Table1[[#This Row], [DISGUISE]],Sheet1!$A$21:$A$23,Sheet1!$D$21:$D$23)</f>
        <v>66</v>
      </c>
      <c r="S1677" s="9">
        <f>Table1[[#This Row], [TOTAL TIME]]-Table1[[#This Row], [TOTAL TIME TAKEN]]</f>
        <v>-4.964999999999975</v>
      </c>
      <c r="T1677" t="str">
        <f>IF(Table1[[#This Row], [TIME DIFFERENCE]]&gt;=0,"PASS","FAIL")</f>
        <v>FAIL</v>
      </c>
      <c r="U1677" s="9">
        <f>Table1[[#This Row], [TRC]]+Table1[[#This Row], [DRC]]+Table1[[#This Row], [WRC]]+Table1[[#This Row], [ERC]]+Table1[[#This Row], [EQRC]]</f>
        <v>8144166.7249999996</v>
      </c>
      <c r="V1677" s="9">
        <f>Table1[[#This Row], [TOTAL COST]]+_xlfn.XLOOKUP(Table1[[#This Row], [TEAM]],Sheet1!$A$12:$A$17,Sheet1!$I$12:$I$17)</f>
        <v>8440814.2249999996</v>
      </c>
      <c r="W1677" s="9">
        <f>Table1[[#This Row], [LOOT]]-Table1[[#This Row], [TOTAL COST]]</f>
        <v>9705833.2750000004</v>
      </c>
      <c r="X1677" s="4">
        <f>IF(Table1[[#This Row], [PASS/FAIL]]="FAIL",0,Table1[[#This Row], [PROFIT]])</f>
        <v>0</v>
      </c>
    </row>
    <row r="1678" spans="1:24" ht="19.5" customHeight="1" x14ac:dyDescent="0.45">
      <c r="A1678" t="s">
        <v>15</v>
      </c>
      <c r="B1678" s="14">
        <f>_xlfn.XLOOKUP(Table1[[#This Row], [TEAM]],Sheet1!$A$12:$A$17,Sheet1!$F$12:$F$17)</f>
        <v>2</v>
      </c>
      <c r="C1678" s="14">
        <f>_xlfn.XLOOKUP(Table1[[#This Row], [TEAM]],Sheet1!$A$12:$A$17,Sheet1!$G$12:$G$17)</f>
        <v>5932950</v>
      </c>
      <c r="D1678" t="s">
        <v>10</v>
      </c>
      <c r="E1678" s="4">
        <f>_xlfn.XLOOKUP(Table1[[#This Row], [ROOM]],Sheet1!$A$47:$A$66,Sheet1!$B$47:$B$66)</f>
        <v>123</v>
      </c>
      <c r="F1678" t="s">
        <v>58</v>
      </c>
      <c r="G1678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8" s="13" t="s">
        <v>63</v>
      </c>
      <c r="I1678" s="4">
        <f>_xlfn.XLOOKUP(Table1[[#This Row], [WEAPON]],Sheet1!$A$27:$A$29,Sheet1!$B$27:$B$29)*Table1[[#This Row], [NUM OF MEM]]*(1+_xlfn.XLOOKUP(Table1[[#This Row], [WEAPON]],Sheet1!$A$27:$A$29,Sheet1!$C$27:$C$29))</f>
        <v>46000</v>
      </c>
      <c r="J1678" t="s">
        <v>60</v>
      </c>
      <c r="K1678" s="9">
        <f>Table1[[#This Row], [NUM OF MEM]]*Table1[[#This Row], [TOTAL TIME TAKEN]]*_xlfn.XLOOKUP(Table1[[#This Row], [EXIT]],Sheet1!$A$70:$A$71,Sheet1!$B$70:$B$71)*(1+_xlfn.XLOOKUP(Table1[[#This Row], [EXIT]],Sheet1!$A$70:$A$71,Sheet1!$C$70:$C$71))</f>
        <v>1836715.7249999992</v>
      </c>
      <c r="L1678" s="13" t="s">
        <v>65</v>
      </c>
      <c r="M1678" s="4">
        <f>IF(Table1[[#This Row], [EQUIPMENT]]="YES",Sheet1!$C$44*(1+Sheet1!$D$44),0)</f>
        <v>307500</v>
      </c>
      <c r="N1678" s="4">
        <f>_xlfn.XLOOKUP(Table1[[#This Row], [ROOM]],Sheet1!$A$47:$A$66,Sheet1!$F$47:$F$66)</f>
        <v>17850000</v>
      </c>
      <c r="O1678" s="9">
        <f>_xlfn.XLOOKUP(_xlfn.CONCAT(Table1[[#This Row], [TEAM]],Table1[[#This Row], [ROOM]]),'ROOM TIME'!$H$2:$H$121,'ROOM TIME'!$J$2:$J$121)</f>
        <v>63.464999999999975</v>
      </c>
      <c r="P1678" s="9">
        <f>(INDEX(Sheet1!$X$48:$Z$67,MATCH(Table1[[#This Row], [ROOM]],Sheet1!$P$48:$P$67,0),MATCH(Table1[[#This Row], [WEAPON]],Sheet1!$X$47:$Z$47,0)))/Table1[[#This Row], [NUM OF MEM]]</f>
        <v>8.1000000000000014</v>
      </c>
      <c r="Q1678" s="9">
        <f>Table1[[#This Row], [ROOM TIME]]+Table1[[#This Row], [GUARD TIME]]</f>
        <v>71.564999999999969</v>
      </c>
      <c r="R1678" s="4">
        <f>Sheet1!$K$3*_xlfn.XLOOKUP(Table1[[#This Row], [DISGUISE]],Sheet1!$A$21:$A$23,Sheet1!$D$21:$D$23)</f>
        <v>69</v>
      </c>
      <c r="S1678" s="9">
        <f>Table1[[#This Row], [TOTAL TIME]]-Table1[[#This Row], [TOTAL TIME TAKEN]]</f>
        <v>-2.5649999999999693</v>
      </c>
      <c r="T1678" t="str">
        <f>IF(Table1[[#This Row], [TIME DIFFERENCE]]&gt;=0,"PASS","FAIL")</f>
        <v>FAIL</v>
      </c>
      <c r="U1678" s="9">
        <f>Table1[[#This Row], [TRC]]+Table1[[#This Row], [DRC]]+Table1[[#This Row], [WRC]]+Table1[[#This Row], [ERC]]+Table1[[#This Row], [EQRC]]</f>
        <v>8148765.7249999996</v>
      </c>
      <c r="V1678" s="9">
        <f>Table1[[#This Row], [TOTAL COST]]+_xlfn.XLOOKUP(Table1[[#This Row], [TEAM]],Sheet1!$A$12:$A$17,Sheet1!$I$12:$I$17)</f>
        <v>8445413.2249999996</v>
      </c>
      <c r="W1678" s="9">
        <f>Table1[[#This Row], [LOOT]]-Table1[[#This Row], [TOTAL COST]]</f>
        <v>9701234.2750000004</v>
      </c>
      <c r="X1678" s="4">
        <f>IF(Table1[[#This Row], [PASS/FAIL]]="FAIL",0,Table1[[#This Row], [PROFIT]])</f>
        <v>0</v>
      </c>
    </row>
    <row r="1679" spans="1:24" ht="19.5" customHeight="1" x14ac:dyDescent="0.45">
      <c r="A1679" t="s">
        <v>15</v>
      </c>
      <c r="B1679" s="14">
        <f>_xlfn.XLOOKUP(Table1[[#This Row], [TEAM]],Sheet1!$A$12:$A$17,Sheet1!$F$12:$F$17)</f>
        <v>2</v>
      </c>
      <c r="C1679" s="14">
        <f>_xlfn.XLOOKUP(Table1[[#This Row], [TEAM]],Sheet1!$A$12:$A$17,Sheet1!$G$12:$G$17)</f>
        <v>5932950</v>
      </c>
      <c r="D1679" t="s">
        <v>10</v>
      </c>
      <c r="E1679" s="4">
        <f>_xlfn.XLOOKUP(Table1[[#This Row], [ROOM]],Sheet1!$A$47:$A$66,Sheet1!$B$47:$B$66)</f>
        <v>123</v>
      </c>
      <c r="F1679" t="s">
        <v>58</v>
      </c>
      <c r="G167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79" s="13" t="s">
        <v>66</v>
      </c>
      <c r="I1679" s="4">
        <f>_xlfn.XLOOKUP(Table1[[#This Row], [WEAPON]],Sheet1!$A$27:$A$29,Sheet1!$B$27:$B$29)*Table1[[#This Row], [NUM OF MEM]]*(1+_xlfn.XLOOKUP(Table1[[#This Row], [WEAPON]],Sheet1!$A$27:$A$29,Sheet1!$C$27:$C$29))</f>
        <v>72000</v>
      </c>
      <c r="J1679" t="s">
        <v>60</v>
      </c>
      <c r="K1679" s="9">
        <f>Table1[[#This Row], [NUM OF MEM]]*Table1[[#This Row], [TOTAL TIME TAKEN]]*_xlfn.XLOOKUP(Table1[[#This Row], [EXIT]],Sheet1!$A$70:$A$71,Sheet1!$B$70:$B$71)*(1+_xlfn.XLOOKUP(Table1[[#This Row], [EXIT]],Sheet1!$A$70:$A$71,Sheet1!$C$70:$C$71))</f>
        <v>1821316.7249999992</v>
      </c>
      <c r="L1679" s="13" t="s">
        <v>65</v>
      </c>
      <c r="M1679" s="4">
        <f>IF(Table1[[#This Row], [EQUIPMENT]]="YES",Sheet1!$C$44*(1+Sheet1!$D$44),0)</f>
        <v>307500</v>
      </c>
      <c r="N1679" s="4">
        <f>_xlfn.XLOOKUP(Table1[[#This Row], [ROOM]],Sheet1!$A$47:$A$66,Sheet1!$F$47:$F$66)</f>
        <v>17850000</v>
      </c>
      <c r="O1679" s="9">
        <f>_xlfn.XLOOKUP(_xlfn.CONCAT(Table1[[#This Row], [TEAM]],Table1[[#This Row], [ROOM]]),'ROOM TIME'!$H$2:$H$121,'ROOM TIME'!$J$2:$J$121)</f>
        <v>63.464999999999975</v>
      </c>
      <c r="P1679" s="9">
        <f>(INDEX(Sheet1!$X$48:$Z$67,MATCH(Table1[[#This Row], [ROOM]],Sheet1!$P$48:$P$67,0),MATCH(Table1[[#This Row], [WEAPON]],Sheet1!$X$47:$Z$47,0)))/Table1[[#This Row], [NUM OF MEM]]</f>
        <v>7.5</v>
      </c>
      <c r="Q1679" s="9">
        <f>Table1[[#This Row], [ROOM TIME]]+Table1[[#This Row], [GUARD TIME]]</f>
        <v>70.964999999999975</v>
      </c>
      <c r="R1679" s="4">
        <f>Sheet1!$K$3*_xlfn.XLOOKUP(Table1[[#This Row], [DISGUISE]],Sheet1!$A$21:$A$23,Sheet1!$D$21:$D$23)</f>
        <v>69</v>
      </c>
      <c r="S1679" s="9">
        <f>Table1[[#This Row], [TOTAL TIME]]-Table1[[#This Row], [TOTAL TIME TAKEN]]</f>
        <v>-1.964999999999975</v>
      </c>
      <c r="T1679" t="str">
        <f>IF(Table1[[#This Row], [TIME DIFFERENCE]]&gt;=0,"PASS","FAIL")</f>
        <v>FAIL</v>
      </c>
      <c r="U1679" s="9">
        <f>Table1[[#This Row], [TRC]]+Table1[[#This Row], [DRC]]+Table1[[#This Row], [WRC]]+Table1[[#This Row], [ERC]]+Table1[[#This Row], [EQRC]]</f>
        <v>8159366.7249999996</v>
      </c>
      <c r="V1679" s="9">
        <f>Table1[[#This Row], [TOTAL COST]]+_xlfn.XLOOKUP(Table1[[#This Row], [TEAM]],Sheet1!$A$12:$A$17,Sheet1!$I$12:$I$17)</f>
        <v>8456014.2249999996</v>
      </c>
      <c r="W1679" s="9">
        <f>Table1[[#This Row], [LOOT]]-Table1[[#This Row], [TOTAL COST]]</f>
        <v>9690633.2750000004</v>
      </c>
      <c r="X1679" s="4">
        <f>IF(Table1[[#This Row], [PASS/FAIL]]="FAIL",0,Table1[[#This Row], [PROFIT]])</f>
        <v>0</v>
      </c>
    </row>
    <row r="1680" spans="1:24" ht="19.5" customHeight="1" x14ac:dyDescent="0.45">
      <c r="A1680" t="s">
        <v>15</v>
      </c>
      <c r="B1680" s="14">
        <f>_xlfn.XLOOKUP(Table1[[#This Row], [TEAM]],Sheet1!$A$12:$A$17,Sheet1!$F$12:$F$17)</f>
        <v>2</v>
      </c>
      <c r="C1680" s="14">
        <f>_xlfn.XLOOKUP(Table1[[#This Row], [TEAM]],Sheet1!$A$12:$A$17,Sheet1!$G$12:$G$17)</f>
        <v>5932950</v>
      </c>
      <c r="D1680" t="s">
        <v>10</v>
      </c>
      <c r="E1680" s="4">
        <f>_xlfn.XLOOKUP(Table1[[#This Row], [ROOM]],Sheet1!$A$47:$A$66,Sheet1!$B$47:$B$66)</f>
        <v>123</v>
      </c>
      <c r="F1680" t="s">
        <v>62</v>
      </c>
      <c r="G1680" s="4">
        <f>_xlfn.XLOOKUP(Table1[[#This Row], [DISGUISE]],Sheet1!$A$21:$A$23,Sheet1!$B$21:$B$23)*Table1[[#This Row], [NUM OF MEM]]*(1+_xlfn.XLOOKUP(Table1[[#This Row], [DISGUISE]],Sheet1!$A$21:$A$23,Sheet1!$C$21:$C$23))</f>
        <v>10400</v>
      </c>
      <c r="H1680" s="13" t="s">
        <v>63</v>
      </c>
      <c r="I1680" s="4">
        <f>_xlfn.XLOOKUP(Table1[[#This Row], [WEAPON]],Sheet1!$A$27:$A$29,Sheet1!$B$27:$B$29)*Table1[[#This Row], [NUM OF MEM]]*(1+_xlfn.XLOOKUP(Table1[[#This Row], [WEAPON]],Sheet1!$A$27:$A$29,Sheet1!$C$27:$C$29))</f>
        <v>46000</v>
      </c>
      <c r="J1680" t="s">
        <v>64</v>
      </c>
      <c r="K1680" s="9">
        <f>Table1[[#This Row], [NUM OF MEM]]*Table1[[#This Row], [TOTAL TIME TAKEN]]*_xlfn.XLOOKUP(Table1[[#This Row], [EXIT]],Sheet1!$A$70:$A$71,Sheet1!$B$70:$B$71)*(1+_xlfn.XLOOKUP(Table1[[#This Row], [EXIT]],Sheet1!$A$70:$A$71,Sheet1!$C$70:$C$71))</f>
        <v>1854964.7999999991</v>
      </c>
      <c r="L1680" s="13" t="s">
        <v>65</v>
      </c>
      <c r="M1680" s="4">
        <f>IF(Table1[[#This Row], [EQUIPMENT]]="YES",Sheet1!$C$44*(1+Sheet1!$D$44),0)</f>
        <v>307500</v>
      </c>
      <c r="N1680" s="4">
        <f>_xlfn.XLOOKUP(Table1[[#This Row], [ROOM]],Sheet1!$A$47:$A$66,Sheet1!$F$47:$F$66)</f>
        <v>17850000</v>
      </c>
      <c r="O1680" s="9">
        <f>_xlfn.XLOOKUP(_xlfn.CONCAT(Table1[[#This Row], [TEAM]],Table1[[#This Row], [ROOM]]),'ROOM TIME'!$H$2:$H$121,'ROOM TIME'!$J$2:$J$121)</f>
        <v>63.464999999999975</v>
      </c>
      <c r="P1680" s="9">
        <f>(INDEX(Sheet1!$X$48:$Z$67,MATCH(Table1[[#This Row], [ROOM]],Sheet1!$P$48:$P$67,0),MATCH(Table1[[#This Row], [WEAPON]],Sheet1!$X$47:$Z$47,0)))/Table1[[#This Row], [NUM OF MEM]]</f>
        <v>8.1000000000000014</v>
      </c>
      <c r="Q1680" s="9">
        <f>Table1[[#This Row], [ROOM TIME]]+Table1[[#This Row], [GUARD TIME]]</f>
        <v>71.564999999999969</v>
      </c>
      <c r="R1680" s="4">
        <f>Sheet1!$K$3*_xlfn.XLOOKUP(Table1[[#This Row], [DISGUISE]],Sheet1!$A$21:$A$23,Sheet1!$D$21:$D$23)</f>
        <v>66</v>
      </c>
      <c r="S1680" s="9">
        <f>Table1[[#This Row], [TOTAL TIME]]-Table1[[#This Row], [TOTAL TIME TAKEN]]</f>
        <v>-5.5649999999999693</v>
      </c>
      <c r="T1680" t="str">
        <f>IF(Table1[[#This Row], [TIME DIFFERENCE]]&gt;=0,"PASS","FAIL")</f>
        <v>FAIL</v>
      </c>
      <c r="U1680" s="9">
        <f>Table1[[#This Row], [TRC]]+Table1[[#This Row], [DRC]]+Table1[[#This Row], [WRC]]+Table1[[#This Row], [ERC]]+Table1[[#This Row], [EQRC]]</f>
        <v>8151814.7999999989</v>
      </c>
      <c r="V1680" s="9">
        <f>Table1[[#This Row], [TOTAL COST]]+_xlfn.XLOOKUP(Table1[[#This Row], [TEAM]],Sheet1!$A$12:$A$17,Sheet1!$I$12:$I$17)</f>
        <v>8448462.2999999989</v>
      </c>
      <c r="W1680" s="9">
        <f>Table1[[#This Row], [LOOT]]-Table1[[#This Row], [TOTAL COST]]</f>
        <v>9698185.2000000011</v>
      </c>
      <c r="X1680" s="4">
        <f>IF(Table1[[#This Row], [PASS/FAIL]]="FAIL",0,Table1[[#This Row], [PROFIT]])</f>
        <v>0</v>
      </c>
    </row>
    <row r="1681" spans="1:24" ht="19.5" customHeight="1" x14ac:dyDescent="0.45">
      <c r="A1681" t="s">
        <v>15</v>
      </c>
      <c r="B1681" s="14">
        <f>_xlfn.XLOOKUP(Table1[[#This Row], [TEAM]],Sheet1!$A$12:$A$17,Sheet1!$F$12:$F$17)</f>
        <v>2</v>
      </c>
      <c r="C1681" s="14">
        <f>_xlfn.XLOOKUP(Table1[[#This Row], [TEAM]],Sheet1!$A$12:$A$17,Sheet1!$G$12:$G$17)</f>
        <v>5932950</v>
      </c>
      <c r="D1681" t="s">
        <v>10</v>
      </c>
      <c r="E1681" s="4">
        <f>_xlfn.XLOOKUP(Table1[[#This Row], [ROOM]],Sheet1!$A$47:$A$66,Sheet1!$B$47:$B$66)</f>
        <v>123</v>
      </c>
      <c r="F1681" t="s">
        <v>62</v>
      </c>
      <c r="G1681" s="4">
        <f>_xlfn.XLOOKUP(Table1[[#This Row], [DISGUISE]],Sheet1!$A$21:$A$23,Sheet1!$B$21:$B$23)*Table1[[#This Row], [NUM OF MEM]]*(1+_xlfn.XLOOKUP(Table1[[#This Row], [DISGUISE]],Sheet1!$A$21:$A$23,Sheet1!$C$21:$C$23))</f>
        <v>10400</v>
      </c>
      <c r="H1681" s="13" t="s">
        <v>66</v>
      </c>
      <c r="I1681" s="4">
        <f>_xlfn.XLOOKUP(Table1[[#This Row], [WEAPON]],Sheet1!$A$27:$A$29,Sheet1!$B$27:$B$29)*Table1[[#This Row], [NUM OF MEM]]*(1+_xlfn.XLOOKUP(Table1[[#This Row], [WEAPON]],Sheet1!$A$27:$A$29,Sheet1!$C$27:$C$29))</f>
        <v>72000</v>
      </c>
      <c r="J1681" t="s">
        <v>64</v>
      </c>
      <c r="K1681" s="9">
        <f>Table1[[#This Row], [NUM OF MEM]]*Table1[[#This Row], [TOTAL TIME TAKEN]]*_xlfn.XLOOKUP(Table1[[#This Row], [EXIT]],Sheet1!$A$70:$A$71,Sheet1!$B$70:$B$71)*(1+_xlfn.XLOOKUP(Table1[[#This Row], [EXIT]],Sheet1!$A$70:$A$71,Sheet1!$C$70:$C$71))</f>
        <v>1839412.7999999993</v>
      </c>
      <c r="L1681" s="13" t="s">
        <v>65</v>
      </c>
      <c r="M1681" s="4">
        <f>IF(Table1[[#This Row], [EQUIPMENT]]="YES",Sheet1!$C$44*(1+Sheet1!$D$44),0)</f>
        <v>307500</v>
      </c>
      <c r="N1681" s="4">
        <f>_xlfn.XLOOKUP(Table1[[#This Row], [ROOM]],Sheet1!$A$47:$A$66,Sheet1!$F$47:$F$66)</f>
        <v>17850000</v>
      </c>
      <c r="O1681" s="9">
        <f>_xlfn.XLOOKUP(_xlfn.CONCAT(Table1[[#This Row], [TEAM]],Table1[[#This Row], [ROOM]]),'ROOM TIME'!$H$2:$H$121,'ROOM TIME'!$J$2:$J$121)</f>
        <v>63.464999999999975</v>
      </c>
      <c r="P1681" s="9">
        <f>(INDEX(Sheet1!$X$48:$Z$67,MATCH(Table1[[#This Row], [ROOM]],Sheet1!$P$48:$P$67,0),MATCH(Table1[[#This Row], [WEAPON]],Sheet1!$X$47:$Z$47,0)))/Table1[[#This Row], [NUM OF MEM]]</f>
        <v>7.5</v>
      </c>
      <c r="Q1681" s="9">
        <f>Table1[[#This Row], [ROOM TIME]]+Table1[[#This Row], [GUARD TIME]]</f>
        <v>70.964999999999975</v>
      </c>
      <c r="R1681" s="4">
        <f>Sheet1!$K$3*_xlfn.XLOOKUP(Table1[[#This Row], [DISGUISE]],Sheet1!$A$21:$A$23,Sheet1!$D$21:$D$23)</f>
        <v>66</v>
      </c>
      <c r="S1681" s="9">
        <f>Table1[[#This Row], [TOTAL TIME]]-Table1[[#This Row], [TOTAL TIME TAKEN]]</f>
        <v>-4.964999999999975</v>
      </c>
      <c r="T1681" t="str">
        <f>IF(Table1[[#This Row], [TIME DIFFERENCE]]&gt;=0,"PASS","FAIL")</f>
        <v>FAIL</v>
      </c>
      <c r="U1681" s="9">
        <f>Table1[[#This Row], [TRC]]+Table1[[#This Row], [DRC]]+Table1[[#This Row], [WRC]]+Table1[[#This Row], [ERC]]+Table1[[#This Row], [EQRC]]</f>
        <v>8162262.7999999989</v>
      </c>
      <c r="V1681" s="9">
        <f>Table1[[#This Row], [TOTAL COST]]+_xlfn.XLOOKUP(Table1[[#This Row], [TEAM]],Sheet1!$A$12:$A$17,Sheet1!$I$12:$I$17)</f>
        <v>8458910.2999999989</v>
      </c>
      <c r="W1681" s="9">
        <f>Table1[[#This Row], [LOOT]]-Table1[[#This Row], [TOTAL COST]]</f>
        <v>9687737.2000000011</v>
      </c>
      <c r="X1681" s="4">
        <f>IF(Table1[[#This Row], [PASS/FAIL]]="FAIL",0,Table1[[#This Row], [PROFIT]])</f>
        <v>0</v>
      </c>
    </row>
    <row r="1682" spans="1:24" ht="19.5" customHeight="1" x14ac:dyDescent="0.45">
      <c r="A1682" t="s">
        <v>15</v>
      </c>
      <c r="B1682" s="14">
        <f>_xlfn.XLOOKUP(Table1[[#This Row], [TEAM]],Sheet1!$A$12:$A$17,Sheet1!$F$12:$F$17)</f>
        <v>2</v>
      </c>
      <c r="C1682" s="14">
        <f>_xlfn.XLOOKUP(Table1[[#This Row], [TEAM]],Sheet1!$A$12:$A$17,Sheet1!$G$12:$G$17)</f>
        <v>5932950</v>
      </c>
      <c r="D1682" t="s">
        <v>10</v>
      </c>
      <c r="E1682" s="4">
        <f>_xlfn.XLOOKUP(Table1[[#This Row], [ROOM]],Sheet1!$A$47:$A$66,Sheet1!$B$47:$B$66)</f>
        <v>123</v>
      </c>
      <c r="F1682" t="s">
        <v>58</v>
      </c>
      <c r="G1682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2" s="13" t="s">
        <v>63</v>
      </c>
      <c r="I1682" s="4">
        <f>_xlfn.XLOOKUP(Table1[[#This Row], [WEAPON]],Sheet1!$A$27:$A$29,Sheet1!$B$27:$B$29)*Table1[[#This Row], [NUM OF MEM]]*(1+_xlfn.XLOOKUP(Table1[[#This Row], [WEAPON]],Sheet1!$A$27:$A$29,Sheet1!$C$27:$C$29))</f>
        <v>46000</v>
      </c>
      <c r="J1682" t="s">
        <v>64</v>
      </c>
      <c r="K1682" s="9">
        <f>Table1[[#This Row], [NUM OF MEM]]*Table1[[#This Row], [TOTAL TIME TAKEN]]*_xlfn.XLOOKUP(Table1[[#This Row], [EXIT]],Sheet1!$A$70:$A$71,Sheet1!$B$70:$B$71)*(1+_xlfn.XLOOKUP(Table1[[#This Row], [EXIT]],Sheet1!$A$70:$A$71,Sheet1!$C$70:$C$71))</f>
        <v>1854964.7999999991</v>
      </c>
      <c r="L1682" s="13" t="s">
        <v>65</v>
      </c>
      <c r="M1682" s="4">
        <f>IF(Table1[[#This Row], [EQUIPMENT]]="YES",Sheet1!$C$44*(1+Sheet1!$D$44),0)</f>
        <v>307500</v>
      </c>
      <c r="N1682" s="4">
        <f>_xlfn.XLOOKUP(Table1[[#This Row], [ROOM]],Sheet1!$A$47:$A$66,Sheet1!$F$47:$F$66)</f>
        <v>17850000</v>
      </c>
      <c r="O1682" s="9">
        <f>_xlfn.XLOOKUP(_xlfn.CONCAT(Table1[[#This Row], [TEAM]],Table1[[#This Row], [ROOM]]),'ROOM TIME'!$H$2:$H$121,'ROOM TIME'!$J$2:$J$121)</f>
        <v>63.464999999999975</v>
      </c>
      <c r="P1682" s="9">
        <f>(INDEX(Sheet1!$X$48:$Z$67,MATCH(Table1[[#This Row], [ROOM]],Sheet1!$P$48:$P$67,0),MATCH(Table1[[#This Row], [WEAPON]],Sheet1!$X$47:$Z$47,0)))/Table1[[#This Row], [NUM OF MEM]]</f>
        <v>8.1000000000000014</v>
      </c>
      <c r="Q1682" s="9">
        <f>Table1[[#This Row], [ROOM TIME]]+Table1[[#This Row], [GUARD TIME]]</f>
        <v>71.564999999999969</v>
      </c>
      <c r="R1682" s="4">
        <f>Sheet1!$K$3*_xlfn.XLOOKUP(Table1[[#This Row], [DISGUISE]],Sheet1!$A$21:$A$23,Sheet1!$D$21:$D$23)</f>
        <v>69</v>
      </c>
      <c r="S1682" s="9">
        <f>Table1[[#This Row], [TOTAL TIME]]-Table1[[#This Row], [TOTAL TIME TAKEN]]</f>
        <v>-2.5649999999999693</v>
      </c>
      <c r="T1682" t="str">
        <f>IF(Table1[[#This Row], [TIME DIFFERENCE]]&gt;=0,"PASS","FAIL")</f>
        <v>FAIL</v>
      </c>
      <c r="U1682" s="9">
        <f>Table1[[#This Row], [TRC]]+Table1[[#This Row], [DRC]]+Table1[[#This Row], [WRC]]+Table1[[#This Row], [ERC]]+Table1[[#This Row], [EQRC]]</f>
        <v>8167014.7999999989</v>
      </c>
      <c r="V1682" s="9">
        <f>Table1[[#This Row], [TOTAL COST]]+_xlfn.XLOOKUP(Table1[[#This Row], [TEAM]],Sheet1!$A$12:$A$17,Sheet1!$I$12:$I$17)</f>
        <v>8463662.2999999989</v>
      </c>
      <c r="W1682" s="9">
        <f>Table1[[#This Row], [LOOT]]-Table1[[#This Row], [TOTAL COST]]</f>
        <v>9682985.2000000011</v>
      </c>
      <c r="X1682" s="4">
        <f>IF(Table1[[#This Row], [PASS/FAIL]]="FAIL",0,Table1[[#This Row], [PROFIT]])</f>
        <v>0</v>
      </c>
    </row>
    <row r="1683" spans="1:24" ht="19.5" customHeight="1" x14ac:dyDescent="0.45">
      <c r="A1683" t="s">
        <v>15</v>
      </c>
      <c r="B1683" s="14">
        <f>_xlfn.XLOOKUP(Table1[[#This Row], [TEAM]],Sheet1!$A$12:$A$17,Sheet1!$F$12:$F$17)</f>
        <v>2</v>
      </c>
      <c r="C1683" s="14">
        <f>_xlfn.XLOOKUP(Table1[[#This Row], [TEAM]],Sheet1!$A$12:$A$17,Sheet1!$G$12:$G$17)</f>
        <v>5932950</v>
      </c>
      <c r="D1683" t="s">
        <v>10</v>
      </c>
      <c r="E1683" s="4">
        <f>_xlfn.XLOOKUP(Table1[[#This Row], [ROOM]],Sheet1!$A$47:$A$66,Sheet1!$B$47:$B$66)</f>
        <v>123</v>
      </c>
      <c r="F1683" t="s">
        <v>58</v>
      </c>
      <c r="G1683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3" s="13" t="s">
        <v>66</v>
      </c>
      <c r="I1683" s="4">
        <f>_xlfn.XLOOKUP(Table1[[#This Row], [WEAPON]],Sheet1!$A$27:$A$29,Sheet1!$B$27:$B$29)*Table1[[#This Row], [NUM OF MEM]]*(1+_xlfn.XLOOKUP(Table1[[#This Row], [WEAPON]],Sheet1!$A$27:$A$29,Sheet1!$C$27:$C$29))</f>
        <v>72000</v>
      </c>
      <c r="J1683" t="s">
        <v>64</v>
      </c>
      <c r="K1683" s="9">
        <f>Table1[[#This Row], [NUM OF MEM]]*Table1[[#This Row], [TOTAL TIME TAKEN]]*_xlfn.XLOOKUP(Table1[[#This Row], [EXIT]],Sheet1!$A$70:$A$71,Sheet1!$B$70:$B$71)*(1+_xlfn.XLOOKUP(Table1[[#This Row], [EXIT]],Sheet1!$A$70:$A$71,Sheet1!$C$70:$C$71))</f>
        <v>1839412.7999999993</v>
      </c>
      <c r="L1683" s="13" t="s">
        <v>65</v>
      </c>
      <c r="M1683" s="4">
        <f>IF(Table1[[#This Row], [EQUIPMENT]]="YES",Sheet1!$C$44*(1+Sheet1!$D$44),0)</f>
        <v>307500</v>
      </c>
      <c r="N1683" s="4">
        <f>_xlfn.XLOOKUP(Table1[[#This Row], [ROOM]],Sheet1!$A$47:$A$66,Sheet1!$F$47:$F$66)</f>
        <v>17850000</v>
      </c>
      <c r="O1683" s="9">
        <f>_xlfn.XLOOKUP(_xlfn.CONCAT(Table1[[#This Row], [TEAM]],Table1[[#This Row], [ROOM]]),'ROOM TIME'!$H$2:$H$121,'ROOM TIME'!$J$2:$J$121)</f>
        <v>63.464999999999975</v>
      </c>
      <c r="P1683" s="9">
        <f>(INDEX(Sheet1!$X$48:$Z$67,MATCH(Table1[[#This Row], [ROOM]],Sheet1!$P$48:$P$67,0),MATCH(Table1[[#This Row], [WEAPON]],Sheet1!$X$47:$Z$47,0)))/Table1[[#This Row], [NUM OF MEM]]</f>
        <v>7.5</v>
      </c>
      <c r="Q1683" s="9">
        <f>Table1[[#This Row], [ROOM TIME]]+Table1[[#This Row], [GUARD TIME]]</f>
        <v>70.964999999999975</v>
      </c>
      <c r="R1683" s="4">
        <f>Sheet1!$K$3*_xlfn.XLOOKUP(Table1[[#This Row], [DISGUISE]],Sheet1!$A$21:$A$23,Sheet1!$D$21:$D$23)</f>
        <v>69</v>
      </c>
      <c r="S1683" s="9">
        <f>Table1[[#This Row], [TOTAL TIME]]-Table1[[#This Row], [TOTAL TIME TAKEN]]</f>
        <v>-1.964999999999975</v>
      </c>
      <c r="T1683" t="str">
        <f>IF(Table1[[#This Row], [TIME DIFFERENCE]]&gt;=0,"PASS","FAIL")</f>
        <v>FAIL</v>
      </c>
      <c r="U1683" s="9">
        <f>Table1[[#This Row], [TRC]]+Table1[[#This Row], [DRC]]+Table1[[#This Row], [WRC]]+Table1[[#This Row], [ERC]]+Table1[[#This Row], [EQRC]]</f>
        <v>8177462.7999999989</v>
      </c>
      <c r="V1683" s="9">
        <f>Table1[[#This Row], [TOTAL COST]]+_xlfn.XLOOKUP(Table1[[#This Row], [TEAM]],Sheet1!$A$12:$A$17,Sheet1!$I$12:$I$17)</f>
        <v>8474110.2999999989</v>
      </c>
      <c r="W1683" s="9">
        <f>Table1[[#This Row], [LOOT]]-Table1[[#This Row], [TOTAL COST]]</f>
        <v>9672537.2000000011</v>
      </c>
      <c r="X1683" s="4">
        <f>IF(Table1[[#This Row], [PASS/FAIL]]="FAIL",0,Table1[[#This Row], [PROFIT]])</f>
        <v>0</v>
      </c>
    </row>
    <row r="1684" spans="1:24" ht="19.5" customHeight="1" x14ac:dyDescent="0.45">
      <c r="A1684" t="s">
        <v>16</v>
      </c>
      <c r="B1684" s="14">
        <f>_xlfn.XLOOKUP(Table1[[#This Row], [TEAM]],Sheet1!$A$12:$A$17,Sheet1!$F$12:$F$17)</f>
        <v>2</v>
      </c>
      <c r="C1684" s="14">
        <f>_xlfn.XLOOKUP(Table1[[#This Row], [TEAM]],Sheet1!$A$12:$A$17,Sheet1!$G$12:$G$17)</f>
        <v>6082800</v>
      </c>
      <c r="D1684" t="s">
        <v>10</v>
      </c>
      <c r="E1684" s="4">
        <f>_xlfn.XLOOKUP(Table1[[#This Row], [ROOM]],Sheet1!$A$47:$A$66,Sheet1!$B$47:$B$66)</f>
        <v>123</v>
      </c>
      <c r="F1684" t="s">
        <v>62</v>
      </c>
      <c r="G1684" s="4">
        <f>_xlfn.XLOOKUP(Table1[[#This Row], [DISGUISE]],Sheet1!$A$21:$A$23,Sheet1!$B$21:$B$23)*Table1[[#This Row], [NUM OF MEM]]*(1+_xlfn.XLOOKUP(Table1[[#This Row], [DISGUISE]],Sheet1!$A$21:$A$23,Sheet1!$C$21:$C$23))</f>
        <v>10400</v>
      </c>
      <c r="H1684" s="13" t="s">
        <v>59</v>
      </c>
      <c r="I1684" s="4">
        <f>_xlfn.XLOOKUP(Table1[[#This Row], [WEAPON]],Sheet1!$A$27:$A$29,Sheet1!$B$27:$B$29)*Table1[[#This Row], [NUM OF MEM]]*(1+_xlfn.XLOOKUP(Table1[[#This Row], [WEAPON]],Sheet1!$A$27:$A$29,Sheet1!$C$27:$C$29))</f>
        <v>91000</v>
      </c>
      <c r="J1684" t="s">
        <v>60</v>
      </c>
      <c r="K1684" s="9">
        <f>Table1[[#This Row], [NUM OF MEM]]*Table1[[#This Row], [TOTAL TIME TAKEN]]*_xlfn.XLOOKUP(Table1[[#This Row], [EXIT]],Sheet1!$A$70:$A$71,Sheet1!$B$70:$B$71)*(1+_xlfn.XLOOKUP(Table1[[#This Row], [EXIT]],Sheet1!$A$70:$A$71,Sheet1!$C$70:$C$71))</f>
        <v>1782177.5999999996</v>
      </c>
      <c r="L1684" s="13" t="s">
        <v>61</v>
      </c>
      <c r="M1684" s="4">
        <f>IF(Table1[[#This Row], [EQUIPMENT]]="YES",Sheet1!$C$44*(1+Sheet1!$D$44),0)</f>
        <v>0</v>
      </c>
      <c r="N1684" s="4">
        <f>_xlfn.XLOOKUP(Table1[[#This Row], [ROOM]],Sheet1!$A$47:$A$66,Sheet1!$F$47:$F$66)</f>
        <v>17850000</v>
      </c>
      <c r="O1684" s="9">
        <f>_xlfn.XLOOKUP(_xlfn.CONCAT(Table1[[#This Row], [TEAM]],Table1[[#This Row], [ROOM]]),'ROOM TIME'!$H$2:$H$121,'ROOM TIME'!$J$2:$J$121)</f>
        <v>62.539999999999985</v>
      </c>
      <c r="P1684" s="9">
        <f>(INDEX(Sheet1!$X$48:$Z$67,MATCH(Table1[[#This Row], [ROOM]],Sheet1!$P$48:$P$67,0),MATCH(Table1[[#This Row], [WEAPON]],Sheet1!$X$47:$Z$47,0)))/Table1[[#This Row], [NUM OF MEM]]</f>
        <v>6.8999999999999995</v>
      </c>
      <c r="Q1684" s="9">
        <f>Table1[[#This Row], [ROOM TIME]]+Table1[[#This Row], [GUARD TIME]]</f>
        <v>69.439999999999984</v>
      </c>
      <c r="R1684" s="4">
        <f>Sheet1!$K$3*_xlfn.XLOOKUP(Table1[[#This Row], [DISGUISE]],Sheet1!$A$21:$A$23,Sheet1!$D$21:$D$23)</f>
        <v>66</v>
      </c>
      <c r="S1684" s="9">
        <f>Table1[[#This Row], [TOTAL TIME]]-Table1[[#This Row], [TOTAL TIME TAKEN]]</f>
        <v>-3.4399999999999835</v>
      </c>
      <c r="T1684" t="str">
        <f>IF(Table1[[#This Row], [TIME DIFFERENCE]]&gt;=0,"PASS","FAIL")</f>
        <v>FAIL</v>
      </c>
      <c r="U1684" s="9">
        <f>Table1[[#This Row], [TRC]]+Table1[[#This Row], [DRC]]+Table1[[#This Row], [WRC]]+Table1[[#This Row], [ERC]]+Table1[[#This Row], [EQRC]]</f>
        <v>7966377.5999999996</v>
      </c>
      <c r="V1684" s="9">
        <f>Table1[[#This Row], [TOTAL COST]]+_xlfn.XLOOKUP(Table1[[#This Row], [TEAM]],Sheet1!$A$12:$A$17,Sheet1!$I$12:$I$17)</f>
        <v>8270517.5999999996</v>
      </c>
      <c r="W1684" s="9">
        <f>Table1[[#This Row], [LOOT]]-Table1[[#This Row], [TOTAL COST]]</f>
        <v>9883622.4000000004</v>
      </c>
      <c r="X1684" s="4">
        <f>IF(Table1[[#This Row], [PASS/FAIL]]="FAIL",0,Table1[[#This Row], [PROFIT]])</f>
        <v>0</v>
      </c>
    </row>
    <row r="1685" spans="1:24" ht="19.5" customHeight="1" x14ac:dyDescent="0.45">
      <c r="A1685" t="s">
        <v>16</v>
      </c>
      <c r="B1685" s="14">
        <f>_xlfn.XLOOKUP(Table1[[#This Row], [TEAM]],Sheet1!$A$12:$A$17,Sheet1!$F$12:$F$17)</f>
        <v>2</v>
      </c>
      <c r="C1685" s="14">
        <f>_xlfn.XLOOKUP(Table1[[#This Row], [TEAM]],Sheet1!$A$12:$A$17,Sheet1!$G$12:$G$17)</f>
        <v>6082800</v>
      </c>
      <c r="D1685" t="s">
        <v>10</v>
      </c>
      <c r="E1685" s="4">
        <f>_xlfn.XLOOKUP(Table1[[#This Row], [ROOM]],Sheet1!$A$47:$A$66,Sheet1!$B$47:$B$66)</f>
        <v>123</v>
      </c>
      <c r="F1685" t="s">
        <v>58</v>
      </c>
      <c r="G168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5" s="13" t="s">
        <v>59</v>
      </c>
      <c r="I1685" s="4">
        <f>_xlfn.XLOOKUP(Table1[[#This Row], [WEAPON]],Sheet1!$A$27:$A$29,Sheet1!$B$27:$B$29)*Table1[[#This Row], [NUM OF MEM]]*(1+_xlfn.XLOOKUP(Table1[[#This Row], [WEAPON]],Sheet1!$A$27:$A$29,Sheet1!$C$27:$C$29))</f>
        <v>91000</v>
      </c>
      <c r="J1685" t="s">
        <v>60</v>
      </c>
      <c r="K1685" s="9">
        <f>Table1[[#This Row], [NUM OF MEM]]*Table1[[#This Row], [TOTAL TIME TAKEN]]*_xlfn.XLOOKUP(Table1[[#This Row], [EXIT]],Sheet1!$A$70:$A$71,Sheet1!$B$70:$B$71)*(1+_xlfn.XLOOKUP(Table1[[#This Row], [EXIT]],Sheet1!$A$70:$A$71,Sheet1!$C$70:$C$71))</f>
        <v>1782177.5999999996</v>
      </c>
      <c r="L1685" s="13" t="s">
        <v>61</v>
      </c>
      <c r="M1685" s="4">
        <f>IF(Table1[[#This Row], [EQUIPMENT]]="YES",Sheet1!$C$44*(1+Sheet1!$D$44),0)</f>
        <v>0</v>
      </c>
      <c r="N1685" s="4">
        <f>_xlfn.XLOOKUP(Table1[[#This Row], [ROOM]],Sheet1!$A$47:$A$66,Sheet1!$F$47:$F$66)</f>
        <v>17850000</v>
      </c>
      <c r="O1685" s="9">
        <f>_xlfn.XLOOKUP(_xlfn.CONCAT(Table1[[#This Row], [TEAM]],Table1[[#This Row], [ROOM]]),'ROOM TIME'!$H$2:$H$121,'ROOM TIME'!$J$2:$J$121)</f>
        <v>62.539999999999985</v>
      </c>
      <c r="P1685" s="9">
        <f>(INDEX(Sheet1!$X$48:$Z$67,MATCH(Table1[[#This Row], [ROOM]],Sheet1!$P$48:$P$67,0),MATCH(Table1[[#This Row], [WEAPON]],Sheet1!$X$47:$Z$47,0)))/Table1[[#This Row], [NUM OF MEM]]</f>
        <v>6.8999999999999995</v>
      </c>
      <c r="Q1685" s="9">
        <f>Table1[[#This Row], [ROOM TIME]]+Table1[[#This Row], [GUARD TIME]]</f>
        <v>69.439999999999984</v>
      </c>
      <c r="R1685" s="4">
        <f>Sheet1!$K$3*_xlfn.XLOOKUP(Table1[[#This Row], [DISGUISE]],Sheet1!$A$21:$A$23,Sheet1!$D$21:$D$23)</f>
        <v>69</v>
      </c>
      <c r="S1685" s="9">
        <f>Table1[[#This Row], [TOTAL TIME]]-Table1[[#This Row], [TOTAL TIME TAKEN]]</f>
        <v>-0.43999999999998352</v>
      </c>
      <c r="T1685" t="str">
        <f>IF(Table1[[#This Row], [TIME DIFFERENCE]]&gt;=0,"PASS","FAIL")</f>
        <v>FAIL</v>
      </c>
      <c r="U1685" s="9">
        <f>Table1[[#This Row], [TRC]]+Table1[[#This Row], [DRC]]+Table1[[#This Row], [WRC]]+Table1[[#This Row], [ERC]]+Table1[[#This Row], [EQRC]]</f>
        <v>7981577.5999999996</v>
      </c>
      <c r="V1685" s="9">
        <f>Table1[[#This Row], [TOTAL COST]]+_xlfn.XLOOKUP(Table1[[#This Row], [TEAM]],Sheet1!$A$12:$A$17,Sheet1!$I$12:$I$17)</f>
        <v>8285717.5999999996</v>
      </c>
      <c r="W1685" s="9">
        <f>Table1[[#This Row], [LOOT]]-Table1[[#This Row], [TOTAL COST]]</f>
        <v>9868422.4000000004</v>
      </c>
      <c r="X1685" s="4">
        <f>IF(Table1[[#This Row], [PASS/FAIL]]="FAIL",0,Table1[[#This Row], [PROFIT]])</f>
        <v>0</v>
      </c>
    </row>
    <row r="1686" spans="1:24" ht="19.5" customHeight="1" x14ac:dyDescent="0.45">
      <c r="A1686" t="s">
        <v>16</v>
      </c>
      <c r="B1686" s="14">
        <f>_xlfn.XLOOKUP(Table1[[#This Row], [TEAM]],Sheet1!$A$12:$A$17,Sheet1!$F$12:$F$17)</f>
        <v>2</v>
      </c>
      <c r="C1686" s="14">
        <f>_xlfn.XLOOKUP(Table1[[#This Row], [TEAM]],Sheet1!$A$12:$A$17,Sheet1!$G$12:$G$17)</f>
        <v>6082800</v>
      </c>
      <c r="D1686" t="s">
        <v>10</v>
      </c>
      <c r="E1686" s="4">
        <f>_xlfn.XLOOKUP(Table1[[#This Row], [ROOM]],Sheet1!$A$47:$A$66,Sheet1!$B$47:$B$66)</f>
        <v>123</v>
      </c>
      <c r="F1686" t="s">
        <v>62</v>
      </c>
      <c r="G1686" s="4">
        <f>_xlfn.XLOOKUP(Table1[[#This Row], [DISGUISE]],Sheet1!$A$21:$A$23,Sheet1!$B$21:$B$23)*Table1[[#This Row], [NUM OF MEM]]*(1+_xlfn.XLOOKUP(Table1[[#This Row], [DISGUISE]],Sheet1!$A$21:$A$23,Sheet1!$C$21:$C$23))</f>
        <v>10400</v>
      </c>
      <c r="H1686" s="13" t="s">
        <v>59</v>
      </c>
      <c r="I1686" s="4">
        <f>_xlfn.XLOOKUP(Table1[[#This Row], [WEAPON]],Sheet1!$A$27:$A$29,Sheet1!$B$27:$B$29)*Table1[[#This Row], [NUM OF MEM]]*(1+_xlfn.XLOOKUP(Table1[[#This Row], [WEAPON]],Sheet1!$A$27:$A$29,Sheet1!$C$27:$C$29))</f>
        <v>91000</v>
      </c>
      <c r="J1686" t="s">
        <v>64</v>
      </c>
      <c r="K1686" s="9">
        <f>Table1[[#This Row], [NUM OF MEM]]*Table1[[#This Row], [TOTAL TIME TAKEN]]*_xlfn.XLOOKUP(Table1[[#This Row], [EXIT]],Sheet1!$A$70:$A$71,Sheet1!$B$70:$B$71)*(1+_xlfn.XLOOKUP(Table1[[#This Row], [EXIT]],Sheet1!$A$70:$A$71,Sheet1!$C$70:$C$71))</f>
        <v>1799884.7999999993</v>
      </c>
      <c r="L1686" s="13" t="s">
        <v>61</v>
      </c>
      <c r="M1686" s="4">
        <f>IF(Table1[[#This Row], [EQUIPMENT]]="YES",Sheet1!$C$44*(1+Sheet1!$D$44),0)</f>
        <v>0</v>
      </c>
      <c r="N1686" s="4">
        <f>_xlfn.XLOOKUP(Table1[[#This Row], [ROOM]],Sheet1!$A$47:$A$66,Sheet1!$F$47:$F$66)</f>
        <v>17850000</v>
      </c>
      <c r="O1686" s="9">
        <f>_xlfn.XLOOKUP(_xlfn.CONCAT(Table1[[#This Row], [TEAM]],Table1[[#This Row], [ROOM]]),'ROOM TIME'!$H$2:$H$121,'ROOM TIME'!$J$2:$J$121)</f>
        <v>62.539999999999985</v>
      </c>
      <c r="P1686" s="9">
        <f>(INDEX(Sheet1!$X$48:$Z$67,MATCH(Table1[[#This Row], [ROOM]],Sheet1!$P$48:$P$67,0),MATCH(Table1[[#This Row], [WEAPON]],Sheet1!$X$47:$Z$47,0)))/Table1[[#This Row], [NUM OF MEM]]</f>
        <v>6.8999999999999995</v>
      </c>
      <c r="Q1686" s="9">
        <f>Table1[[#This Row], [ROOM TIME]]+Table1[[#This Row], [GUARD TIME]]</f>
        <v>69.439999999999984</v>
      </c>
      <c r="R1686" s="4">
        <f>Sheet1!$K$3*_xlfn.XLOOKUP(Table1[[#This Row], [DISGUISE]],Sheet1!$A$21:$A$23,Sheet1!$D$21:$D$23)</f>
        <v>66</v>
      </c>
      <c r="S1686" s="9">
        <f>Table1[[#This Row], [TOTAL TIME]]-Table1[[#This Row], [TOTAL TIME TAKEN]]</f>
        <v>-3.4399999999999835</v>
      </c>
      <c r="T1686" t="str">
        <f>IF(Table1[[#This Row], [TIME DIFFERENCE]]&gt;=0,"PASS","FAIL")</f>
        <v>FAIL</v>
      </c>
      <c r="U1686" s="9">
        <f>Table1[[#This Row], [TRC]]+Table1[[#This Row], [DRC]]+Table1[[#This Row], [WRC]]+Table1[[#This Row], [ERC]]+Table1[[#This Row], [EQRC]]</f>
        <v>7984084.7999999989</v>
      </c>
      <c r="V1686" s="9">
        <f>Table1[[#This Row], [TOTAL COST]]+_xlfn.XLOOKUP(Table1[[#This Row], [TEAM]],Sheet1!$A$12:$A$17,Sheet1!$I$12:$I$17)</f>
        <v>8288224.7999999989</v>
      </c>
      <c r="W1686" s="9">
        <f>Table1[[#This Row], [LOOT]]-Table1[[#This Row], [TOTAL COST]]</f>
        <v>9865915.2000000011</v>
      </c>
      <c r="X1686" s="4">
        <f>IF(Table1[[#This Row], [PASS/FAIL]]="FAIL",0,Table1[[#This Row], [PROFIT]])</f>
        <v>0</v>
      </c>
    </row>
    <row r="1687" spans="1:24" ht="19.5" customHeight="1" x14ac:dyDescent="0.45">
      <c r="A1687" t="s">
        <v>16</v>
      </c>
      <c r="B1687" s="14">
        <f>_xlfn.XLOOKUP(Table1[[#This Row], [TEAM]],Sheet1!$A$12:$A$17,Sheet1!$F$12:$F$17)</f>
        <v>2</v>
      </c>
      <c r="C1687" s="14">
        <f>_xlfn.XLOOKUP(Table1[[#This Row], [TEAM]],Sheet1!$A$12:$A$17,Sheet1!$G$12:$G$17)</f>
        <v>6082800</v>
      </c>
      <c r="D1687" t="s">
        <v>10</v>
      </c>
      <c r="E1687" s="4">
        <f>_xlfn.XLOOKUP(Table1[[#This Row], [ROOM]],Sheet1!$A$47:$A$66,Sheet1!$B$47:$B$66)</f>
        <v>123</v>
      </c>
      <c r="F1687" t="s">
        <v>58</v>
      </c>
      <c r="G1687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7" s="13" t="s">
        <v>59</v>
      </c>
      <c r="I1687" s="4">
        <f>_xlfn.XLOOKUP(Table1[[#This Row], [WEAPON]],Sheet1!$A$27:$A$29,Sheet1!$B$27:$B$29)*Table1[[#This Row], [NUM OF MEM]]*(1+_xlfn.XLOOKUP(Table1[[#This Row], [WEAPON]],Sheet1!$A$27:$A$29,Sheet1!$C$27:$C$29))</f>
        <v>91000</v>
      </c>
      <c r="J1687" t="s">
        <v>64</v>
      </c>
      <c r="K1687" s="9">
        <f>Table1[[#This Row], [NUM OF MEM]]*Table1[[#This Row], [TOTAL TIME TAKEN]]*_xlfn.XLOOKUP(Table1[[#This Row], [EXIT]],Sheet1!$A$70:$A$71,Sheet1!$B$70:$B$71)*(1+_xlfn.XLOOKUP(Table1[[#This Row], [EXIT]],Sheet1!$A$70:$A$71,Sheet1!$C$70:$C$71))</f>
        <v>1799884.7999999993</v>
      </c>
      <c r="L1687" s="13" t="s">
        <v>61</v>
      </c>
      <c r="M1687" s="4">
        <f>IF(Table1[[#This Row], [EQUIPMENT]]="YES",Sheet1!$C$44*(1+Sheet1!$D$44),0)</f>
        <v>0</v>
      </c>
      <c r="N1687" s="4">
        <f>_xlfn.XLOOKUP(Table1[[#This Row], [ROOM]],Sheet1!$A$47:$A$66,Sheet1!$F$47:$F$66)</f>
        <v>17850000</v>
      </c>
      <c r="O1687" s="9">
        <f>_xlfn.XLOOKUP(_xlfn.CONCAT(Table1[[#This Row], [TEAM]],Table1[[#This Row], [ROOM]]),'ROOM TIME'!$H$2:$H$121,'ROOM TIME'!$J$2:$J$121)</f>
        <v>62.539999999999985</v>
      </c>
      <c r="P1687" s="9">
        <f>(INDEX(Sheet1!$X$48:$Z$67,MATCH(Table1[[#This Row], [ROOM]],Sheet1!$P$48:$P$67,0),MATCH(Table1[[#This Row], [WEAPON]],Sheet1!$X$47:$Z$47,0)))/Table1[[#This Row], [NUM OF MEM]]</f>
        <v>6.8999999999999995</v>
      </c>
      <c r="Q1687" s="9">
        <f>Table1[[#This Row], [ROOM TIME]]+Table1[[#This Row], [GUARD TIME]]</f>
        <v>69.439999999999984</v>
      </c>
      <c r="R1687" s="4">
        <f>Sheet1!$K$3*_xlfn.XLOOKUP(Table1[[#This Row], [DISGUISE]],Sheet1!$A$21:$A$23,Sheet1!$D$21:$D$23)</f>
        <v>69</v>
      </c>
      <c r="S1687" s="9">
        <f>Table1[[#This Row], [TOTAL TIME]]-Table1[[#This Row], [TOTAL TIME TAKEN]]</f>
        <v>-0.43999999999998352</v>
      </c>
      <c r="T1687" t="str">
        <f>IF(Table1[[#This Row], [TIME DIFFERENCE]]&gt;=0,"PASS","FAIL")</f>
        <v>FAIL</v>
      </c>
      <c r="U1687" s="9">
        <f>Table1[[#This Row], [TRC]]+Table1[[#This Row], [DRC]]+Table1[[#This Row], [WRC]]+Table1[[#This Row], [ERC]]+Table1[[#This Row], [EQRC]]</f>
        <v>7999284.7999999989</v>
      </c>
      <c r="V1687" s="9">
        <f>Table1[[#This Row], [TOTAL COST]]+_xlfn.XLOOKUP(Table1[[#This Row], [TEAM]],Sheet1!$A$12:$A$17,Sheet1!$I$12:$I$17)</f>
        <v>8303424.7999999989</v>
      </c>
      <c r="W1687" s="9">
        <f>Table1[[#This Row], [LOOT]]-Table1[[#This Row], [TOTAL COST]]</f>
        <v>9850715.2000000011</v>
      </c>
      <c r="X1687" s="4">
        <f>IF(Table1[[#This Row], [PASS/FAIL]]="FAIL",0,Table1[[#This Row], [PROFIT]])</f>
        <v>0</v>
      </c>
    </row>
    <row r="1688" spans="1:24" ht="19.5" customHeight="1" x14ac:dyDescent="0.45">
      <c r="A1688" t="s">
        <v>16</v>
      </c>
      <c r="B1688" s="14">
        <f>_xlfn.XLOOKUP(Table1[[#This Row], [TEAM]],Sheet1!$A$12:$A$17,Sheet1!$F$12:$F$17)</f>
        <v>2</v>
      </c>
      <c r="C1688" s="14">
        <f>_xlfn.XLOOKUP(Table1[[#This Row], [TEAM]],Sheet1!$A$12:$A$17,Sheet1!$G$12:$G$17)</f>
        <v>6082800</v>
      </c>
      <c r="D1688" t="s">
        <v>10</v>
      </c>
      <c r="E1688" s="4">
        <f>_xlfn.XLOOKUP(Table1[[#This Row], [ROOM]],Sheet1!$A$47:$A$66,Sheet1!$B$47:$B$66)</f>
        <v>123</v>
      </c>
      <c r="F1688" t="s">
        <v>62</v>
      </c>
      <c r="G1688" s="4">
        <f>_xlfn.XLOOKUP(Table1[[#This Row], [DISGUISE]],Sheet1!$A$21:$A$23,Sheet1!$B$21:$B$23)*Table1[[#This Row], [NUM OF MEM]]*(1+_xlfn.XLOOKUP(Table1[[#This Row], [DISGUISE]],Sheet1!$A$21:$A$23,Sheet1!$C$21:$C$23))</f>
        <v>10400</v>
      </c>
      <c r="H1688" s="13" t="s">
        <v>59</v>
      </c>
      <c r="I1688" s="4">
        <f>_xlfn.XLOOKUP(Table1[[#This Row], [WEAPON]],Sheet1!$A$27:$A$29,Sheet1!$B$27:$B$29)*Table1[[#This Row], [NUM OF MEM]]*(1+_xlfn.XLOOKUP(Table1[[#This Row], [WEAPON]],Sheet1!$A$27:$A$29,Sheet1!$C$27:$C$29))</f>
        <v>91000</v>
      </c>
      <c r="J1688" t="s">
        <v>60</v>
      </c>
      <c r="K1688" s="9">
        <f>Table1[[#This Row], [NUM OF MEM]]*Table1[[#This Row], [TOTAL TIME TAKEN]]*_xlfn.XLOOKUP(Table1[[#This Row], [EXIT]],Sheet1!$A$70:$A$71,Sheet1!$B$70:$B$71)*(1+_xlfn.XLOOKUP(Table1[[#This Row], [EXIT]],Sheet1!$A$70:$A$71,Sheet1!$C$70:$C$71))</f>
        <v>1782177.5999999996</v>
      </c>
      <c r="L1688" s="13" t="s">
        <v>65</v>
      </c>
      <c r="M1688" s="4">
        <f>IF(Table1[[#This Row], [EQUIPMENT]]="YES",Sheet1!$C$44*(1+Sheet1!$D$44),0)</f>
        <v>307500</v>
      </c>
      <c r="N1688" s="4">
        <f>_xlfn.XLOOKUP(Table1[[#This Row], [ROOM]],Sheet1!$A$47:$A$66,Sheet1!$F$47:$F$66)</f>
        <v>17850000</v>
      </c>
      <c r="O1688" s="9">
        <f>_xlfn.XLOOKUP(_xlfn.CONCAT(Table1[[#This Row], [TEAM]],Table1[[#This Row], [ROOM]]),'ROOM TIME'!$H$2:$H$121,'ROOM TIME'!$J$2:$J$121)</f>
        <v>62.539999999999985</v>
      </c>
      <c r="P1688" s="9">
        <f>(INDEX(Sheet1!$X$48:$Z$67,MATCH(Table1[[#This Row], [ROOM]],Sheet1!$P$48:$P$67,0),MATCH(Table1[[#This Row], [WEAPON]],Sheet1!$X$47:$Z$47,0)))/Table1[[#This Row], [NUM OF MEM]]</f>
        <v>6.8999999999999995</v>
      </c>
      <c r="Q1688" s="9">
        <f>Table1[[#This Row], [ROOM TIME]]+Table1[[#This Row], [GUARD TIME]]</f>
        <v>69.439999999999984</v>
      </c>
      <c r="R1688" s="4">
        <f>Sheet1!$K$3*_xlfn.XLOOKUP(Table1[[#This Row], [DISGUISE]],Sheet1!$A$21:$A$23,Sheet1!$D$21:$D$23)</f>
        <v>66</v>
      </c>
      <c r="S1688" s="9">
        <f>Table1[[#This Row], [TOTAL TIME]]-Table1[[#This Row], [TOTAL TIME TAKEN]]</f>
        <v>-3.4399999999999835</v>
      </c>
      <c r="T1688" t="str">
        <f>IF(Table1[[#This Row], [TIME DIFFERENCE]]&gt;=0,"PASS","FAIL")</f>
        <v>FAIL</v>
      </c>
      <c r="U1688" s="9">
        <f>Table1[[#This Row], [TRC]]+Table1[[#This Row], [DRC]]+Table1[[#This Row], [WRC]]+Table1[[#This Row], [ERC]]+Table1[[#This Row], [EQRC]]</f>
        <v>8273877.5999999996</v>
      </c>
      <c r="V1688" s="9">
        <f>Table1[[#This Row], [TOTAL COST]]+_xlfn.XLOOKUP(Table1[[#This Row], [TEAM]],Sheet1!$A$12:$A$17,Sheet1!$I$12:$I$17)</f>
        <v>8578017.5999999996</v>
      </c>
      <c r="W1688" s="9">
        <f>Table1[[#This Row], [LOOT]]-Table1[[#This Row], [TOTAL COST]]</f>
        <v>9576122.4000000004</v>
      </c>
      <c r="X1688" s="4">
        <f>IF(Table1[[#This Row], [PASS/FAIL]]="FAIL",0,Table1[[#This Row], [PROFIT]])</f>
        <v>0</v>
      </c>
    </row>
    <row r="1689" spans="1:24" ht="19.5" customHeight="1" x14ac:dyDescent="0.45">
      <c r="A1689" t="s">
        <v>16</v>
      </c>
      <c r="B1689" s="14">
        <f>_xlfn.XLOOKUP(Table1[[#This Row], [TEAM]],Sheet1!$A$12:$A$17,Sheet1!$F$12:$F$17)</f>
        <v>2</v>
      </c>
      <c r="C1689" s="14">
        <f>_xlfn.XLOOKUP(Table1[[#This Row], [TEAM]],Sheet1!$A$12:$A$17,Sheet1!$G$12:$G$17)</f>
        <v>6082800</v>
      </c>
      <c r="D1689" t="s">
        <v>10</v>
      </c>
      <c r="E1689" s="4">
        <f>_xlfn.XLOOKUP(Table1[[#This Row], [ROOM]],Sheet1!$A$47:$A$66,Sheet1!$B$47:$B$66)</f>
        <v>123</v>
      </c>
      <c r="F1689" t="s">
        <v>58</v>
      </c>
      <c r="G168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89" s="13" t="s">
        <v>59</v>
      </c>
      <c r="I1689" s="4">
        <f>_xlfn.XLOOKUP(Table1[[#This Row], [WEAPON]],Sheet1!$A$27:$A$29,Sheet1!$B$27:$B$29)*Table1[[#This Row], [NUM OF MEM]]*(1+_xlfn.XLOOKUP(Table1[[#This Row], [WEAPON]],Sheet1!$A$27:$A$29,Sheet1!$C$27:$C$29))</f>
        <v>91000</v>
      </c>
      <c r="J1689" t="s">
        <v>60</v>
      </c>
      <c r="K1689" s="9">
        <f>Table1[[#This Row], [NUM OF MEM]]*Table1[[#This Row], [TOTAL TIME TAKEN]]*_xlfn.XLOOKUP(Table1[[#This Row], [EXIT]],Sheet1!$A$70:$A$71,Sheet1!$B$70:$B$71)*(1+_xlfn.XLOOKUP(Table1[[#This Row], [EXIT]],Sheet1!$A$70:$A$71,Sheet1!$C$70:$C$71))</f>
        <v>1782177.5999999996</v>
      </c>
      <c r="L1689" s="13" t="s">
        <v>65</v>
      </c>
      <c r="M1689" s="4">
        <f>IF(Table1[[#This Row], [EQUIPMENT]]="YES",Sheet1!$C$44*(1+Sheet1!$D$44),0)</f>
        <v>307500</v>
      </c>
      <c r="N1689" s="4">
        <f>_xlfn.XLOOKUP(Table1[[#This Row], [ROOM]],Sheet1!$A$47:$A$66,Sheet1!$F$47:$F$66)</f>
        <v>17850000</v>
      </c>
      <c r="O1689" s="9">
        <f>_xlfn.XLOOKUP(_xlfn.CONCAT(Table1[[#This Row], [TEAM]],Table1[[#This Row], [ROOM]]),'ROOM TIME'!$H$2:$H$121,'ROOM TIME'!$J$2:$J$121)</f>
        <v>62.539999999999985</v>
      </c>
      <c r="P1689" s="9">
        <f>(INDEX(Sheet1!$X$48:$Z$67,MATCH(Table1[[#This Row], [ROOM]],Sheet1!$P$48:$P$67,0),MATCH(Table1[[#This Row], [WEAPON]],Sheet1!$X$47:$Z$47,0)))/Table1[[#This Row], [NUM OF MEM]]</f>
        <v>6.8999999999999995</v>
      </c>
      <c r="Q1689" s="9">
        <f>Table1[[#This Row], [ROOM TIME]]+Table1[[#This Row], [GUARD TIME]]</f>
        <v>69.439999999999984</v>
      </c>
      <c r="R1689" s="4">
        <f>Sheet1!$K$3*_xlfn.XLOOKUP(Table1[[#This Row], [DISGUISE]],Sheet1!$A$21:$A$23,Sheet1!$D$21:$D$23)</f>
        <v>69</v>
      </c>
      <c r="S1689" s="9">
        <f>Table1[[#This Row], [TOTAL TIME]]-Table1[[#This Row], [TOTAL TIME TAKEN]]</f>
        <v>-0.43999999999998352</v>
      </c>
      <c r="T1689" t="str">
        <f>IF(Table1[[#This Row], [TIME DIFFERENCE]]&gt;=0,"PASS","FAIL")</f>
        <v>FAIL</v>
      </c>
      <c r="U1689" s="9">
        <f>Table1[[#This Row], [TRC]]+Table1[[#This Row], [DRC]]+Table1[[#This Row], [WRC]]+Table1[[#This Row], [ERC]]+Table1[[#This Row], [EQRC]]</f>
        <v>8289077.5999999996</v>
      </c>
      <c r="V1689" s="9">
        <f>Table1[[#This Row], [TOTAL COST]]+_xlfn.XLOOKUP(Table1[[#This Row], [TEAM]],Sheet1!$A$12:$A$17,Sheet1!$I$12:$I$17)</f>
        <v>8593217.5999999996</v>
      </c>
      <c r="W1689" s="9">
        <f>Table1[[#This Row], [LOOT]]-Table1[[#This Row], [TOTAL COST]]</f>
        <v>9560922.4000000004</v>
      </c>
      <c r="X1689" s="4">
        <f>IF(Table1[[#This Row], [PASS/FAIL]]="FAIL",0,Table1[[#This Row], [PROFIT]])</f>
        <v>0</v>
      </c>
    </row>
    <row r="1690" spans="1:24" ht="19.5" customHeight="1" x14ac:dyDescent="0.45">
      <c r="A1690" t="s">
        <v>16</v>
      </c>
      <c r="B1690" s="14">
        <f>_xlfn.XLOOKUP(Table1[[#This Row], [TEAM]],Sheet1!$A$12:$A$17,Sheet1!$F$12:$F$17)</f>
        <v>2</v>
      </c>
      <c r="C1690" s="14">
        <f>_xlfn.XLOOKUP(Table1[[#This Row], [TEAM]],Sheet1!$A$12:$A$17,Sheet1!$G$12:$G$17)</f>
        <v>6082800</v>
      </c>
      <c r="D1690" t="s">
        <v>10</v>
      </c>
      <c r="E1690" s="4">
        <f>_xlfn.XLOOKUP(Table1[[#This Row], [ROOM]],Sheet1!$A$47:$A$66,Sheet1!$B$47:$B$66)</f>
        <v>123</v>
      </c>
      <c r="F1690" t="s">
        <v>62</v>
      </c>
      <c r="G1690" s="4">
        <f>_xlfn.XLOOKUP(Table1[[#This Row], [DISGUISE]],Sheet1!$A$21:$A$23,Sheet1!$B$21:$B$23)*Table1[[#This Row], [NUM OF MEM]]*(1+_xlfn.XLOOKUP(Table1[[#This Row], [DISGUISE]],Sheet1!$A$21:$A$23,Sheet1!$C$21:$C$23))</f>
        <v>10400</v>
      </c>
      <c r="H1690" s="13" t="s">
        <v>59</v>
      </c>
      <c r="I1690" s="4">
        <f>_xlfn.XLOOKUP(Table1[[#This Row], [WEAPON]],Sheet1!$A$27:$A$29,Sheet1!$B$27:$B$29)*Table1[[#This Row], [NUM OF MEM]]*(1+_xlfn.XLOOKUP(Table1[[#This Row], [WEAPON]],Sheet1!$A$27:$A$29,Sheet1!$C$27:$C$29))</f>
        <v>91000</v>
      </c>
      <c r="J1690" t="s">
        <v>64</v>
      </c>
      <c r="K1690" s="9">
        <f>Table1[[#This Row], [NUM OF MEM]]*Table1[[#This Row], [TOTAL TIME TAKEN]]*_xlfn.XLOOKUP(Table1[[#This Row], [EXIT]],Sheet1!$A$70:$A$71,Sheet1!$B$70:$B$71)*(1+_xlfn.XLOOKUP(Table1[[#This Row], [EXIT]],Sheet1!$A$70:$A$71,Sheet1!$C$70:$C$71))</f>
        <v>1799884.7999999993</v>
      </c>
      <c r="L1690" s="13" t="s">
        <v>65</v>
      </c>
      <c r="M1690" s="4">
        <f>IF(Table1[[#This Row], [EQUIPMENT]]="YES",Sheet1!$C$44*(1+Sheet1!$D$44),0)</f>
        <v>307500</v>
      </c>
      <c r="N1690" s="4">
        <f>_xlfn.XLOOKUP(Table1[[#This Row], [ROOM]],Sheet1!$A$47:$A$66,Sheet1!$F$47:$F$66)</f>
        <v>17850000</v>
      </c>
      <c r="O1690" s="9">
        <f>_xlfn.XLOOKUP(_xlfn.CONCAT(Table1[[#This Row], [TEAM]],Table1[[#This Row], [ROOM]]),'ROOM TIME'!$H$2:$H$121,'ROOM TIME'!$J$2:$J$121)</f>
        <v>62.539999999999985</v>
      </c>
      <c r="P1690" s="9">
        <f>(INDEX(Sheet1!$X$48:$Z$67,MATCH(Table1[[#This Row], [ROOM]],Sheet1!$P$48:$P$67,0),MATCH(Table1[[#This Row], [WEAPON]],Sheet1!$X$47:$Z$47,0)))/Table1[[#This Row], [NUM OF MEM]]</f>
        <v>6.8999999999999995</v>
      </c>
      <c r="Q1690" s="9">
        <f>Table1[[#This Row], [ROOM TIME]]+Table1[[#This Row], [GUARD TIME]]</f>
        <v>69.439999999999984</v>
      </c>
      <c r="R1690" s="4">
        <f>Sheet1!$K$3*_xlfn.XLOOKUP(Table1[[#This Row], [DISGUISE]],Sheet1!$A$21:$A$23,Sheet1!$D$21:$D$23)</f>
        <v>66</v>
      </c>
      <c r="S1690" s="9">
        <f>Table1[[#This Row], [TOTAL TIME]]-Table1[[#This Row], [TOTAL TIME TAKEN]]</f>
        <v>-3.4399999999999835</v>
      </c>
      <c r="T1690" t="str">
        <f>IF(Table1[[#This Row], [TIME DIFFERENCE]]&gt;=0,"PASS","FAIL")</f>
        <v>FAIL</v>
      </c>
      <c r="U1690" s="9">
        <f>Table1[[#This Row], [TRC]]+Table1[[#This Row], [DRC]]+Table1[[#This Row], [WRC]]+Table1[[#This Row], [ERC]]+Table1[[#This Row], [EQRC]]</f>
        <v>8291584.7999999989</v>
      </c>
      <c r="V1690" s="9">
        <f>Table1[[#This Row], [TOTAL COST]]+_xlfn.XLOOKUP(Table1[[#This Row], [TEAM]],Sheet1!$A$12:$A$17,Sheet1!$I$12:$I$17)</f>
        <v>8595724.7999999989</v>
      </c>
      <c r="W1690" s="9">
        <f>Table1[[#This Row], [LOOT]]-Table1[[#This Row], [TOTAL COST]]</f>
        <v>9558415.2000000011</v>
      </c>
      <c r="X1690" s="4">
        <f>IF(Table1[[#This Row], [PASS/FAIL]]="FAIL",0,Table1[[#This Row], [PROFIT]])</f>
        <v>0</v>
      </c>
    </row>
    <row r="1691" spans="1:24" ht="19.5" customHeight="1" x14ac:dyDescent="0.45">
      <c r="A1691" t="s">
        <v>16</v>
      </c>
      <c r="B1691" s="14">
        <f>_xlfn.XLOOKUP(Table1[[#This Row], [TEAM]],Sheet1!$A$12:$A$17,Sheet1!$F$12:$F$17)</f>
        <v>2</v>
      </c>
      <c r="C1691" s="14">
        <f>_xlfn.XLOOKUP(Table1[[#This Row], [TEAM]],Sheet1!$A$12:$A$17,Sheet1!$G$12:$G$17)</f>
        <v>6082800</v>
      </c>
      <c r="D1691" t="s">
        <v>10</v>
      </c>
      <c r="E1691" s="4">
        <f>_xlfn.XLOOKUP(Table1[[#This Row], [ROOM]],Sheet1!$A$47:$A$66,Sheet1!$B$47:$B$66)</f>
        <v>123</v>
      </c>
      <c r="F1691" t="s">
        <v>58</v>
      </c>
      <c r="G1691" s="4">
        <f>_xlfn.XLOOKUP(Table1[[#This Row], [DISGUISE]],Sheet1!$A$21:$A$23,Sheet1!$B$21:$B$23)*Table1[[#This Row], [NUM OF MEM]]*(1+_xlfn.XLOOKUP(Table1[[#This Row], [DISGUISE]],Sheet1!$A$21:$A$23,Sheet1!$C$21:$C$23))</f>
        <v>25600</v>
      </c>
      <c r="H1691" s="13" t="s">
        <v>59</v>
      </c>
      <c r="I1691" s="4">
        <f>_xlfn.XLOOKUP(Table1[[#This Row], [WEAPON]],Sheet1!$A$27:$A$29,Sheet1!$B$27:$B$29)*Table1[[#This Row], [NUM OF MEM]]*(1+_xlfn.XLOOKUP(Table1[[#This Row], [WEAPON]],Sheet1!$A$27:$A$29,Sheet1!$C$27:$C$29))</f>
        <v>91000</v>
      </c>
      <c r="J1691" t="s">
        <v>64</v>
      </c>
      <c r="K1691" s="9">
        <f>Table1[[#This Row], [NUM OF MEM]]*Table1[[#This Row], [TOTAL TIME TAKEN]]*_xlfn.XLOOKUP(Table1[[#This Row], [EXIT]],Sheet1!$A$70:$A$71,Sheet1!$B$70:$B$71)*(1+_xlfn.XLOOKUP(Table1[[#This Row], [EXIT]],Sheet1!$A$70:$A$71,Sheet1!$C$70:$C$71))</f>
        <v>1799884.7999999993</v>
      </c>
      <c r="L1691" s="13" t="s">
        <v>65</v>
      </c>
      <c r="M1691" s="4">
        <f>IF(Table1[[#This Row], [EQUIPMENT]]="YES",Sheet1!$C$44*(1+Sheet1!$D$44),0)</f>
        <v>307500</v>
      </c>
      <c r="N1691" s="4">
        <f>_xlfn.XLOOKUP(Table1[[#This Row], [ROOM]],Sheet1!$A$47:$A$66,Sheet1!$F$47:$F$66)</f>
        <v>17850000</v>
      </c>
      <c r="O1691" s="9">
        <f>_xlfn.XLOOKUP(_xlfn.CONCAT(Table1[[#This Row], [TEAM]],Table1[[#This Row], [ROOM]]),'ROOM TIME'!$H$2:$H$121,'ROOM TIME'!$J$2:$J$121)</f>
        <v>62.539999999999985</v>
      </c>
      <c r="P1691" s="9">
        <f>(INDEX(Sheet1!$X$48:$Z$67,MATCH(Table1[[#This Row], [ROOM]],Sheet1!$P$48:$P$67,0),MATCH(Table1[[#This Row], [WEAPON]],Sheet1!$X$47:$Z$47,0)))/Table1[[#This Row], [NUM OF MEM]]</f>
        <v>6.8999999999999995</v>
      </c>
      <c r="Q1691" s="9">
        <f>Table1[[#This Row], [ROOM TIME]]+Table1[[#This Row], [GUARD TIME]]</f>
        <v>69.439999999999984</v>
      </c>
      <c r="R1691" s="4">
        <f>Sheet1!$K$3*_xlfn.XLOOKUP(Table1[[#This Row], [DISGUISE]],Sheet1!$A$21:$A$23,Sheet1!$D$21:$D$23)</f>
        <v>69</v>
      </c>
      <c r="S1691" s="9">
        <f>Table1[[#This Row], [TOTAL TIME]]-Table1[[#This Row], [TOTAL TIME TAKEN]]</f>
        <v>-0.43999999999998352</v>
      </c>
      <c r="T1691" t="str">
        <f>IF(Table1[[#This Row], [TIME DIFFERENCE]]&gt;=0,"PASS","FAIL")</f>
        <v>FAIL</v>
      </c>
      <c r="U1691" s="9">
        <f>Table1[[#This Row], [TRC]]+Table1[[#This Row], [DRC]]+Table1[[#This Row], [WRC]]+Table1[[#This Row], [ERC]]+Table1[[#This Row], [EQRC]]</f>
        <v>8306784.7999999989</v>
      </c>
      <c r="V1691" s="9">
        <f>Table1[[#This Row], [TOTAL COST]]+_xlfn.XLOOKUP(Table1[[#This Row], [TEAM]],Sheet1!$A$12:$A$17,Sheet1!$I$12:$I$17)</f>
        <v>8610924.7999999989</v>
      </c>
      <c r="W1691" s="9">
        <f>Table1[[#This Row], [LOOT]]-Table1[[#This Row], [TOTAL COST]]</f>
        <v>9543215.2000000011</v>
      </c>
      <c r="X1691" s="4">
        <f>IF(Table1[[#This Row], [PASS/FAIL]]="FAIL",0,Table1[[#This Row], [PROFIT]])</f>
        <v>0</v>
      </c>
    </row>
    <row r="1692" spans="1:24" ht="19.5" customHeight="1" x14ac:dyDescent="0.45">
      <c r="A1692" t="s">
        <v>16</v>
      </c>
      <c r="B1692" s="14">
        <f>_xlfn.XLOOKUP(Table1[[#This Row], [TEAM]],Sheet1!$A$12:$A$17,Sheet1!$F$12:$F$17)</f>
        <v>2</v>
      </c>
      <c r="C1692" s="14">
        <f>_xlfn.XLOOKUP(Table1[[#This Row], [TEAM]],Sheet1!$A$12:$A$17,Sheet1!$G$12:$G$17)</f>
        <v>6082800</v>
      </c>
      <c r="D1692" t="s">
        <v>10</v>
      </c>
      <c r="E1692" s="4">
        <f>_xlfn.XLOOKUP(Table1[[#This Row], [ROOM]],Sheet1!$A$47:$A$66,Sheet1!$B$47:$B$66)</f>
        <v>123</v>
      </c>
      <c r="F1692" t="s">
        <v>62</v>
      </c>
      <c r="G1692" s="4">
        <f>_xlfn.XLOOKUP(Table1[[#This Row], [DISGUISE]],Sheet1!$A$21:$A$23,Sheet1!$B$21:$B$23)*Table1[[#This Row], [NUM OF MEM]]*(1+_xlfn.XLOOKUP(Table1[[#This Row], [DISGUISE]],Sheet1!$A$21:$A$23,Sheet1!$C$21:$C$23))</f>
        <v>10400</v>
      </c>
      <c r="H1692" s="13" t="s">
        <v>63</v>
      </c>
      <c r="I1692" s="4">
        <f>_xlfn.XLOOKUP(Table1[[#This Row], [WEAPON]],Sheet1!$A$27:$A$29,Sheet1!$B$27:$B$29)*Table1[[#This Row], [NUM OF MEM]]*(1+_xlfn.XLOOKUP(Table1[[#This Row], [WEAPON]],Sheet1!$A$27:$A$29,Sheet1!$C$27:$C$29))</f>
        <v>46000</v>
      </c>
      <c r="J1692" t="s">
        <v>60</v>
      </c>
      <c r="K1692" s="9">
        <f>Table1[[#This Row], [NUM OF MEM]]*Table1[[#This Row], [TOTAL TIME TAKEN]]*_xlfn.XLOOKUP(Table1[[#This Row], [EXIT]],Sheet1!$A$70:$A$71,Sheet1!$B$70:$B$71)*(1+_xlfn.XLOOKUP(Table1[[#This Row], [EXIT]],Sheet1!$A$70:$A$71,Sheet1!$C$70:$C$71))</f>
        <v>1812975.5999999996</v>
      </c>
      <c r="L1692" s="13" t="s">
        <v>61</v>
      </c>
      <c r="M1692" s="4">
        <f>IF(Table1[[#This Row], [EQUIPMENT]]="YES",Sheet1!$C$44*(1+Sheet1!$D$44),0)</f>
        <v>0</v>
      </c>
      <c r="N1692" s="4">
        <f>_xlfn.XLOOKUP(Table1[[#This Row], [ROOM]],Sheet1!$A$47:$A$66,Sheet1!$F$47:$F$66)</f>
        <v>17850000</v>
      </c>
      <c r="O1692" s="9">
        <f>_xlfn.XLOOKUP(_xlfn.CONCAT(Table1[[#This Row], [TEAM]],Table1[[#This Row], [ROOM]]),'ROOM TIME'!$H$2:$H$121,'ROOM TIME'!$J$2:$J$121)</f>
        <v>62.539999999999985</v>
      </c>
      <c r="P1692" s="9">
        <f>(INDEX(Sheet1!$X$48:$Z$67,MATCH(Table1[[#This Row], [ROOM]],Sheet1!$P$48:$P$67,0),MATCH(Table1[[#This Row], [WEAPON]],Sheet1!$X$47:$Z$47,0)))/Table1[[#This Row], [NUM OF MEM]]</f>
        <v>8.1000000000000014</v>
      </c>
      <c r="Q1692" s="9">
        <f>Table1[[#This Row], [ROOM TIME]]+Table1[[#This Row], [GUARD TIME]]</f>
        <v>70.639999999999986</v>
      </c>
      <c r="R1692" s="4">
        <f>Sheet1!$K$3*_xlfn.XLOOKUP(Table1[[#This Row], [DISGUISE]],Sheet1!$A$21:$A$23,Sheet1!$D$21:$D$23)</f>
        <v>66</v>
      </c>
      <c r="S1692" s="9">
        <f>Table1[[#This Row], [TOTAL TIME]]-Table1[[#This Row], [TOTAL TIME TAKEN]]</f>
        <v>-4.6399999999999864</v>
      </c>
      <c r="T1692" t="str">
        <f>IF(Table1[[#This Row], [TIME DIFFERENCE]]&gt;=0,"PASS","FAIL")</f>
        <v>FAIL</v>
      </c>
      <c r="U1692" s="9">
        <f>Table1[[#This Row], [TRC]]+Table1[[#This Row], [DRC]]+Table1[[#This Row], [WRC]]+Table1[[#This Row], [ERC]]+Table1[[#This Row], [EQRC]]</f>
        <v>7952175.5999999996</v>
      </c>
      <c r="V1692" s="9">
        <f>Table1[[#This Row], [TOTAL COST]]+_xlfn.XLOOKUP(Table1[[#This Row], [TEAM]],Sheet1!$A$12:$A$17,Sheet1!$I$12:$I$17)</f>
        <v>8256315.5999999996</v>
      </c>
      <c r="W1692" s="9">
        <f>Table1[[#This Row], [LOOT]]-Table1[[#This Row], [TOTAL COST]]</f>
        <v>9897824.4000000004</v>
      </c>
      <c r="X1692" s="4">
        <f>IF(Table1[[#This Row], [PASS/FAIL]]="FAIL",0,Table1[[#This Row], [PROFIT]])</f>
        <v>0</v>
      </c>
    </row>
    <row r="1693" spans="1:24" ht="19.5" customHeight="1" x14ac:dyDescent="0.45">
      <c r="A1693" t="s">
        <v>16</v>
      </c>
      <c r="B1693" s="14">
        <f>_xlfn.XLOOKUP(Table1[[#This Row], [TEAM]],Sheet1!$A$12:$A$17,Sheet1!$F$12:$F$17)</f>
        <v>2</v>
      </c>
      <c r="C1693" s="14">
        <f>_xlfn.XLOOKUP(Table1[[#This Row], [TEAM]],Sheet1!$A$12:$A$17,Sheet1!$G$12:$G$17)</f>
        <v>6082800</v>
      </c>
      <c r="D1693" t="s">
        <v>10</v>
      </c>
      <c r="E1693" s="4">
        <f>_xlfn.XLOOKUP(Table1[[#This Row], [ROOM]],Sheet1!$A$47:$A$66,Sheet1!$B$47:$B$66)</f>
        <v>123</v>
      </c>
      <c r="F1693" t="s">
        <v>62</v>
      </c>
      <c r="G1693" s="4">
        <f>_xlfn.XLOOKUP(Table1[[#This Row], [DISGUISE]],Sheet1!$A$21:$A$23,Sheet1!$B$21:$B$23)*Table1[[#This Row], [NUM OF MEM]]*(1+_xlfn.XLOOKUP(Table1[[#This Row], [DISGUISE]],Sheet1!$A$21:$A$23,Sheet1!$C$21:$C$23))</f>
        <v>10400</v>
      </c>
      <c r="H1693" s="13" t="s">
        <v>66</v>
      </c>
      <c r="I1693" s="4">
        <f>_xlfn.XLOOKUP(Table1[[#This Row], [WEAPON]],Sheet1!$A$27:$A$29,Sheet1!$B$27:$B$29)*Table1[[#This Row], [NUM OF MEM]]*(1+_xlfn.XLOOKUP(Table1[[#This Row], [WEAPON]],Sheet1!$A$27:$A$29,Sheet1!$C$27:$C$29))</f>
        <v>72000</v>
      </c>
      <c r="J1693" t="s">
        <v>60</v>
      </c>
      <c r="K1693" s="9">
        <f>Table1[[#This Row], [NUM OF MEM]]*Table1[[#This Row], [TOTAL TIME TAKEN]]*_xlfn.XLOOKUP(Table1[[#This Row], [EXIT]],Sheet1!$A$70:$A$71,Sheet1!$B$70:$B$71)*(1+_xlfn.XLOOKUP(Table1[[#This Row], [EXIT]],Sheet1!$A$70:$A$71,Sheet1!$C$70:$C$71))</f>
        <v>1797576.5999999996</v>
      </c>
      <c r="L1693" s="13" t="s">
        <v>61</v>
      </c>
      <c r="M1693" s="4">
        <f>IF(Table1[[#This Row], [EQUIPMENT]]="YES",Sheet1!$C$44*(1+Sheet1!$D$44),0)</f>
        <v>0</v>
      </c>
      <c r="N1693" s="4">
        <f>_xlfn.XLOOKUP(Table1[[#This Row], [ROOM]],Sheet1!$A$47:$A$66,Sheet1!$F$47:$F$66)</f>
        <v>17850000</v>
      </c>
      <c r="O1693" s="9">
        <f>_xlfn.XLOOKUP(_xlfn.CONCAT(Table1[[#This Row], [TEAM]],Table1[[#This Row], [ROOM]]),'ROOM TIME'!$H$2:$H$121,'ROOM TIME'!$J$2:$J$121)</f>
        <v>62.539999999999985</v>
      </c>
      <c r="P1693" s="9">
        <f>(INDEX(Sheet1!$X$48:$Z$67,MATCH(Table1[[#This Row], [ROOM]],Sheet1!$P$48:$P$67,0),MATCH(Table1[[#This Row], [WEAPON]],Sheet1!$X$47:$Z$47,0)))/Table1[[#This Row], [NUM OF MEM]]</f>
        <v>7.5</v>
      </c>
      <c r="Q1693" s="9">
        <f>Table1[[#This Row], [ROOM TIME]]+Table1[[#This Row], [GUARD TIME]]</f>
        <v>70.039999999999992</v>
      </c>
      <c r="R1693" s="4">
        <f>Sheet1!$K$3*_xlfn.XLOOKUP(Table1[[#This Row], [DISGUISE]],Sheet1!$A$21:$A$23,Sheet1!$D$21:$D$23)</f>
        <v>66</v>
      </c>
      <c r="S1693" s="9">
        <f>Table1[[#This Row], [TOTAL TIME]]-Table1[[#This Row], [TOTAL TIME TAKEN]]</f>
        <v>-4.039999999999992</v>
      </c>
      <c r="T1693" t="str">
        <f>IF(Table1[[#This Row], [TIME DIFFERENCE]]&gt;=0,"PASS","FAIL")</f>
        <v>FAIL</v>
      </c>
      <c r="U1693" s="9">
        <f>Table1[[#This Row], [TRC]]+Table1[[#This Row], [DRC]]+Table1[[#This Row], [WRC]]+Table1[[#This Row], [ERC]]+Table1[[#This Row], [EQRC]]</f>
        <v>7962776.5999999996</v>
      </c>
      <c r="V1693" s="9">
        <f>Table1[[#This Row], [TOTAL COST]]+_xlfn.XLOOKUP(Table1[[#This Row], [TEAM]],Sheet1!$A$12:$A$17,Sheet1!$I$12:$I$17)</f>
        <v>8266916.5999999996</v>
      </c>
      <c r="W1693" s="9">
        <f>Table1[[#This Row], [LOOT]]-Table1[[#This Row], [TOTAL COST]]</f>
        <v>9887223.4000000004</v>
      </c>
      <c r="X1693" s="4">
        <f>IF(Table1[[#This Row], [PASS/FAIL]]="FAIL",0,Table1[[#This Row], [PROFIT]])</f>
        <v>0</v>
      </c>
    </row>
    <row r="1694" spans="1:24" ht="19.5" customHeight="1" x14ac:dyDescent="0.45">
      <c r="A1694" t="s">
        <v>16</v>
      </c>
      <c r="B1694" s="14">
        <f>_xlfn.XLOOKUP(Table1[[#This Row], [TEAM]],Sheet1!$A$12:$A$17,Sheet1!$F$12:$F$17)</f>
        <v>2</v>
      </c>
      <c r="C1694" s="14">
        <f>_xlfn.XLOOKUP(Table1[[#This Row], [TEAM]],Sheet1!$A$12:$A$17,Sheet1!$G$12:$G$17)</f>
        <v>6082800</v>
      </c>
      <c r="D1694" t="s">
        <v>10</v>
      </c>
      <c r="E1694" s="4">
        <f>_xlfn.XLOOKUP(Table1[[#This Row], [ROOM]],Sheet1!$A$47:$A$66,Sheet1!$B$47:$B$66)</f>
        <v>123</v>
      </c>
      <c r="F1694" t="s">
        <v>58</v>
      </c>
      <c r="G1694" s="4">
        <f>_xlfn.XLOOKUP(Table1[[#This Row], [DISGUISE]],Sheet1!$A$21:$A$23,Sheet1!$B$21:$B$23)*Table1[[#This Row], [NUM OF MEM]]*(1+_xlfn.XLOOKUP(Table1[[#This Row], [DISGUISE]],Sheet1!$A$21:$A$23,Sheet1!$C$21:$C$23))</f>
        <v>25600</v>
      </c>
      <c r="H1694" s="13" t="s">
        <v>63</v>
      </c>
      <c r="I1694" s="4">
        <f>_xlfn.XLOOKUP(Table1[[#This Row], [WEAPON]],Sheet1!$A$27:$A$29,Sheet1!$B$27:$B$29)*Table1[[#This Row], [NUM OF MEM]]*(1+_xlfn.XLOOKUP(Table1[[#This Row], [WEAPON]],Sheet1!$A$27:$A$29,Sheet1!$C$27:$C$29))</f>
        <v>46000</v>
      </c>
      <c r="J1694" t="s">
        <v>60</v>
      </c>
      <c r="K1694" s="9">
        <f>Table1[[#This Row], [NUM OF MEM]]*Table1[[#This Row], [TOTAL TIME TAKEN]]*_xlfn.XLOOKUP(Table1[[#This Row], [EXIT]],Sheet1!$A$70:$A$71,Sheet1!$B$70:$B$71)*(1+_xlfn.XLOOKUP(Table1[[#This Row], [EXIT]],Sheet1!$A$70:$A$71,Sheet1!$C$70:$C$71))</f>
        <v>1812975.5999999996</v>
      </c>
      <c r="L1694" s="13" t="s">
        <v>61</v>
      </c>
      <c r="M1694" s="4">
        <f>IF(Table1[[#This Row], [EQUIPMENT]]="YES",Sheet1!$C$44*(1+Sheet1!$D$44),0)</f>
        <v>0</v>
      </c>
      <c r="N1694" s="4">
        <f>_xlfn.XLOOKUP(Table1[[#This Row], [ROOM]],Sheet1!$A$47:$A$66,Sheet1!$F$47:$F$66)</f>
        <v>17850000</v>
      </c>
      <c r="O1694" s="9">
        <f>_xlfn.XLOOKUP(_xlfn.CONCAT(Table1[[#This Row], [TEAM]],Table1[[#This Row], [ROOM]]),'ROOM TIME'!$H$2:$H$121,'ROOM TIME'!$J$2:$J$121)</f>
        <v>62.539999999999985</v>
      </c>
      <c r="P1694" s="9">
        <f>(INDEX(Sheet1!$X$48:$Z$67,MATCH(Table1[[#This Row], [ROOM]],Sheet1!$P$48:$P$67,0),MATCH(Table1[[#This Row], [WEAPON]],Sheet1!$X$47:$Z$47,0)))/Table1[[#This Row], [NUM OF MEM]]</f>
        <v>8.1000000000000014</v>
      </c>
      <c r="Q1694" s="9">
        <f>Table1[[#This Row], [ROOM TIME]]+Table1[[#This Row], [GUARD TIME]]</f>
        <v>70.639999999999986</v>
      </c>
      <c r="R1694" s="4">
        <f>Sheet1!$K$3*_xlfn.XLOOKUP(Table1[[#This Row], [DISGUISE]],Sheet1!$A$21:$A$23,Sheet1!$D$21:$D$23)</f>
        <v>69</v>
      </c>
      <c r="S1694" s="9">
        <f>Table1[[#This Row], [TOTAL TIME]]-Table1[[#This Row], [TOTAL TIME TAKEN]]</f>
        <v>-1.6399999999999864</v>
      </c>
      <c r="T1694" t="str">
        <f>IF(Table1[[#This Row], [TIME DIFFERENCE]]&gt;=0,"PASS","FAIL")</f>
        <v>FAIL</v>
      </c>
      <c r="U1694" s="9">
        <f>Table1[[#This Row], [TRC]]+Table1[[#This Row], [DRC]]+Table1[[#This Row], [WRC]]+Table1[[#This Row], [ERC]]+Table1[[#This Row], [EQRC]]</f>
        <v>7967375.5999999996</v>
      </c>
      <c r="V1694" s="9">
        <f>Table1[[#This Row], [TOTAL COST]]+_xlfn.XLOOKUP(Table1[[#This Row], [TEAM]],Sheet1!$A$12:$A$17,Sheet1!$I$12:$I$17)</f>
        <v>8271515.5999999996</v>
      </c>
      <c r="W1694" s="9">
        <f>Table1[[#This Row], [LOOT]]-Table1[[#This Row], [TOTAL COST]]</f>
        <v>9882624.4000000004</v>
      </c>
      <c r="X1694" s="4">
        <f>IF(Table1[[#This Row], [PASS/FAIL]]="FAIL",0,Table1[[#This Row], [PROFIT]])</f>
        <v>0</v>
      </c>
    </row>
    <row r="1695" spans="1:24" ht="19.5" customHeight="1" x14ac:dyDescent="0.45">
      <c r="A1695" t="s">
        <v>16</v>
      </c>
      <c r="B1695" s="14">
        <f>_xlfn.XLOOKUP(Table1[[#This Row], [TEAM]],Sheet1!$A$12:$A$17,Sheet1!$F$12:$F$17)</f>
        <v>2</v>
      </c>
      <c r="C1695" s="14">
        <f>_xlfn.XLOOKUP(Table1[[#This Row], [TEAM]],Sheet1!$A$12:$A$17,Sheet1!$G$12:$G$17)</f>
        <v>6082800</v>
      </c>
      <c r="D1695" t="s">
        <v>10</v>
      </c>
      <c r="E1695" s="4">
        <f>_xlfn.XLOOKUP(Table1[[#This Row], [ROOM]],Sheet1!$A$47:$A$66,Sheet1!$B$47:$B$66)</f>
        <v>123</v>
      </c>
      <c r="F1695" t="s">
        <v>58</v>
      </c>
      <c r="G1695" s="4">
        <f>_xlfn.XLOOKUP(Table1[[#This Row], [DISGUISE]],Sheet1!$A$21:$A$23,Sheet1!$B$21:$B$23)*Table1[[#This Row], [NUM OF MEM]]*(1+_xlfn.XLOOKUP(Table1[[#This Row], [DISGUISE]],Sheet1!$A$21:$A$23,Sheet1!$C$21:$C$23))</f>
        <v>25600</v>
      </c>
      <c r="H1695" s="13" t="s">
        <v>66</v>
      </c>
      <c r="I1695" s="4">
        <f>_xlfn.XLOOKUP(Table1[[#This Row], [WEAPON]],Sheet1!$A$27:$A$29,Sheet1!$B$27:$B$29)*Table1[[#This Row], [NUM OF MEM]]*(1+_xlfn.XLOOKUP(Table1[[#This Row], [WEAPON]],Sheet1!$A$27:$A$29,Sheet1!$C$27:$C$29))</f>
        <v>72000</v>
      </c>
      <c r="J1695" t="s">
        <v>60</v>
      </c>
      <c r="K1695" s="9">
        <f>Table1[[#This Row], [NUM OF MEM]]*Table1[[#This Row], [TOTAL TIME TAKEN]]*_xlfn.XLOOKUP(Table1[[#This Row], [EXIT]],Sheet1!$A$70:$A$71,Sheet1!$B$70:$B$71)*(1+_xlfn.XLOOKUP(Table1[[#This Row], [EXIT]],Sheet1!$A$70:$A$71,Sheet1!$C$70:$C$71))</f>
        <v>1797576.5999999996</v>
      </c>
      <c r="L1695" s="13" t="s">
        <v>61</v>
      </c>
      <c r="M1695" s="4">
        <f>IF(Table1[[#This Row], [EQUIPMENT]]="YES",Sheet1!$C$44*(1+Sheet1!$D$44),0)</f>
        <v>0</v>
      </c>
      <c r="N1695" s="4">
        <f>_xlfn.XLOOKUP(Table1[[#This Row], [ROOM]],Sheet1!$A$47:$A$66,Sheet1!$F$47:$F$66)</f>
        <v>17850000</v>
      </c>
      <c r="O1695" s="9">
        <f>_xlfn.XLOOKUP(_xlfn.CONCAT(Table1[[#This Row], [TEAM]],Table1[[#This Row], [ROOM]]),'ROOM TIME'!$H$2:$H$121,'ROOM TIME'!$J$2:$J$121)</f>
        <v>62.539999999999985</v>
      </c>
      <c r="P1695" s="9">
        <f>(INDEX(Sheet1!$X$48:$Z$67,MATCH(Table1[[#This Row], [ROOM]],Sheet1!$P$48:$P$67,0),MATCH(Table1[[#This Row], [WEAPON]],Sheet1!$X$47:$Z$47,0)))/Table1[[#This Row], [NUM OF MEM]]</f>
        <v>7.5</v>
      </c>
      <c r="Q1695" s="9">
        <f>Table1[[#This Row], [ROOM TIME]]+Table1[[#This Row], [GUARD TIME]]</f>
        <v>70.039999999999992</v>
      </c>
      <c r="R1695" s="4">
        <f>Sheet1!$K$3*_xlfn.XLOOKUP(Table1[[#This Row], [DISGUISE]],Sheet1!$A$21:$A$23,Sheet1!$D$21:$D$23)</f>
        <v>69</v>
      </c>
      <c r="S1695" s="9">
        <f>Table1[[#This Row], [TOTAL TIME]]-Table1[[#This Row], [TOTAL TIME TAKEN]]</f>
        <v>-1.039999999999992</v>
      </c>
      <c r="T1695" t="str">
        <f>IF(Table1[[#This Row], [TIME DIFFERENCE]]&gt;=0,"PASS","FAIL")</f>
        <v>FAIL</v>
      </c>
      <c r="U1695" s="9">
        <f>Table1[[#This Row], [TRC]]+Table1[[#This Row], [DRC]]+Table1[[#This Row], [WRC]]+Table1[[#This Row], [ERC]]+Table1[[#This Row], [EQRC]]</f>
        <v>7977976.5999999996</v>
      </c>
      <c r="V1695" s="9">
        <f>Table1[[#This Row], [TOTAL COST]]+_xlfn.XLOOKUP(Table1[[#This Row], [TEAM]],Sheet1!$A$12:$A$17,Sheet1!$I$12:$I$17)</f>
        <v>8282116.5999999996</v>
      </c>
      <c r="W1695" s="9">
        <f>Table1[[#This Row], [LOOT]]-Table1[[#This Row], [TOTAL COST]]</f>
        <v>9872023.4000000004</v>
      </c>
      <c r="X1695" s="4">
        <f>IF(Table1[[#This Row], [PASS/FAIL]]="FAIL",0,Table1[[#This Row], [PROFIT]])</f>
        <v>0</v>
      </c>
    </row>
    <row r="1696" spans="1:24" ht="19.5" customHeight="1" x14ac:dyDescent="0.45">
      <c r="A1696" t="s">
        <v>16</v>
      </c>
      <c r="B1696" s="14">
        <f>_xlfn.XLOOKUP(Table1[[#This Row], [TEAM]],Sheet1!$A$12:$A$17,Sheet1!$F$12:$F$17)</f>
        <v>2</v>
      </c>
      <c r="C1696" s="14">
        <f>_xlfn.XLOOKUP(Table1[[#This Row], [TEAM]],Sheet1!$A$12:$A$17,Sheet1!$G$12:$G$17)</f>
        <v>6082800</v>
      </c>
      <c r="D1696" t="s">
        <v>10</v>
      </c>
      <c r="E1696" s="4">
        <f>_xlfn.XLOOKUP(Table1[[#This Row], [ROOM]],Sheet1!$A$47:$A$66,Sheet1!$B$47:$B$66)</f>
        <v>123</v>
      </c>
      <c r="F1696" t="s">
        <v>62</v>
      </c>
      <c r="G1696" s="4">
        <f>_xlfn.XLOOKUP(Table1[[#This Row], [DISGUISE]],Sheet1!$A$21:$A$23,Sheet1!$B$21:$B$23)*Table1[[#This Row], [NUM OF MEM]]*(1+_xlfn.XLOOKUP(Table1[[#This Row], [DISGUISE]],Sheet1!$A$21:$A$23,Sheet1!$C$21:$C$23))</f>
        <v>10400</v>
      </c>
      <c r="H1696" s="13" t="s">
        <v>63</v>
      </c>
      <c r="I1696" s="4">
        <f>_xlfn.XLOOKUP(Table1[[#This Row], [WEAPON]],Sheet1!$A$27:$A$29,Sheet1!$B$27:$B$29)*Table1[[#This Row], [NUM OF MEM]]*(1+_xlfn.XLOOKUP(Table1[[#This Row], [WEAPON]],Sheet1!$A$27:$A$29,Sheet1!$C$27:$C$29))</f>
        <v>46000</v>
      </c>
      <c r="J1696" t="s">
        <v>64</v>
      </c>
      <c r="K1696" s="9">
        <f>Table1[[#This Row], [NUM OF MEM]]*Table1[[#This Row], [TOTAL TIME TAKEN]]*_xlfn.XLOOKUP(Table1[[#This Row], [EXIT]],Sheet1!$A$70:$A$71,Sheet1!$B$70:$B$71)*(1+_xlfn.XLOOKUP(Table1[[#This Row], [EXIT]],Sheet1!$A$70:$A$71,Sheet1!$C$70:$C$71))</f>
        <v>1830988.7999999996</v>
      </c>
      <c r="L1696" s="13" t="s">
        <v>61</v>
      </c>
      <c r="M1696" s="4">
        <f>IF(Table1[[#This Row], [EQUIPMENT]]="YES",Sheet1!$C$44*(1+Sheet1!$D$44),0)</f>
        <v>0</v>
      </c>
      <c r="N1696" s="4">
        <f>_xlfn.XLOOKUP(Table1[[#This Row], [ROOM]],Sheet1!$A$47:$A$66,Sheet1!$F$47:$F$66)</f>
        <v>17850000</v>
      </c>
      <c r="O1696" s="9">
        <f>_xlfn.XLOOKUP(_xlfn.CONCAT(Table1[[#This Row], [TEAM]],Table1[[#This Row], [ROOM]]),'ROOM TIME'!$H$2:$H$121,'ROOM TIME'!$J$2:$J$121)</f>
        <v>62.539999999999985</v>
      </c>
      <c r="P1696" s="9">
        <f>(INDEX(Sheet1!$X$48:$Z$67,MATCH(Table1[[#This Row], [ROOM]],Sheet1!$P$48:$P$67,0),MATCH(Table1[[#This Row], [WEAPON]],Sheet1!$X$47:$Z$47,0)))/Table1[[#This Row], [NUM OF MEM]]</f>
        <v>8.1000000000000014</v>
      </c>
      <c r="Q1696" s="9">
        <f>Table1[[#This Row], [ROOM TIME]]+Table1[[#This Row], [GUARD TIME]]</f>
        <v>70.639999999999986</v>
      </c>
      <c r="R1696" s="4">
        <f>Sheet1!$K$3*_xlfn.XLOOKUP(Table1[[#This Row], [DISGUISE]],Sheet1!$A$21:$A$23,Sheet1!$D$21:$D$23)</f>
        <v>66</v>
      </c>
      <c r="S1696" s="9">
        <f>Table1[[#This Row], [TOTAL TIME]]-Table1[[#This Row], [TOTAL TIME TAKEN]]</f>
        <v>-4.6399999999999864</v>
      </c>
      <c r="T1696" t="str">
        <f>IF(Table1[[#This Row], [TIME DIFFERENCE]]&gt;=0,"PASS","FAIL")</f>
        <v>FAIL</v>
      </c>
      <c r="U1696" s="9">
        <f>Table1[[#This Row], [TRC]]+Table1[[#This Row], [DRC]]+Table1[[#This Row], [WRC]]+Table1[[#This Row], [ERC]]+Table1[[#This Row], [EQRC]]</f>
        <v>7970188.7999999998</v>
      </c>
      <c r="V1696" s="9">
        <f>Table1[[#This Row], [TOTAL COST]]+_xlfn.XLOOKUP(Table1[[#This Row], [TEAM]],Sheet1!$A$12:$A$17,Sheet1!$I$12:$I$17)</f>
        <v>8274328.7999999998</v>
      </c>
      <c r="W1696" s="9">
        <f>Table1[[#This Row], [LOOT]]-Table1[[#This Row], [TOTAL COST]]</f>
        <v>9879811.1999999993</v>
      </c>
      <c r="X1696" s="4">
        <f>IF(Table1[[#This Row], [PASS/FAIL]]="FAIL",0,Table1[[#This Row], [PROFIT]])</f>
        <v>0</v>
      </c>
    </row>
    <row r="1697" spans="1:24" ht="19.5" customHeight="1" x14ac:dyDescent="0.45">
      <c r="A1697" t="s">
        <v>16</v>
      </c>
      <c r="B1697" s="14">
        <f>_xlfn.XLOOKUP(Table1[[#This Row], [TEAM]],Sheet1!$A$12:$A$17,Sheet1!$F$12:$F$17)</f>
        <v>2</v>
      </c>
      <c r="C1697" s="14">
        <f>_xlfn.XLOOKUP(Table1[[#This Row], [TEAM]],Sheet1!$A$12:$A$17,Sheet1!$G$12:$G$17)</f>
        <v>6082800</v>
      </c>
      <c r="D1697" t="s">
        <v>10</v>
      </c>
      <c r="E1697" s="4">
        <f>_xlfn.XLOOKUP(Table1[[#This Row], [ROOM]],Sheet1!$A$47:$A$66,Sheet1!$B$47:$B$66)</f>
        <v>123</v>
      </c>
      <c r="F1697" t="s">
        <v>62</v>
      </c>
      <c r="G1697" s="4">
        <f>_xlfn.XLOOKUP(Table1[[#This Row], [DISGUISE]],Sheet1!$A$21:$A$23,Sheet1!$B$21:$B$23)*Table1[[#This Row], [NUM OF MEM]]*(1+_xlfn.XLOOKUP(Table1[[#This Row], [DISGUISE]],Sheet1!$A$21:$A$23,Sheet1!$C$21:$C$23))</f>
        <v>10400</v>
      </c>
      <c r="H1697" s="13" t="s">
        <v>66</v>
      </c>
      <c r="I1697" s="4">
        <f>_xlfn.XLOOKUP(Table1[[#This Row], [WEAPON]],Sheet1!$A$27:$A$29,Sheet1!$B$27:$B$29)*Table1[[#This Row], [NUM OF MEM]]*(1+_xlfn.XLOOKUP(Table1[[#This Row], [WEAPON]],Sheet1!$A$27:$A$29,Sheet1!$C$27:$C$29))</f>
        <v>72000</v>
      </c>
      <c r="J1697" t="s">
        <v>64</v>
      </c>
      <c r="K1697" s="9">
        <f>Table1[[#This Row], [NUM OF MEM]]*Table1[[#This Row], [TOTAL TIME TAKEN]]*_xlfn.XLOOKUP(Table1[[#This Row], [EXIT]],Sheet1!$A$70:$A$71,Sheet1!$B$70:$B$71)*(1+_xlfn.XLOOKUP(Table1[[#This Row], [EXIT]],Sheet1!$A$70:$A$71,Sheet1!$C$70:$C$71))</f>
        <v>1815436.7999999996</v>
      </c>
      <c r="L1697" s="13" t="s">
        <v>61</v>
      </c>
      <c r="M1697" s="4">
        <f>IF(Table1[[#This Row], [EQUIPMENT]]="YES",Sheet1!$C$44*(1+Sheet1!$D$44),0)</f>
        <v>0</v>
      </c>
      <c r="N1697" s="4">
        <f>_xlfn.XLOOKUP(Table1[[#This Row], [ROOM]],Sheet1!$A$47:$A$66,Sheet1!$F$47:$F$66)</f>
        <v>17850000</v>
      </c>
      <c r="O1697" s="9">
        <f>_xlfn.XLOOKUP(_xlfn.CONCAT(Table1[[#This Row], [TEAM]],Table1[[#This Row], [ROOM]]),'ROOM TIME'!$H$2:$H$121,'ROOM TIME'!$J$2:$J$121)</f>
        <v>62.539999999999985</v>
      </c>
      <c r="P1697" s="9">
        <f>(INDEX(Sheet1!$X$48:$Z$67,MATCH(Table1[[#This Row], [ROOM]],Sheet1!$P$48:$P$67,0),MATCH(Table1[[#This Row], [WEAPON]],Sheet1!$X$47:$Z$47,0)))/Table1[[#This Row], [NUM OF MEM]]</f>
        <v>7.5</v>
      </c>
      <c r="Q1697" s="9">
        <f>Table1[[#This Row], [ROOM TIME]]+Table1[[#This Row], [GUARD TIME]]</f>
        <v>70.039999999999992</v>
      </c>
      <c r="R1697" s="4">
        <f>Sheet1!$K$3*_xlfn.XLOOKUP(Table1[[#This Row], [DISGUISE]],Sheet1!$A$21:$A$23,Sheet1!$D$21:$D$23)</f>
        <v>66</v>
      </c>
      <c r="S1697" s="9">
        <f>Table1[[#This Row], [TOTAL TIME]]-Table1[[#This Row], [TOTAL TIME TAKEN]]</f>
        <v>-4.039999999999992</v>
      </c>
      <c r="T1697" t="str">
        <f>IF(Table1[[#This Row], [TIME DIFFERENCE]]&gt;=0,"PASS","FAIL")</f>
        <v>FAIL</v>
      </c>
      <c r="U1697" s="9">
        <f>Table1[[#This Row], [TRC]]+Table1[[#This Row], [DRC]]+Table1[[#This Row], [WRC]]+Table1[[#This Row], [ERC]]+Table1[[#This Row], [EQRC]]</f>
        <v>7980636.7999999998</v>
      </c>
      <c r="V1697" s="9">
        <f>Table1[[#This Row], [TOTAL COST]]+_xlfn.XLOOKUP(Table1[[#This Row], [TEAM]],Sheet1!$A$12:$A$17,Sheet1!$I$12:$I$17)</f>
        <v>8284776.7999999998</v>
      </c>
      <c r="W1697" s="9">
        <f>Table1[[#This Row], [LOOT]]-Table1[[#This Row], [TOTAL COST]]</f>
        <v>9869363.1999999993</v>
      </c>
      <c r="X1697" s="4">
        <f>IF(Table1[[#This Row], [PASS/FAIL]]="FAIL",0,Table1[[#This Row], [PROFIT]])</f>
        <v>0</v>
      </c>
    </row>
    <row r="1698" spans="1:24" ht="19.5" customHeight="1" x14ac:dyDescent="0.45">
      <c r="A1698" t="s">
        <v>16</v>
      </c>
      <c r="B1698" s="14">
        <f>_xlfn.XLOOKUP(Table1[[#This Row], [TEAM]],Sheet1!$A$12:$A$17,Sheet1!$F$12:$F$17)</f>
        <v>2</v>
      </c>
      <c r="C1698" s="14">
        <f>_xlfn.XLOOKUP(Table1[[#This Row], [TEAM]],Sheet1!$A$12:$A$17,Sheet1!$G$12:$G$17)</f>
        <v>6082800</v>
      </c>
      <c r="D1698" t="s">
        <v>10</v>
      </c>
      <c r="E1698" s="4">
        <f>_xlfn.XLOOKUP(Table1[[#This Row], [ROOM]],Sheet1!$A$47:$A$66,Sheet1!$B$47:$B$66)</f>
        <v>123</v>
      </c>
      <c r="F1698" t="s">
        <v>58</v>
      </c>
      <c r="G1698" s="4">
        <f>_xlfn.XLOOKUP(Table1[[#This Row], [DISGUISE]],Sheet1!$A$21:$A$23,Sheet1!$B$21:$B$23)*Table1[[#This Row], [NUM OF MEM]]*(1+_xlfn.XLOOKUP(Table1[[#This Row], [DISGUISE]],Sheet1!$A$21:$A$23,Sheet1!$C$21:$C$23))</f>
        <v>25600</v>
      </c>
      <c r="H1698" s="13" t="s">
        <v>63</v>
      </c>
      <c r="I1698" s="4">
        <f>_xlfn.XLOOKUP(Table1[[#This Row], [WEAPON]],Sheet1!$A$27:$A$29,Sheet1!$B$27:$B$29)*Table1[[#This Row], [NUM OF MEM]]*(1+_xlfn.XLOOKUP(Table1[[#This Row], [WEAPON]],Sheet1!$A$27:$A$29,Sheet1!$C$27:$C$29))</f>
        <v>46000</v>
      </c>
      <c r="J1698" t="s">
        <v>64</v>
      </c>
      <c r="K1698" s="9">
        <f>Table1[[#This Row], [NUM OF MEM]]*Table1[[#This Row], [TOTAL TIME TAKEN]]*_xlfn.XLOOKUP(Table1[[#This Row], [EXIT]],Sheet1!$A$70:$A$71,Sheet1!$B$70:$B$71)*(1+_xlfn.XLOOKUP(Table1[[#This Row], [EXIT]],Sheet1!$A$70:$A$71,Sheet1!$C$70:$C$71))</f>
        <v>1830988.7999999996</v>
      </c>
      <c r="L1698" s="13" t="s">
        <v>61</v>
      </c>
      <c r="M1698" s="4">
        <f>IF(Table1[[#This Row], [EQUIPMENT]]="YES",Sheet1!$C$44*(1+Sheet1!$D$44),0)</f>
        <v>0</v>
      </c>
      <c r="N1698" s="4">
        <f>_xlfn.XLOOKUP(Table1[[#This Row], [ROOM]],Sheet1!$A$47:$A$66,Sheet1!$F$47:$F$66)</f>
        <v>17850000</v>
      </c>
      <c r="O1698" s="9">
        <f>_xlfn.XLOOKUP(_xlfn.CONCAT(Table1[[#This Row], [TEAM]],Table1[[#This Row], [ROOM]]),'ROOM TIME'!$H$2:$H$121,'ROOM TIME'!$J$2:$J$121)</f>
        <v>62.539999999999985</v>
      </c>
      <c r="P1698" s="9">
        <f>(INDEX(Sheet1!$X$48:$Z$67,MATCH(Table1[[#This Row], [ROOM]],Sheet1!$P$48:$P$67,0),MATCH(Table1[[#This Row], [WEAPON]],Sheet1!$X$47:$Z$47,0)))/Table1[[#This Row], [NUM OF MEM]]</f>
        <v>8.1000000000000014</v>
      </c>
      <c r="Q1698" s="9">
        <f>Table1[[#This Row], [ROOM TIME]]+Table1[[#This Row], [GUARD TIME]]</f>
        <v>70.639999999999986</v>
      </c>
      <c r="R1698" s="4">
        <f>Sheet1!$K$3*_xlfn.XLOOKUP(Table1[[#This Row], [DISGUISE]],Sheet1!$A$21:$A$23,Sheet1!$D$21:$D$23)</f>
        <v>69</v>
      </c>
      <c r="S1698" s="9">
        <f>Table1[[#This Row], [TOTAL TIME]]-Table1[[#This Row], [TOTAL TIME TAKEN]]</f>
        <v>-1.6399999999999864</v>
      </c>
      <c r="T1698" t="str">
        <f>IF(Table1[[#This Row], [TIME DIFFERENCE]]&gt;=0,"PASS","FAIL")</f>
        <v>FAIL</v>
      </c>
      <c r="U1698" s="9">
        <f>Table1[[#This Row], [TRC]]+Table1[[#This Row], [DRC]]+Table1[[#This Row], [WRC]]+Table1[[#This Row], [ERC]]+Table1[[#This Row], [EQRC]]</f>
        <v>7985388.7999999998</v>
      </c>
      <c r="V1698" s="9">
        <f>Table1[[#This Row], [TOTAL COST]]+_xlfn.XLOOKUP(Table1[[#This Row], [TEAM]],Sheet1!$A$12:$A$17,Sheet1!$I$12:$I$17)</f>
        <v>8289528.7999999998</v>
      </c>
      <c r="W1698" s="9">
        <f>Table1[[#This Row], [LOOT]]-Table1[[#This Row], [TOTAL COST]]</f>
        <v>9864611.1999999993</v>
      </c>
      <c r="X1698" s="4">
        <f>IF(Table1[[#This Row], [PASS/FAIL]]="FAIL",0,Table1[[#This Row], [PROFIT]])</f>
        <v>0</v>
      </c>
    </row>
    <row r="1699" spans="1:24" ht="19.5" customHeight="1" x14ac:dyDescent="0.45">
      <c r="A1699" t="s">
        <v>16</v>
      </c>
      <c r="B1699" s="14">
        <f>_xlfn.XLOOKUP(Table1[[#This Row], [TEAM]],Sheet1!$A$12:$A$17,Sheet1!$F$12:$F$17)</f>
        <v>2</v>
      </c>
      <c r="C1699" s="14">
        <f>_xlfn.XLOOKUP(Table1[[#This Row], [TEAM]],Sheet1!$A$12:$A$17,Sheet1!$G$12:$G$17)</f>
        <v>6082800</v>
      </c>
      <c r="D1699" t="s">
        <v>10</v>
      </c>
      <c r="E1699" s="4">
        <f>_xlfn.XLOOKUP(Table1[[#This Row], [ROOM]],Sheet1!$A$47:$A$66,Sheet1!$B$47:$B$66)</f>
        <v>123</v>
      </c>
      <c r="F1699" t="s">
        <v>58</v>
      </c>
      <c r="G1699" s="4">
        <f>_xlfn.XLOOKUP(Table1[[#This Row], [DISGUISE]],Sheet1!$A$21:$A$23,Sheet1!$B$21:$B$23)*Table1[[#This Row], [NUM OF MEM]]*(1+_xlfn.XLOOKUP(Table1[[#This Row], [DISGUISE]],Sheet1!$A$21:$A$23,Sheet1!$C$21:$C$23))</f>
        <v>25600</v>
      </c>
      <c r="H1699" s="13" t="s">
        <v>66</v>
      </c>
      <c r="I1699" s="4">
        <f>_xlfn.XLOOKUP(Table1[[#This Row], [WEAPON]],Sheet1!$A$27:$A$29,Sheet1!$B$27:$B$29)*Table1[[#This Row], [NUM OF MEM]]*(1+_xlfn.XLOOKUP(Table1[[#This Row], [WEAPON]],Sheet1!$A$27:$A$29,Sheet1!$C$27:$C$29))</f>
        <v>72000</v>
      </c>
      <c r="J1699" t="s">
        <v>64</v>
      </c>
      <c r="K1699" s="9">
        <f>Table1[[#This Row], [NUM OF MEM]]*Table1[[#This Row], [TOTAL TIME TAKEN]]*_xlfn.XLOOKUP(Table1[[#This Row], [EXIT]],Sheet1!$A$70:$A$71,Sheet1!$B$70:$B$71)*(1+_xlfn.XLOOKUP(Table1[[#This Row], [EXIT]],Sheet1!$A$70:$A$71,Sheet1!$C$70:$C$71))</f>
        <v>1815436.7999999996</v>
      </c>
      <c r="L1699" s="13" t="s">
        <v>61</v>
      </c>
      <c r="M1699" s="4">
        <f>IF(Table1[[#This Row], [EQUIPMENT]]="YES",Sheet1!$C$44*(1+Sheet1!$D$44),0)</f>
        <v>0</v>
      </c>
      <c r="N1699" s="4">
        <f>_xlfn.XLOOKUP(Table1[[#This Row], [ROOM]],Sheet1!$A$47:$A$66,Sheet1!$F$47:$F$66)</f>
        <v>17850000</v>
      </c>
      <c r="O1699" s="9">
        <f>_xlfn.XLOOKUP(_xlfn.CONCAT(Table1[[#This Row], [TEAM]],Table1[[#This Row], [ROOM]]),'ROOM TIME'!$H$2:$H$121,'ROOM TIME'!$J$2:$J$121)</f>
        <v>62.539999999999985</v>
      </c>
      <c r="P1699" s="9">
        <f>(INDEX(Sheet1!$X$48:$Z$67,MATCH(Table1[[#This Row], [ROOM]],Sheet1!$P$48:$P$67,0),MATCH(Table1[[#This Row], [WEAPON]],Sheet1!$X$47:$Z$47,0)))/Table1[[#This Row], [NUM OF MEM]]</f>
        <v>7.5</v>
      </c>
      <c r="Q1699" s="9">
        <f>Table1[[#This Row], [ROOM TIME]]+Table1[[#This Row], [GUARD TIME]]</f>
        <v>70.039999999999992</v>
      </c>
      <c r="R1699" s="4">
        <f>Sheet1!$K$3*_xlfn.XLOOKUP(Table1[[#This Row], [DISGUISE]],Sheet1!$A$21:$A$23,Sheet1!$D$21:$D$23)</f>
        <v>69</v>
      </c>
      <c r="S1699" s="9">
        <f>Table1[[#This Row], [TOTAL TIME]]-Table1[[#This Row], [TOTAL TIME TAKEN]]</f>
        <v>-1.039999999999992</v>
      </c>
      <c r="T1699" t="str">
        <f>IF(Table1[[#This Row], [TIME DIFFERENCE]]&gt;=0,"PASS","FAIL")</f>
        <v>FAIL</v>
      </c>
      <c r="U1699" s="9">
        <f>Table1[[#This Row], [TRC]]+Table1[[#This Row], [DRC]]+Table1[[#This Row], [WRC]]+Table1[[#This Row], [ERC]]+Table1[[#This Row], [EQRC]]</f>
        <v>7995836.7999999998</v>
      </c>
      <c r="V1699" s="9">
        <f>Table1[[#This Row], [TOTAL COST]]+_xlfn.XLOOKUP(Table1[[#This Row], [TEAM]],Sheet1!$A$12:$A$17,Sheet1!$I$12:$I$17)</f>
        <v>8299976.7999999998</v>
      </c>
      <c r="W1699" s="9">
        <f>Table1[[#This Row], [LOOT]]-Table1[[#This Row], [TOTAL COST]]</f>
        <v>9854163.1999999993</v>
      </c>
      <c r="X1699" s="4">
        <f>IF(Table1[[#This Row], [PASS/FAIL]]="FAIL",0,Table1[[#This Row], [PROFIT]])</f>
        <v>0</v>
      </c>
    </row>
    <row r="1700" spans="1:24" ht="19.5" customHeight="1" x14ac:dyDescent="0.45">
      <c r="A1700" t="s">
        <v>16</v>
      </c>
      <c r="B1700" s="14">
        <f>_xlfn.XLOOKUP(Table1[[#This Row], [TEAM]],Sheet1!$A$12:$A$17,Sheet1!$F$12:$F$17)</f>
        <v>2</v>
      </c>
      <c r="C1700" s="14">
        <f>_xlfn.XLOOKUP(Table1[[#This Row], [TEAM]],Sheet1!$A$12:$A$17,Sheet1!$G$12:$G$17)</f>
        <v>6082800</v>
      </c>
      <c r="D1700" t="s">
        <v>10</v>
      </c>
      <c r="E1700" s="4">
        <f>_xlfn.XLOOKUP(Table1[[#This Row], [ROOM]],Sheet1!$A$47:$A$66,Sheet1!$B$47:$B$66)</f>
        <v>123</v>
      </c>
      <c r="F1700" t="s">
        <v>62</v>
      </c>
      <c r="G170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00" s="13" t="s">
        <v>63</v>
      </c>
      <c r="I1700" s="4">
        <f>_xlfn.XLOOKUP(Table1[[#This Row], [WEAPON]],Sheet1!$A$27:$A$29,Sheet1!$B$27:$B$29)*Table1[[#This Row], [NUM OF MEM]]*(1+_xlfn.XLOOKUP(Table1[[#This Row], [WEAPON]],Sheet1!$A$27:$A$29,Sheet1!$C$27:$C$29))</f>
        <v>46000</v>
      </c>
      <c r="J1700" t="s">
        <v>60</v>
      </c>
      <c r="K1700" s="9">
        <f>Table1[[#This Row], [NUM OF MEM]]*Table1[[#This Row], [TOTAL TIME TAKEN]]*_xlfn.XLOOKUP(Table1[[#This Row], [EXIT]],Sheet1!$A$70:$A$71,Sheet1!$B$70:$B$71)*(1+_xlfn.XLOOKUP(Table1[[#This Row], [EXIT]],Sheet1!$A$70:$A$71,Sheet1!$C$70:$C$71))</f>
        <v>1812975.5999999996</v>
      </c>
      <c r="L1700" s="13" t="s">
        <v>65</v>
      </c>
      <c r="M1700" s="4">
        <f>IF(Table1[[#This Row], [EQUIPMENT]]="YES",Sheet1!$C$44*(1+Sheet1!$D$44),0)</f>
        <v>307500</v>
      </c>
      <c r="N1700" s="4">
        <f>_xlfn.XLOOKUP(Table1[[#This Row], [ROOM]],Sheet1!$A$47:$A$66,Sheet1!$F$47:$F$66)</f>
        <v>17850000</v>
      </c>
      <c r="O1700" s="9">
        <f>_xlfn.XLOOKUP(_xlfn.CONCAT(Table1[[#This Row], [TEAM]],Table1[[#This Row], [ROOM]]),'ROOM TIME'!$H$2:$H$121,'ROOM TIME'!$J$2:$J$121)</f>
        <v>62.539999999999985</v>
      </c>
      <c r="P1700" s="9">
        <f>(INDEX(Sheet1!$X$48:$Z$67,MATCH(Table1[[#This Row], [ROOM]],Sheet1!$P$48:$P$67,0),MATCH(Table1[[#This Row], [WEAPON]],Sheet1!$X$47:$Z$47,0)))/Table1[[#This Row], [NUM OF MEM]]</f>
        <v>8.1000000000000014</v>
      </c>
      <c r="Q1700" s="9">
        <f>Table1[[#This Row], [ROOM TIME]]+Table1[[#This Row], [GUARD TIME]]</f>
        <v>70.639999999999986</v>
      </c>
      <c r="R1700" s="4">
        <f>Sheet1!$K$3*_xlfn.XLOOKUP(Table1[[#This Row], [DISGUISE]],Sheet1!$A$21:$A$23,Sheet1!$D$21:$D$23)</f>
        <v>66</v>
      </c>
      <c r="S1700" s="9">
        <f>Table1[[#This Row], [TOTAL TIME]]-Table1[[#This Row], [TOTAL TIME TAKEN]]</f>
        <v>-4.6399999999999864</v>
      </c>
      <c r="T1700" t="str">
        <f>IF(Table1[[#This Row], [TIME DIFFERENCE]]&gt;=0,"PASS","FAIL")</f>
        <v>FAIL</v>
      </c>
      <c r="U1700" s="9">
        <f>Table1[[#This Row], [TRC]]+Table1[[#This Row], [DRC]]+Table1[[#This Row], [WRC]]+Table1[[#This Row], [ERC]]+Table1[[#This Row], [EQRC]]</f>
        <v>8259675.5999999996</v>
      </c>
      <c r="V1700" s="9">
        <f>Table1[[#This Row], [TOTAL COST]]+_xlfn.XLOOKUP(Table1[[#This Row], [TEAM]],Sheet1!$A$12:$A$17,Sheet1!$I$12:$I$17)</f>
        <v>8563815.5999999996</v>
      </c>
      <c r="W1700" s="9">
        <f>Table1[[#This Row], [LOOT]]-Table1[[#This Row], [TOTAL COST]]</f>
        <v>9590324.4000000004</v>
      </c>
      <c r="X1700" s="4">
        <f>IF(Table1[[#This Row], [PASS/FAIL]]="FAIL",0,Table1[[#This Row], [PROFIT]])</f>
        <v>0</v>
      </c>
    </row>
    <row r="1701" spans="1:24" ht="19.5" customHeight="1" x14ac:dyDescent="0.45">
      <c r="A1701" t="s">
        <v>16</v>
      </c>
      <c r="B1701" s="14">
        <f>_xlfn.XLOOKUP(Table1[[#This Row], [TEAM]],Sheet1!$A$12:$A$17,Sheet1!$F$12:$F$17)</f>
        <v>2</v>
      </c>
      <c r="C1701" s="14">
        <f>_xlfn.XLOOKUP(Table1[[#This Row], [TEAM]],Sheet1!$A$12:$A$17,Sheet1!$G$12:$G$17)</f>
        <v>6082800</v>
      </c>
      <c r="D1701" t="s">
        <v>10</v>
      </c>
      <c r="E1701" s="4">
        <f>_xlfn.XLOOKUP(Table1[[#This Row], [ROOM]],Sheet1!$A$47:$A$66,Sheet1!$B$47:$B$66)</f>
        <v>123</v>
      </c>
      <c r="F1701" t="s">
        <v>62</v>
      </c>
      <c r="G170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01" s="13" t="s">
        <v>66</v>
      </c>
      <c r="I1701" s="4">
        <f>_xlfn.XLOOKUP(Table1[[#This Row], [WEAPON]],Sheet1!$A$27:$A$29,Sheet1!$B$27:$B$29)*Table1[[#This Row], [NUM OF MEM]]*(1+_xlfn.XLOOKUP(Table1[[#This Row], [WEAPON]],Sheet1!$A$27:$A$29,Sheet1!$C$27:$C$29))</f>
        <v>72000</v>
      </c>
      <c r="J1701" t="s">
        <v>60</v>
      </c>
      <c r="K1701" s="9">
        <f>Table1[[#This Row], [NUM OF MEM]]*Table1[[#This Row], [TOTAL TIME TAKEN]]*_xlfn.XLOOKUP(Table1[[#This Row], [EXIT]],Sheet1!$A$70:$A$71,Sheet1!$B$70:$B$71)*(1+_xlfn.XLOOKUP(Table1[[#This Row], [EXIT]],Sheet1!$A$70:$A$71,Sheet1!$C$70:$C$71))</f>
        <v>1797576.5999999996</v>
      </c>
      <c r="L1701" s="13" t="s">
        <v>65</v>
      </c>
      <c r="M1701" s="4">
        <f>IF(Table1[[#This Row], [EQUIPMENT]]="YES",Sheet1!$C$44*(1+Sheet1!$D$44),0)</f>
        <v>307500</v>
      </c>
      <c r="N1701" s="4">
        <f>_xlfn.XLOOKUP(Table1[[#This Row], [ROOM]],Sheet1!$A$47:$A$66,Sheet1!$F$47:$F$66)</f>
        <v>17850000</v>
      </c>
      <c r="O1701" s="9">
        <f>_xlfn.XLOOKUP(_xlfn.CONCAT(Table1[[#This Row], [TEAM]],Table1[[#This Row], [ROOM]]),'ROOM TIME'!$H$2:$H$121,'ROOM TIME'!$J$2:$J$121)</f>
        <v>62.539999999999985</v>
      </c>
      <c r="P1701" s="9">
        <f>(INDEX(Sheet1!$X$48:$Z$67,MATCH(Table1[[#This Row], [ROOM]],Sheet1!$P$48:$P$67,0),MATCH(Table1[[#This Row], [WEAPON]],Sheet1!$X$47:$Z$47,0)))/Table1[[#This Row], [NUM OF MEM]]</f>
        <v>7.5</v>
      </c>
      <c r="Q1701" s="9">
        <f>Table1[[#This Row], [ROOM TIME]]+Table1[[#This Row], [GUARD TIME]]</f>
        <v>70.039999999999992</v>
      </c>
      <c r="R1701" s="4">
        <f>Sheet1!$K$3*_xlfn.XLOOKUP(Table1[[#This Row], [DISGUISE]],Sheet1!$A$21:$A$23,Sheet1!$D$21:$D$23)</f>
        <v>66</v>
      </c>
      <c r="S1701" s="9">
        <f>Table1[[#This Row], [TOTAL TIME]]-Table1[[#This Row], [TOTAL TIME TAKEN]]</f>
        <v>-4.039999999999992</v>
      </c>
      <c r="T1701" t="str">
        <f>IF(Table1[[#This Row], [TIME DIFFERENCE]]&gt;=0,"PASS","FAIL")</f>
        <v>FAIL</v>
      </c>
      <c r="U1701" s="9">
        <f>Table1[[#This Row], [TRC]]+Table1[[#This Row], [DRC]]+Table1[[#This Row], [WRC]]+Table1[[#This Row], [ERC]]+Table1[[#This Row], [EQRC]]</f>
        <v>8270276.5999999996</v>
      </c>
      <c r="V1701" s="9">
        <f>Table1[[#This Row], [TOTAL COST]]+_xlfn.XLOOKUP(Table1[[#This Row], [TEAM]],Sheet1!$A$12:$A$17,Sheet1!$I$12:$I$17)</f>
        <v>8574416.5999999996</v>
      </c>
      <c r="W1701" s="9">
        <f>Table1[[#This Row], [LOOT]]-Table1[[#This Row], [TOTAL COST]]</f>
        <v>9579723.4000000004</v>
      </c>
      <c r="X1701" s="4">
        <f>IF(Table1[[#This Row], [PASS/FAIL]]="FAIL",0,Table1[[#This Row], [PROFIT]])</f>
        <v>0</v>
      </c>
    </row>
    <row r="1702" spans="1:24" ht="19.5" customHeight="1" x14ac:dyDescent="0.45">
      <c r="A1702" t="s">
        <v>16</v>
      </c>
      <c r="B1702" s="14">
        <f>_xlfn.XLOOKUP(Table1[[#This Row], [TEAM]],Sheet1!$A$12:$A$17,Sheet1!$F$12:$F$17)</f>
        <v>2</v>
      </c>
      <c r="C1702" s="14">
        <f>_xlfn.XLOOKUP(Table1[[#This Row], [TEAM]],Sheet1!$A$12:$A$17,Sheet1!$G$12:$G$17)</f>
        <v>6082800</v>
      </c>
      <c r="D1702" t="s">
        <v>10</v>
      </c>
      <c r="E1702" s="4">
        <f>_xlfn.XLOOKUP(Table1[[#This Row], [ROOM]],Sheet1!$A$47:$A$66,Sheet1!$B$47:$B$66)</f>
        <v>123</v>
      </c>
      <c r="F1702" t="s">
        <v>58</v>
      </c>
      <c r="G1702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2" s="13" t="s">
        <v>63</v>
      </c>
      <c r="I1702" s="4">
        <f>_xlfn.XLOOKUP(Table1[[#This Row], [WEAPON]],Sheet1!$A$27:$A$29,Sheet1!$B$27:$B$29)*Table1[[#This Row], [NUM OF MEM]]*(1+_xlfn.XLOOKUP(Table1[[#This Row], [WEAPON]],Sheet1!$A$27:$A$29,Sheet1!$C$27:$C$29))</f>
        <v>46000</v>
      </c>
      <c r="J1702" t="s">
        <v>60</v>
      </c>
      <c r="K1702" s="9">
        <f>Table1[[#This Row], [NUM OF MEM]]*Table1[[#This Row], [TOTAL TIME TAKEN]]*_xlfn.XLOOKUP(Table1[[#This Row], [EXIT]],Sheet1!$A$70:$A$71,Sheet1!$B$70:$B$71)*(1+_xlfn.XLOOKUP(Table1[[#This Row], [EXIT]],Sheet1!$A$70:$A$71,Sheet1!$C$70:$C$71))</f>
        <v>1812975.5999999996</v>
      </c>
      <c r="L1702" s="13" t="s">
        <v>65</v>
      </c>
      <c r="M1702" s="4">
        <f>IF(Table1[[#This Row], [EQUIPMENT]]="YES",Sheet1!$C$44*(1+Sheet1!$D$44),0)</f>
        <v>307500</v>
      </c>
      <c r="N1702" s="4">
        <f>_xlfn.XLOOKUP(Table1[[#This Row], [ROOM]],Sheet1!$A$47:$A$66,Sheet1!$F$47:$F$66)</f>
        <v>17850000</v>
      </c>
      <c r="O1702" s="9">
        <f>_xlfn.XLOOKUP(_xlfn.CONCAT(Table1[[#This Row], [TEAM]],Table1[[#This Row], [ROOM]]),'ROOM TIME'!$H$2:$H$121,'ROOM TIME'!$J$2:$J$121)</f>
        <v>62.539999999999985</v>
      </c>
      <c r="P1702" s="9">
        <f>(INDEX(Sheet1!$X$48:$Z$67,MATCH(Table1[[#This Row], [ROOM]],Sheet1!$P$48:$P$67,0),MATCH(Table1[[#This Row], [WEAPON]],Sheet1!$X$47:$Z$47,0)))/Table1[[#This Row], [NUM OF MEM]]</f>
        <v>8.1000000000000014</v>
      </c>
      <c r="Q1702" s="9">
        <f>Table1[[#This Row], [ROOM TIME]]+Table1[[#This Row], [GUARD TIME]]</f>
        <v>70.639999999999986</v>
      </c>
      <c r="R1702" s="4">
        <f>Sheet1!$K$3*_xlfn.XLOOKUP(Table1[[#This Row], [DISGUISE]],Sheet1!$A$21:$A$23,Sheet1!$D$21:$D$23)</f>
        <v>69</v>
      </c>
      <c r="S1702" s="9">
        <f>Table1[[#This Row], [TOTAL TIME]]-Table1[[#This Row], [TOTAL TIME TAKEN]]</f>
        <v>-1.6399999999999864</v>
      </c>
      <c r="T1702" t="str">
        <f>IF(Table1[[#This Row], [TIME DIFFERENCE]]&gt;=0,"PASS","FAIL")</f>
        <v>FAIL</v>
      </c>
      <c r="U1702" s="9">
        <f>Table1[[#This Row], [TRC]]+Table1[[#This Row], [DRC]]+Table1[[#This Row], [WRC]]+Table1[[#This Row], [ERC]]+Table1[[#This Row], [EQRC]]</f>
        <v>8274875.5999999996</v>
      </c>
      <c r="V1702" s="9">
        <f>Table1[[#This Row], [TOTAL COST]]+_xlfn.XLOOKUP(Table1[[#This Row], [TEAM]],Sheet1!$A$12:$A$17,Sheet1!$I$12:$I$17)</f>
        <v>8579015.5999999996</v>
      </c>
      <c r="W1702" s="9">
        <f>Table1[[#This Row], [LOOT]]-Table1[[#This Row], [TOTAL COST]]</f>
        <v>9575124.4000000004</v>
      </c>
      <c r="X1702" s="4">
        <f>IF(Table1[[#This Row], [PASS/FAIL]]="FAIL",0,Table1[[#This Row], [PROFIT]])</f>
        <v>0</v>
      </c>
    </row>
    <row r="1703" spans="1:24" ht="19.5" customHeight="1" x14ac:dyDescent="0.45">
      <c r="A1703" t="s">
        <v>16</v>
      </c>
      <c r="B1703" s="14">
        <f>_xlfn.XLOOKUP(Table1[[#This Row], [TEAM]],Sheet1!$A$12:$A$17,Sheet1!$F$12:$F$17)</f>
        <v>2</v>
      </c>
      <c r="C1703" s="14">
        <f>_xlfn.XLOOKUP(Table1[[#This Row], [TEAM]],Sheet1!$A$12:$A$17,Sheet1!$G$12:$G$17)</f>
        <v>6082800</v>
      </c>
      <c r="D1703" t="s">
        <v>10</v>
      </c>
      <c r="E1703" s="4">
        <f>_xlfn.XLOOKUP(Table1[[#This Row], [ROOM]],Sheet1!$A$47:$A$66,Sheet1!$B$47:$B$66)</f>
        <v>123</v>
      </c>
      <c r="F1703" t="s">
        <v>58</v>
      </c>
      <c r="G1703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3" s="13" t="s">
        <v>66</v>
      </c>
      <c r="I1703" s="4">
        <f>_xlfn.XLOOKUP(Table1[[#This Row], [WEAPON]],Sheet1!$A$27:$A$29,Sheet1!$B$27:$B$29)*Table1[[#This Row], [NUM OF MEM]]*(1+_xlfn.XLOOKUP(Table1[[#This Row], [WEAPON]],Sheet1!$A$27:$A$29,Sheet1!$C$27:$C$29))</f>
        <v>72000</v>
      </c>
      <c r="J1703" t="s">
        <v>60</v>
      </c>
      <c r="K1703" s="9">
        <f>Table1[[#This Row], [NUM OF MEM]]*Table1[[#This Row], [TOTAL TIME TAKEN]]*_xlfn.XLOOKUP(Table1[[#This Row], [EXIT]],Sheet1!$A$70:$A$71,Sheet1!$B$70:$B$71)*(1+_xlfn.XLOOKUP(Table1[[#This Row], [EXIT]],Sheet1!$A$70:$A$71,Sheet1!$C$70:$C$71))</f>
        <v>1797576.5999999996</v>
      </c>
      <c r="L1703" s="13" t="s">
        <v>65</v>
      </c>
      <c r="M1703" s="4">
        <f>IF(Table1[[#This Row], [EQUIPMENT]]="YES",Sheet1!$C$44*(1+Sheet1!$D$44),0)</f>
        <v>307500</v>
      </c>
      <c r="N1703" s="4">
        <f>_xlfn.XLOOKUP(Table1[[#This Row], [ROOM]],Sheet1!$A$47:$A$66,Sheet1!$F$47:$F$66)</f>
        <v>17850000</v>
      </c>
      <c r="O1703" s="9">
        <f>_xlfn.XLOOKUP(_xlfn.CONCAT(Table1[[#This Row], [TEAM]],Table1[[#This Row], [ROOM]]),'ROOM TIME'!$H$2:$H$121,'ROOM TIME'!$J$2:$J$121)</f>
        <v>62.539999999999985</v>
      </c>
      <c r="P1703" s="9">
        <f>(INDEX(Sheet1!$X$48:$Z$67,MATCH(Table1[[#This Row], [ROOM]],Sheet1!$P$48:$P$67,0),MATCH(Table1[[#This Row], [WEAPON]],Sheet1!$X$47:$Z$47,0)))/Table1[[#This Row], [NUM OF MEM]]</f>
        <v>7.5</v>
      </c>
      <c r="Q1703" s="9">
        <f>Table1[[#This Row], [ROOM TIME]]+Table1[[#This Row], [GUARD TIME]]</f>
        <v>70.039999999999992</v>
      </c>
      <c r="R1703" s="4">
        <f>Sheet1!$K$3*_xlfn.XLOOKUP(Table1[[#This Row], [DISGUISE]],Sheet1!$A$21:$A$23,Sheet1!$D$21:$D$23)</f>
        <v>69</v>
      </c>
      <c r="S1703" s="9">
        <f>Table1[[#This Row], [TOTAL TIME]]-Table1[[#This Row], [TOTAL TIME TAKEN]]</f>
        <v>-1.039999999999992</v>
      </c>
      <c r="T1703" t="str">
        <f>IF(Table1[[#This Row], [TIME DIFFERENCE]]&gt;=0,"PASS","FAIL")</f>
        <v>FAIL</v>
      </c>
      <c r="U1703" s="9">
        <f>Table1[[#This Row], [TRC]]+Table1[[#This Row], [DRC]]+Table1[[#This Row], [WRC]]+Table1[[#This Row], [ERC]]+Table1[[#This Row], [EQRC]]</f>
        <v>8285476.5999999996</v>
      </c>
      <c r="V1703" s="9">
        <f>Table1[[#This Row], [TOTAL COST]]+_xlfn.XLOOKUP(Table1[[#This Row], [TEAM]],Sheet1!$A$12:$A$17,Sheet1!$I$12:$I$17)</f>
        <v>8589616.5999999996</v>
      </c>
      <c r="W1703" s="9">
        <f>Table1[[#This Row], [LOOT]]-Table1[[#This Row], [TOTAL COST]]</f>
        <v>9564523.4000000004</v>
      </c>
      <c r="X1703" s="4">
        <f>IF(Table1[[#This Row], [PASS/FAIL]]="FAIL",0,Table1[[#This Row], [PROFIT]])</f>
        <v>0</v>
      </c>
    </row>
    <row r="1704" spans="1:24" ht="19.5" customHeight="1" x14ac:dyDescent="0.45">
      <c r="A1704" t="s">
        <v>16</v>
      </c>
      <c r="B1704" s="14">
        <f>_xlfn.XLOOKUP(Table1[[#This Row], [TEAM]],Sheet1!$A$12:$A$17,Sheet1!$F$12:$F$17)</f>
        <v>2</v>
      </c>
      <c r="C1704" s="14">
        <f>_xlfn.XLOOKUP(Table1[[#This Row], [TEAM]],Sheet1!$A$12:$A$17,Sheet1!$G$12:$G$17)</f>
        <v>6082800</v>
      </c>
      <c r="D1704" t="s">
        <v>10</v>
      </c>
      <c r="E1704" s="4">
        <f>_xlfn.XLOOKUP(Table1[[#This Row], [ROOM]],Sheet1!$A$47:$A$66,Sheet1!$B$47:$B$66)</f>
        <v>123</v>
      </c>
      <c r="F1704" t="s">
        <v>62</v>
      </c>
      <c r="G170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04" s="13" t="s">
        <v>63</v>
      </c>
      <c r="I1704" s="4">
        <f>_xlfn.XLOOKUP(Table1[[#This Row], [WEAPON]],Sheet1!$A$27:$A$29,Sheet1!$B$27:$B$29)*Table1[[#This Row], [NUM OF MEM]]*(1+_xlfn.XLOOKUP(Table1[[#This Row], [WEAPON]],Sheet1!$A$27:$A$29,Sheet1!$C$27:$C$29))</f>
        <v>46000</v>
      </c>
      <c r="J1704" t="s">
        <v>64</v>
      </c>
      <c r="K1704" s="9">
        <f>Table1[[#This Row], [NUM OF MEM]]*Table1[[#This Row], [TOTAL TIME TAKEN]]*_xlfn.XLOOKUP(Table1[[#This Row], [EXIT]],Sheet1!$A$70:$A$71,Sheet1!$B$70:$B$71)*(1+_xlfn.XLOOKUP(Table1[[#This Row], [EXIT]],Sheet1!$A$70:$A$71,Sheet1!$C$70:$C$71))</f>
        <v>1830988.7999999996</v>
      </c>
      <c r="L1704" s="13" t="s">
        <v>65</v>
      </c>
      <c r="M1704" s="4">
        <f>IF(Table1[[#This Row], [EQUIPMENT]]="YES",Sheet1!$C$44*(1+Sheet1!$D$44),0)</f>
        <v>307500</v>
      </c>
      <c r="N1704" s="4">
        <f>_xlfn.XLOOKUP(Table1[[#This Row], [ROOM]],Sheet1!$A$47:$A$66,Sheet1!$F$47:$F$66)</f>
        <v>17850000</v>
      </c>
      <c r="O1704" s="9">
        <f>_xlfn.XLOOKUP(_xlfn.CONCAT(Table1[[#This Row], [TEAM]],Table1[[#This Row], [ROOM]]),'ROOM TIME'!$H$2:$H$121,'ROOM TIME'!$J$2:$J$121)</f>
        <v>62.539999999999985</v>
      </c>
      <c r="P1704" s="9">
        <f>(INDEX(Sheet1!$X$48:$Z$67,MATCH(Table1[[#This Row], [ROOM]],Sheet1!$P$48:$P$67,0),MATCH(Table1[[#This Row], [WEAPON]],Sheet1!$X$47:$Z$47,0)))/Table1[[#This Row], [NUM OF MEM]]</f>
        <v>8.1000000000000014</v>
      </c>
      <c r="Q1704" s="9">
        <f>Table1[[#This Row], [ROOM TIME]]+Table1[[#This Row], [GUARD TIME]]</f>
        <v>70.639999999999986</v>
      </c>
      <c r="R1704" s="4">
        <f>Sheet1!$K$3*_xlfn.XLOOKUP(Table1[[#This Row], [DISGUISE]],Sheet1!$A$21:$A$23,Sheet1!$D$21:$D$23)</f>
        <v>66</v>
      </c>
      <c r="S1704" s="9">
        <f>Table1[[#This Row], [TOTAL TIME]]-Table1[[#This Row], [TOTAL TIME TAKEN]]</f>
        <v>-4.6399999999999864</v>
      </c>
      <c r="T1704" t="str">
        <f>IF(Table1[[#This Row], [TIME DIFFERENCE]]&gt;=0,"PASS","FAIL")</f>
        <v>FAIL</v>
      </c>
      <c r="U1704" s="9">
        <f>Table1[[#This Row], [TRC]]+Table1[[#This Row], [DRC]]+Table1[[#This Row], [WRC]]+Table1[[#This Row], [ERC]]+Table1[[#This Row], [EQRC]]</f>
        <v>8277688.7999999998</v>
      </c>
      <c r="V1704" s="9">
        <f>Table1[[#This Row], [TOTAL COST]]+_xlfn.XLOOKUP(Table1[[#This Row], [TEAM]],Sheet1!$A$12:$A$17,Sheet1!$I$12:$I$17)</f>
        <v>8581828.8000000007</v>
      </c>
      <c r="W1704" s="9">
        <f>Table1[[#This Row], [LOOT]]-Table1[[#This Row], [TOTAL COST]]</f>
        <v>9572311.1999999993</v>
      </c>
      <c r="X1704" s="4">
        <f>IF(Table1[[#This Row], [PASS/FAIL]]="FAIL",0,Table1[[#This Row], [PROFIT]])</f>
        <v>0</v>
      </c>
    </row>
    <row r="1705" spans="1:24" ht="19.5" customHeight="1" x14ac:dyDescent="0.45">
      <c r="A1705" t="s">
        <v>16</v>
      </c>
      <c r="B1705" s="14">
        <f>_xlfn.XLOOKUP(Table1[[#This Row], [TEAM]],Sheet1!$A$12:$A$17,Sheet1!$F$12:$F$17)</f>
        <v>2</v>
      </c>
      <c r="C1705" s="14">
        <f>_xlfn.XLOOKUP(Table1[[#This Row], [TEAM]],Sheet1!$A$12:$A$17,Sheet1!$G$12:$G$17)</f>
        <v>6082800</v>
      </c>
      <c r="D1705" t="s">
        <v>10</v>
      </c>
      <c r="E1705" s="4">
        <f>_xlfn.XLOOKUP(Table1[[#This Row], [ROOM]],Sheet1!$A$47:$A$66,Sheet1!$B$47:$B$66)</f>
        <v>123</v>
      </c>
      <c r="F1705" t="s">
        <v>62</v>
      </c>
      <c r="G170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05" s="13" t="s">
        <v>66</v>
      </c>
      <c r="I1705" s="4">
        <f>_xlfn.XLOOKUP(Table1[[#This Row], [WEAPON]],Sheet1!$A$27:$A$29,Sheet1!$B$27:$B$29)*Table1[[#This Row], [NUM OF MEM]]*(1+_xlfn.XLOOKUP(Table1[[#This Row], [WEAPON]],Sheet1!$A$27:$A$29,Sheet1!$C$27:$C$29))</f>
        <v>72000</v>
      </c>
      <c r="J1705" t="s">
        <v>64</v>
      </c>
      <c r="K1705" s="9">
        <f>Table1[[#This Row], [NUM OF MEM]]*Table1[[#This Row], [TOTAL TIME TAKEN]]*_xlfn.XLOOKUP(Table1[[#This Row], [EXIT]],Sheet1!$A$70:$A$71,Sheet1!$B$70:$B$71)*(1+_xlfn.XLOOKUP(Table1[[#This Row], [EXIT]],Sheet1!$A$70:$A$71,Sheet1!$C$70:$C$71))</f>
        <v>1815436.7999999996</v>
      </c>
      <c r="L1705" s="13" t="s">
        <v>65</v>
      </c>
      <c r="M1705" s="4">
        <f>IF(Table1[[#This Row], [EQUIPMENT]]="YES",Sheet1!$C$44*(1+Sheet1!$D$44),0)</f>
        <v>307500</v>
      </c>
      <c r="N1705" s="4">
        <f>_xlfn.XLOOKUP(Table1[[#This Row], [ROOM]],Sheet1!$A$47:$A$66,Sheet1!$F$47:$F$66)</f>
        <v>17850000</v>
      </c>
      <c r="O1705" s="9">
        <f>_xlfn.XLOOKUP(_xlfn.CONCAT(Table1[[#This Row], [TEAM]],Table1[[#This Row], [ROOM]]),'ROOM TIME'!$H$2:$H$121,'ROOM TIME'!$J$2:$J$121)</f>
        <v>62.539999999999985</v>
      </c>
      <c r="P1705" s="9">
        <f>(INDEX(Sheet1!$X$48:$Z$67,MATCH(Table1[[#This Row], [ROOM]],Sheet1!$P$48:$P$67,0),MATCH(Table1[[#This Row], [WEAPON]],Sheet1!$X$47:$Z$47,0)))/Table1[[#This Row], [NUM OF MEM]]</f>
        <v>7.5</v>
      </c>
      <c r="Q1705" s="9">
        <f>Table1[[#This Row], [ROOM TIME]]+Table1[[#This Row], [GUARD TIME]]</f>
        <v>70.039999999999992</v>
      </c>
      <c r="R1705" s="4">
        <f>Sheet1!$K$3*_xlfn.XLOOKUP(Table1[[#This Row], [DISGUISE]],Sheet1!$A$21:$A$23,Sheet1!$D$21:$D$23)</f>
        <v>66</v>
      </c>
      <c r="S1705" s="9">
        <f>Table1[[#This Row], [TOTAL TIME]]-Table1[[#This Row], [TOTAL TIME TAKEN]]</f>
        <v>-4.039999999999992</v>
      </c>
      <c r="T1705" t="str">
        <f>IF(Table1[[#This Row], [TIME DIFFERENCE]]&gt;=0,"PASS","FAIL")</f>
        <v>FAIL</v>
      </c>
      <c r="U1705" s="9">
        <f>Table1[[#This Row], [TRC]]+Table1[[#This Row], [DRC]]+Table1[[#This Row], [WRC]]+Table1[[#This Row], [ERC]]+Table1[[#This Row], [EQRC]]</f>
        <v>8288136.7999999998</v>
      </c>
      <c r="V1705" s="9">
        <f>Table1[[#This Row], [TOTAL COST]]+_xlfn.XLOOKUP(Table1[[#This Row], [TEAM]],Sheet1!$A$12:$A$17,Sheet1!$I$12:$I$17)</f>
        <v>8592276.8000000007</v>
      </c>
      <c r="W1705" s="9">
        <f>Table1[[#This Row], [LOOT]]-Table1[[#This Row], [TOTAL COST]]</f>
        <v>9561863.1999999993</v>
      </c>
      <c r="X1705" s="4">
        <f>IF(Table1[[#This Row], [PASS/FAIL]]="FAIL",0,Table1[[#This Row], [PROFIT]])</f>
        <v>0</v>
      </c>
    </row>
    <row r="1706" spans="1:24" ht="19.5" customHeight="1" x14ac:dyDescent="0.45">
      <c r="A1706" t="s">
        <v>16</v>
      </c>
      <c r="B1706" s="14">
        <f>_xlfn.XLOOKUP(Table1[[#This Row], [TEAM]],Sheet1!$A$12:$A$17,Sheet1!$F$12:$F$17)</f>
        <v>2</v>
      </c>
      <c r="C1706" s="14">
        <f>_xlfn.XLOOKUP(Table1[[#This Row], [TEAM]],Sheet1!$A$12:$A$17,Sheet1!$G$12:$G$17)</f>
        <v>6082800</v>
      </c>
      <c r="D1706" t="s">
        <v>10</v>
      </c>
      <c r="E1706" s="4">
        <f>_xlfn.XLOOKUP(Table1[[#This Row], [ROOM]],Sheet1!$A$47:$A$66,Sheet1!$B$47:$B$66)</f>
        <v>123</v>
      </c>
      <c r="F1706" t="s">
        <v>58</v>
      </c>
      <c r="G1706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6" s="13" t="s">
        <v>63</v>
      </c>
      <c r="I1706" s="4">
        <f>_xlfn.XLOOKUP(Table1[[#This Row], [WEAPON]],Sheet1!$A$27:$A$29,Sheet1!$B$27:$B$29)*Table1[[#This Row], [NUM OF MEM]]*(1+_xlfn.XLOOKUP(Table1[[#This Row], [WEAPON]],Sheet1!$A$27:$A$29,Sheet1!$C$27:$C$29))</f>
        <v>46000</v>
      </c>
      <c r="J1706" t="s">
        <v>64</v>
      </c>
      <c r="K1706" s="9">
        <f>Table1[[#This Row], [NUM OF MEM]]*Table1[[#This Row], [TOTAL TIME TAKEN]]*_xlfn.XLOOKUP(Table1[[#This Row], [EXIT]],Sheet1!$A$70:$A$71,Sheet1!$B$70:$B$71)*(1+_xlfn.XLOOKUP(Table1[[#This Row], [EXIT]],Sheet1!$A$70:$A$71,Sheet1!$C$70:$C$71))</f>
        <v>1830988.7999999996</v>
      </c>
      <c r="L1706" s="13" t="s">
        <v>65</v>
      </c>
      <c r="M1706" s="4">
        <f>IF(Table1[[#This Row], [EQUIPMENT]]="YES",Sheet1!$C$44*(1+Sheet1!$D$44),0)</f>
        <v>307500</v>
      </c>
      <c r="N1706" s="4">
        <f>_xlfn.XLOOKUP(Table1[[#This Row], [ROOM]],Sheet1!$A$47:$A$66,Sheet1!$F$47:$F$66)</f>
        <v>17850000</v>
      </c>
      <c r="O1706" s="9">
        <f>_xlfn.XLOOKUP(_xlfn.CONCAT(Table1[[#This Row], [TEAM]],Table1[[#This Row], [ROOM]]),'ROOM TIME'!$H$2:$H$121,'ROOM TIME'!$J$2:$J$121)</f>
        <v>62.539999999999985</v>
      </c>
      <c r="P1706" s="9">
        <f>(INDEX(Sheet1!$X$48:$Z$67,MATCH(Table1[[#This Row], [ROOM]],Sheet1!$P$48:$P$67,0),MATCH(Table1[[#This Row], [WEAPON]],Sheet1!$X$47:$Z$47,0)))/Table1[[#This Row], [NUM OF MEM]]</f>
        <v>8.1000000000000014</v>
      </c>
      <c r="Q1706" s="9">
        <f>Table1[[#This Row], [ROOM TIME]]+Table1[[#This Row], [GUARD TIME]]</f>
        <v>70.639999999999986</v>
      </c>
      <c r="R1706" s="4">
        <f>Sheet1!$K$3*_xlfn.XLOOKUP(Table1[[#This Row], [DISGUISE]],Sheet1!$A$21:$A$23,Sheet1!$D$21:$D$23)</f>
        <v>69</v>
      </c>
      <c r="S1706" s="9">
        <f>Table1[[#This Row], [TOTAL TIME]]-Table1[[#This Row], [TOTAL TIME TAKEN]]</f>
        <v>-1.6399999999999864</v>
      </c>
      <c r="T1706" t="str">
        <f>IF(Table1[[#This Row], [TIME DIFFERENCE]]&gt;=0,"PASS","FAIL")</f>
        <v>FAIL</v>
      </c>
      <c r="U1706" s="9">
        <f>Table1[[#This Row], [TRC]]+Table1[[#This Row], [DRC]]+Table1[[#This Row], [WRC]]+Table1[[#This Row], [ERC]]+Table1[[#This Row], [EQRC]]</f>
        <v>8292888.7999999998</v>
      </c>
      <c r="V1706" s="9">
        <f>Table1[[#This Row], [TOTAL COST]]+_xlfn.XLOOKUP(Table1[[#This Row], [TEAM]],Sheet1!$A$12:$A$17,Sheet1!$I$12:$I$17)</f>
        <v>8597028.8000000007</v>
      </c>
      <c r="W1706" s="9">
        <f>Table1[[#This Row], [LOOT]]-Table1[[#This Row], [TOTAL COST]]</f>
        <v>9557111.1999999993</v>
      </c>
      <c r="X1706" s="4">
        <f>IF(Table1[[#This Row], [PASS/FAIL]]="FAIL",0,Table1[[#This Row], [PROFIT]])</f>
        <v>0</v>
      </c>
    </row>
    <row r="1707" spans="1:24" ht="19.5" customHeight="1" x14ac:dyDescent="0.45">
      <c r="A1707" t="s">
        <v>16</v>
      </c>
      <c r="B1707" s="14">
        <f>_xlfn.XLOOKUP(Table1[[#This Row], [TEAM]],Sheet1!$A$12:$A$17,Sheet1!$F$12:$F$17)</f>
        <v>2</v>
      </c>
      <c r="C1707" s="14">
        <f>_xlfn.XLOOKUP(Table1[[#This Row], [TEAM]],Sheet1!$A$12:$A$17,Sheet1!$G$12:$G$17)</f>
        <v>6082800</v>
      </c>
      <c r="D1707" t="s">
        <v>10</v>
      </c>
      <c r="E1707" s="4">
        <f>_xlfn.XLOOKUP(Table1[[#This Row], [ROOM]],Sheet1!$A$47:$A$66,Sheet1!$B$47:$B$66)</f>
        <v>123</v>
      </c>
      <c r="F1707" t="s">
        <v>58</v>
      </c>
      <c r="G1707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7" s="13" t="s">
        <v>66</v>
      </c>
      <c r="I1707" s="4">
        <f>_xlfn.XLOOKUP(Table1[[#This Row], [WEAPON]],Sheet1!$A$27:$A$29,Sheet1!$B$27:$B$29)*Table1[[#This Row], [NUM OF MEM]]*(1+_xlfn.XLOOKUP(Table1[[#This Row], [WEAPON]],Sheet1!$A$27:$A$29,Sheet1!$C$27:$C$29))</f>
        <v>72000</v>
      </c>
      <c r="J1707" t="s">
        <v>64</v>
      </c>
      <c r="K1707" s="9">
        <f>Table1[[#This Row], [NUM OF MEM]]*Table1[[#This Row], [TOTAL TIME TAKEN]]*_xlfn.XLOOKUP(Table1[[#This Row], [EXIT]],Sheet1!$A$70:$A$71,Sheet1!$B$70:$B$71)*(1+_xlfn.XLOOKUP(Table1[[#This Row], [EXIT]],Sheet1!$A$70:$A$71,Sheet1!$C$70:$C$71))</f>
        <v>1815436.7999999996</v>
      </c>
      <c r="L1707" s="13" t="s">
        <v>65</v>
      </c>
      <c r="M1707" s="4">
        <f>IF(Table1[[#This Row], [EQUIPMENT]]="YES",Sheet1!$C$44*(1+Sheet1!$D$44),0)</f>
        <v>307500</v>
      </c>
      <c r="N1707" s="4">
        <f>_xlfn.XLOOKUP(Table1[[#This Row], [ROOM]],Sheet1!$A$47:$A$66,Sheet1!$F$47:$F$66)</f>
        <v>17850000</v>
      </c>
      <c r="O1707" s="9">
        <f>_xlfn.XLOOKUP(_xlfn.CONCAT(Table1[[#This Row], [TEAM]],Table1[[#This Row], [ROOM]]),'ROOM TIME'!$H$2:$H$121,'ROOM TIME'!$J$2:$J$121)</f>
        <v>62.539999999999985</v>
      </c>
      <c r="P1707" s="9">
        <f>(INDEX(Sheet1!$X$48:$Z$67,MATCH(Table1[[#This Row], [ROOM]],Sheet1!$P$48:$P$67,0),MATCH(Table1[[#This Row], [WEAPON]],Sheet1!$X$47:$Z$47,0)))/Table1[[#This Row], [NUM OF MEM]]</f>
        <v>7.5</v>
      </c>
      <c r="Q1707" s="9">
        <f>Table1[[#This Row], [ROOM TIME]]+Table1[[#This Row], [GUARD TIME]]</f>
        <v>70.039999999999992</v>
      </c>
      <c r="R1707" s="4">
        <f>Sheet1!$K$3*_xlfn.XLOOKUP(Table1[[#This Row], [DISGUISE]],Sheet1!$A$21:$A$23,Sheet1!$D$21:$D$23)</f>
        <v>69</v>
      </c>
      <c r="S1707" s="9">
        <f>Table1[[#This Row], [TOTAL TIME]]-Table1[[#This Row], [TOTAL TIME TAKEN]]</f>
        <v>-1.039999999999992</v>
      </c>
      <c r="T1707" t="str">
        <f>IF(Table1[[#This Row], [TIME DIFFERENCE]]&gt;=0,"PASS","FAIL")</f>
        <v>FAIL</v>
      </c>
      <c r="U1707" s="9">
        <f>Table1[[#This Row], [TRC]]+Table1[[#This Row], [DRC]]+Table1[[#This Row], [WRC]]+Table1[[#This Row], [ERC]]+Table1[[#This Row], [EQRC]]</f>
        <v>8303336.7999999998</v>
      </c>
      <c r="V1707" s="9">
        <f>Table1[[#This Row], [TOTAL COST]]+_xlfn.XLOOKUP(Table1[[#This Row], [TEAM]],Sheet1!$A$12:$A$17,Sheet1!$I$12:$I$17)</f>
        <v>8607476.8000000007</v>
      </c>
      <c r="W1707" s="9">
        <f>Table1[[#This Row], [LOOT]]-Table1[[#This Row], [TOTAL COST]]</f>
        <v>9546663.1999999993</v>
      </c>
      <c r="X1707" s="4">
        <f>IF(Table1[[#This Row], [PASS/FAIL]]="FAIL",0,Table1[[#This Row], [PROFIT]])</f>
        <v>0</v>
      </c>
    </row>
    <row r="1708" spans="1:24" ht="19.5" customHeight="1" x14ac:dyDescent="0.45">
      <c r="A1708" t="s">
        <v>14</v>
      </c>
      <c r="B1708" s="14">
        <f>_xlfn.XLOOKUP(Table1[[#This Row], [TEAM]],Sheet1!$A$12:$A$17,Sheet1!$F$12:$F$17)</f>
        <v>2</v>
      </c>
      <c r="C1708" s="14">
        <f>_xlfn.XLOOKUP(Table1[[#This Row], [TEAM]],Sheet1!$A$12:$A$17,Sheet1!$G$12:$G$17)</f>
        <v>5949600</v>
      </c>
      <c r="D1708" t="s">
        <v>24</v>
      </c>
      <c r="E1708" s="4">
        <f>_xlfn.XLOOKUP(Table1[[#This Row], [ROOM]],Sheet1!$A$47:$A$66,Sheet1!$B$47:$B$66)</f>
        <v>345</v>
      </c>
      <c r="F1708" t="s">
        <v>58</v>
      </c>
      <c r="G1708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8" s="13" t="s">
        <v>63</v>
      </c>
      <c r="I1708" s="4">
        <f>_xlfn.XLOOKUP(Table1[[#This Row], [WEAPON]],Sheet1!$A$27:$A$29,Sheet1!$B$27:$B$29)*Table1[[#This Row], [NUM OF MEM]]*(1+_xlfn.XLOOKUP(Table1[[#This Row], [WEAPON]],Sheet1!$A$27:$A$29,Sheet1!$C$27:$C$29))</f>
        <v>46000</v>
      </c>
      <c r="J1708" t="s">
        <v>64</v>
      </c>
      <c r="K1708" s="9">
        <f>Table1[[#This Row], [NUM OF MEM]]*Table1[[#This Row], [TOTAL TIME TAKEN]]*_xlfn.XLOOKUP(Table1[[#This Row], [EXIT]],Sheet1!$A$70:$A$71,Sheet1!$B$70:$B$71)*(1+_xlfn.XLOOKUP(Table1[[#This Row], [EXIT]],Sheet1!$A$70:$A$71,Sheet1!$C$70:$C$71))</f>
        <v>1809507.5999999996</v>
      </c>
      <c r="L1708" s="13" t="s">
        <v>61</v>
      </c>
      <c r="M1708" s="4">
        <f>IF(Table1[[#This Row], [EQUIPMENT]]="YES",Sheet1!$C$44*(1+Sheet1!$D$44),0)</f>
        <v>0</v>
      </c>
      <c r="N1708" s="4">
        <f>_xlfn.XLOOKUP(Table1[[#This Row], [ROOM]],Sheet1!$A$47:$A$66,Sheet1!$F$47:$F$66)</f>
        <v>18000000</v>
      </c>
      <c r="O1708" s="9">
        <f>_xlfn.XLOOKUP(_xlfn.CONCAT(Table1[[#This Row], [TEAM]],Table1[[#This Row], [ROOM]]),'ROOM TIME'!$H$2:$H$121,'ROOM TIME'!$J$2:$J$121)</f>
        <v>61.711249999999986</v>
      </c>
      <c r="P1708" s="9">
        <f>(INDEX(Sheet1!$X$48:$Z$67,MATCH(Table1[[#This Row], [ROOM]],Sheet1!$P$48:$P$67,0),MATCH(Table1[[#This Row], [WEAPON]],Sheet1!$X$47:$Z$47,0)))/Table1[[#This Row], [NUM OF MEM]]</f>
        <v>8.1000000000000014</v>
      </c>
      <c r="Q1708" s="9">
        <f>Table1[[#This Row], [ROOM TIME]]+Table1[[#This Row], [GUARD TIME]]</f>
        <v>69.811249999999987</v>
      </c>
      <c r="R1708" s="4">
        <f>Sheet1!$K$3*_xlfn.XLOOKUP(Table1[[#This Row], [DISGUISE]],Sheet1!$A$21:$A$23,Sheet1!$D$21:$D$23)</f>
        <v>69</v>
      </c>
      <c r="S1708" s="9">
        <f>Table1[[#This Row], [TOTAL TIME]]-Table1[[#This Row], [TOTAL TIME TAKEN]]</f>
        <v>-0.81124999999998693</v>
      </c>
      <c r="T1708" t="str">
        <f>IF(Table1[[#This Row], [TIME DIFFERENCE]]&gt;=0,"PASS","FAIL")</f>
        <v>FAIL</v>
      </c>
      <c r="U1708" s="9">
        <f>Table1[[#This Row], [TRC]]+Table1[[#This Row], [DRC]]+Table1[[#This Row], [WRC]]+Table1[[#This Row], [ERC]]+Table1[[#This Row], [EQRC]]</f>
        <v>7830707.5999999996</v>
      </c>
      <c r="V1708" s="9">
        <f>Table1[[#This Row], [TOTAL COST]]+_xlfn.XLOOKUP(Table1[[#This Row], [TEAM]],Sheet1!$A$12:$A$17,Sheet1!$I$12:$I$17)</f>
        <v>8128187.5999999996</v>
      </c>
      <c r="W1708" s="9">
        <f>Table1[[#This Row], [LOOT]]-Table1[[#This Row], [TOTAL COST]]</f>
        <v>10169292.4</v>
      </c>
      <c r="X1708" s="4">
        <f>IF(Table1[[#This Row], [PASS/FAIL]]="FAIL",0,Table1[[#This Row], [PROFIT]])</f>
        <v>0</v>
      </c>
    </row>
    <row r="1709" spans="1:24" ht="19.5" customHeight="1" x14ac:dyDescent="0.45">
      <c r="A1709" t="s">
        <v>14</v>
      </c>
      <c r="B1709" s="14">
        <f>_xlfn.XLOOKUP(Table1[[#This Row], [TEAM]],Sheet1!$A$12:$A$17,Sheet1!$F$12:$F$17)</f>
        <v>2</v>
      </c>
      <c r="C1709" s="14">
        <f>_xlfn.XLOOKUP(Table1[[#This Row], [TEAM]],Sheet1!$A$12:$A$17,Sheet1!$G$12:$G$17)</f>
        <v>5949600</v>
      </c>
      <c r="D1709" t="s">
        <v>24</v>
      </c>
      <c r="E1709" s="4">
        <f>_xlfn.XLOOKUP(Table1[[#This Row], [ROOM]],Sheet1!$A$47:$A$66,Sheet1!$B$47:$B$66)</f>
        <v>345</v>
      </c>
      <c r="F1709" t="s">
        <v>58</v>
      </c>
      <c r="G1709" s="4">
        <f>_xlfn.XLOOKUP(Table1[[#This Row], [DISGUISE]],Sheet1!$A$21:$A$23,Sheet1!$B$21:$B$23)*Table1[[#This Row], [NUM OF MEM]]*(1+_xlfn.XLOOKUP(Table1[[#This Row], [DISGUISE]],Sheet1!$A$21:$A$23,Sheet1!$C$21:$C$23))</f>
        <v>25600</v>
      </c>
      <c r="H1709" s="13" t="s">
        <v>63</v>
      </c>
      <c r="I1709" s="4">
        <f>_xlfn.XLOOKUP(Table1[[#This Row], [WEAPON]],Sheet1!$A$27:$A$29,Sheet1!$B$27:$B$29)*Table1[[#This Row], [NUM OF MEM]]*(1+_xlfn.XLOOKUP(Table1[[#This Row], [WEAPON]],Sheet1!$A$27:$A$29,Sheet1!$C$27:$C$29))</f>
        <v>46000</v>
      </c>
      <c r="J1709" t="s">
        <v>64</v>
      </c>
      <c r="K1709" s="9">
        <f>Table1[[#This Row], [NUM OF MEM]]*Table1[[#This Row], [TOTAL TIME TAKEN]]*_xlfn.XLOOKUP(Table1[[#This Row], [EXIT]],Sheet1!$A$70:$A$71,Sheet1!$B$70:$B$71)*(1+_xlfn.XLOOKUP(Table1[[#This Row], [EXIT]],Sheet1!$A$70:$A$71,Sheet1!$C$70:$C$71))</f>
        <v>1809507.5999999996</v>
      </c>
      <c r="L1709" s="13" t="s">
        <v>65</v>
      </c>
      <c r="M1709" s="4">
        <f>IF(Table1[[#This Row], [EQUIPMENT]]="YES",Sheet1!$C$44*(1+Sheet1!$D$44),0)</f>
        <v>307500</v>
      </c>
      <c r="N1709" s="4">
        <f>_xlfn.XLOOKUP(Table1[[#This Row], [ROOM]],Sheet1!$A$47:$A$66,Sheet1!$F$47:$F$66)</f>
        <v>18000000</v>
      </c>
      <c r="O1709" s="9">
        <f>_xlfn.XLOOKUP(_xlfn.CONCAT(Table1[[#This Row], [TEAM]],Table1[[#This Row], [ROOM]]),'ROOM TIME'!$H$2:$H$121,'ROOM TIME'!$J$2:$J$121)</f>
        <v>61.711249999999986</v>
      </c>
      <c r="P1709" s="9">
        <f>(INDEX(Sheet1!$X$48:$Z$67,MATCH(Table1[[#This Row], [ROOM]],Sheet1!$P$48:$P$67,0),MATCH(Table1[[#This Row], [WEAPON]],Sheet1!$X$47:$Z$47,0)))/Table1[[#This Row], [NUM OF MEM]]</f>
        <v>8.1000000000000014</v>
      </c>
      <c r="Q1709" s="9">
        <f>Table1[[#This Row], [ROOM TIME]]+Table1[[#This Row], [GUARD TIME]]</f>
        <v>69.811249999999987</v>
      </c>
      <c r="R1709" s="4">
        <f>Sheet1!$K$3*_xlfn.XLOOKUP(Table1[[#This Row], [DISGUISE]],Sheet1!$A$21:$A$23,Sheet1!$D$21:$D$23)</f>
        <v>69</v>
      </c>
      <c r="S1709" s="9">
        <f>Table1[[#This Row], [TOTAL TIME]]-Table1[[#This Row], [TOTAL TIME TAKEN]]</f>
        <v>-0.81124999999998693</v>
      </c>
      <c r="T1709" t="str">
        <f>IF(Table1[[#This Row], [TIME DIFFERENCE]]&gt;=0,"PASS","FAIL")</f>
        <v>FAIL</v>
      </c>
      <c r="U1709" s="9">
        <f>Table1[[#This Row], [TRC]]+Table1[[#This Row], [DRC]]+Table1[[#This Row], [WRC]]+Table1[[#This Row], [ERC]]+Table1[[#This Row], [EQRC]]</f>
        <v>8138207.5999999996</v>
      </c>
      <c r="V1709" s="9">
        <f>Table1[[#This Row], [TOTAL COST]]+_xlfn.XLOOKUP(Table1[[#This Row], [TEAM]],Sheet1!$A$12:$A$17,Sheet1!$I$12:$I$17)</f>
        <v>8435687.5999999996</v>
      </c>
      <c r="W1709" s="9">
        <f>Table1[[#This Row], [LOOT]]-Table1[[#This Row], [TOTAL COST]]</f>
        <v>9861792.4000000004</v>
      </c>
      <c r="X1709" s="4">
        <f>IF(Table1[[#This Row], [PASS/FAIL]]="FAIL",0,Table1[[#This Row], [PROFIT]])</f>
        <v>0</v>
      </c>
    </row>
    <row r="1710" spans="1:24" ht="19.5" customHeight="1" x14ac:dyDescent="0.45">
      <c r="A1710" t="s">
        <v>14</v>
      </c>
      <c r="B1710" s="14">
        <f>_xlfn.XLOOKUP(Table1[[#This Row], [TEAM]],Sheet1!$A$12:$A$17,Sheet1!$F$12:$F$17)</f>
        <v>2</v>
      </c>
      <c r="C1710" s="14">
        <f>_xlfn.XLOOKUP(Table1[[#This Row], [TEAM]],Sheet1!$A$12:$A$17,Sheet1!$G$12:$G$17)</f>
        <v>5949600</v>
      </c>
      <c r="D1710" t="s">
        <v>24</v>
      </c>
      <c r="E1710" s="4">
        <f>_xlfn.XLOOKUP(Table1[[#This Row], [ROOM]],Sheet1!$A$47:$A$66,Sheet1!$B$47:$B$66)</f>
        <v>345</v>
      </c>
      <c r="F1710" t="s">
        <v>58</v>
      </c>
      <c r="G1710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0" s="13" t="s">
        <v>63</v>
      </c>
      <c r="I1710" s="4">
        <f>_xlfn.XLOOKUP(Table1[[#This Row], [WEAPON]],Sheet1!$A$27:$A$29,Sheet1!$B$27:$B$29)*Table1[[#This Row], [NUM OF MEM]]*(1+_xlfn.XLOOKUP(Table1[[#This Row], [WEAPON]],Sheet1!$A$27:$A$29,Sheet1!$C$27:$C$29))</f>
        <v>46000</v>
      </c>
      <c r="J1710" t="s">
        <v>60</v>
      </c>
      <c r="K1710" s="9">
        <f>Table1[[#This Row], [NUM OF MEM]]*Table1[[#This Row], [TOTAL TIME TAKEN]]*_xlfn.XLOOKUP(Table1[[#This Row], [EXIT]],Sheet1!$A$70:$A$71,Sheet1!$B$70:$B$71)*(1+_xlfn.XLOOKUP(Table1[[#This Row], [EXIT]],Sheet1!$A$70:$A$71,Sheet1!$C$70:$C$71))</f>
        <v>1791705.7312499997</v>
      </c>
      <c r="L1710" s="13" t="s">
        <v>61</v>
      </c>
      <c r="M1710" s="4">
        <f>IF(Table1[[#This Row], [EQUIPMENT]]="YES",Sheet1!$C$44*(1+Sheet1!$D$44),0)</f>
        <v>0</v>
      </c>
      <c r="N1710" s="4">
        <f>_xlfn.XLOOKUP(Table1[[#This Row], [ROOM]],Sheet1!$A$47:$A$66,Sheet1!$F$47:$F$66)</f>
        <v>18000000</v>
      </c>
      <c r="O1710" s="9">
        <f>_xlfn.XLOOKUP(_xlfn.CONCAT(Table1[[#This Row], [TEAM]],Table1[[#This Row], [ROOM]]),'ROOM TIME'!$H$2:$H$121,'ROOM TIME'!$J$2:$J$121)</f>
        <v>61.711249999999986</v>
      </c>
      <c r="P1710" s="9">
        <f>(INDEX(Sheet1!$X$48:$Z$67,MATCH(Table1[[#This Row], [ROOM]],Sheet1!$P$48:$P$67,0),MATCH(Table1[[#This Row], [WEAPON]],Sheet1!$X$47:$Z$47,0)))/Table1[[#This Row], [NUM OF MEM]]</f>
        <v>8.1000000000000014</v>
      </c>
      <c r="Q1710" s="9">
        <f>Table1[[#This Row], [ROOM TIME]]+Table1[[#This Row], [GUARD TIME]]</f>
        <v>69.811249999999987</v>
      </c>
      <c r="R1710" s="4">
        <f>Sheet1!$K$3*_xlfn.XLOOKUP(Table1[[#This Row], [DISGUISE]],Sheet1!$A$21:$A$23,Sheet1!$D$21:$D$23)</f>
        <v>69</v>
      </c>
      <c r="S1710" s="9">
        <f>Table1[[#This Row], [TOTAL TIME]]-Table1[[#This Row], [TOTAL TIME TAKEN]]</f>
        <v>-0.81124999999998693</v>
      </c>
      <c r="T1710" t="str">
        <f>IF(Table1[[#This Row], [TIME DIFFERENCE]]&gt;=0,"PASS","FAIL")</f>
        <v>FAIL</v>
      </c>
      <c r="U1710" s="9">
        <f>Table1[[#This Row], [TRC]]+Table1[[#This Row], [DRC]]+Table1[[#This Row], [WRC]]+Table1[[#This Row], [ERC]]+Table1[[#This Row], [EQRC]]</f>
        <v>7812905.7312499993</v>
      </c>
      <c r="V1710" s="9">
        <f>Table1[[#This Row], [TOTAL COST]]+_xlfn.XLOOKUP(Table1[[#This Row], [TEAM]],Sheet1!$A$12:$A$17,Sheet1!$I$12:$I$17)</f>
        <v>8110385.7312499993</v>
      </c>
      <c r="W1710" s="9">
        <f>Table1[[#This Row], [LOOT]]-Table1[[#This Row], [TOTAL COST]]</f>
        <v>10187094.268750001</v>
      </c>
      <c r="X1710" s="4">
        <f>IF(Table1[[#This Row], [PASS/FAIL]]="FAIL",0,Table1[[#This Row], [PROFIT]])</f>
        <v>0</v>
      </c>
    </row>
    <row r="1711" spans="1:24" ht="19.5" customHeight="1" x14ac:dyDescent="0.45">
      <c r="A1711" t="s">
        <v>14</v>
      </c>
      <c r="B1711" s="14">
        <f>_xlfn.XLOOKUP(Table1[[#This Row], [TEAM]],Sheet1!$A$12:$A$17,Sheet1!$F$12:$F$17)</f>
        <v>2</v>
      </c>
      <c r="C1711" s="14">
        <f>_xlfn.XLOOKUP(Table1[[#This Row], [TEAM]],Sheet1!$A$12:$A$17,Sheet1!$G$12:$G$17)</f>
        <v>5949600</v>
      </c>
      <c r="D1711" t="s">
        <v>24</v>
      </c>
      <c r="E1711" s="4">
        <f>_xlfn.XLOOKUP(Table1[[#This Row], [ROOM]],Sheet1!$A$47:$A$66,Sheet1!$B$47:$B$66)</f>
        <v>345</v>
      </c>
      <c r="F1711" t="s">
        <v>58</v>
      </c>
      <c r="G1711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1" s="13" t="s">
        <v>63</v>
      </c>
      <c r="I1711" s="4">
        <f>_xlfn.XLOOKUP(Table1[[#This Row], [WEAPON]],Sheet1!$A$27:$A$29,Sheet1!$B$27:$B$29)*Table1[[#This Row], [NUM OF MEM]]*(1+_xlfn.XLOOKUP(Table1[[#This Row], [WEAPON]],Sheet1!$A$27:$A$29,Sheet1!$C$27:$C$29))</f>
        <v>46000</v>
      </c>
      <c r="J1711" t="s">
        <v>60</v>
      </c>
      <c r="K1711" s="9">
        <f>Table1[[#This Row], [NUM OF MEM]]*Table1[[#This Row], [TOTAL TIME TAKEN]]*_xlfn.XLOOKUP(Table1[[#This Row], [EXIT]],Sheet1!$A$70:$A$71,Sheet1!$B$70:$B$71)*(1+_xlfn.XLOOKUP(Table1[[#This Row], [EXIT]],Sheet1!$A$70:$A$71,Sheet1!$C$70:$C$71))</f>
        <v>1791705.7312499997</v>
      </c>
      <c r="L1711" s="13" t="s">
        <v>65</v>
      </c>
      <c r="M1711" s="4">
        <f>IF(Table1[[#This Row], [EQUIPMENT]]="YES",Sheet1!$C$44*(1+Sheet1!$D$44),0)</f>
        <v>307500</v>
      </c>
      <c r="N1711" s="4">
        <f>_xlfn.XLOOKUP(Table1[[#This Row], [ROOM]],Sheet1!$A$47:$A$66,Sheet1!$F$47:$F$66)</f>
        <v>18000000</v>
      </c>
      <c r="O1711" s="9">
        <f>_xlfn.XLOOKUP(_xlfn.CONCAT(Table1[[#This Row], [TEAM]],Table1[[#This Row], [ROOM]]),'ROOM TIME'!$H$2:$H$121,'ROOM TIME'!$J$2:$J$121)</f>
        <v>61.711249999999986</v>
      </c>
      <c r="P1711" s="9">
        <f>(INDEX(Sheet1!$X$48:$Z$67,MATCH(Table1[[#This Row], [ROOM]],Sheet1!$P$48:$P$67,0),MATCH(Table1[[#This Row], [WEAPON]],Sheet1!$X$47:$Z$47,0)))/Table1[[#This Row], [NUM OF MEM]]</f>
        <v>8.1000000000000014</v>
      </c>
      <c r="Q1711" s="9">
        <f>Table1[[#This Row], [ROOM TIME]]+Table1[[#This Row], [GUARD TIME]]</f>
        <v>69.811249999999987</v>
      </c>
      <c r="R1711" s="4">
        <f>Sheet1!$K$3*_xlfn.XLOOKUP(Table1[[#This Row], [DISGUISE]],Sheet1!$A$21:$A$23,Sheet1!$D$21:$D$23)</f>
        <v>69</v>
      </c>
      <c r="S1711" s="9">
        <f>Table1[[#This Row], [TOTAL TIME]]-Table1[[#This Row], [TOTAL TIME TAKEN]]</f>
        <v>-0.81124999999998693</v>
      </c>
      <c r="T1711" t="str">
        <f>IF(Table1[[#This Row], [TIME DIFFERENCE]]&gt;=0,"PASS","FAIL")</f>
        <v>FAIL</v>
      </c>
      <c r="U1711" s="9">
        <f>Table1[[#This Row], [TRC]]+Table1[[#This Row], [DRC]]+Table1[[#This Row], [WRC]]+Table1[[#This Row], [ERC]]+Table1[[#This Row], [EQRC]]</f>
        <v>8120405.7312499993</v>
      </c>
      <c r="V1711" s="9">
        <f>Table1[[#This Row], [TOTAL COST]]+_xlfn.XLOOKUP(Table1[[#This Row], [TEAM]],Sheet1!$A$12:$A$17,Sheet1!$I$12:$I$17)</f>
        <v>8417885.7312499993</v>
      </c>
      <c r="W1711" s="9">
        <f>Table1[[#This Row], [LOOT]]-Table1[[#This Row], [TOTAL COST]]</f>
        <v>9879594.2687500007</v>
      </c>
      <c r="X1711" s="4">
        <f>IF(Table1[[#This Row], [PASS/FAIL]]="FAIL",0,Table1[[#This Row], [PROFIT]])</f>
        <v>0</v>
      </c>
    </row>
    <row r="1712" spans="1:24" ht="19.5" customHeight="1" x14ac:dyDescent="0.45">
      <c r="A1712" t="s">
        <v>14</v>
      </c>
      <c r="B1712" s="14">
        <f>_xlfn.XLOOKUP(Table1[[#This Row], [TEAM]],Sheet1!$A$12:$A$17,Sheet1!$F$12:$F$17)</f>
        <v>2</v>
      </c>
      <c r="C1712" s="14">
        <f>_xlfn.XLOOKUP(Table1[[#This Row], [TEAM]],Sheet1!$A$12:$A$17,Sheet1!$G$12:$G$17)</f>
        <v>5949600</v>
      </c>
      <c r="D1712" t="s">
        <v>24</v>
      </c>
      <c r="E1712" s="4">
        <f>_xlfn.XLOOKUP(Table1[[#This Row], [ROOM]],Sheet1!$A$47:$A$66,Sheet1!$B$47:$B$66)</f>
        <v>345</v>
      </c>
      <c r="F1712" t="s">
        <v>62</v>
      </c>
      <c r="G171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12" s="13" t="s">
        <v>63</v>
      </c>
      <c r="I1712" s="4">
        <f>_xlfn.XLOOKUP(Table1[[#This Row], [WEAPON]],Sheet1!$A$27:$A$29,Sheet1!$B$27:$B$29)*Table1[[#This Row], [NUM OF MEM]]*(1+_xlfn.XLOOKUP(Table1[[#This Row], [WEAPON]],Sheet1!$A$27:$A$29,Sheet1!$C$27:$C$29))</f>
        <v>46000</v>
      </c>
      <c r="J1712" t="s">
        <v>64</v>
      </c>
      <c r="K1712" s="9">
        <f>Table1[[#This Row], [NUM OF MEM]]*Table1[[#This Row], [TOTAL TIME TAKEN]]*_xlfn.XLOOKUP(Table1[[#This Row], [EXIT]],Sheet1!$A$70:$A$71,Sheet1!$B$70:$B$71)*(1+_xlfn.XLOOKUP(Table1[[#This Row], [EXIT]],Sheet1!$A$70:$A$71,Sheet1!$C$70:$C$71))</f>
        <v>1809507.5999999996</v>
      </c>
      <c r="L1712" s="13" t="s">
        <v>61</v>
      </c>
      <c r="M1712" s="4">
        <f>IF(Table1[[#This Row], [EQUIPMENT]]="YES",Sheet1!$C$44*(1+Sheet1!$D$44),0)</f>
        <v>0</v>
      </c>
      <c r="N1712" s="4">
        <f>_xlfn.XLOOKUP(Table1[[#This Row], [ROOM]],Sheet1!$A$47:$A$66,Sheet1!$F$47:$F$66)</f>
        <v>18000000</v>
      </c>
      <c r="O1712" s="9">
        <f>_xlfn.XLOOKUP(_xlfn.CONCAT(Table1[[#This Row], [TEAM]],Table1[[#This Row], [ROOM]]),'ROOM TIME'!$H$2:$H$121,'ROOM TIME'!$J$2:$J$121)</f>
        <v>61.711249999999986</v>
      </c>
      <c r="P1712" s="9">
        <f>(INDEX(Sheet1!$X$48:$Z$67,MATCH(Table1[[#This Row], [ROOM]],Sheet1!$P$48:$P$67,0),MATCH(Table1[[#This Row], [WEAPON]],Sheet1!$X$47:$Z$47,0)))/Table1[[#This Row], [NUM OF MEM]]</f>
        <v>8.1000000000000014</v>
      </c>
      <c r="Q1712" s="9">
        <f>Table1[[#This Row], [ROOM TIME]]+Table1[[#This Row], [GUARD TIME]]</f>
        <v>69.811249999999987</v>
      </c>
      <c r="R1712" s="4">
        <f>Sheet1!$K$3*_xlfn.XLOOKUP(Table1[[#This Row], [DISGUISE]],Sheet1!$A$21:$A$23,Sheet1!$D$21:$D$23)</f>
        <v>66</v>
      </c>
      <c r="S1712" s="9">
        <f>Table1[[#This Row], [TOTAL TIME]]-Table1[[#This Row], [TOTAL TIME TAKEN]]</f>
        <v>-3.8112499999999869</v>
      </c>
      <c r="T1712" t="str">
        <f>IF(Table1[[#This Row], [TIME DIFFERENCE]]&gt;=0,"PASS","FAIL")</f>
        <v>FAIL</v>
      </c>
      <c r="U1712" s="9">
        <f>Table1[[#This Row], [TRC]]+Table1[[#This Row], [DRC]]+Table1[[#This Row], [WRC]]+Table1[[#This Row], [ERC]]+Table1[[#This Row], [EQRC]]</f>
        <v>7815507.5999999996</v>
      </c>
      <c r="V1712" s="9">
        <f>Table1[[#This Row], [TOTAL COST]]+_xlfn.XLOOKUP(Table1[[#This Row], [TEAM]],Sheet1!$A$12:$A$17,Sheet1!$I$12:$I$17)</f>
        <v>8112987.5999999996</v>
      </c>
      <c r="W1712" s="9">
        <f>Table1[[#This Row], [LOOT]]-Table1[[#This Row], [TOTAL COST]]</f>
        <v>10184492.4</v>
      </c>
      <c r="X1712" s="4">
        <f>IF(Table1[[#This Row], [PASS/FAIL]]="FAIL",0,Table1[[#This Row], [PROFIT]])</f>
        <v>0</v>
      </c>
    </row>
    <row r="1713" spans="1:24" ht="19.5" customHeight="1" x14ac:dyDescent="0.45">
      <c r="A1713" t="s">
        <v>14</v>
      </c>
      <c r="B1713" s="14">
        <f>_xlfn.XLOOKUP(Table1[[#This Row], [TEAM]],Sheet1!$A$12:$A$17,Sheet1!$F$12:$F$17)</f>
        <v>2</v>
      </c>
      <c r="C1713" s="14">
        <f>_xlfn.XLOOKUP(Table1[[#This Row], [TEAM]],Sheet1!$A$12:$A$17,Sheet1!$G$12:$G$17)</f>
        <v>5949600</v>
      </c>
      <c r="D1713" t="s">
        <v>24</v>
      </c>
      <c r="E1713" s="4">
        <f>_xlfn.XLOOKUP(Table1[[#This Row], [ROOM]],Sheet1!$A$47:$A$66,Sheet1!$B$47:$B$66)</f>
        <v>345</v>
      </c>
      <c r="F1713" t="s">
        <v>58</v>
      </c>
      <c r="G1713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3" s="13" t="s">
        <v>66</v>
      </c>
      <c r="I1713" s="4">
        <f>_xlfn.XLOOKUP(Table1[[#This Row], [WEAPON]],Sheet1!$A$27:$A$29,Sheet1!$B$27:$B$29)*Table1[[#This Row], [NUM OF MEM]]*(1+_xlfn.XLOOKUP(Table1[[#This Row], [WEAPON]],Sheet1!$A$27:$A$29,Sheet1!$C$27:$C$29))</f>
        <v>72000</v>
      </c>
      <c r="J1713" t="s">
        <v>64</v>
      </c>
      <c r="K1713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1793955.5999999994</v>
      </c>
      <c r="L1713" s="13" t="s">
        <v>61</v>
      </c>
      <c r="M1713" s="4">
        <f>IF(Table1[[#This Row], [EQUIPMENT]]="YES",Sheet1!$C$44*(1+Sheet1!$D$44),0)</f>
        <v>0</v>
      </c>
      <c r="N1713" s="4">
        <f>_xlfn.XLOOKUP(Table1[[#This Row], [ROOM]],Sheet1!$A$47:$A$66,Sheet1!$F$47:$F$66)</f>
        <v>18000000</v>
      </c>
      <c r="O1713" s="9">
        <f>_xlfn.XLOOKUP(_xlfn.CONCAT(Table1[[#This Row], [TEAM]],Table1[[#This Row], [ROOM]]),'ROOM TIME'!$H$2:$H$121,'ROOM TIME'!$J$2:$J$121)</f>
        <v>61.711249999999986</v>
      </c>
      <c r="P1713" s="9">
        <f>(INDEX(Sheet1!$X$48:$Z$67,MATCH(Table1[[#This Row], [ROOM]],Sheet1!$P$48:$P$67,0),MATCH(Table1[[#This Row], [WEAPON]],Sheet1!$X$47:$Z$47,0)))/Table1[[#This Row], [NUM OF MEM]]</f>
        <v>7.5</v>
      </c>
      <c r="Q1713" s="9">
        <f>Table1[[#This Row], [ROOM TIME]]+Table1[[#This Row], [GUARD TIME]]</f>
        <v>69.211249999999978</v>
      </c>
      <c r="R1713" s="4">
        <f>Sheet1!$K$3*_xlfn.XLOOKUP(Table1[[#This Row], [DISGUISE]],Sheet1!$A$21:$A$23,Sheet1!$D$21:$D$23)</f>
        <v>69</v>
      </c>
      <c r="S1713" s="9">
        <f>Table1[[#This Row], [TOTAL TIME]]-Table1[[#This Row], [TOTAL TIME TAKEN]]</f>
        <v>-0.2112499999999784</v>
      </c>
      <c r="T1713" t="str">
        <f>IF(Table1[[#This Row], [TIME DIFFERENCE]]&gt;=0,"PASS","FAIL")</f>
        <v>FAIL</v>
      </c>
      <c r="U1713" s="9">
        <f>Table1[[#This Row], [TRC]]+Table1[[#This Row], [DRC]]+Table1[[#This Row], [WRC]]+Table1[[#This Row], [ERC]]+Table1[[#This Row], [EQRC]]</f>
        <v>7841155.5999999996</v>
      </c>
      <c r="V1713" s="9">
        <f>Table1[[#This Row], [TOTAL COST]]+_xlfn.XLOOKUP(Table1[[#This Row], [TEAM]],Sheet1!$A$12:$A$17,Sheet1!$I$12:$I$17)</f>
        <v>8138635.5999999996</v>
      </c>
      <c r="W1713" s="9">
        <f>Table1[[#This Row], [LOOT]]-Table1[[#This Row], [TOTAL COST]]</f>
        <v>10158844.4</v>
      </c>
      <c r="X1713" s="4">
        <f>IF(Table1[[#This Row], [PASS/FAIL]]="FAIL",0,Table1[[#This Row], [PROFIT]])</f>
        <v>0</v>
      </c>
    </row>
    <row r="1714" spans="1:24" ht="19.5" customHeight="1" x14ac:dyDescent="0.45">
      <c r="A1714" t="s">
        <v>14</v>
      </c>
      <c r="B1714" s="14">
        <f>_xlfn.XLOOKUP(Table1[[#This Row], [TEAM]],Sheet1!$A$12:$A$17,Sheet1!$F$12:$F$17)</f>
        <v>2</v>
      </c>
      <c r="C1714" s="14">
        <f>_xlfn.XLOOKUP(Table1[[#This Row], [TEAM]],Sheet1!$A$12:$A$17,Sheet1!$G$12:$G$17)</f>
        <v>5949600</v>
      </c>
      <c r="D1714" t="s">
        <v>24</v>
      </c>
      <c r="E1714" s="4">
        <f>_xlfn.XLOOKUP(Table1[[#This Row], [ROOM]],Sheet1!$A$47:$A$66,Sheet1!$B$47:$B$66)</f>
        <v>345</v>
      </c>
      <c r="F1714" t="s">
        <v>62</v>
      </c>
      <c r="G171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14" s="13" t="s">
        <v>63</v>
      </c>
      <c r="I1714" s="4">
        <f>_xlfn.XLOOKUP(Table1[[#This Row], [WEAPON]],Sheet1!$A$27:$A$29,Sheet1!$B$27:$B$29)*Table1[[#This Row], [NUM OF MEM]]*(1+_xlfn.XLOOKUP(Table1[[#This Row], [WEAPON]],Sheet1!$A$27:$A$29,Sheet1!$C$27:$C$29))</f>
        <v>46000</v>
      </c>
      <c r="J1714" t="s">
        <v>64</v>
      </c>
      <c r="K1714" s="9">
        <f>Table1[[#This Row], [NUM OF MEM]]*Table1[[#This Row], [TOTAL TIME TAKEN]]*_xlfn.XLOOKUP(Table1[[#This Row], [EXIT]],Sheet1!$A$70:$A$71,Sheet1!$B$70:$B$71)*(1+_xlfn.XLOOKUP(Table1[[#This Row], [EXIT]],Sheet1!$A$70:$A$71,Sheet1!$C$70:$C$71))</f>
        <v>1809507.5999999996</v>
      </c>
      <c r="L1714" s="13" t="s">
        <v>65</v>
      </c>
      <c r="M1714" s="4">
        <f>IF(Table1[[#This Row], [EQUIPMENT]]="YES",Sheet1!$C$44*(1+Sheet1!$D$44),0)</f>
        <v>307500</v>
      </c>
      <c r="N1714" s="4">
        <f>_xlfn.XLOOKUP(Table1[[#This Row], [ROOM]],Sheet1!$A$47:$A$66,Sheet1!$F$47:$F$66)</f>
        <v>18000000</v>
      </c>
      <c r="O1714" s="9">
        <f>_xlfn.XLOOKUP(_xlfn.CONCAT(Table1[[#This Row], [TEAM]],Table1[[#This Row], [ROOM]]),'ROOM TIME'!$H$2:$H$121,'ROOM TIME'!$J$2:$J$121)</f>
        <v>61.711249999999986</v>
      </c>
      <c r="P1714" s="9">
        <f>(INDEX(Sheet1!$X$48:$Z$67,MATCH(Table1[[#This Row], [ROOM]],Sheet1!$P$48:$P$67,0),MATCH(Table1[[#This Row], [WEAPON]],Sheet1!$X$47:$Z$47,0)))/Table1[[#This Row], [NUM OF MEM]]</f>
        <v>8.1000000000000014</v>
      </c>
      <c r="Q1714" s="9">
        <f>Table1[[#This Row], [ROOM TIME]]+Table1[[#This Row], [GUARD TIME]]</f>
        <v>69.811249999999987</v>
      </c>
      <c r="R1714" s="4">
        <f>Sheet1!$K$3*_xlfn.XLOOKUP(Table1[[#This Row], [DISGUISE]],Sheet1!$A$21:$A$23,Sheet1!$D$21:$D$23)</f>
        <v>66</v>
      </c>
      <c r="S1714" s="9">
        <f>Table1[[#This Row], [TOTAL TIME]]-Table1[[#This Row], [TOTAL TIME TAKEN]]</f>
        <v>-3.8112499999999869</v>
      </c>
      <c r="T1714" t="str">
        <f>IF(Table1[[#This Row], [TIME DIFFERENCE]]&gt;=0,"PASS","FAIL")</f>
        <v>FAIL</v>
      </c>
      <c r="U1714" s="9">
        <f>Table1[[#This Row], [TRC]]+Table1[[#This Row], [DRC]]+Table1[[#This Row], [WRC]]+Table1[[#This Row], [ERC]]+Table1[[#This Row], [EQRC]]</f>
        <v>8123007.5999999996</v>
      </c>
      <c r="V1714" s="9">
        <f>Table1[[#This Row], [TOTAL COST]]+_xlfn.XLOOKUP(Table1[[#This Row], [TEAM]],Sheet1!$A$12:$A$17,Sheet1!$I$12:$I$17)</f>
        <v>8420487.5999999996</v>
      </c>
      <c r="W1714" s="9">
        <f>Table1[[#This Row], [LOOT]]-Table1[[#This Row], [TOTAL COST]]</f>
        <v>9876992.4000000004</v>
      </c>
      <c r="X1714" s="4">
        <f>IF(Table1[[#This Row], [PASS/FAIL]]="FAIL",0,Table1[[#This Row], [PROFIT]])</f>
        <v>0</v>
      </c>
    </row>
    <row r="1715" spans="1:24" ht="19.5" customHeight="1" x14ac:dyDescent="0.45">
      <c r="A1715" t="s">
        <v>14</v>
      </c>
      <c r="B1715" s="14">
        <f>_xlfn.XLOOKUP(Table1[[#This Row], [TEAM]],Sheet1!$A$12:$A$17,Sheet1!$F$12:$F$17)</f>
        <v>2</v>
      </c>
      <c r="C1715" s="14">
        <f>_xlfn.XLOOKUP(Table1[[#This Row], [TEAM]],Sheet1!$A$12:$A$17,Sheet1!$G$12:$G$17)</f>
        <v>5949600</v>
      </c>
      <c r="D1715" t="s">
        <v>24</v>
      </c>
      <c r="E1715" s="4">
        <f>_xlfn.XLOOKUP(Table1[[#This Row], [ROOM]],Sheet1!$A$47:$A$66,Sheet1!$B$47:$B$66)</f>
        <v>345</v>
      </c>
      <c r="F1715" t="s">
        <v>58</v>
      </c>
      <c r="G1715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5" s="13" t="s">
        <v>66</v>
      </c>
      <c r="I1715" s="4">
        <f>_xlfn.XLOOKUP(Table1[[#This Row], [WEAPON]],Sheet1!$A$27:$A$29,Sheet1!$B$27:$B$29)*Table1[[#This Row], [NUM OF MEM]]*(1+_xlfn.XLOOKUP(Table1[[#This Row], [WEAPON]],Sheet1!$A$27:$A$29,Sheet1!$C$27:$C$29))</f>
        <v>72000</v>
      </c>
      <c r="J1715" t="s">
        <v>64</v>
      </c>
      <c r="K1715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1793955.5999999994</v>
      </c>
      <c r="L1715" s="13" t="s">
        <v>65</v>
      </c>
      <c r="M1715" s="4">
        <f>IF(Table1[[#This Row], [EQUIPMENT]]="YES",Sheet1!$C$44*(1+Sheet1!$D$44),0)</f>
        <v>307500</v>
      </c>
      <c r="N1715" s="4">
        <f>_xlfn.XLOOKUP(Table1[[#This Row], [ROOM]],Sheet1!$A$47:$A$66,Sheet1!$F$47:$F$66)</f>
        <v>18000000</v>
      </c>
      <c r="O1715" s="9">
        <f>_xlfn.XLOOKUP(_xlfn.CONCAT(Table1[[#This Row], [TEAM]],Table1[[#This Row], [ROOM]]),'ROOM TIME'!$H$2:$H$121,'ROOM TIME'!$J$2:$J$121)</f>
        <v>61.711249999999986</v>
      </c>
      <c r="P1715" s="9">
        <f>(INDEX(Sheet1!$X$48:$Z$67,MATCH(Table1[[#This Row], [ROOM]],Sheet1!$P$48:$P$67,0),MATCH(Table1[[#This Row], [WEAPON]],Sheet1!$X$47:$Z$47,0)))/Table1[[#This Row], [NUM OF MEM]]</f>
        <v>7.5</v>
      </c>
      <c r="Q1715" s="9">
        <f>Table1[[#This Row], [ROOM TIME]]+Table1[[#This Row], [GUARD TIME]]</f>
        <v>69.211249999999978</v>
      </c>
      <c r="R1715" s="4">
        <f>Sheet1!$K$3*_xlfn.XLOOKUP(Table1[[#This Row], [DISGUISE]],Sheet1!$A$21:$A$23,Sheet1!$D$21:$D$23)</f>
        <v>69</v>
      </c>
      <c r="S1715" s="9">
        <f>Table1[[#This Row], [TOTAL TIME]]-Table1[[#This Row], [TOTAL TIME TAKEN]]</f>
        <v>-0.2112499999999784</v>
      </c>
      <c r="T1715" t="str">
        <f>IF(Table1[[#This Row], [TIME DIFFERENCE]]&gt;=0,"PASS","FAIL")</f>
        <v>FAIL</v>
      </c>
      <c r="U1715" s="9">
        <f>Table1[[#This Row], [TRC]]+Table1[[#This Row], [DRC]]+Table1[[#This Row], [WRC]]+Table1[[#This Row], [ERC]]+Table1[[#This Row], [EQRC]]</f>
        <v>8148655.5999999996</v>
      </c>
      <c r="V1715" s="9">
        <f>Table1[[#This Row], [TOTAL COST]]+_xlfn.XLOOKUP(Table1[[#This Row], [TEAM]],Sheet1!$A$12:$A$17,Sheet1!$I$12:$I$17)</f>
        <v>8446135.5999999996</v>
      </c>
      <c r="W1715" s="9">
        <f>Table1[[#This Row], [LOOT]]-Table1[[#This Row], [TOTAL COST]]</f>
        <v>9851344.4000000004</v>
      </c>
      <c r="X1715" s="4">
        <f>IF(Table1[[#This Row], [PASS/FAIL]]="FAIL",0,Table1[[#This Row], [PROFIT]])</f>
        <v>0</v>
      </c>
    </row>
    <row r="1716" spans="1:24" ht="19.5" customHeight="1" x14ac:dyDescent="0.45">
      <c r="A1716" t="s">
        <v>14</v>
      </c>
      <c r="B1716" s="14">
        <f>_xlfn.XLOOKUP(Table1[[#This Row], [TEAM]],Sheet1!$A$12:$A$17,Sheet1!$F$12:$F$17)</f>
        <v>2</v>
      </c>
      <c r="C1716" s="14">
        <f>_xlfn.XLOOKUP(Table1[[#This Row], [TEAM]],Sheet1!$A$12:$A$17,Sheet1!$G$12:$G$17)</f>
        <v>5949600</v>
      </c>
      <c r="D1716" t="s">
        <v>24</v>
      </c>
      <c r="E1716" s="4">
        <f>_xlfn.XLOOKUP(Table1[[#This Row], [ROOM]],Sheet1!$A$47:$A$66,Sheet1!$B$47:$B$66)</f>
        <v>345</v>
      </c>
      <c r="F1716" t="s">
        <v>62</v>
      </c>
      <c r="G171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16" s="13" t="s">
        <v>59</v>
      </c>
      <c r="I1716" s="4">
        <f>_xlfn.XLOOKUP(Table1[[#This Row], [WEAPON]],Sheet1!$A$27:$A$29,Sheet1!$B$27:$B$29)*Table1[[#This Row], [NUM OF MEM]]*(1+_xlfn.XLOOKUP(Table1[[#This Row], [WEAPON]],Sheet1!$A$27:$A$29,Sheet1!$C$27:$C$29))</f>
        <v>91000</v>
      </c>
      <c r="J1716" t="s">
        <v>64</v>
      </c>
      <c r="K1716" s="9">
        <f>Table1[[#This Row], [NUM OF MEM]]*Table1[[#This Row], [TOTAL TIME TAKEN]]*_xlfn.XLOOKUP(Table1[[#This Row], [EXIT]],Sheet1!$A$70:$A$71,Sheet1!$B$70:$B$71)*(1+_xlfn.XLOOKUP(Table1[[#This Row], [EXIT]],Sheet1!$A$70:$A$71,Sheet1!$C$70:$C$71))</f>
        <v>1778403.5999999996</v>
      </c>
      <c r="L1716" s="13" t="s">
        <v>61</v>
      </c>
      <c r="M1716" s="4">
        <f>IF(Table1[[#This Row], [EQUIPMENT]]="YES",Sheet1!$C$44*(1+Sheet1!$D$44),0)</f>
        <v>0</v>
      </c>
      <c r="N1716" s="4">
        <f>_xlfn.XLOOKUP(Table1[[#This Row], [ROOM]],Sheet1!$A$47:$A$66,Sheet1!$F$47:$F$66)</f>
        <v>18000000</v>
      </c>
      <c r="O1716" s="9">
        <f>_xlfn.XLOOKUP(_xlfn.CONCAT(Table1[[#This Row], [TEAM]],Table1[[#This Row], [ROOM]]),'ROOM TIME'!$H$2:$H$121,'ROOM TIME'!$J$2:$J$121)</f>
        <v>61.711249999999986</v>
      </c>
      <c r="P1716" s="9">
        <f>(INDEX(Sheet1!$X$48:$Z$67,MATCH(Table1[[#This Row], [ROOM]],Sheet1!$P$48:$P$67,0),MATCH(Table1[[#This Row], [WEAPON]],Sheet1!$X$47:$Z$47,0)))/Table1[[#This Row], [NUM OF MEM]]</f>
        <v>6.8999999999999995</v>
      </c>
      <c r="Q1716" s="9">
        <f>Table1[[#This Row], [ROOM TIME]]+Table1[[#This Row], [GUARD TIME]]</f>
        <v>68.611249999999984</v>
      </c>
      <c r="R1716" s="4">
        <f>Sheet1!$K$3*_xlfn.XLOOKUP(Table1[[#This Row], [DISGUISE]],Sheet1!$A$21:$A$23,Sheet1!$D$21:$D$23)</f>
        <v>66</v>
      </c>
      <c r="S1716" s="9">
        <f>Table1[[#This Row], [TOTAL TIME]]-Table1[[#This Row], [TOTAL TIME TAKEN]]</f>
        <v>-2.6112499999999841</v>
      </c>
      <c r="T1716" t="str">
        <f>IF(Table1[[#This Row], [TIME DIFFERENCE]]&gt;=0,"PASS","FAIL")</f>
        <v>FAIL</v>
      </c>
      <c r="U1716" s="9">
        <f>Table1[[#This Row], [TRC]]+Table1[[#This Row], [DRC]]+Table1[[#This Row], [WRC]]+Table1[[#This Row], [ERC]]+Table1[[#This Row], [EQRC]]</f>
        <v>7829403.5999999996</v>
      </c>
      <c r="V1716" s="9">
        <f>Table1[[#This Row], [TOTAL COST]]+_xlfn.XLOOKUP(Table1[[#This Row], [TEAM]],Sheet1!$A$12:$A$17,Sheet1!$I$12:$I$17)</f>
        <v>8126883.5999999996</v>
      </c>
      <c r="W1716" s="9">
        <f>Table1[[#This Row], [LOOT]]-Table1[[#This Row], [TOTAL COST]]</f>
        <v>10170596.4</v>
      </c>
      <c r="X1716" s="4">
        <f>IF(Table1[[#This Row], [PASS/FAIL]]="FAIL",0,Table1[[#This Row], [PROFIT]])</f>
        <v>0</v>
      </c>
    </row>
    <row r="1717" spans="1:24" ht="19.5" customHeight="1" x14ac:dyDescent="0.45">
      <c r="A1717" t="s">
        <v>14</v>
      </c>
      <c r="B1717" s="14">
        <f>_xlfn.XLOOKUP(Table1[[#This Row], [TEAM]],Sheet1!$A$12:$A$17,Sheet1!$F$12:$F$17)</f>
        <v>2</v>
      </c>
      <c r="C1717" s="14">
        <f>_xlfn.XLOOKUP(Table1[[#This Row], [TEAM]],Sheet1!$A$12:$A$17,Sheet1!$G$12:$G$17)</f>
        <v>5949600</v>
      </c>
      <c r="D1717" t="s">
        <v>24</v>
      </c>
      <c r="E1717" s="4">
        <f>_xlfn.XLOOKUP(Table1[[#This Row], [ROOM]],Sheet1!$A$47:$A$66,Sheet1!$B$47:$B$66)</f>
        <v>345</v>
      </c>
      <c r="F1717" t="s">
        <v>62</v>
      </c>
      <c r="G171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17" s="13" t="s">
        <v>59</v>
      </c>
      <c r="I1717" s="4">
        <f>_xlfn.XLOOKUP(Table1[[#This Row], [WEAPON]],Sheet1!$A$27:$A$29,Sheet1!$B$27:$B$29)*Table1[[#This Row], [NUM OF MEM]]*(1+_xlfn.XLOOKUP(Table1[[#This Row], [WEAPON]],Sheet1!$A$27:$A$29,Sheet1!$C$27:$C$29))</f>
        <v>91000</v>
      </c>
      <c r="J1717" t="s">
        <v>64</v>
      </c>
      <c r="K1717" s="9">
        <f>Table1[[#This Row], [NUM OF MEM]]*Table1[[#This Row], [TOTAL TIME TAKEN]]*_xlfn.XLOOKUP(Table1[[#This Row], [EXIT]],Sheet1!$A$70:$A$71,Sheet1!$B$70:$B$71)*(1+_xlfn.XLOOKUP(Table1[[#This Row], [EXIT]],Sheet1!$A$70:$A$71,Sheet1!$C$70:$C$71))</f>
        <v>1778403.5999999996</v>
      </c>
      <c r="L1717" s="13" t="s">
        <v>65</v>
      </c>
      <c r="M1717" s="4">
        <f>IF(Table1[[#This Row], [EQUIPMENT]]="YES",Sheet1!$C$44*(1+Sheet1!$D$44),0)</f>
        <v>307500</v>
      </c>
      <c r="N1717" s="4">
        <f>_xlfn.XLOOKUP(Table1[[#This Row], [ROOM]],Sheet1!$A$47:$A$66,Sheet1!$F$47:$F$66)</f>
        <v>18000000</v>
      </c>
      <c r="O1717" s="9">
        <f>_xlfn.XLOOKUP(_xlfn.CONCAT(Table1[[#This Row], [TEAM]],Table1[[#This Row], [ROOM]]),'ROOM TIME'!$H$2:$H$121,'ROOM TIME'!$J$2:$J$121)</f>
        <v>61.711249999999986</v>
      </c>
      <c r="P1717" s="9">
        <f>(INDEX(Sheet1!$X$48:$Z$67,MATCH(Table1[[#This Row], [ROOM]],Sheet1!$P$48:$P$67,0),MATCH(Table1[[#This Row], [WEAPON]],Sheet1!$X$47:$Z$47,0)))/Table1[[#This Row], [NUM OF MEM]]</f>
        <v>6.8999999999999995</v>
      </c>
      <c r="Q1717" s="9">
        <f>Table1[[#This Row], [ROOM TIME]]+Table1[[#This Row], [GUARD TIME]]</f>
        <v>68.611249999999984</v>
      </c>
      <c r="R1717" s="4">
        <f>Sheet1!$K$3*_xlfn.XLOOKUP(Table1[[#This Row], [DISGUISE]],Sheet1!$A$21:$A$23,Sheet1!$D$21:$D$23)</f>
        <v>66</v>
      </c>
      <c r="S1717" s="9">
        <f>Table1[[#This Row], [TOTAL TIME]]-Table1[[#This Row], [TOTAL TIME TAKEN]]</f>
        <v>-2.6112499999999841</v>
      </c>
      <c r="T1717" t="str">
        <f>IF(Table1[[#This Row], [TIME DIFFERENCE]]&gt;=0,"PASS","FAIL")</f>
        <v>FAIL</v>
      </c>
      <c r="U1717" s="9">
        <f>Table1[[#This Row], [TRC]]+Table1[[#This Row], [DRC]]+Table1[[#This Row], [WRC]]+Table1[[#This Row], [ERC]]+Table1[[#This Row], [EQRC]]</f>
        <v>8136903.5999999996</v>
      </c>
      <c r="V1717" s="9">
        <f>Table1[[#This Row], [TOTAL COST]]+_xlfn.XLOOKUP(Table1[[#This Row], [TEAM]],Sheet1!$A$12:$A$17,Sheet1!$I$12:$I$17)</f>
        <v>8434383.5999999996</v>
      </c>
      <c r="W1717" s="9">
        <f>Table1[[#This Row], [LOOT]]-Table1[[#This Row], [TOTAL COST]]</f>
        <v>9863096.4000000004</v>
      </c>
      <c r="X1717" s="4">
        <f>IF(Table1[[#This Row], [PASS/FAIL]]="FAIL",0,Table1[[#This Row], [PROFIT]])</f>
        <v>0</v>
      </c>
    </row>
    <row r="1718" spans="1:24" ht="19.5" customHeight="1" x14ac:dyDescent="0.45">
      <c r="A1718" t="s">
        <v>14</v>
      </c>
      <c r="B1718" s="14">
        <f>_xlfn.XLOOKUP(Table1[[#This Row], [TEAM]],Sheet1!$A$12:$A$17,Sheet1!$F$12:$F$17)</f>
        <v>2</v>
      </c>
      <c r="C1718" s="14">
        <f>_xlfn.XLOOKUP(Table1[[#This Row], [TEAM]],Sheet1!$A$12:$A$17,Sheet1!$G$12:$G$17)</f>
        <v>5949600</v>
      </c>
      <c r="D1718" t="s">
        <v>24</v>
      </c>
      <c r="E1718" s="4">
        <f>_xlfn.XLOOKUP(Table1[[#This Row], [ROOM]],Sheet1!$A$47:$A$66,Sheet1!$B$47:$B$66)</f>
        <v>345</v>
      </c>
      <c r="F1718" t="s">
        <v>62</v>
      </c>
      <c r="G171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18" s="13" t="s">
        <v>63</v>
      </c>
      <c r="I1718" s="4">
        <f>_xlfn.XLOOKUP(Table1[[#This Row], [WEAPON]],Sheet1!$A$27:$A$29,Sheet1!$B$27:$B$29)*Table1[[#This Row], [NUM OF MEM]]*(1+_xlfn.XLOOKUP(Table1[[#This Row], [WEAPON]],Sheet1!$A$27:$A$29,Sheet1!$C$27:$C$29))</f>
        <v>46000</v>
      </c>
      <c r="J1718" t="s">
        <v>60</v>
      </c>
      <c r="K1718" s="9">
        <f>Table1[[#This Row], [NUM OF MEM]]*Table1[[#This Row], [TOTAL TIME TAKEN]]*_xlfn.XLOOKUP(Table1[[#This Row], [EXIT]],Sheet1!$A$70:$A$71,Sheet1!$B$70:$B$71)*(1+_xlfn.XLOOKUP(Table1[[#This Row], [EXIT]],Sheet1!$A$70:$A$71,Sheet1!$C$70:$C$71))</f>
        <v>1791705.7312499997</v>
      </c>
      <c r="L1718" s="13" t="s">
        <v>61</v>
      </c>
      <c r="M1718" s="4">
        <f>IF(Table1[[#This Row], [EQUIPMENT]]="YES",Sheet1!$C$44*(1+Sheet1!$D$44),0)</f>
        <v>0</v>
      </c>
      <c r="N1718" s="4">
        <f>_xlfn.XLOOKUP(Table1[[#This Row], [ROOM]],Sheet1!$A$47:$A$66,Sheet1!$F$47:$F$66)</f>
        <v>18000000</v>
      </c>
      <c r="O1718" s="9">
        <f>_xlfn.XLOOKUP(_xlfn.CONCAT(Table1[[#This Row], [TEAM]],Table1[[#This Row], [ROOM]]),'ROOM TIME'!$H$2:$H$121,'ROOM TIME'!$J$2:$J$121)</f>
        <v>61.711249999999986</v>
      </c>
      <c r="P1718" s="9">
        <f>(INDEX(Sheet1!$X$48:$Z$67,MATCH(Table1[[#This Row], [ROOM]],Sheet1!$P$48:$P$67,0),MATCH(Table1[[#This Row], [WEAPON]],Sheet1!$X$47:$Z$47,0)))/Table1[[#This Row], [NUM OF MEM]]</f>
        <v>8.1000000000000014</v>
      </c>
      <c r="Q1718" s="9">
        <f>Table1[[#This Row], [ROOM TIME]]+Table1[[#This Row], [GUARD TIME]]</f>
        <v>69.811249999999987</v>
      </c>
      <c r="R1718" s="4">
        <f>Sheet1!$K$3*_xlfn.XLOOKUP(Table1[[#This Row], [DISGUISE]],Sheet1!$A$21:$A$23,Sheet1!$D$21:$D$23)</f>
        <v>66</v>
      </c>
      <c r="S1718" s="9">
        <f>Table1[[#This Row], [TOTAL TIME]]-Table1[[#This Row], [TOTAL TIME TAKEN]]</f>
        <v>-3.8112499999999869</v>
      </c>
      <c r="T1718" t="str">
        <f>IF(Table1[[#This Row], [TIME DIFFERENCE]]&gt;=0,"PASS","FAIL")</f>
        <v>FAIL</v>
      </c>
      <c r="U1718" s="9">
        <f>Table1[[#This Row], [TRC]]+Table1[[#This Row], [DRC]]+Table1[[#This Row], [WRC]]+Table1[[#This Row], [ERC]]+Table1[[#This Row], [EQRC]]</f>
        <v>7797705.7312499993</v>
      </c>
      <c r="V1718" s="9">
        <f>Table1[[#This Row], [TOTAL COST]]+_xlfn.XLOOKUP(Table1[[#This Row], [TEAM]],Sheet1!$A$12:$A$17,Sheet1!$I$12:$I$17)</f>
        <v>8095185.7312499993</v>
      </c>
      <c r="W1718" s="9">
        <f>Table1[[#This Row], [LOOT]]-Table1[[#This Row], [TOTAL COST]]</f>
        <v>10202294.268750001</v>
      </c>
      <c r="X1718" s="4">
        <f>IF(Table1[[#This Row], [PASS/FAIL]]="FAIL",0,Table1[[#This Row], [PROFIT]])</f>
        <v>0</v>
      </c>
    </row>
    <row r="1719" spans="1:24" ht="19.5" customHeight="1" x14ac:dyDescent="0.45">
      <c r="A1719" t="s">
        <v>14</v>
      </c>
      <c r="B1719" s="14">
        <f>_xlfn.XLOOKUP(Table1[[#This Row], [TEAM]],Sheet1!$A$12:$A$17,Sheet1!$F$12:$F$17)</f>
        <v>2</v>
      </c>
      <c r="C1719" s="14">
        <f>_xlfn.XLOOKUP(Table1[[#This Row], [TEAM]],Sheet1!$A$12:$A$17,Sheet1!$G$12:$G$17)</f>
        <v>5949600</v>
      </c>
      <c r="D1719" t="s">
        <v>24</v>
      </c>
      <c r="E1719" s="4">
        <f>_xlfn.XLOOKUP(Table1[[#This Row], [ROOM]],Sheet1!$A$47:$A$66,Sheet1!$B$47:$B$66)</f>
        <v>345</v>
      </c>
      <c r="F1719" t="s">
        <v>58</v>
      </c>
      <c r="G1719" s="4">
        <f>_xlfn.XLOOKUP(Table1[[#This Row], [DISGUISE]],Sheet1!$A$21:$A$23,Sheet1!$B$21:$B$23)*Table1[[#This Row], [NUM OF MEM]]*(1+_xlfn.XLOOKUP(Table1[[#This Row], [DISGUISE]],Sheet1!$A$21:$A$23,Sheet1!$C$21:$C$23))</f>
        <v>25600</v>
      </c>
      <c r="H1719" s="13" t="s">
        <v>66</v>
      </c>
      <c r="I1719" s="4">
        <f>_xlfn.XLOOKUP(Table1[[#This Row], [WEAPON]],Sheet1!$A$27:$A$29,Sheet1!$B$27:$B$29)*Table1[[#This Row], [NUM OF MEM]]*(1+_xlfn.XLOOKUP(Table1[[#This Row], [WEAPON]],Sheet1!$A$27:$A$29,Sheet1!$C$27:$C$29))</f>
        <v>72000</v>
      </c>
      <c r="J1719" t="s">
        <v>60</v>
      </c>
      <c r="K1719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1776306.7312499993</v>
      </c>
      <c r="L1719" s="13" t="s">
        <v>61</v>
      </c>
      <c r="M1719" s="4">
        <f>IF(Table1[[#This Row], [EQUIPMENT]]="YES",Sheet1!$C$44*(1+Sheet1!$D$44),0)</f>
        <v>0</v>
      </c>
      <c r="N1719" s="4">
        <f>_xlfn.XLOOKUP(Table1[[#This Row], [ROOM]],Sheet1!$A$47:$A$66,Sheet1!$F$47:$F$66)</f>
        <v>18000000</v>
      </c>
      <c r="O1719" s="9">
        <f>_xlfn.XLOOKUP(_xlfn.CONCAT(Table1[[#This Row], [TEAM]],Table1[[#This Row], [ROOM]]),'ROOM TIME'!$H$2:$H$121,'ROOM TIME'!$J$2:$J$121)</f>
        <v>61.711249999999986</v>
      </c>
      <c r="P1719" s="9">
        <f>(INDEX(Sheet1!$X$48:$Z$67,MATCH(Table1[[#This Row], [ROOM]],Sheet1!$P$48:$P$67,0),MATCH(Table1[[#This Row], [WEAPON]],Sheet1!$X$47:$Z$47,0)))/Table1[[#This Row], [NUM OF MEM]]</f>
        <v>7.5</v>
      </c>
      <c r="Q1719" s="9">
        <f>Table1[[#This Row], [ROOM TIME]]+Table1[[#This Row], [GUARD TIME]]</f>
        <v>69.211249999999978</v>
      </c>
      <c r="R1719" s="4">
        <f>Sheet1!$K$3*_xlfn.XLOOKUP(Table1[[#This Row], [DISGUISE]],Sheet1!$A$21:$A$23,Sheet1!$D$21:$D$23)</f>
        <v>69</v>
      </c>
      <c r="S1719" s="9">
        <f>Table1[[#This Row], [TOTAL TIME]]-Table1[[#This Row], [TOTAL TIME TAKEN]]</f>
        <v>-0.2112499999999784</v>
      </c>
      <c r="T1719" t="str">
        <f>IF(Table1[[#This Row], [TIME DIFFERENCE]]&gt;=0,"PASS","FAIL")</f>
        <v>FAIL</v>
      </c>
      <c r="U1719" s="9">
        <f>Table1[[#This Row], [TRC]]+Table1[[#This Row], [DRC]]+Table1[[#This Row], [WRC]]+Table1[[#This Row], [ERC]]+Table1[[#This Row], [EQRC]]</f>
        <v>7823506.7312499993</v>
      </c>
      <c r="V1719" s="9">
        <f>Table1[[#This Row], [TOTAL COST]]+_xlfn.XLOOKUP(Table1[[#This Row], [TEAM]],Sheet1!$A$12:$A$17,Sheet1!$I$12:$I$17)</f>
        <v>8120986.7312499993</v>
      </c>
      <c r="W1719" s="9">
        <f>Table1[[#This Row], [LOOT]]-Table1[[#This Row], [TOTAL COST]]</f>
        <v>10176493.268750001</v>
      </c>
      <c r="X1719" s="4">
        <f>IF(Table1[[#This Row], [PASS/FAIL]]="FAIL",0,Table1[[#This Row], [PROFIT]])</f>
        <v>0</v>
      </c>
    </row>
    <row r="1720" spans="1:24" ht="19.5" customHeight="1" x14ac:dyDescent="0.45">
      <c r="A1720" t="s">
        <v>14</v>
      </c>
      <c r="B1720" s="14">
        <f>_xlfn.XLOOKUP(Table1[[#This Row], [TEAM]],Sheet1!$A$12:$A$17,Sheet1!$F$12:$F$17)</f>
        <v>2</v>
      </c>
      <c r="C1720" s="14">
        <f>_xlfn.XLOOKUP(Table1[[#This Row], [TEAM]],Sheet1!$A$12:$A$17,Sheet1!$G$12:$G$17)</f>
        <v>5949600</v>
      </c>
      <c r="D1720" t="s">
        <v>24</v>
      </c>
      <c r="E1720" s="4">
        <f>_xlfn.XLOOKUP(Table1[[#This Row], [ROOM]],Sheet1!$A$47:$A$66,Sheet1!$B$47:$B$66)</f>
        <v>345</v>
      </c>
      <c r="F1720" t="s">
        <v>62</v>
      </c>
      <c r="G172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0" s="13" t="s">
        <v>63</v>
      </c>
      <c r="I1720" s="4">
        <f>_xlfn.XLOOKUP(Table1[[#This Row], [WEAPON]],Sheet1!$A$27:$A$29,Sheet1!$B$27:$B$29)*Table1[[#This Row], [NUM OF MEM]]*(1+_xlfn.XLOOKUP(Table1[[#This Row], [WEAPON]],Sheet1!$A$27:$A$29,Sheet1!$C$27:$C$29))</f>
        <v>46000</v>
      </c>
      <c r="J1720" t="s">
        <v>60</v>
      </c>
      <c r="K1720" s="9">
        <f>Table1[[#This Row], [NUM OF MEM]]*Table1[[#This Row], [TOTAL TIME TAKEN]]*_xlfn.XLOOKUP(Table1[[#This Row], [EXIT]],Sheet1!$A$70:$A$71,Sheet1!$B$70:$B$71)*(1+_xlfn.XLOOKUP(Table1[[#This Row], [EXIT]],Sheet1!$A$70:$A$71,Sheet1!$C$70:$C$71))</f>
        <v>1791705.7312499997</v>
      </c>
      <c r="L1720" s="13" t="s">
        <v>65</v>
      </c>
      <c r="M1720" s="4">
        <f>IF(Table1[[#This Row], [EQUIPMENT]]="YES",Sheet1!$C$44*(1+Sheet1!$D$44),0)</f>
        <v>307500</v>
      </c>
      <c r="N1720" s="4">
        <f>_xlfn.XLOOKUP(Table1[[#This Row], [ROOM]],Sheet1!$A$47:$A$66,Sheet1!$F$47:$F$66)</f>
        <v>18000000</v>
      </c>
      <c r="O1720" s="9">
        <f>_xlfn.XLOOKUP(_xlfn.CONCAT(Table1[[#This Row], [TEAM]],Table1[[#This Row], [ROOM]]),'ROOM TIME'!$H$2:$H$121,'ROOM TIME'!$J$2:$J$121)</f>
        <v>61.711249999999986</v>
      </c>
      <c r="P1720" s="9">
        <f>(INDEX(Sheet1!$X$48:$Z$67,MATCH(Table1[[#This Row], [ROOM]],Sheet1!$P$48:$P$67,0),MATCH(Table1[[#This Row], [WEAPON]],Sheet1!$X$47:$Z$47,0)))/Table1[[#This Row], [NUM OF MEM]]</f>
        <v>8.1000000000000014</v>
      </c>
      <c r="Q1720" s="9">
        <f>Table1[[#This Row], [ROOM TIME]]+Table1[[#This Row], [GUARD TIME]]</f>
        <v>69.811249999999987</v>
      </c>
      <c r="R1720" s="4">
        <f>Sheet1!$K$3*_xlfn.XLOOKUP(Table1[[#This Row], [DISGUISE]],Sheet1!$A$21:$A$23,Sheet1!$D$21:$D$23)</f>
        <v>66</v>
      </c>
      <c r="S1720" s="9">
        <f>Table1[[#This Row], [TOTAL TIME]]-Table1[[#This Row], [TOTAL TIME TAKEN]]</f>
        <v>-3.8112499999999869</v>
      </c>
      <c r="T1720" t="str">
        <f>IF(Table1[[#This Row], [TIME DIFFERENCE]]&gt;=0,"PASS","FAIL")</f>
        <v>FAIL</v>
      </c>
      <c r="U1720" s="9">
        <f>Table1[[#This Row], [TRC]]+Table1[[#This Row], [DRC]]+Table1[[#This Row], [WRC]]+Table1[[#This Row], [ERC]]+Table1[[#This Row], [EQRC]]</f>
        <v>8105205.7312499993</v>
      </c>
      <c r="V1720" s="9">
        <f>Table1[[#This Row], [TOTAL COST]]+_xlfn.XLOOKUP(Table1[[#This Row], [TEAM]],Sheet1!$A$12:$A$17,Sheet1!$I$12:$I$17)</f>
        <v>8402685.7312499993</v>
      </c>
      <c r="W1720" s="9">
        <f>Table1[[#This Row], [LOOT]]-Table1[[#This Row], [TOTAL COST]]</f>
        <v>9894794.2687500007</v>
      </c>
      <c r="X1720" s="4">
        <f>IF(Table1[[#This Row], [PASS/FAIL]]="FAIL",0,Table1[[#This Row], [PROFIT]])</f>
        <v>0</v>
      </c>
    </row>
    <row r="1721" spans="1:24" ht="19.5" customHeight="1" x14ac:dyDescent="0.45">
      <c r="A1721" t="s">
        <v>14</v>
      </c>
      <c r="B1721" s="14">
        <f>_xlfn.XLOOKUP(Table1[[#This Row], [TEAM]],Sheet1!$A$12:$A$17,Sheet1!$F$12:$F$17)</f>
        <v>2</v>
      </c>
      <c r="C1721" s="14">
        <f>_xlfn.XLOOKUP(Table1[[#This Row], [TEAM]],Sheet1!$A$12:$A$17,Sheet1!$G$12:$G$17)</f>
        <v>5949600</v>
      </c>
      <c r="D1721" t="s">
        <v>24</v>
      </c>
      <c r="E1721" s="4">
        <f>_xlfn.XLOOKUP(Table1[[#This Row], [ROOM]],Sheet1!$A$47:$A$66,Sheet1!$B$47:$B$66)</f>
        <v>345</v>
      </c>
      <c r="F1721" t="s">
        <v>58</v>
      </c>
      <c r="G1721" s="4">
        <f>_xlfn.XLOOKUP(Table1[[#This Row], [DISGUISE]],Sheet1!$A$21:$A$23,Sheet1!$B$21:$B$23)*Table1[[#This Row], [NUM OF MEM]]*(1+_xlfn.XLOOKUP(Table1[[#This Row], [DISGUISE]],Sheet1!$A$21:$A$23,Sheet1!$C$21:$C$23))</f>
        <v>25600</v>
      </c>
      <c r="H1721" s="13" t="s">
        <v>66</v>
      </c>
      <c r="I1721" s="4">
        <f>_xlfn.XLOOKUP(Table1[[#This Row], [WEAPON]],Sheet1!$A$27:$A$29,Sheet1!$B$27:$B$29)*Table1[[#This Row], [NUM OF MEM]]*(1+_xlfn.XLOOKUP(Table1[[#This Row], [WEAPON]],Sheet1!$A$27:$A$29,Sheet1!$C$27:$C$29))</f>
        <v>72000</v>
      </c>
      <c r="J1721" t="s">
        <v>60</v>
      </c>
      <c r="K1721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1776306.7312499993</v>
      </c>
      <c r="L1721" s="13" t="s">
        <v>65</v>
      </c>
      <c r="M1721" s="4">
        <f>IF(Table1[[#This Row], [EQUIPMENT]]="YES",Sheet1!$C$44*(1+Sheet1!$D$44),0)</f>
        <v>307500</v>
      </c>
      <c r="N1721" s="4">
        <f>_xlfn.XLOOKUP(Table1[[#This Row], [ROOM]],Sheet1!$A$47:$A$66,Sheet1!$F$47:$F$66)</f>
        <v>18000000</v>
      </c>
      <c r="O1721" s="9">
        <f>_xlfn.XLOOKUP(_xlfn.CONCAT(Table1[[#This Row], [TEAM]],Table1[[#This Row], [ROOM]]),'ROOM TIME'!$H$2:$H$121,'ROOM TIME'!$J$2:$J$121)</f>
        <v>61.711249999999986</v>
      </c>
      <c r="P1721" s="9">
        <f>(INDEX(Sheet1!$X$48:$Z$67,MATCH(Table1[[#This Row], [ROOM]],Sheet1!$P$48:$P$67,0),MATCH(Table1[[#This Row], [WEAPON]],Sheet1!$X$47:$Z$47,0)))/Table1[[#This Row], [NUM OF MEM]]</f>
        <v>7.5</v>
      </c>
      <c r="Q1721" s="9">
        <f>Table1[[#This Row], [ROOM TIME]]+Table1[[#This Row], [GUARD TIME]]</f>
        <v>69.211249999999978</v>
      </c>
      <c r="R1721" s="4">
        <f>Sheet1!$K$3*_xlfn.XLOOKUP(Table1[[#This Row], [DISGUISE]],Sheet1!$A$21:$A$23,Sheet1!$D$21:$D$23)</f>
        <v>69</v>
      </c>
      <c r="S1721" s="9">
        <f>Table1[[#This Row], [TOTAL TIME]]-Table1[[#This Row], [TOTAL TIME TAKEN]]</f>
        <v>-0.2112499999999784</v>
      </c>
      <c r="T1721" t="str">
        <f>IF(Table1[[#This Row], [TIME DIFFERENCE]]&gt;=0,"PASS","FAIL")</f>
        <v>FAIL</v>
      </c>
      <c r="U1721" s="9">
        <f>Table1[[#This Row], [TRC]]+Table1[[#This Row], [DRC]]+Table1[[#This Row], [WRC]]+Table1[[#This Row], [ERC]]+Table1[[#This Row], [EQRC]]</f>
        <v>8131006.7312499993</v>
      </c>
      <c r="V1721" s="9">
        <f>Table1[[#This Row], [TOTAL COST]]+_xlfn.XLOOKUP(Table1[[#This Row], [TEAM]],Sheet1!$A$12:$A$17,Sheet1!$I$12:$I$17)</f>
        <v>8428486.7312499993</v>
      </c>
      <c r="W1721" s="9">
        <f>Table1[[#This Row], [LOOT]]-Table1[[#This Row], [TOTAL COST]]</f>
        <v>9868993.2687500007</v>
      </c>
      <c r="X1721" s="4">
        <f>IF(Table1[[#This Row], [PASS/FAIL]]="FAIL",0,Table1[[#This Row], [PROFIT]])</f>
        <v>0</v>
      </c>
    </row>
    <row r="1722" spans="1:24" ht="19.5" customHeight="1" x14ac:dyDescent="0.45">
      <c r="A1722" t="s">
        <v>14</v>
      </c>
      <c r="B1722" s="14">
        <f>_xlfn.XLOOKUP(Table1[[#This Row], [TEAM]],Sheet1!$A$12:$A$17,Sheet1!$F$12:$F$17)</f>
        <v>2</v>
      </c>
      <c r="C1722" s="14">
        <f>_xlfn.XLOOKUP(Table1[[#This Row], [TEAM]],Sheet1!$A$12:$A$17,Sheet1!$G$12:$G$17)</f>
        <v>5949600</v>
      </c>
      <c r="D1722" t="s">
        <v>24</v>
      </c>
      <c r="E1722" s="4">
        <f>_xlfn.XLOOKUP(Table1[[#This Row], [ROOM]],Sheet1!$A$47:$A$66,Sheet1!$B$47:$B$66)</f>
        <v>345</v>
      </c>
      <c r="F1722" t="s">
        <v>62</v>
      </c>
      <c r="G172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2" s="13" t="s">
        <v>59</v>
      </c>
      <c r="I1722" s="4">
        <f>_xlfn.XLOOKUP(Table1[[#This Row], [WEAPON]],Sheet1!$A$27:$A$29,Sheet1!$B$27:$B$29)*Table1[[#This Row], [NUM OF MEM]]*(1+_xlfn.XLOOKUP(Table1[[#This Row], [WEAPON]],Sheet1!$A$27:$A$29,Sheet1!$C$27:$C$29))</f>
        <v>91000</v>
      </c>
      <c r="J1722" t="s">
        <v>60</v>
      </c>
      <c r="K1722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1760907.7312499997</v>
      </c>
      <c r="L1722" s="13" t="s">
        <v>61</v>
      </c>
      <c r="M1722" s="4">
        <f>IF(Table1[[#This Row], [EQUIPMENT]]="YES",Sheet1!$C$44*(1+Sheet1!$D$44),0)</f>
        <v>0</v>
      </c>
      <c r="N1722" s="4">
        <f>_xlfn.XLOOKUP(Table1[[#This Row], [ROOM]],Sheet1!$A$47:$A$66,Sheet1!$F$47:$F$66)</f>
        <v>18000000</v>
      </c>
      <c r="O1722" s="9">
        <f>_xlfn.XLOOKUP(_xlfn.CONCAT(Table1[[#This Row], [TEAM]],Table1[[#This Row], [ROOM]]),'ROOM TIME'!$H$2:$H$121,'ROOM TIME'!$J$2:$J$121)</f>
        <v>61.711249999999986</v>
      </c>
      <c r="P1722" s="9">
        <f>(INDEX(Sheet1!$X$48:$Z$67,MATCH(Table1[[#This Row], [ROOM]],Sheet1!$P$48:$P$67,0),MATCH(Table1[[#This Row], [WEAPON]],Sheet1!$X$47:$Z$47,0)))/Table1[[#This Row], [NUM OF MEM]]</f>
        <v>6.8999999999999995</v>
      </c>
      <c r="Q1722" s="9">
        <f>Table1[[#This Row], [ROOM TIME]]+Table1[[#This Row], [GUARD TIME]]</f>
        <v>68.611249999999984</v>
      </c>
      <c r="R1722" s="4">
        <f>Sheet1!$K$3*_xlfn.XLOOKUP(Table1[[#This Row], [DISGUISE]],Sheet1!$A$21:$A$23,Sheet1!$D$21:$D$23)</f>
        <v>66</v>
      </c>
      <c r="S1722" s="9">
        <f>Table1[[#This Row], [TOTAL TIME]]-Table1[[#This Row], [TOTAL TIME TAKEN]]</f>
        <v>-2.6112499999999841</v>
      </c>
      <c r="T1722" t="str">
        <f>IF(Table1[[#This Row], [TIME DIFFERENCE]]&gt;=0,"PASS","FAIL")</f>
        <v>FAIL</v>
      </c>
      <c r="U1722" s="9">
        <f>Table1[[#This Row], [TRC]]+Table1[[#This Row], [DRC]]+Table1[[#This Row], [WRC]]+Table1[[#This Row], [ERC]]+Table1[[#This Row], [EQRC]]</f>
        <v>7811907.7312499993</v>
      </c>
      <c r="V1722" s="9">
        <f>Table1[[#This Row], [TOTAL COST]]+_xlfn.XLOOKUP(Table1[[#This Row], [TEAM]],Sheet1!$A$12:$A$17,Sheet1!$I$12:$I$17)</f>
        <v>8109387.7312499993</v>
      </c>
      <c r="W1722" s="9">
        <f>Table1[[#This Row], [LOOT]]-Table1[[#This Row], [TOTAL COST]]</f>
        <v>10188092.268750001</v>
      </c>
      <c r="X1722" s="4">
        <f>IF(Table1[[#This Row], [PASS/FAIL]]="FAIL",0,Table1[[#This Row], [PROFIT]])</f>
        <v>0</v>
      </c>
    </row>
    <row r="1723" spans="1:24" ht="19.5" customHeight="1" x14ac:dyDescent="0.45">
      <c r="A1723" t="s">
        <v>14</v>
      </c>
      <c r="B1723" s="14">
        <f>_xlfn.XLOOKUP(Table1[[#This Row], [TEAM]],Sheet1!$A$12:$A$17,Sheet1!$F$12:$F$17)</f>
        <v>2</v>
      </c>
      <c r="C1723" s="14">
        <f>_xlfn.XLOOKUP(Table1[[#This Row], [TEAM]],Sheet1!$A$12:$A$17,Sheet1!$G$12:$G$17)</f>
        <v>5949600</v>
      </c>
      <c r="D1723" t="s">
        <v>24</v>
      </c>
      <c r="E1723" s="4">
        <f>_xlfn.XLOOKUP(Table1[[#This Row], [ROOM]],Sheet1!$A$47:$A$66,Sheet1!$B$47:$B$66)</f>
        <v>345</v>
      </c>
      <c r="F1723" t="s">
        <v>62</v>
      </c>
      <c r="G172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3" s="13" t="s">
        <v>59</v>
      </c>
      <c r="I1723" s="4">
        <f>_xlfn.XLOOKUP(Table1[[#This Row], [WEAPON]],Sheet1!$A$27:$A$29,Sheet1!$B$27:$B$29)*Table1[[#This Row], [NUM OF MEM]]*(1+_xlfn.XLOOKUP(Table1[[#This Row], [WEAPON]],Sheet1!$A$27:$A$29,Sheet1!$C$27:$C$29))</f>
        <v>91000</v>
      </c>
      <c r="J1723" t="s">
        <v>60</v>
      </c>
      <c r="K1723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1760907.7312499997</v>
      </c>
      <c r="L1723" s="13" t="s">
        <v>65</v>
      </c>
      <c r="M1723" s="4">
        <f>IF(Table1[[#This Row], [EQUIPMENT]]="YES",Sheet1!$C$44*(1+Sheet1!$D$44),0)</f>
        <v>307500</v>
      </c>
      <c r="N1723" s="4">
        <f>_xlfn.XLOOKUP(Table1[[#This Row], [ROOM]],Sheet1!$A$47:$A$66,Sheet1!$F$47:$F$66)</f>
        <v>18000000</v>
      </c>
      <c r="O1723" s="9">
        <f>_xlfn.XLOOKUP(_xlfn.CONCAT(Table1[[#This Row], [TEAM]],Table1[[#This Row], [ROOM]]),'ROOM TIME'!$H$2:$H$121,'ROOM TIME'!$J$2:$J$121)</f>
        <v>61.711249999999986</v>
      </c>
      <c r="P1723" s="9">
        <f>(INDEX(Sheet1!$X$48:$Z$67,MATCH(Table1[[#This Row], [ROOM]],Sheet1!$P$48:$P$67,0),MATCH(Table1[[#This Row], [WEAPON]],Sheet1!$X$47:$Z$47,0)))/Table1[[#This Row], [NUM OF MEM]]</f>
        <v>6.8999999999999995</v>
      </c>
      <c r="Q1723" s="9">
        <f>Table1[[#This Row], [ROOM TIME]]+Table1[[#This Row], [GUARD TIME]]</f>
        <v>68.611249999999984</v>
      </c>
      <c r="R1723" s="4">
        <f>Sheet1!$K$3*_xlfn.XLOOKUP(Table1[[#This Row], [DISGUISE]],Sheet1!$A$21:$A$23,Sheet1!$D$21:$D$23)</f>
        <v>66</v>
      </c>
      <c r="S1723" s="9">
        <f>Table1[[#This Row], [TOTAL TIME]]-Table1[[#This Row], [TOTAL TIME TAKEN]]</f>
        <v>-2.6112499999999841</v>
      </c>
      <c r="T1723" t="str">
        <f>IF(Table1[[#This Row], [TIME DIFFERENCE]]&gt;=0,"PASS","FAIL")</f>
        <v>FAIL</v>
      </c>
      <c r="U1723" s="9">
        <f>Table1[[#This Row], [TRC]]+Table1[[#This Row], [DRC]]+Table1[[#This Row], [WRC]]+Table1[[#This Row], [ERC]]+Table1[[#This Row], [EQRC]]</f>
        <v>8119407.7312499993</v>
      </c>
      <c r="V1723" s="9">
        <f>Table1[[#This Row], [TOTAL COST]]+_xlfn.XLOOKUP(Table1[[#This Row], [TEAM]],Sheet1!$A$12:$A$17,Sheet1!$I$12:$I$17)</f>
        <v>8416887.7312499993</v>
      </c>
      <c r="W1723" s="9">
        <f>Table1[[#This Row], [LOOT]]-Table1[[#This Row], [TOTAL COST]]</f>
        <v>9880592.2687500007</v>
      </c>
      <c r="X1723" s="4">
        <f>IF(Table1[[#This Row], [PASS/FAIL]]="FAIL",0,Table1[[#This Row], [PROFIT]])</f>
        <v>0</v>
      </c>
    </row>
    <row r="1724" spans="1:24" ht="19.5" customHeight="1" x14ac:dyDescent="0.45">
      <c r="A1724" t="s">
        <v>14</v>
      </c>
      <c r="B1724" s="14">
        <f>_xlfn.XLOOKUP(Table1[[#This Row], [TEAM]],Sheet1!$A$12:$A$17,Sheet1!$F$12:$F$17)</f>
        <v>2</v>
      </c>
      <c r="C1724" s="14">
        <f>_xlfn.XLOOKUP(Table1[[#This Row], [TEAM]],Sheet1!$A$12:$A$17,Sheet1!$G$12:$G$17)</f>
        <v>5949600</v>
      </c>
      <c r="D1724" t="s">
        <v>24</v>
      </c>
      <c r="E1724" s="4">
        <f>_xlfn.XLOOKUP(Table1[[#This Row], [ROOM]],Sheet1!$A$47:$A$66,Sheet1!$B$47:$B$66)</f>
        <v>345</v>
      </c>
      <c r="F1724" t="s">
        <v>62</v>
      </c>
      <c r="G172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4" s="13" t="s">
        <v>66</v>
      </c>
      <c r="I1724" s="4">
        <f>_xlfn.XLOOKUP(Table1[[#This Row], [WEAPON]],Sheet1!$A$27:$A$29,Sheet1!$B$27:$B$29)*Table1[[#This Row], [NUM OF MEM]]*(1+_xlfn.XLOOKUP(Table1[[#This Row], [WEAPON]],Sheet1!$A$27:$A$29,Sheet1!$C$27:$C$29))</f>
        <v>72000</v>
      </c>
      <c r="J1724" t="s">
        <v>64</v>
      </c>
      <c r="K1724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1793955.5999999994</v>
      </c>
      <c r="L1724" s="13" t="s">
        <v>61</v>
      </c>
      <c r="M1724" s="4">
        <f>IF(Table1[[#This Row], [EQUIPMENT]]="YES",Sheet1!$C$44*(1+Sheet1!$D$44),0)</f>
        <v>0</v>
      </c>
      <c r="N1724" s="4">
        <f>_xlfn.XLOOKUP(Table1[[#This Row], [ROOM]],Sheet1!$A$47:$A$66,Sheet1!$F$47:$F$66)</f>
        <v>18000000</v>
      </c>
      <c r="O1724" s="9">
        <f>_xlfn.XLOOKUP(_xlfn.CONCAT(Table1[[#This Row], [TEAM]],Table1[[#This Row], [ROOM]]),'ROOM TIME'!$H$2:$H$121,'ROOM TIME'!$J$2:$J$121)</f>
        <v>61.711249999999986</v>
      </c>
      <c r="P1724" s="9">
        <f>(INDEX(Sheet1!$X$48:$Z$67,MATCH(Table1[[#This Row], [ROOM]],Sheet1!$P$48:$P$67,0),MATCH(Table1[[#This Row], [WEAPON]],Sheet1!$X$47:$Z$47,0)))/Table1[[#This Row], [NUM OF MEM]]</f>
        <v>7.5</v>
      </c>
      <c r="Q1724" s="9">
        <f>Table1[[#This Row], [ROOM TIME]]+Table1[[#This Row], [GUARD TIME]]</f>
        <v>69.211249999999978</v>
      </c>
      <c r="R1724" s="4">
        <f>Sheet1!$K$3*_xlfn.XLOOKUP(Table1[[#This Row], [DISGUISE]],Sheet1!$A$21:$A$23,Sheet1!$D$21:$D$23)</f>
        <v>66</v>
      </c>
      <c r="S1724" s="9">
        <f>Table1[[#This Row], [TOTAL TIME]]-Table1[[#This Row], [TOTAL TIME TAKEN]]</f>
        <v>-3.2112499999999784</v>
      </c>
      <c r="T1724" t="str">
        <f>IF(Table1[[#This Row], [TIME DIFFERENCE]]&gt;=0,"PASS","FAIL")</f>
        <v>FAIL</v>
      </c>
      <c r="U1724" s="9">
        <f>Table1[[#This Row], [TRC]]+Table1[[#This Row], [DRC]]+Table1[[#This Row], [WRC]]+Table1[[#This Row], [ERC]]+Table1[[#This Row], [EQRC]]</f>
        <v>7825955.5999999996</v>
      </c>
      <c r="V1724" s="9">
        <f>Table1[[#This Row], [TOTAL COST]]+_xlfn.XLOOKUP(Table1[[#This Row], [TEAM]],Sheet1!$A$12:$A$17,Sheet1!$I$12:$I$17)</f>
        <v>8123435.5999999996</v>
      </c>
      <c r="W1724" s="9">
        <f>Table1[[#This Row], [LOOT]]-Table1[[#This Row], [TOTAL COST]]</f>
        <v>10174044.4</v>
      </c>
      <c r="X1724" s="4">
        <f>IF(Table1[[#This Row], [PASS/FAIL]]="FAIL",0,Table1[[#This Row], [PROFIT]])</f>
        <v>0</v>
      </c>
    </row>
    <row r="1725" spans="1:24" ht="19.5" customHeight="1" x14ac:dyDescent="0.45">
      <c r="A1725" t="s">
        <v>14</v>
      </c>
      <c r="B1725" s="14">
        <f>_xlfn.XLOOKUP(Table1[[#This Row], [TEAM]],Sheet1!$A$12:$A$17,Sheet1!$F$12:$F$17)</f>
        <v>2</v>
      </c>
      <c r="C1725" s="14">
        <f>_xlfn.XLOOKUP(Table1[[#This Row], [TEAM]],Sheet1!$A$12:$A$17,Sheet1!$G$12:$G$17)</f>
        <v>5949600</v>
      </c>
      <c r="D1725" t="s">
        <v>24</v>
      </c>
      <c r="E1725" s="4">
        <f>_xlfn.XLOOKUP(Table1[[#This Row], [ROOM]],Sheet1!$A$47:$A$66,Sheet1!$B$47:$B$66)</f>
        <v>345</v>
      </c>
      <c r="F1725" t="s">
        <v>62</v>
      </c>
      <c r="G172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5" s="13" t="s">
        <v>66</v>
      </c>
      <c r="I1725" s="4">
        <f>_xlfn.XLOOKUP(Table1[[#This Row], [WEAPON]],Sheet1!$A$27:$A$29,Sheet1!$B$27:$B$29)*Table1[[#This Row], [NUM OF MEM]]*(1+_xlfn.XLOOKUP(Table1[[#This Row], [WEAPON]],Sheet1!$A$27:$A$29,Sheet1!$C$27:$C$29))</f>
        <v>72000</v>
      </c>
      <c r="J1725" t="s">
        <v>60</v>
      </c>
      <c r="K1725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1776306.7312499993</v>
      </c>
      <c r="L1725" s="13" t="s">
        <v>61</v>
      </c>
      <c r="M1725" s="4">
        <f>IF(Table1[[#This Row], [EQUIPMENT]]="YES",Sheet1!$C$44*(1+Sheet1!$D$44),0)</f>
        <v>0</v>
      </c>
      <c r="N1725" s="4">
        <f>_xlfn.XLOOKUP(Table1[[#This Row], [ROOM]],Sheet1!$A$47:$A$66,Sheet1!$F$47:$F$66)</f>
        <v>18000000</v>
      </c>
      <c r="O1725" s="9">
        <f>_xlfn.XLOOKUP(_xlfn.CONCAT(Table1[[#This Row], [TEAM]],Table1[[#This Row], [ROOM]]),'ROOM TIME'!$H$2:$H$121,'ROOM TIME'!$J$2:$J$121)</f>
        <v>61.711249999999986</v>
      </c>
      <c r="P1725" s="9">
        <f>(INDEX(Sheet1!$X$48:$Z$67,MATCH(Table1[[#This Row], [ROOM]],Sheet1!$P$48:$P$67,0),MATCH(Table1[[#This Row], [WEAPON]],Sheet1!$X$47:$Z$47,0)))/Table1[[#This Row], [NUM OF MEM]]</f>
        <v>7.5</v>
      </c>
      <c r="Q1725" s="9">
        <f>Table1[[#This Row], [ROOM TIME]]+Table1[[#This Row], [GUARD TIME]]</f>
        <v>69.211249999999978</v>
      </c>
      <c r="R1725" s="4">
        <f>Sheet1!$K$3*_xlfn.XLOOKUP(Table1[[#This Row], [DISGUISE]],Sheet1!$A$21:$A$23,Sheet1!$D$21:$D$23)</f>
        <v>66</v>
      </c>
      <c r="S1725" s="9">
        <f>Table1[[#This Row], [TOTAL TIME]]-Table1[[#This Row], [TOTAL TIME TAKEN]]</f>
        <v>-3.2112499999999784</v>
      </c>
      <c r="T1725" t="str">
        <f>IF(Table1[[#This Row], [TIME DIFFERENCE]]&gt;=0,"PASS","FAIL")</f>
        <v>FAIL</v>
      </c>
      <c r="U1725" s="9">
        <f>Table1[[#This Row], [TRC]]+Table1[[#This Row], [DRC]]+Table1[[#This Row], [WRC]]+Table1[[#This Row], [ERC]]+Table1[[#This Row], [EQRC]]</f>
        <v>7808306.7312499993</v>
      </c>
      <c r="V1725" s="9">
        <f>Table1[[#This Row], [TOTAL COST]]+_xlfn.XLOOKUP(Table1[[#This Row], [TEAM]],Sheet1!$A$12:$A$17,Sheet1!$I$12:$I$17)</f>
        <v>8105786.7312499993</v>
      </c>
      <c r="W1725" s="9">
        <f>Table1[[#This Row], [LOOT]]-Table1[[#This Row], [TOTAL COST]]</f>
        <v>10191693.268750001</v>
      </c>
      <c r="X1725" s="4">
        <f>IF(Table1[[#This Row], [PASS/FAIL]]="FAIL",0,Table1[[#This Row], [PROFIT]])</f>
        <v>0</v>
      </c>
    </row>
    <row r="1726" spans="1:24" ht="19.5" customHeight="1" x14ac:dyDescent="0.45">
      <c r="A1726" t="s">
        <v>14</v>
      </c>
      <c r="B1726" s="14">
        <f>_xlfn.XLOOKUP(Table1[[#This Row], [TEAM]],Sheet1!$A$12:$A$17,Sheet1!$F$12:$F$17)</f>
        <v>2</v>
      </c>
      <c r="C1726" s="14">
        <f>_xlfn.XLOOKUP(Table1[[#This Row], [TEAM]],Sheet1!$A$12:$A$17,Sheet1!$G$12:$G$17)</f>
        <v>5949600</v>
      </c>
      <c r="D1726" t="s">
        <v>24</v>
      </c>
      <c r="E1726" s="4">
        <f>_xlfn.XLOOKUP(Table1[[#This Row], [ROOM]],Sheet1!$A$47:$A$66,Sheet1!$B$47:$B$66)</f>
        <v>345</v>
      </c>
      <c r="F1726" t="s">
        <v>62</v>
      </c>
      <c r="G172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6" s="13" t="s">
        <v>66</v>
      </c>
      <c r="I1726" s="4">
        <f>_xlfn.XLOOKUP(Table1[[#This Row], [WEAPON]],Sheet1!$A$27:$A$29,Sheet1!$B$27:$B$29)*Table1[[#This Row], [NUM OF MEM]]*(1+_xlfn.XLOOKUP(Table1[[#This Row], [WEAPON]],Sheet1!$A$27:$A$29,Sheet1!$C$27:$C$29))</f>
        <v>72000</v>
      </c>
      <c r="J1726" t="s">
        <v>64</v>
      </c>
      <c r="K1726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1793955.5999999994</v>
      </c>
      <c r="L1726" s="13" t="s">
        <v>65</v>
      </c>
      <c r="M1726" s="4">
        <f>IF(Table1[[#This Row], [EQUIPMENT]]="YES",Sheet1!$C$44*(1+Sheet1!$D$44),0)</f>
        <v>307500</v>
      </c>
      <c r="N1726" s="4">
        <f>_xlfn.XLOOKUP(Table1[[#This Row], [ROOM]],Sheet1!$A$47:$A$66,Sheet1!$F$47:$F$66)</f>
        <v>18000000</v>
      </c>
      <c r="O1726" s="9">
        <f>_xlfn.XLOOKUP(_xlfn.CONCAT(Table1[[#This Row], [TEAM]],Table1[[#This Row], [ROOM]]),'ROOM TIME'!$H$2:$H$121,'ROOM TIME'!$J$2:$J$121)</f>
        <v>61.711249999999986</v>
      </c>
      <c r="P1726" s="9">
        <f>(INDEX(Sheet1!$X$48:$Z$67,MATCH(Table1[[#This Row], [ROOM]],Sheet1!$P$48:$P$67,0),MATCH(Table1[[#This Row], [WEAPON]],Sheet1!$X$47:$Z$47,0)))/Table1[[#This Row], [NUM OF MEM]]</f>
        <v>7.5</v>
      </c>
      <c r="Q1726" s="9">
        <f>Table1[[#This Row], [ROOM TIME]]+Table1[[#This Row], [GUARD TIME]]</f>
        <v>69.211249999999978</v>
      </c>
      <c r="R1726" s="4">
        <f>Sheet1!$K$3*_xlfn.XLOOKUP(Table1[[#This Row], [DISGUISE]],Sheet1!$A$21:$A$23,Sheet1!$D$21:$D$23)</f>
        <v>66</v>
      </c>
      <c r="S1726" s="9">
        <f>Table1[[#This Row], [TOTAL TIME]]-Table1[[#This Row], [TOTAL TIME TAKEN]]</f>
        <v>-3.2112499999999784</v>
      </c>
      <c r="T1726" t="str">
        <f>IF(Table1[[#This Row], [TIME DIFFERENCE]]&gt;=0,"PASS","FAIL")</f>
        <v>FAIL</v>
      </c>
      <c r="U1726" s="9">
        <f>Table1[[#This Row], [TRC]]+Table1[[#This Row], [DRC]]+Table1[[#This Row], [WRC]]+Table1[[#This Row], [ERC]]+Table1[[#This Row], [EQRC]]</f>
        <v>8133455.5999999996</v>
      </c>
      <c r="V1726" s="9">
        <f>Table1[[#This Row], [TOTAL COST]]+_xlfn.XLOOKUP(Table1[[#This Row], [TEAM]],Sheet1!$A$12:$A$17,Sheet1!$I$12:$I$17)</f>
        <v>8430935.5999999996</v>
      </c>
      <c r="W1726" s="9">
        <f>Table1[[#This Row], [LOOT]]-Table1[[#This Row], [TOTAL COST]]</f>
        <v>9866544.4000000004</v>
      </c>
      <c r="X1726" s="4">
        <f>IF(Table1[[#This Row], [PASS/FAIL]]="FAIL",0,Table1[[#This Row], [PROFIT]])</f>
        <v>0</v>
      </c>
    </row>
    <row r="1727" spans="1:24" ht="19.5" customHeight="1" x14ac:dyDescent="0.45">
      <c r="A1727" t="s">
        <v>14</v>
      </c>
      <c r="B1727" s="14">
        <f>_xlfn.XLOOKUP(Table1[[#This Row], [TEAM]],Sheet1!$A$12:$A$17,Sheet1!$F$12:$F$17)</f>
        <v>2</v>
      </c>
      <c r="C1727" s="14">
        <f>_xlfn.XLOOKUP(Table1[[#This Row], [TEAM]],Sheet1!$A$12:$A$17,Sheet1!$G$12:$G$17)</f>
        <v>5949600</v>
      </c>
      <c r="D1727" t="s">
        <v>24</v>
      </c>
      <c r="E1727" s="4">
        <f>_xlfn.XLOOKUP(Table1[[#This Row], [ROOM]],Sheet1!$A$47:$A$66,Sheet1!$B$47:$B$66)</f>
        <v>345</v>
      </c>
      <c r="F1727" t="s">
        <v>62</v>
      </c>
      <c r="G172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27" s="13" t="s">
        <v>66</v>
      </c>
      <c r="I1727" s="4">
        <f>_xlfn.XLOOKUP(Table1[[#This Row], [WEAPON]],Sheet1!$A$27:$A$29,Sheet1!$B$27:$B$29)*Table1[[#This Row], [NUM OF MEM]]*(1+_xlfn.XLOOKUP(Table1[[#This Row], [WEAPON]],Sheet1!$A$27:$A$29,Sheet1!$C$27:$C$29))</f>
        <v>72000</v>
      </c>
      <c r="J1727" t="s">
        <v>60</v>
      </c>
      <c r="K1727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1776306.7312499993</v>
      </c>
      <c r="L1727" s="13" t="s">
        <v>65</v>
      </c>
      <c r="M1727" s="4">
        <f>IF(Table1[[#This Row], [EQUIPMENT]]="YES",Sheet1!$C$44*(1+Sheet1!$D$44),0)</f>
        <v>307500</v>
      </c>
      <c r="N1727" s="4">
        <f>_xlfn.XLOOKUP(Table1[[#This Row], [ROOM]],Sheet1!$A$47:$A$66,Sheet1!$F$47:$F$66)</f>
        <v>18000000</v>
      </c>
      <c r="O1727" s="9">
        <f>_xlfn.XLOOKUP(_xlfn.CONCAT(Table1[[#This Row], [TEAM]],Table1[[#This Row], [ROOM]]),'ROOM TIME'!$H$2:$H$121,'ROOM TIME'!$J$2:$J$121)</f>
        <v>61.711249999999986</v>
      </c>
      <c r="P1727" s="9">
        <f>(INDEX(Sheet1!$X$48:$Z$67,MATCH(Table1[[#This Row], [ROOM]],Sheet1!$P$48:$P$67,0),MATCH(Table1[[#This Row], [WEAPON]],Sheet1!$X$47:$Z$47,0)))/Table1[[#This Row], [NUM OF MEM]]</f>
        <v>7.5</v>
      </c>
      <c r="Q1727" s="9">
        <f>Table1[[#This Row], [ROOM TIME]]+Table1[[#This Row], [GUARD TIME]]</f>
        <v>69.211249999999978</v>
      </c>
      <c r="R1727" s="4">
        <f>Sheet1!$K$3*_xlfn.XLOOKUP(Table1[[#This Row], [DISGUISE]],Sheet1!$A$21:$A$23,Sheet1!$D$21:$D$23)</f>
        <v>66</v>
      </c>
      <c r="S1727" s="9">
        <f>Table1[[#This Row], [TOTAL TIME]]-Table1[[#This Row], [TOTAL TIME TAKEN]]</f>
        <v>-3.2112499999999784</v>
      </c>
      <c r="T1727" t="str">
        <f>IF(Table1[[#This Row], [TIME DIFFERENCE]]&gt;=0,"PASS","FAIL")</f>
        <v>FAIL</v>
      </c>
      <c r="U1727" s="9">
        <f>Table1[[#This Row], [TRC]]+Table1[[#This Row], [DRC]]+Table1[[#This Row], [WRC]]+Table1[[#This Row], [ERC]]+Table1[[#This Row], [EQRC]]</f>
        <v>8115806.7312499993</v>
      </c>
      <c r="V1727" s="9">
        <f>Table1[[#This Row], [TOTAL COST]]+_xlfn.XLOOKUP(Table1[[#This Row], [TEAM]],Sheet1!$A$12:$A$17,Sheet1!$I$12:$I$17)</f>
        <v>8413286.7312499993</v>
      </c>
      <c r="W1727" s="9">
        <f>Table1[[#This Row], [LOOT]]-Table1[[#This Row], [TOTAL COST]]</f>
        <v>9884193.2687500007</v>
      </c>
      <c r="X1727" s="4">
        <f>IF(Table1[[#This Row], [PASS/FAIL]]="FAIL",0,Table1[[#This Row], [PROFIT]])</f>
        <v>0</v>
      </c>
    </row>
    <row r="1728" spans="1:24" ht="19.5" customHeight="1" x14ac:dyDescent="0.45">
      <c r="A1728" t="s">
        <v>15</v>
      </c>
      <c r="B1728" s="14">
        <f>_xlfn.XLOOKUP(Table1[[#This Row], [TEAM]],Sheet1!$A$12:$A$17,Sheet1!$F$12:$F$17)</f>
        <v>2</v>
      </c>
      <c r="C1728" s="14">
        <f>_xlfn.XLOOKUP(Table1[[#This Row], [TEAM]],Sheet1!$A$12:$A$17,Sheet1!$G$12:$G$17)</f>
        <v>5932950</v>
      </c>
      <c r="D1728" t="s">
        <v>24</v>
      </c>
      <c r="E1728" s="4">
        <f>_xlfn.XLOOKUP(Table1[[#This Row], [ROOM]],Sheet1!$A$47:$A$66,Sheet1!$B$47:$B$66)</f>
        <v>345</v>
      </c>
      <c r="F1728" t="s">
        <v>58</v>
      </c>
      <c r="G1728" s="4">
        <f>_xlfn.XLOOKUP(Table1[[#This Row], [DISGUISE]],Sheet1!$A$21:$A$23,Sheet1!$B$21:$B$23)*Table1[[#This Row], [NUM OF MEM]]*(1+_xlfn.XLOOKUP(Table1[[#This Row], [DISGUISE]],Sheet1!$A$21:$A$23,Sheet1!$C$21:$C$23))</f>
        <v>25600</v>
      </c>
      <c r="H1728" s="13" t="s">
        <v>63</v>
      </c>
      <c r="I1728" s="4">
        <f>_xlfn.XLOOKUP(Table1[[#This Row], [WEAPON]],Sheet1!$A$27:$A$29,Sheet1!$B$27:$B$29)*Table1[[#This Row], [NUM OF MEM]]*(1+_xlfn.XLOOKUP(Table1[[#This Row], [WEAPON]],Sheet1!$A$27:$A$29,Sheet1!$C$27:$C$29))</f>
        <v>46000</v>
      </c>
      <c r="J1728" t="s">
        <v>64</v>
      </c>
      <c r="K1728" s="9">
        <f>Table1[[#This Row], [NUM OF MEM]]*Table1[[#This Row], [TOTAL TIME TAKEN]]*_xlfn.XLOOKUP(Table1[[#This Row], [EXIT]],Sheet1!$A$70:$A$71,Sheet1!$B$70:$B$71)*(1+_xlfn.XLOOKUP(Table1[[#This Row], [EXIT]],Sheet1!$A$70:$A$71,Sheet1!$C$70:$C$71))</f>
        <v>1807433.9999999998</v>
      </c>
      <c r="L1728" s="13" t="s">
        <v>61</v>
      </c>
      <c r="M1728" s="4">
        <f>IF(Table1[[#This Row], [EQUIPMENT]]="YES",Sheet1!$C$44*(1+Sheet1!$D$44),0)</f>
        <v>0</v>
      </c>
      <c r="N1728" s="4">
        <f>_xlfn.XLOOKUP(Table1[[#This Row], [ROOM]],Sheet1!$A$47:$A$66,Sheet1!$F$47:$F$66)</f>
        <v>18000000</v>
      </c>
      <c r="O1728" s="9">
        <f>_xlfn.XLOOKUP(_xlfn.CONCAT(Table1[[#This Row], [TEAM]],Table1[[#This Row], [ROOM]]),'ROOM TIME'!$H$2:$H$121,'ROOM TIME'!$J$2:$J$121)</f>
        <v>61.63124999999998</v>
      </c>
      <c r="P1728" s="9">
        <f>(INDEX(Sheet1!$X$48:$Z$67,MATCH(Table1[[#This Row], [ROOM]],Sheet1!$P$48:$P$67,0),MATCH(Table1[[#This Row], [WEAPON]],Sheet1!$X$47:$Z$47,0)))/Table1[[#This Row], [NUM OF MEM]]</f>
        <v>8.1000000000000014</v>
      </c>
      <c r="Q1728" s="9">
        <f>Table1[[#This Row], [ROOM TIME]]+Table1[[#This Row], [GUARD TIME]]</f>
        <v>69.731249999999989</v>
      </c>
      <c r="R1728" s="4">
        <f>Sheet1!$K$3*_xlfn.XLOOKUP(Table1[[#This Row], [DISGUISE]],Sheet1!$A$21:$A$23,Sheet1!$D$21:$D$23)</f>
        <v>69</v>
      </c>
      <c r="S1728" s="9">
        <f>Table1[[#This Row], [TOTAL TIME]]-Table1[[#This Row], [TOTAL TIME TAKEN]]</f>
        <v>-0.73124999999998863</v>
      </c>
      <c r="T1728" t="str">
        <f>IF(Table1[[#This Row], [TIME DIFFERENCE]]&gt;=0,"PASS","FAIL")</f>
        <v>FAIL</v>
      </c>
      <c r="U1728" s="4">
        <f>Table1[[#This Row], [TRC]]+Table1[[#This Row], [DRC]]+Table1[[#This Row], [WRC]]+Table1[[#This Row], [ERC]]+Table1[[#This Row], [EQRC]]</f>
        <v>7811984</v>
      </c>
      <c r="V1728" s="9">
        <f>Table1[[#This Row], [TOTAL COST]]+_xlfn.XLOOKUP(Table1[[#This Row], [TEAM]],Sheet1!$A$12:$A$17,Sheet1!$I$12:$I$17)</f>
        <v>8108631.5</v>
      </c>
      <c r="W1728" s="4">
        <f>Table1[[#This Row], [LOOT]]-Table1[[#This Row], [TOTAL COST]]</f>
        <v>10188016</v>
      </c>
      <c r="X1728" s="4">
        <f>IF(Table1[[#This Row], [PASS/FAIL]]="FAIL",0,Table1[[#This Row], [PROFIT]])</f>
        <v>0</v>
      </c>
    </row>
    <row r="1729" spans="1:24" ht="19.5" customHeight="1" x14ac:dyDescent="0.45">
      <c r="A1729" t="s">
        <v>15</v>
      </c>
      <c r="B1729" s="14">
        <f>_xlfn.XLOOKUP(Table1[[#This Row], [TEAM]],Sheet1!$A$12:$A$17,Sheet1!$F$12:$F$17)</f>
        <v>2</v>
      </c>
      <c r="C1729" s="14">
        <f>_xlfn.XLOOKUP(Table1[[#This Row], [TEAM]],Sheet1!$A$12:$A$17,Sheet1!$G$12:$G$17)</f>
        <v>5932950</v>
      </c>
      <c r="D1729" t="s">
        <v>24</v>
      </c>
      <c r="E1729" s="4">
        <f>_xlfn.XLOOKUP(Table1[[#This Row], [ROOM]],Sheet1!$A$47:$A$66,Sheet1!$B$47:$B$66)</f>
        <v>345</v>
      </c>
      <c r="F1729" t="s">
        <v>58</v>
      </c>
      <c r="G17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729" s="13" t="s">
        <v>66</v>
      </c>
      <c r="I1729" s="4">
        <f>_xlfn.XLOOKUP(Table1[[#This Row], [WEAPON]],Sheet1!$A$27:$A$29,Sheet1!$B$27:$B$29)*Table1[[#This Row], [NUM OF MEM]]*(1+_xlfn.XLOOKUP(Table1[[#This Row], [WEAPON]],Sheet1!$A$27:$A$29,Sheet1!$C$27:$C$29))</f>
        <v>72000</v>
      </c>
      <c r="J1729" t="s">
        <v>64</v>
      </c>
      <c r="K1729" s="9">
        <f>Table1[[#This Row], [NUM OF MEM]]*Table1[[#This Row], [TOTAL TIME TAKEN]]*_xlfn.XLOOKUP(Table1[[#This Row], [EXIT]],Sheet1!$A$70:$A$71,Sheet1!$B$70:$B$71)*(1+_xlfn.XLOOKUP(Table1[[#This Row], [EXIT]],Sheet1!$A$70:$A$71,Sheet1!$C$70:$C$71))</f>
        <v>1791881.9999999993</v>
      </c>
      <c r="L1729" s="13" t="s">
        <v>61</v>
      </c>
      <c r="M1729" s="4">
        <f>IF(Table1[[#This Row], [EQUIPMENT]]="YES",Sheet1!$C$44*(1+Sheet1!$D$44),0)</f>
        <v>0</v>
      </c>
      <c r="N1729" s="4">
        <f>_xlfn.XLOOKUP(Table1[[#This Row], [ROOM]],Sheet1!$A$47:$A$66,Sheet1!$F$47:$F$66)</f>
        <v>18000000</v>
      </c>
      <c r="O1729" s="9">
        <f>_xlfn.XLOOKUP(_xlfn.CONCAT(Table1[[#This Row], [TEAM]],Table1[[#This Row], [ROOM]]),'ROOM TIME'!$H$2:$H$121,'ROOM TIME'!$J$2:$J$121)</f>
        <v>61.63124999999998</v>
      </c>
      <c r="P1729" s="9">
        <f>(INDEX(Sheet1!$X$48:$Z$67,MATCH(Table1[[#This Row], [ROOM]],Sheet1!$P$48:$P$67,0),MATCH(Table1[[#This Row], [WEAPON]],Sheet1!$X$47:$Z$47,0)))/Table1[[#This Row], [NUM OF MEM]]</f>
        <v>7.5</v>
      </c>
      <c r="Q1729" s="9">
        <f>Table1[[#This Row], [ROOM TIME]]+Table1[[#This Row], [GUARD TIME]]</f>
        <v>69.13124999999998</v>
      </c>
      <c r="R1729" s="4">
        <f>Sheet1!$K$3*_xlfn.XLOOKUP(Table1[[#This Row], [DISGUISE]],Sheet1!$A$21:$A$23,Sheet1!$D$21:$D$23)</f>
        <v>69</v>
      </c>
      <c r="S1729" s="9">
        <f>Table1[[#This Row], [TOTAL TIME]]-Table1[[#This Row], [TOTAL TIME TAKEN]]</f>
        <v>-0.1312499999999801</v>
      </c>
      <c r="T1729" t="str">
        <f>IF(Table1[[#This Row], [TIME DIFFERENCE]]&gt;=0,"PASS","FAIL")</f>
        <v>FAIL</v>
      </c>
      <c r="U1729" s="9">
        <f>Table1[[#This Row], [TRC]]+Table1[[#This Row], [DRC]]+Table1[[#This Row], [WRC]]+Table1[[#This Row], [ERC]]+Table1[[#This Row], [EQRC]]</f>
        <v>7822431.9999999991</v>
      </c>
      <c r="V1729" s="9">
        <f>Table1[[#This Row], [TOTAL COST]]+_xlfn.XLOOKUP(Table1[[#This Row], [TEAM]],Sheet1!$A$12:$A$17,Sheet1!$I$12:$I$17)</f>
        <v>8119079.4999999991</v>
      </c>
      <c r="W1729" s="4">
        <f>Table1[[#This Row], [LOOT]]-Table1[[#This Row], [TOTAL COST]]</f>
        <v>10177568</v>
      </c>
      <c r="X1729" s="4">
        <f>IF(Table1[[#This Row], [PASS/FAIL]]="FAIL",0,Table1[[#This Row], [PROFIT]])</f>
        <v>0</v>
      </c>
    </row>
    <row r="1730" spans="1:24" ht="19.5" customHeight="1" x14ac:dyDescent="0.45">
      <c r="A1730" t="s">
        <v>15</v>
      </c>
      <c r="B1730" s="14">
        <f>_xlfn.XLOOKUP(Table1[[#This Row], [TEAM]],Sheet1!$A$12:$A$17,Sheet1!$F$12:$F$17)</f>
        <v>2</v>
      </c>
      <c r="C1730" s="14">
        <f>_xlfn.XLOOKUP(Table1[[#This Row], [TEAM]],Sheet1!$A$12:$A$17,Sheet1!$G$12:$G$17)</f>
        <v>5932950</v>
      </c>
      <c r="D1730" t="s">
        <v>24</v>
      </c>
      <c r="E1730" s="4">
        <f>_xlfn.XLOOKUP(Table1[[#This Row], [ROOM]],Sheet1!$A$47:$A$66,Sheet1!$B$47:$B$66)</f>
        <v>345</v>
      </c>
      <c r="F1730" t="s">
        <v>58</v>
      </c>
      <c r="G1730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0" s="13" t="s">
        <v>63</v>
      </c>
      <c r="I1730" s="4">
        <f>_xlfn.XLOOKUP(Table1[[#This Row], [WEAPON]],Sheet1!$A$27:$A$29,Sheet1!$B$27:$B$29)*Table1[[#This Row], [NUM OF MEM]]*(1+_xlfn.XLOOKUP(Table1[[#This Row], [WEAPON]],Sheet1!$A$27:$A$29,Sheet1!$C$27:$C$29))</f>
        <v>46000</v>
      </c>
      <c r="J1730" t="s">
        <v>64</v>
      </c>
      <c r="K1730" s="9">
        <f>Table1[[#This Row], [NUM OF MEM]]*Table1[[#This Row], [TOTAL TIME TAKEN]]*_xlfn.XLOOKUP(Table1[[#This Row], [EXIT]],Sheet1!$A$70:$A$71,Sheet1!$B$70:$B$71)*(1+_xlfn.XLOOKUP(Table1[[#This Row], [EXIT]],Sheet1!$A$70:$A$71,Sheet1!$C$70:$C$71))</f>
        <v>1807433.9999999998</v>
      </c>
      <c r="L1730" s="13" t="s">
        <v>65</v>
      </c>
      <c r="M1730" s="4">
        <f>IF(Table1[[#This Row], [EQUIPMENT]]="YES",Sheet1!$C$44*(1+Sheet1!$D$44),0)</f>
        <v>307500</v>
      </c>
      <c r="N1730" s="4">
        <f>_xlfn.XLOOKUP(Table1[[#This Row], [ROOM]],Sheet1!$A$47:$A$66,Sheet1!$F$47:$F$66)</f>
        <v>18000000</v>
      </c>
      <c r="O1730" s="9">
        <f>_xlfn.XLOOKUP(_xlfn.CONCAT(Table1[[#This Row], [TEAM]],Table1[[#This Row], [ROOM]]),'ROOM TIME'!$H$2:$H$121,'ROOM TIME'!$J$2:$J$121)</f>
        <v>61.63124999999998</v>
      </c>
      <c r="P1730" s="9">
        <f>(INDEX(Sheet1!$X$48:$Z$67,MATCH(Table1[[#This Row], [ROOM]],Sheet1!$P$48:$P$67,0),MATCH(Table1[[#This Row], [WEAPON]],Sheet1!$X$47:$Z$47,0)))/Table1[[#This Row], [NUM OF MEM]]</f>
        <v>8.1000000000000014</v>
      </c>
      <c r="Q1730" s="9">
        <f>Table1[[#This Row], [ROOM TIME]]+Table1[[#This Row], [GUARD TIME]]</f>
        <v>69.731249999999989</v>
      </c>
      <c r="R1730" s="4">
        <f>Sheet1!$K$3*_xlfn.XLOOKUP(Table1[[#This Row], [DISGUISE]],Sheet1!$A$21:$A$23,Sheet1!$D$21:$D$23)</f>
        <v>69</v>
      </c>
      <c r="S1730" s="9">
        <f>Table1[[#This Row], [TOTAL TIME]]-Table1[[#This Row], [TOTAL TIME TAKEN]]</f>
        <v>-0.73124999999998863</v>
      </c>
      <c r="T1730" t="str">
        <f>IF(Table1[[#This Row], [TIME DIFFERENCE]]&gt;=0,"PASS","FAIL")</f>
        <v>FAIL</v>
      </c>
      <c r="U1730" s="4">
        <f>Table1[[#This Row], [TRC]]+Table1[[#This Row], [DRC]]+Table1[[#This Row], [WRC]]+Table1[[#This Row], [ERC]]+Table1[[#This Row], [EQRC]]</f>
        <v>8119484</v>
      </c>
      <c r="V1730" s="9">
        <f>Table1[[#This Row], [TOTAL COST]]+_xlfn.XLOOKUP(Table1[[#This Row], [TEAM]],Sheet1!$A$12:$A$17,Sheet1!$I$12:$I$17)</f>
        <v>8416131.5</v>
      </c>
      <c r="W1730" s="4">
        <f>Table1[[#This Row], [LOOT]]-Table1[[#This Row], [TOTAL COST]]</f>
        <v>9880516</v>
      </c>
      <c r="X1730" s="4">
        <f>IF(Table1[[#This Row], [PASS/FAIL]]="FAIL",0,Table1[[#This Row], [PROFIT]])</f>
        <v>0</v>
      </c>
    </row>
    <row r="1731" spans="1:24" ht="19.5" customHeight="1" x14ac:dyDescent="0.45">
      <c r="A1731" t="s">
        <v>15</v>
      </c>
      <c r="B1731" s="14">
        <f>_xlfn.XLOOKUP(Table1[[#This Row], [TEAM]],Sheet1!$A$12:$A$17,Sheet1!$F$12:$F$17)</f>
        <v>2</v>
      </c>
      <c r="C1731" s="14">
        <f>_xlfn.XLOOKUP(Table1[[#This Row], [TEAM]],Sheet1!$A$12:$A$17,Sheet1!$G$12:$G$17)</f>
        <v>5932950</v>
      </c>
      <c r="D1731" t="s">
        <v>24</v>
      </c>
      <c r="E1731" s="4">
        <f>_xlfn.XLOOKUP(Table1[[#This Row], [ROOM]],Sheet1!$A$47:$A$66,Sheet1!$B$47:$B$66)</f>
        <v>345</v>
      </c>
      <c r="F1731" t="s">
        <v>58</v>
      </c>
      <c r="G1731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1" s="13" t="s">
        <v>66</v>
      </c>
      <c r="I1731" s="4">
        <f>_xlfn.XLOOKUP(Table1[[#This Row], [WEAPON]],Sheet1!$A$27:$A$29,Sheet1!$B$27:$B$29)*Table1[[#This Row], [NUM OF MEM]]*(1+_xlfn.XLOOKUP(Table1[[#This Row], [WEAPON]],Sheet1!$A$27:$A$29,Sheet1!$C$27:$C$29))</f>
        <v>72000</v>
      </c>
      <c r="J1731" t="s">
        <v>64</v>
      </c>
      <c r="K1731" s="9">
        <f>Table1[[#This Row], [NUM OF MEM]]*Table1[[#This Row], [TOTAL TIME TAKEN]]*_xlfn.XLOOKUP(Table1[[#This Row], [EXIT]],Sheet1!$A$70:$A$71,Sheet1!$B$70:$B$71)*(1+_xlfn.XLOOKUP(Table1[[#This Row], [EXIT]],Sheet1!$A$70:$A$71,Sheet1!$C$70:$C$71))</f>
        <v>1791881.9999999993</v>
      </c>
      <c r="L1731" s="13" t="s">
        <v>65</v>
      </c>
      <c r="M1731" s="4">
        <f>IF(Table1[[#This Row], [EQUIPMENT]]="YES",Sheet1!$C$44*(1+Sheet1!$D$44),0)</f>
        <v>307500</v>
      </c>
      <c r="N1731" s="4">
        <f>_xlfn.XLOOKUP(Table1[[#This Row], [ROOM]],Sheet1!$A$47:$A$66,Sheet1!$F$47:$F$66)</f>
        <v>18000000</v>
      </c>
      <c r="O1731" s="9">
        <f>_xlfn.XLOOKUP(_xlfn.CONCAT(Table1[[#This Row], [TEAM]],Table1[[#This Row], [ROOM]]),'ROOM TIME'!$H$2:$H$121,'ROOM TIME'!$J$2:$J$121)</f>
        <v>61.63124999999998</v>
      </c>
      <c r="P1731" s="9">
        <f>(INDEX(Sheet1!$X$48:$Z$67,MATCH(Table1[[#This Row], [ROOM]],Sheet1!$P$48:$P$67,0),MATCH(Table1[[#This Row], [WEAPON]],Sheet1!$X$47:$Z$47,0)))/Table1[[#This Row], [NUM OF MEM]]</f>
        <v>7.5</v>
      </c>
      <c r="Q1731" s="9">
        <f>Table1[[#This Row], [ROOM TIME]]+Table1[[#This Row], [GUARD TIME]]</f>
        <v>69.13124999999998</v>
      </c>
      <c r="R1731" s="4">
        <f>Sheet1!$K$3*_xlfn.XLOOKUP(Table1[[#This Row], [DISGUISE]],Sheet1!$A$21:$A$23,Sheet1!$D$21:$D$23)</f>
        <v>69</v>
      </c>
      <c r="S1731" s="9">
        <f>Table1[[#This Row], [TOTAL TIME]]-Table1[[#This Row], [TOTAL TIME TAKEN]]</f>
        <v>-0.1312499999999801</v>
      </c>
      <c r="T1731" t="str">
        <f>IF(Table1[[#This Row], [TIME DIFFERENCE]]&gt;=0,"PASS","FAIL")</f>
        <v>FAIL</v>
      </c>
      <c r="U1731" s="9">
        <f>Table1[[#This Row], [TRC]]+Table1[[#This Row], [DRC]]+Table1[[#This Row], [WRC]]+Table1[[#This Row], [ERC]]+Table1[[#This Row], [EQRC]]</f>
        <v>8129931.9999999991</v>
      </c>
      <c r="V1731" s="9">
        <f>Table1[[#This Row], [TOTAL COST]]+_xlfn.XLOOKUP(Table1[[#This Row], [TEAM]],Sheet1!$A$12:$A$17,Sheet1!$I$12:$I$17)</f>
        <v>8426579.5</v>
      </c>
      <c r="W1731" s="4">
        <f>Table1[[#This Row], [LOOT]]-Table1[[#This Row], [TOTAL COST]]</f>
        <v>9870068</v>
      </c>
      <c r="X1731" s="4">
        <f>IF(Table1[[#This Row], [PASS/FAIL]]="FAIL",0,Table1[[#This Row], [PROFIT]])</f>
        <v>0</v>
      </c>
    </row>
    <row r="1732" spans="1:24" ht="19.5" customHeight="1" x14ac:dyDescent="0.45">
      <c r="A1732" t="s">
        <v>15</v>
      </c>
      <c r="B1732" s="14">
        <f>_xlfn.XLOOKUP(Table1[[#This Row], [TEAM]],Sheet1!$A$12:$A$17,Sheet1!$F$12:$F$17)</f>
        <v>2</v>
      </c>
      <c r="C1732" s="14">
        <f>_xlfn.XLOOKUP(Table1[[#This Row], [TEAM]],Sheet1!$A$12:$A$17,Sheet1!$G$12:$G$17)</f>
        <v>5932950</v>
      </c>
      <c r="D1732" t="s">
        <v>24</v>
      </c>
      <c r="E1732" s="4">
        <f>_xlfn.XLOOKUP(Table1[[#This Row], [ROOM]],Sheet1!$A$47:$A$66,Sheet1!$B$47:$B$66)</f>
        <v>345</v>
      </c>
      <c r="F1732" t="s">
        <v>62</v>
      </c>
      <c r="G173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32" s="13" t="s">
        <v>59</v>
      </c>
      <c r="I1732" s="4">
        <f>_xlfn.XLOOKUP(Table1[[#This Row], [WEAPON]],Sheet1!$A$27:$A$29,Sheet1!$B$27:$B$29)*Table1[[#This Row], [NUM OF MEM]]*(1+_xlfn.XLOOKUP(Table1[[#This Row], [WEAPON]],Sheet1!$A$27:$A$29,Sheet1!$C$27:$C$29))</f>
        <v>91000</v>
      </c>
      <c r="J1732" t="s">
        <v>64</v>
      </c>
      <c r="K1732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1776329.9999999998</v>
      </c>
      <c r="L1732" s="13" t="s">
        <v>61</v>
      </c>
      <c r="M1732" s="4">
        <f>IF(Table1[[#This Row], [EQUIPMENT]]="YES",Sheet1!$C$44*(1+Sheet1!$D$44),0)</f>
        <v>0</v>
      </c>
      <c r="N1732" s="4">
        <f>_xlfn.XLOOKUP(Table1[[#This Row], [ROOM]],Sheet1!$A$47:$A$66,Sheet1!$F$47:$F$66)</f>
        <v>18000000</v>
      </c>
      <c r="O1732" s="9">
        <f>_xlfn.XLOOKUP(_xlfn.CONCAT(Table1[[#This Row], [TEAM]],Table1[[#This Row], [ROOM]]),'ROOM TIME'!$H$2:$H$121,'ROOM TIME'!$J$2:$J$121)</f>
        <v>61.63124999999998</v>
      </c>
      <c r="P1732" s="9">
        <f>(INDEX(Sheet1!$X$48:$Z$67,MATCH(Table1[[#This Row], [ROOM]],Sheet1!$P$48:$P$67,0),MATCH(Table1[[#This Row], [WEAPON]],Sheet1!$X$47:$Z$47,0)))/Table1[[#This Row], [NUM OF MEM]]</f>
        <v>6.8999999999999995</v>
      </c>
      <c r="Q1732" s="9">
        <f>Table1[[#This Row], [ROOM TIME]]+Table1[[#This Row], [GUARD TIME]]</f>
        <v>68.531249999999986</v>
      </c>
      <c r="R1732" s="4">
        <f>Sheet1!$K$3*_xlfn.XLOOKUP(Table1[[#This Row], [DISGUISE]],Sheet1!$A$21:$A$23,Sheet1!$D$21:$D$23)</f>
        <v>66</v>
      </c>
      <c r="S1732" s="9">
        <f>Table1[[#This Row], [TOTAL TIME]]-Table1[[#This Row], [TOTAL TIME TAKEN]]</f>
        <v>-2.5312499999999858</v>
      </c>
      <c r="T1732" t="str">
        <f>IF(Table1[[#This Row], [TIME DIFFERENCE]]&gt;=0,"PASS","FAIL")</f>
        <v>FAIL</v>
      </c>
      <c r="U1732" s="4">
        <f>Table1[[#This Row], [TRC]]+Table1[[#This Row], [DRC]]+Table1[[#This Row], [WRC]]+Table1[[#This Row], [ERC]]+Table1[[#This Row], [EQRC]]</f>
        <v>7810680</v>
      </c>
      <c r="V1732" s="9">
        <f>Table1[[#This Row], [TOTAL COST]]+_xlfn.XLOOKUP(Table1[[#This Row], [TEAM]],Sheet1!$A$12:$A$17,Sheet1!$I$12:$I$17)</f>
        <v>8107327.5</v>
      </c>
      <c r="W1732" s="4">
        <f>Table1[[#This Row], [LOOT]]-Table1[[#This Row], [TOTAL COST]]</f>
        <v>10189320</v>
      </c>
      <c r="X1732" s="4">
        <f>IF(Table1[[#This Row], [PASS/FAIL]]="FAIL",0,Table1[[#This Row], [PROFIT]])</f>
        <v>0</v>
      </c>
    </row>
    <row r="1733" spans="1:24" ht="19.5" customHeight="1" x14ac:dyDescent="0.45">
      <c r="A1733" t="s">
        <v>15</v>
      </c>
      <c r="B1733" s="14">
        <f>_xlfn.XLOOKUP(Table1[[#This Row], [TEAM]],Sheet1!$A$12:$A$17,Sheet1!$F$12:$F$17)</f>
        <v>2</v>
      </c>
      <c r="C1733" s="14">
        <f>_xlfn.XLOOKUP(Table1[[#This Row], [TEAM]],Sheet1!$A$12:$A$17,Sheet1!$G$12:$G$17)</f>
        <v>5932950</v>
      </c>
      <c r="D1733" t="s">
        <v>24</v>
      </c>
      <c r="E1733" s="4">
        <f>_xlfn.XLOOKUP(Table1[[#This Row], [ROOM]],Sheet1!$A$47:$A$66,Sheet1!$B$47:$B$66)</f>
        <v>345</v>
      </c>
      <c r="F1733" t="s">
        <v>62</v>
      </c>
      <c r="G173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33" s="13" t="s">
        <v>59</v>
      </c>
      <c r="I1733" s="4">
        <f>_xlfn.XLOOKUP(Table1[[#This Row], [WEAPON]],Sheet1!$A$27:$A$29,Sheet1!$B$27:$B$29)*Table1[[#This Row], [NUM OF MEM]]*(1+_xlfn.XLOOKUP(Table1[[#This Row], [WEAPON]],Sheet1!$A$27:$A$29,Sheet1!$C$27:$C$29))</f>
        <v>91000</v>
      </c>
      <c r="J1733" t="s">
        <v>64</v>
      </c>
      <c r="K1733" s="9">
        <f>Table1[[#This Row], [NUM OF MEM]]*Table1[[#This Row], [TOTAL TIME TAKEN]]*_xlfn.XLOOKUP(Table1[[#This Row], [EXIT]],Sheet1!$A$70:$A$71,Sheet1!$B$70:$B$71)*(1+_xlfn.XLOOKUP(Table1[[#This Row], [EXIT]],Sheet1!$A$70:$A$71,Sheet1!$C$70:$C$71))</f>
        <v>1776329.9999999998</v>
      </c>
      <c r="L1733" s="13" t="s">
        <v>65</v>
      </c>
      <c r="M1733" s="4">
        <f>IF(Table1[[#This Row], [EQUIPMENT]]="YES",Sheet1!$C$44*(1+Sheet1!$D$44),0)</f>
        <v>307500</v>
      </c>
      <c r="N1733" s="4">
        <f>_xlfn.XLOOKUP(Table1[[#This Row], [ROOM]],Sheet1!$A$47:$A$66,Sheet1!$F$47:$F$66)</f>
        <v>18000000</v>
      </c>
      <c r="O1733" s="9">
        <f>_xlfn.XLOOKUP(_xlfn.CONCAT(Table1[[#This Row], [TEAM]],Table1[[#This Row], [ROOM]]),'ROOM TIME'!$H$2:$H$121,'ROOM TIME'!$J$2:$J$121)</f>
        <v>61.63124999999998</v>
      </c>
      <c r="P1733" s="9">
        <f>(INDEX(Sheet1!$X$48:$Z$67,MATCH(Table1[[#This Row], [ROOM]],Sheet1!$P$48:$P$67,0),MATCH(Table1[[#This Row], [WEAPON]],Sheet1!$X$47:$Z$47,0)))/Table1[[#This Row], [NUM OF MEM]]</f>
        <v>6.8999999999999995</v>
      </c>
      <c r="Q1733" s="9">
        <f>Table1[[#This Row], [ROOM TIME]]+Table1[[#This Row], [GUARD TIME]]</f>
        <v>68.531249999999986</v>
      </c>
      <c r="R1733" s="4">
        <f>Sheet1!$K$3*_xlfn.XLOOKUP(Table1[[#This Row], [DISGUISE]],Sheet1!$A$21:$A$23,Sheet1!$D$21:$D$23)</f>
        <v>66</v>
      </c>
      <c r="S1733" s="9">
        <f>Table1[[#This Row], [TOTAL TIME]]-Table1[[#This Row], [TOTAL TIME TAKEN]]</f>
        <v>-2.5312499999999858</v>
      </c>
      <c r="T1733" t="str">
        <f>IF(Table1[[#This Row], [TIME DIFFERENCE]]&gt;=0,"PASS","FAIL")</f>
        <v>FAIL</v>
      </c>
      <c r="U1733" s="4">
        <f>Table1[[#This Row], [TRC]]+Table1[[#This Row], [DRC]]+Table1[[#This Row], [WRC]]+Table1[[#This Row], [ERC]]+Table1[[#This Row], [EQRC]]</f>
        <v>8118180</v>
      </c>
      <c r="V1733" s="9">
        <f>Table1[[#This Row], [TOTAL COST]]+_xlfn.XLOOKUP(Table1[[#This Row], [TEAM]],Sheet1!$A$12:$A$17,Sheet1!$I$12:$I$17)</f>
        <v>8414827.5</v>
      </c>
      <c r="W1733" s="4">
        <f>Table1[[#This Row], [LOOT]]-Table1[[#This Row], [TOTAL COST]]</f>
        <v>9881820</v>
      </c>
      <c r="X1733" s="4">
        <f>IF(Table1[[#This Row], [PASS/FAIL]]="FAIL",0,Table1[[#This Row], [PROFIT]])</f>
        <v>0</v>
      </c>
    </row>
    <row r="1734" spans="1:24" ht="19.5" customHeight="1" x14ac:dyDescent="0.45">
      <c r="A1734" t="s">
        <v>15</v>
      </c>
      <c r="B1734" s="14">
        <f>_xlfn.XLOOKUP(Table1[[#This Row], [TEAM]],Sheet1!$A$12:$A$17,Sheet1!$F$12:$F$17)</f>
        <v>2</v>
      </c>
      <c r="C1734" s="14">
        <f>_xlfn.XLOOKUP(Table1[[#This Row], [TEAM]],Sheet1!$A$12:$A$17,Sheet1!$G$12:$G$17)</f>
        <v>5932950</v>
      </c>
      <c r="D1734" t="s">
        <v>24</v>
      </c>
      <c r="E1734" s="4">
        <f>_xlfn.XLOOKUP(Table1[[#This Row], [ROOM]],Sheet1!$A$47:$A$66,Sheet1!$B$47:$B$66)</f>
        <v>345</v>
      </c>
      <c r="F1734" t="s">
        <v>58</v>
      </c>
      <c r="G1734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4" s="13" t="s">
        <v>63</v>
      </c>
      <c r="I1734" s="4">
        <f>_xlfn.XLOOKUP(Table1[[#This Row], [WEAPON]],Sheet1!$A$27:$A$29,Sheet1!$B$27:$B$29)*Table1[[#This Row], [NUM OF MEM]]*(1+_xlfn.XLOOKUP(Table1[[#This Row], [WEAPON]],Sheet1!$A$27:$A$29,Sheet1!$C$27:$C$29))</f>
        <v>46000</v>
      </c>
      <c r="J1734" t="s">
        <v>60</v>
      </c>
      <c r="K1734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1789652.5312499995</v>
      </c>
      <c r="L1734" s="13" t="s">
        <v>61</v>
      </c>
      <c r="M1734" s="4">
        <f>IF(Table1[[#This Row], [EQUIPMENT]]="YES",Sheet1!$C$44*(1+Sheet1!$D$44),0)</f>
        <v>0</v>
      </c>
      <c r="N1734" s="4">
        <f>_xlfn.XLOOKUP(Table1[[#This Row], [ROOM]],Sheet1!$A$47:$A$66,Sheet1!$F$47:$F$66)</f>
        <v>18000000</v>
      </c>
      <c r="O1734" s="9">
        <f>_xlfn.XLOOKUP(_xlfn.CONCAT(Table1[[#This Row], [TEAM]],Table1[[#This Row], [ROOM]]),'ROOM TIME'!$H$2:$H$121,'ROOM TIME'!$J$2:$J$121)</f>
        <v>61.63124999999998</v>
      </c>
      <c r="P1734" s="9">
        <f>(INDEX(Sheet1!$X$48:$Z$67,MATCH(Table1[[#This Row], [ROOM]],Sheet1!$P$48:$P$67,0),MATCH(Table1[[#This Row], [WEAPON]],Sheet1!$X$47:$Z$47,0)))/Table1[[#This Row], [NUM OF MEM]]</f>
        <v>8.1000000000000014</v>
      </c>
      <c r="Q1734" s="9">
        <f>Table1[[#This Row], [ROOM TIME]]+Table1[[#This Row], [GUARD TIME]]</f>
        <v>69.731249999999989</v>
      </c>
      <c r="R1734" s="4">
        <f>Sheet1!$K$3*_xlfn.XLOOKUP(Table1[[#This Row], [DISGUISE]],Sheet1!$A$21:$A$23,Sheet1!$D$21:$D$23)</f>
        <v>69</v>
      </c>
      <c r="S1734" s="9">
        <f>Table1[[#This Row], [TOTAL TIME]]-Table1[[#This Row], [TOTAL TIME TAKEN]]</f>
        <v>-0.73124999999998863</v>
      </c>
      <c r="T1734" t="str">
        <f>IF(Table1[[#This Row], [TIME DIFFERENCE]]&gt;=0,"PASS","FAIL")</f>
        <v>FAIL</v>
      </c>
      <c r="U1734" s="9">
        <f>Table1[[#This Row], [TRC]]+Table1[[#This Row], [DRC]]+Table1[[#This Row], [WRC]]+Table1[[#This Row], [ERC]]+Table1[[#This Row], [EQRC]]</f>
        <v>7794202.53125</v>
      </c>
      <c r="V1734" s="9">
        <f>Table1[[#This Row], [TOTAL COST]]+_xlfn.XLOOKUP(Table1[[#This Row], [TEAM]],Sheet1!$A$12:$A$17,Sheet1!$I$12:$I$17)</f>
        <v>8090850.03125</v>
      </c>
      <c r="W1734" s="9">
        <f>Table1[[#This Row], [LOOT]]-Table1[[#This Row], [TOTAL COST]]</f>
        <v>10205797.46875</v>
      </c>
      <c r="X1734" s="4">
        <f>IF(Table1[[#This Row], [PASS/FAIL]]="FAIL",0,Table1[[#This Row], [PROFIT]])</f>
        <v>0</v>
      </c>
    </row>
    <row r="1735" spans="1:24" ht="19.5" customHeight="1" x14ac:dyDescent="0.45">
      <c r="A1735" t="s">
        <v>15</v>
      </c>
      <c r="B1735" s="14">
        <f>_xlfn.XLOOKUP(Table1[[#This Row], [TEAM]],Sheet1!$A$12:$A$17,Sheet1!$F$12:$F$17)</f>
        <v>2</v>
      </c>
      <c r="C1735" s="14">
        <f>_xlfn.XLOOKUP(Table1[[#This Row], [TEAM]],Sheet1!$A$12:$A$17,Sheet1!$G$12:$G$17)</f>
        <v>5932950</v>
      </c>
      <c r="D1735" t="s">
        <v>24</v>
      </c>
      <c r="E1735" s="4">
        <f>_xlfn.XLOOKUP(Table1[[#This Row], [ROOM]],Sheet1!$A$47:$A$66,Sheet1!$B$47:$B$66)</f>
        <v>345</v>
      </c>
      <c r="F1735" t="s">
        <v>58</v>
      </c>
      <c r="G1735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5" s="13" t="s">
        <v>66</v>
      </c>
      <c r="I1735" s="4">
        <f>_xlfn.XLOOKUP(Table1[[#This Row], [WEAPON]],Sheet1!$A$27:$A$29,Sheet1!$B$27:$B$29)*Table1[[#This Row], [NUM OF MEM]]*(1+_xlfn.XLOOKUP(Table1[[#This Row], [WEAPON]],Sheet1!$A$27:$A$29,Sheet1!$C$27:$C$29))</f>
        <v>72000</v>
      </c>
      <c r="J1735" t="s">
        <v>60</v>
      </c>
      <c r="K1735" s="9">
        <f>Table1[[#This Row], [NUM OF MEM]]*Table1[[#This Row], [TOTAL TIME TAKEN]]*_xlfn.XLOOKUP(Table1[[#This Row], [EXIT]],Sheet1!$A$70:$A$71,Sheet1!$B$70:$B$71)*(1+_xlfn.XLOOKUP(Table1[[#This Row], [EXIT]],Sheet1!$A$70:$A$71,Sheet1!$C$70:$C$71))</f>
        <v>1774253.5312499993</v>
      </c>
      <c r="L1735" s="13" t="s">
        <v>61</v>
      </c>
      <c r="M1735" s="4">
        <f>IF(Table1[[#This Row], [EQUIPMENT]]="YES",Sheet1!$C$44*(1+Sheet1!$D$44),0)</f>
        <v>0</v>
      </c>
      <c r="N1735" s="4">
        <f>_xlfn.XLOOKUP(Table1[[#This Row], [ROOM]],Sheet1!$A$47:$A$66,Sheet1!$F$47:$F$66)</f>
        <v>18000000</v>
      </c>
      <c r="O1735" s="9">
        <f>_xlfn.XLOOKUP(_xlfn.CONCAT(Table1[[#This Row], [TEAM]],Table1[[#This Row], [ROOM]]),'ROOM TIME'!$H$2:$H$121,'ROOM TIME'!$J$2:$J$121)</f>
        <v>61.63124999999998</v>
      </c>
      <c r="P1735" s="9">
        <f>(INDEX(Sheet1!$X$48:$Z$67,MATCH(Table1[[#This Row], [ROOM]],Sheet1!$P$48:$P$67,0),MATCH(Table1[[#This Row], [WEAPON]],Sheet1!$X$47:$Z$47,0)))/Table1[[#This Row], [NUM OF MEM]]</f>
        <v>7.5</v>
      </c>
      <c r="Q1735" s="9">
        <f>Table1[[#This Row], [ROOM TIME]]+Table1[[#This Row], [GUARD TIME]]</f>
        <v>69.13124999999998</v>
      </c>
      <c r="R1735" s="4">
        <f>Sheet1!$K$3*_xlfn.XLOOKUP(Table1[[#This Row], [DISGUISE]],Sheet1!$A$21:$A$23,Sheet1!$D$21:$D$23)</f>
        <v>69</v>
      </c>
      <c r="S1735" s="9">
        <f>Table1[[#This Row], [TOTAL TIME]]-Table1[[#This Row], [TOTAL TIME TAKEN]]</f>
        <v>-0.1312499999999801</v>
      </c>
      <c r="T1735" t="str">
        <f>IF(Table1[[#This Row], [TIME DIFFERENCE]]&gt;=0,"PASS","FAIL")</f>
        <v>FAIL</v>
      </c>
      <c r="U1735" s="9">
        <f>Table1[[#This Row], [TRC]]+Table1[[#This Row], [DRC]]+Table1[[#This Row], [WRC]]+Table1[[#This Row], [ERC]]+Table1[[#This Row], [EQRC]]</f>
        <v>7804803.5312499991</v>
      </c>
      <c r="V1735" s="9">
        <f>Table1[[#This Row], [TOTAL COST]]+_xlfn.XLOOKUP(Table1[[#This Row], [TEAM]],Sheet1!$A$12:$A$17,Sheet1!$I$12:$I$17)</f>
        <v>8101451.0312499991</v>
      </c>
      <c r="W1735" s="9">
        <f>Table1[[#This Row], [LOOT]]-Table1[[#This Row], [TOTAL COST]]</f>
        <v>10195196.46875</v>
      </c>
      <c r="X1735" s="4">
        <f>IF(Table1[[#This Row], [PASS/FAIL]]="FAIL",0,Table1[[#This Row], [PROFIT]])</f>
        <v>0</v>
      </c>
    </row>
    <row r="1736" spans="1:24" ht="19.5" customHeight="1" x14ac:dyDescent="0.45">
      <c r="A1736" t="s">
        <v>15</v>
      </c>
      <c r="B1736" s="14">
        <f>_xlfn.XLOOKUP(Table1[[#This Row], [TEAM]],Sheet1!$A$12:$A$17,Sheet1!$F$12:$F$17)</f>
        <v>2</v>
      </c>
      <c r="C1736" s="14">
        <f>_xlfn.XLOOKUP(Table1[[#This Row], [TEAM]],Sheet1!$A$12:$A$17,Sheet1!$G$12:$G$17)</f>
        <v>5932950</v>
      </c>
      <c r="D1736" t="s">
        <v>24</v>
      </c>
      <c r="E1736" s="4">
        <f>_xlfn.XLOOKUP(Table1[[#This Row], [ROOM]],Sheet1!$A$47:$A$66,Sheet1!$B$47:$B$66)</f>
        <v>345</v>
      </c>
      <c r="F1736" t="s">
        <v>58</v>
      </c>
      <c r="G1736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6" s="13" t="s">
        <v>63</v>
      </c>
      <c r="I1736" s="4">
        <f>_xlfn.XLOOKUP(Table1[[#This Row], [WEAPON]],Sheet1!$A$27:$A$29,Sheet1!$B$27:$B$29)*Table1[[#This Row], [NUM OF MEM]]*(1+_xlfn.XLOOKUP(Table1[[#This Row], [WEAPON]],Sheet1!$A$27:$A$29,Sheet1!$C$27:$C$29))</f>
        <v>46000</v>
      </c>
      <c r="J1736" t="s">
        <v>60</v>
      </c>
      <c r="K1736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1789652.5312499995</v>
      </c>
      <c r="L1736" s="13" t="s">
        <v>65</v>
      </c>
      <c r="M1736" s="4">
        <f>IF(Table1[[#This Row], [EQUIPMENT]]="YES",Sheet1!$C$44*(1+Sheet1!$D$44),0)</f>
        <v>307500</v>
      </c>
      <c r="N1736" s="4">
        <f>_xlfn.XLOOKUP(Table1[[#This Row], [ROOM]],Sheet1!$A$47:$A$66,Sheet1!$F$47:$F$66)</f>
        <v>18000000</v>
      </c>
      <c r="O1736" s="9">
        <f>_xlfn.XLOOKUP(_xlfn.CONCAT(Table1[[#This Row], [TEAM]],Table1[[#This Row], [ROOM]]),'ROOM TIME'!$H$2:$H$121,'ROOM TIME'!$J$2:$J$121)</f>
        <v>61.63124999999998</v>
      </c>
      <c r="P1736" s="9">
        <f>(INDEX(Sheet1!$X$48:$Z$67,MATCH(Table1[[#This Row], [ROOM]],Sheet1!$P$48:$P$67,0),MATCH(Table1[[#This Row], [WEAPON]],Sheet1!$X$47:$Z$47,0)))/Table1[[#This Row], [NUM OF MEM]]</f>
        <v>8.1000000000000014</v>
      </c>
      <c r="Q1736" s="9">
        <f>Table1[[#This Row], [ROOM TIME]]+Table1[[#This Row], [GUARD TIME]]</f>
        <v>69.731249999999989</v>
      </c>
      <c r="R1736" s="4">
        <f>Sheet1!$K$3*_xlfn.XLOOKUP(Table1[[#This Row], [DISGUISE]],Sheet1!$A$21:$A$23,Sheet1!$D$21:$D$23)</f>
        <v>69</v>
      </c>
      <c r="S1736" s="9">
        <f>Table1[[#This Row], [TOTAL TIME]]-Table1[[#This Row], [TOTAL TIME TAKEN]]</f>
        <v>-0.73124999999998863</v>
      </c>
      <c r="T1736" t="str">
        <f>IF(Table1[[#This Row], [TIME DIFFERENCE]]&gt;=0,"PASS","FAIL")</f>
        <v>FAIL</v>
      </c>
      <c r="U1736" s="9">
        <f>Table1[[#This Row], [TRC]]+Table1[[#This Row], [DRC]]+Table1[[#This Row], [WRC]]+Table1[[#This Row], [ERC]]+Table1[[#This Row], [EQRC]]</f>
        <v>8101702.53125</v>
      </c>
      <c r="V1736" s="9">
        <f>Table1[[#This Row], [TOTAL COST]]+_xlfn.XLOOKUP(Table1[[#This Row], [TEAM]],Sheet1!$A$12:$A$17,Sheet1!$I$12:$I$17)</f>
        <v>8398350.03125</v>
      </c>
      <c r="W1736" s="9">
        <f>Table1[[#This Row], [LOOT]]-Table1[[#This Row], [TOTAL COST]]</f>
        <v>9898297.46875</v>
      </c>
      <c r="X1736" s="4">
        <f>IF(Table1[[#This Row], [PASS/FAIL]]="FAIL",0,Table1[[#This Row], [PROFIT]])</f>
        <v>0</v>
      </c>
    </row>
    <row r="1737" spans="1:24" ht="19.5" customHeight="1" x14ac:dyDescent="0.45">
      <c r="A1737" t="s">
        <v>15</v>
      </c>
      <c r="B1737" s="14">
        <f>_xlfn.XLOOKUP(Table1[[#This Row], [TEAM]],Sheet1!$A$12:$A$17,Sheet1!$F$12:$F$17)</f>
        <v>2</v>
      </c>
      <c r="C1737" s="14">
        <f>_xlfn.XLOOKUP(Table1[[#This Row], [TEAM]],Sheet1!$A$12:$A$17,Sheet1!$G$12:$G$17)</f>
        <v>5932950</v>
      </c>
      <c r="D1737" t="s">
        <v>24</v>
      </c>
      <c r="E1737" s="4">
        <f>_xlfn.XLOOKUP(Table1[[#This Row], [ROOM]],Sheet1!$A$47:$A$66,Sheet1!$B$47:$B$66)</f>
        <v>345</v>
      </c>
      <c r="F1737" t="s">
        <v>58</v>
      </c>
      <c r="G1737" s="4">
        <f>_xlfn.XLOOKUP(Table1[[#This Row], [DISGUISE]],Sheet1!$A$21:$A$23,Sheet1!$B$21:$B$23)*Table1[[#This Row], [NUM OF MEM]]*(1+_xlfn.XLOOKUP(Table1[[#This Row], [DISGUISE]],Sheet1!$A$21:$A$23,Sheet1!$C$21:$C$23))</f>
        <v>25600</v>
      </c>
      <c r="H1737" s="13" t="s">
        <v>66</v>
      </c>
      <c r="I1737" s="4">
        <f>_xlfn.XLOOKUP(Table1[[#This Row], [WEAPON]],Sheet1!$A$27:$A$29,Sheet1!$B$27:$B$29)*Table1[[#This Row], [NUM OF MEM]]*(1+_xlfn.XLOOKUP(Table1[[#This Row], [WEAPON]],Sheet1!$A$27:$A$29,Sheet1!$C$27:$C$29))</f>
        <v>72000</v>
      </c>
      <c r="J1737" t="s">
        <v>60</v>
      </c>
      <c r="K1737" s="9">
        <f>Table1[[#This Row], [NUM OF MEM]]*Table1[[#This Row], [TOTAL TIME TAKEN]]*_xlfn.XLOOKUP(Table1[[#This Row], [EXIT]],Sheet1!$A$70:$A$71,Sheet1!$B$70:$B$71)*(1+_xlfn.XLOOKUP(Table1[[#This Row], [EXIT]],Sheet1!$A$70:$A$71,Sheet1!$C$70:$C$71))</f>
        <v>1774253.5312499993</v>
      </c>
      <c r="L1737" s="13" t="s">
        <v>65</v>
      </c>
      <c r="M1737" s="4">
        <f>IF(Table1[[#This Row], [EQUIPMENT]]="YES",Sheet1!$C$44*(1+Sheet1!$D$44),0)</f>
        <v>307500</v>
      </c>
      <c r="N1737" s="4">
        <f>_xlfn.XLOOKUP(Table1[[#This Row], [ROOM]],Sheet1!$A$47:$A$66,Sheet1!$F$47:$F$66)</f>
        <v>18000000</v>
      </c>
      <c r="O1737" s="9">
        <f>_xlfn.XLOOKUP(_xlfn.CONCAT(Table1[[#This Row], [TEAM]],Table1[[#This Row], [ROOM]]),'ROOM TIME'!$H$2:$H$121,'ROOM TIME'!$J$2:$J$121)</f>
        <v>61.63124999999998</v>
      </c>
      <c r="P1737" s="9">
        <f>(INDEX(Sheet1!$X$48:$Z$67,MATCH(Table1[[#This Row], [ROOM]],Sheet1!$P$48:$P$67,0),MATCH(Table1[[#This Row], [WEAPON]],Sheet1!$X$47:$Z$47,0)))/Table1[[#This Row], [NUM OF MEM]]</f>
        <v>7.5</v>
      </c>
      <c r="Q1737" s="9">
        <f>Table1[[#This Row], [ROOM TIME]]+Table1[[#This Row], [GUARD TIME]]</f>
        <v>69.13124999999998</v>
      </c>
      <c r="R1737" s="4">
        <f>Sheet1!$K$3*_xlfn.XLOOKUP(Table1[[#This Row], [DISGUISE]],Sheet1!$A$21:$A$23,Sheet1!$D$21:$D$23)</f>
        <v>69</v>
      </c>
      <c r="S1737" s="9">
        <f>Table1[[#This Row], [TOTAL TIME]]-Table1[[#This Row], [TOTAL TIME TAKEN]]</f>
        <v>-0.1312499999999801</v>
      </c>
      <c r="T1737" t="str">
        <f>IF(Table1[[#This Row], [TIME DIFFERENCE]]&gt;=0,"PASS","FAIL")</f>
        <v>FAIL</v>
      </c>
      <c r="U1737" s="9">
        <f>Table1[[#This Row], [TRC]]+Table1[[#This Row], [DRC]]+Table1[[#This Row], [WRC]]+Table1[[#This Row], [ERC]]+Table1[[#This Row], [EQRC]]</f>
        <v>8112303.5312499991</v>
      </c>
      <c r="V1737" s="9">
        <f>Table1[[#This Row], [TOTAL COST]]+_xlfn.XLOOKUP(Table1[[#This Row], [TEAM]],Sheet1!$A$12:$A$17,Sheet1!$I$12:$I$17)</f>
        <v>8408951.03125</v>
      </c>
      <c r="W1737" s="9">
        <f>Table1[[#This Row], [LOOT]]-Table1[[#This Row], [TOTAL COST]]</f>
        <v>9887696.46875</v>
      </c>
      <c r="X1737" s="4">
        <f>IF(Table1[[#This Row], [PASS/FAIL]]="FAIL",0,Table1[[#This Row], [PROFIT]])</f>
        <v>0</v>
      </c>
    </row>
    <row r="1738" spans="1:24" ht="19.5" customHeight="1" x14ac:dyDescent="0.45">
      <c r="A1738" t="s">
        <v>15</v>
      </c>
      <c r="B1738" s="14">
        <f>_xlfn.XLOOKUP(Table1[[#This Row], [TEAM]],Sheet1!$A$12:$A$17,Sheet1!$F$12:$F$17)</f>
        <v>2</v>
      </c>
      <c r="C1738" s="14">
        <f>_xlfn.XLOOKUP(Table1[[#This Row], [TEAM]],Sheet1!$A$12:$A$17,Sheet1!$G$12:$G$17)</f>
        <v>5932950</v>
      </c>
      <c r="D1738" t="s">
        <v>24</v>
      </c>
      <c r="E1738" s="4">
        <f>_xlfn.XLOOKUP(Table1[[#This Row], [ROOM]],Sheet1!$A$47:$A$66,Sheet1!$B$47:$B$66)</f>
        <v>345</v>
      </c>
      <c r="F1738" t="s">
        <v>62</v>
      </c>
      <c r="G173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38" s="13" t="s">
        <v>59</v>
      </c>
      <c r="I1738" s="4">
        <f>_xlfn.XLOOKUP(Table1[[#This Row], [WEAPON]],Sheet1!$A$27:$A$29,Sheet1!$B$27:$B$29)*Table1[[#This Row], [NUM OF MEM]]*(1+_xlfn.XLOOKUP(Table1[[#This Row], [WEAPON]],Sheet1!$A$27:$A$29,Sheet1!$C$27:$C$29))</f>
        <v>91000</v>
      </c>
      <c r="J1738" t="s">
        <v>60</v>
      </c>
      <c r="K1738" s="9">
        <f>Table1[[#This Row], [NUM OF MEM]]*Table1[[#This Row], [TOTAL TIME TAKEN]]*_xlfn.XLOOKUP(Table1[[#This Row], [EXIT]],Sheet1!$A$70:$A$71,Sheet1!$B$70:$B$71)*(1+_xlfn.XLOOKUP(Table1[[#This Row], [EXIT]],Sheet1!$A$70:$A$71,Sheet1!$C$70:$C$71))</f>
        <v>1758854.5312499995</v>
      </c>
      <c r="L1738" s="13" t="s">
        <v>61</v>
      </c>
      <c r="M1738" s="4">
        <f>IF(Table1[[#This Row], [EQUIPMENT]]="YES",Sheet1!$C$44*(1+Sheet1!$D$44),0)</f>
        <v>0</v>
      </c>
      <c r="N1738" s="4">
        <f>_xlfn.XLOOKUP(Table1[[#This Row], [ROOM]],Sheet1!$A$47:$A$66,Sheet1!$F$47:$F$66)</f>
        <v>18000000</v>
      </c>
      <c r="O1738" s="9">
        <f>_xlfn.XLOOKUP(_xlfn.CONCAT(Table1[[#This Row], [TEAM]],Table1[[#This Row], [ROOM]]),'ROOM TIME'!$H$2:$H$121,'ROOM TIME'!$J$2:$J$121)</f>
        <v>61.63124999999998</v>
      </c>
      <c r="P1738" s="9">
        <f>(INDEX(Sheet1!$X$48:$Z$67,MATCH(Table1[[#This Row], [ROOM]],Sheet1!$P$48:$P$67,0),MATCH(Table1[[#This Row], [WEAPON]],Sheet1!$X$47:$Z$47,0)))/Table1[[#This Row], [NUM OF MEM]]</f>
        <v>6.8999999999999995</v>
      </c>
      <c r="Q1738" s="9">
        <f>Table1[[#This Row], [ROOM TIME]]+Table1[[#This Row], [GUARD TIME]]</f>
        <v>68.531249999999986</v>
      </c>
      <c r="R1738" s="4">
        <f>Sheet1!$K$3*_xlfn.XLOOKUP(Table1[[#This Row], [DISGUISE]],Sheet1!$A$21:$A$23,Sheet1!$D$21:$D$23)</f>
        <v>66</v>
      </c>
      <c r="S1738" s="9">
        <f>Table1[[#This Row], [TOTAL TIME]]-Table1[[#This Row], [TOTAL TIME TAKEN]]</f>
        <v>-2.5312499999999858</v>
      </c>
      <c r="T1738" t="str">
        <f>IF(Table1[[#This Row], [TIME DIFFERENCE]]&gt;=0,"PASS","FAIL")</f>
        <v>FAIL</v>
      </c>
      <c r="U1738" s="9">
        <f>Table1[[#This Row], [TRC]]+Table1[[#This Row], [DRC]]+Table1[[#This Row], [WRC]]+Table1[[#This Row], [ERC]]+Table1[[#This Row], [EQRC]]</f>
        <v>7793204.53125</v>
      </c>
      <c r="V1738" s="9">
        <f>Table1[[#This Row], [TOTAL COST]]+_xlfn.XLOOKUP(Table1[[#This Row], [TEAM]],Sheet1!$A$12:$A$17,Sheet1!$I$12:$I$17)</f>
        <v>8089852.03125</v>
      </c>
      <c r="W1738" s="9">
        <f>Table1[[#This Row], [LOOT]]-Table1[[#This Row], [TOTAL COST]]</f>
        <v>10206795.46875</v>
      </c>
      <c r="X1738" s="4">
        <f>IF(Table1[[#This Row], [PASS/FAIL]]="FAIL",0,Table1[[#This Row], [PROFIT]])</f>
        <v>0</v>
      </c>
    </row>
    <row r="1739" spans="1:24" ht="19.5" customHeight="1" x14ac:dyDescent="0.45">
      <c r="A1739" t="s">
        <v>15</v>
      </c>
      <c r="B1739" s="14">
        <f>_xlfn.XLOOKUP(Table1[[#This Row], [TEAM]],Sheet1!$A$12:$A$17,Sheet1!$F$12:$F$17)</f>
        <v>2</v>
      </c>
      <c r="C1739" s="14">
        <f>_xlfn.XLOOKUP(Table1[[#This Row], [TEAM]],Sheet1!$A$12:$A$17,Sheet1!$G$12:$G$17)</f>
        <v>5932950</v>
      </c>
      <c r="D1739" t="s">
        <v>24</v>
      </c>
      <c r="E1739" s="4">
        <f>_xlfn.XLOOKUP(Table1[[#This Row], [ROOM]],Sheet1!$A$47:$A$66,Sheet1!$B$47:$B$66)</f>
        <v>345</v>
      </c>
      <c r="F1739" t="s">
        <v>62</v>
      </c>
      <c r="G173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39" s="13" t="s">
        <v>59</v>
      </c>
      <c r="I1739" s="4">
        <f>_xlfn.XLOOKUP(Table1[[#This Row], [WEAPON]],Sheet1!$A$27:$A$29,Sheet1!$B$27:$B$29)*Table1[[#This Row], [NUM OF MEM]]*(1+_xlfn.XLOOKUP(Table1[[#This Row], [WEAPON]],Sheet1!$A$27:$A$29,Sheet1!$C$27:$C$29))</f>
        <v>91000</v>
      </c>
      <c r="J1739" t="s">
        <v>60</v>
      </c>
      <c r="K1739" s="9">
        <f>Table1[[#This Row], [NUM OF MEM]]*Table1[[#This Row], [TOTAL TIME TAKEN]]*_xlfn.XLOOKUP(Table1[[#This Row], [EXIT]],Sheet1!$A$70:$A$71,Sheet1!$B$70:$B$71)*(1+_xlfn.XLOOKUP(Table1[[#This Row], [EXIT]],Sheet1!$A$70:$A$71,Sheet1!$C$70:$C$71))</f>
        <v>1758854.5312499995</v>
      </c>
      <c r="L1739" s="13" t="s">
        <v>65</v>
      </c>
      <c r="M1739" s="4">
        <f>IF(Table1[[#This Row], [EQUIPMENT]]="YES",Sheet1!$C$44*(1+Sheet1!$D$44),0)</f>
        <v>307500</v>
      </c>
      <c r="N1739" s="4">
        <f>_xlfn.XLOOKUP(Table1[[#This Row], [ROOM]],Sheet1!$A$47:$A$66,Sheet1!$F$47:$F$66)</f>
        <v>18000000</v>
      </c>
      <c r="O1739" s="9">
        <f>_xlfn.XLOOKUP(_xlfn.CONCAT(Table1[[#This Row], [TEAM]],Table1[[#This Row], [ROOM]]),'ROOM TIME'!$H$2:$H$121,'ROOM TIME'!$J$2:$J$121)</f>
        <v>61.63124999999998</v>
      </c>
      <c r="P1739" s="9">
        <f>(INDEX(Sheet1!$X$48:$Z$67,MATCH(Table1[[#This Row], [ROOM]],Sheet1!$P$48:$P$67,0),MATCH(Table1[[#This Row], [WEAPON]],Sheet1!$X$47:$Z$47,0)))/Table1[[#This Row], [NUM OF MEM]]</f>
        <v>6.8999999999999995</v>
      </c>
      <c r="Q1739" s="9">
        <f>Table1[[#This Row], [ROOM TIME]]+Table1[[#This Row], [GUARD TIME]]</f>
        <v>68.531249999999986</v>
      </c>
      <c r="R1739" s="4">
        <f>Sheet1!$K$3*_xlfn.XLOOKUP(Table1[[#This Row], [DISGUISE]],Sheet1!$A$21:$A$23,Sheet1!$D$21:$D$23)</f>
        <v>66</v>
      </c>
      <c r="S1739" s="9">
        <f>Table1[[#This Row], [TOTAL TIME]]-Table1[[#This Row], [TOTAL TIME TAKEN]]</f>
        <v>-2.5312499999999858</v>
      </c>
      <c r="T1739" t="str">
        <f>IF(Table1[[#This Row], [TIME DIFFERENCE]]&gt;=0,"PASS","FAIL")</f>
        <v>FAIL</v>
      </c>
      <c r="U1739" s="9">
        <f>Table1[[#This Row], [TRC]]+Table1[[#This Row], [DRC]]+Table1[[#This Row], [WRC]]+Table1[[#This Row], [ERC]]+Table1[[#This Row], [EQRC]]</f>
        <v>8100704.53125</v>
      </c>
      <c r="V1739" s="9">
        <f>Table1[[#This Row], [TOTAL COST]]+_xlfn.XLOOKUP(Table1[[#This Row], [TEAM]],Sheet1!$A$12:$A$17,Sheet1!$I$12:$I$17)</f>
        <v>8397352.03125</v>
      </c>
      <c r="W1739" s="9">
        <f>Table1[[#This Row], [LOOT]]-Table1[[#This Row], [TOTAL COST]]</f>
        <v>9899295.46875</v>
      </c>
      <c r="X1739" s="4">
        <f>IF(Table1[[#This Row], [PASS/FAIL]]="FAIL",0,Table1[[#This Row], [PROFIT]])</f>
        <v>0</v>
      </c>
    </row>
    <row r="1740" spans="1:24" ht="19.5" customHeight="1" x14ac:dyDescent="0.45">
      <c r="A1740" t="s">
        <v>15</v>
      </c>
      <c r="B1740" s="14">
        <f>_xlfn.XLOOKUP(Table1[[#This Row], [TEAM]],Sheet1!$A$12:$A$17,Sheet1!$F$12:$F$17)</f>
        <v>2</v>
      </c>
      <c r="C1740" s="14">
        <f>_xlfn.XLOOKUP(Table1[[#This Row], [TEAM]],Sheet1!$A$12:$A$17,Sheet1!$G$12:$G$17)</f>
        <v>5932950</v>
      </c>
      <c r="D1740" t="s">
        <v>24</v>
      </c>
      <c r="E1740" s="4">
        <f>_xlfn.XLOOKUP(Table1[[#This Row], [ROOM]],Sheet1!$A$47:$A$66,Sheet1!$B$47:$B$66)</f>
        <v>345</v>
      </c>
      <c r="F1740" t="s">
        <v>62</v>
      </c>
      <c r="G174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0" s="13" t="s">
        <v>63</v>
      </c>
      <c r="I1740" s="4">
        <f>_xlfn.XLOOKUP(Table1[[#This Row], [WEAPON]],Sheet1!$A$27:$A$29,Sheet1!$B$27:$B$29)*Table1[[#This Row], [NUM OF MEM]]*(1+_xlfn.XLOOKUP(Table1[[#This Row], [WEAPON]],Sheet1!$A$27:$A$29,Sheet1!$C$27:$C$29))</f>
        <v>46000</v>
      </c>
      <c r="J1740" t="s">
        <v>64</v>
      </c>
      <c r="K1740" s="9">
        <f>Table1[[#This Row], [NUM OF MEM]]*Table1[[#This Row], [TOTAL TIME TAKEN]]*_xlfn.XLOOKUP(Table1[[#This Row], [EXIT]],Sheet1!$A$70:$A$71,Sheet1!$B$70:$B$71)*(1+_xlfn.XLOOKUP(Table1[[#This Row], [EXIT]],Sheet1!$A$70:$A$71,Sheet1!$C$70:$C$71))</f>
        <v>1807433.9999999998</v>
      </c>
      <c r="L1740" s="13" t="s">
        <v>61</v>
      </c>
      <c r="M1740" s="4">
        <f>IF(Table1[[#This Row], [EQUIPMENT]]="YES",Sheet1!$C$44*(1+Sheet1!$D$44),0)</f>
        <v>0</v>
      </c>
      <c r="N1740" s="4">
        <f>_xlfn.XLOOKUP(Table1[[#This Row], [ROOM]],Sheet1!$A$47:$A$66,Sheet1!$F$47:$F$66)</f>
        <v>18000000</v>
      </c>
      <c r="O1740" s="9">
        <f>_xlfn.XLOOKUP(_xlfn.CONCAT(Table1[[#This Row], [TEAM]],Table1[[#This Row], [ROOM]]),'ROOM TIME'!$H$2:$H$121,'ROOM TIME'!$J$2:$J$121)</f>
        <v>61.63124999999998</v>
      </c>
      <c r="P1740" s="9">
        <f>(INDEX(Sheet1!$X$48:$Z$67,MATCH(Table1[[#This Row], [ROOM]],Sheet1!$P$48:$P$67,0),MATCH(Table1[[#This Row], [WEAPON]],Sheet1!$X$47:$Z$47,0)))/Table1[[#This Row], [NUM OF MEM]]</f>
        <v>8.1000000000000014</v>
      </c>
      <c r="Q1740" s="9">
        <f>Table1[[#This Row], [ROOM TIME]]+Table1[[#This Row], [GUARD TIME]]</f>
        <v>69.731249999999989</v>
      </c>
      <c r="R1740" s="4">
        <f>Sheet1!$K$3*_xlfn.XLOOKUP(Table1[[#This Row], [DISGUISE]],Sheet1!$A$21:$A$23,Sheet1!$D$21:$D$23)</f>
        <v>66</v>
      </c>
      <c r="S1740" s="9">
        <f>Table1[[#This Row], [TOTAL TIME]]-Table1[[#This Row], [TOTAL TIME TAKEN]]</f>
        <v>-3.7312499999999886</v>
      </c>
      <c r="T1740" t="str">
        <f>IF(Table1[[#This Row], [TIME DIFFERENCE]]&gt;=0,"PASS","FAIL")</f>
        <v>FAIL</v>
      </c>
      <c r="U1740" s="4">
        <f>Table1[[#This Row], [TRC]]+Table1[[#This Row], [DRC]]+Table1[[#This Row], [WRC]]+Table1[[#This Row], [ERC]]+Table1[[#This Row], [EQRC]]</f>
        <v>7796784</v>
      </c>
      <c r="V1740" s="9">
        <f>Table1[[#This Row], [TOTAL COST]]+_xlfn.XLOOKUP(Table1[[#This Row], [TEAM]],Sheet1!$A$12:$A$17,Sheet1!$I$12:$I$17)</f>
        <v>8093431.5</v>
      </c>
      <c r="W1740" s="4">
        <f>Table1[[#This Row], [LOOT]]-Table1[[#This Row], [TOTAL COST]]</f>
        <v>10203216</v>
      </c>
      <c r="X1740" s="4">
        <f>IF(Table1[[#This Row], [PASS/FAIL]]="FAIL",0,Table1[[#This Row], [PROFIT]])</f>
        <v>0</v>
      </c>
    </row>
    <row r="1741" spans="1:24" ht="19.5" customHeight="1" x14ac:dyDescent="0.45">
      <c r="A1741" t="s">
        <v>15</v>
      </c>
      <c r="B1741" s="14">
        <f>_xlfn.XLOOKUP(Table1[[#This Row], [TEAM]],Sheet1!$A$12:$A$17,Sheet1!$F$12:$F$17)</f>
        <v>2</v>
      </c>
      <c r="C1741" s="14">
        <f>_xlfn.XLOOKUP(Table1[[#This Row], [TEAM]],Sheet1!$A$12:$A$17,Sheet1!$G$12:$G$17)</f>
        <v>5932950</v>
      </c>
      <c r="D1741" t="s">
        <v>24</v>
      </c>
      <c r="E1741" s="4">
        <f>_xlfn.XLOOKUP(Table1[[#This Row], [ROOM]],Sheet1!$A$47:$A$66,Sheet1!$B$47:$B$66)</f>
        <v>345</v>
      </c>
      <c r="F1741" t="s">
        <v>62</v>
      </c>
      <c r="G174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1" s="13" t="s">
        <v>63</v>
      </c>
      <c r="I1741" s="4">
        <f>_xlfn.XLOOKUP(Table1[[#This Row], [WEAPON]],Sheet1!$A$27:$A$29,Sheet1!$B$27:$B$29)*Table1[[#This Row], [NUM OF MEM]]*(1+_xlfn.XLOOKUP(Table1[[#This Row], [WEAPON]],Sheet1!$A$27:$A$29,Sheet1!$C$27:$C$29))</f>
        <v>46000</v>
      </c>
      <c r="J1741" t="s">
        <v>60</v>
      </c>
      <c r="K1741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1789652.5312499995</v>
      </c>
      <c r="L1741" s="13" t="s">
        <v>61</v>
      </c>
      <c r="M1741" s="4">
        <f>IF(Table1[[#This Row], [EQUIPMENT]]="YES",Sheet1!$C$44*(1+Sheet1!$D$44),0)</f>
        <v>0</v>
      </c>
      <c r="N1741" s="4">
        <f>_xlfn.XLOOKUP(Table1[[#This Row], [ROOM]],Sheet1!$A$47:$A$66,Sheet1!$F$47:$F$66)</f>
        <v>18000000</v>
      </c>
      <c r="O1741" s="9">
        <f>_xlfn.XLOOKUP(_xlfn.CONCAT(Table1[[#This Row], [TEAM]],Table1[[#This Row], [ROOM]]),'ROOM TIME'!$H$2:$H$121,'ROOM TIME'!$J$2:$J$121)</f>
        <v>61.63124999999998</v>
      </c>
      <c r="P1741" s="9">
        <f>(INDEX(Sheet1!$X$48:$Z$67,MATCH(Table1[[#This Row], [ROOM]],Sheet1!$P$48:$P$67,0),MATCH(Table1[[#This Row], [WEAPON]],Sheet1!$X$47:$Z$47,0)))/Table1[[#This Row], [NUM OF MEM]]</f>
        <v>8.1000000000000014</v>
      </c>
      <c r="Q1741" s="9">
        <f>Table1[[#This Row], [ROOM TIME]]+Table1[[#This Row], [GUARD TIME]]</f>
        <v>69.731249999999989</v>
      </c>
      <c r="R1741" s="4">
        <f>Sheet1!$K$3*_xlfn.XLOOKUP(Table1[[#This Row], [DISGUISE]],Sheet1!$A$21:$A$23,Sheet1!$D$21:$D$23)</f>
        <v>66</v>
      </c>
      <c r="S1741" s="9">
        <f>Table1[[#This Row], [TOTAL TIME]]-Table1[[#This Row], [TOTAL TIME TAKEN]]</f>
        <v>-3.7312499999999886</v>
      </c>
      <c r="T1741" t="str">
        <f>IF(Table1[[#This Row], [TIME DIFFERENCE]]&gt;=0,"PASS","FAIL")</f>
        <v>FAIL</v>
      </c>
      <c r="U1741" s="9">
        <f>Table1[[#This Row], [TRC]]+Table1[[#This Row], [DRC]]+Table1[[#This Row], [WRC]]+Table1[[#This Row], [ERC]]+Table1[[#This Row], [EQRC]]</f>
        <v>7779002.53125</v>
      </c>
      <c r="V1741" s="9">
        <f>Table1[[#This Row], [TOTAL COST]]+_xlfn.XLOOKUP(Table1[[#This Row], [TEAM]],Sheet1!$A$12:$A$17,Sheet1!$I$12:$I$17)</f>
        <v>8075650.03125</v>
      </c>
      <c r="W1741" s="9">
        <f>Table1[[#This Row], [LOOT]]-Table1[[#This Row], [TOTAL COST]]</f>
        <v>10220997.46875</v>
      </c>
      <c r="X1741" s="4">
        <f>IF(Table1[[#This Row], [PASS/FAIL]]="FAIL",0,Table1[[#This Row], [PROFIT]])</f>
        <v>0</v>
      </c>
    </row>
    <row r="1742" spans="1:24" ht="19.5" customHeight="1" x14ac:dyDescent="0.45">
      <c r="A1742" t="s">
        <v>15</v>
      </c>
      <c r="B1742" s="14">
        <f>_xlfn.XLOOKUP(Table1[[#This Row], [TEAM]],Sheet1!$A$12:$A$17,Sheet1!$F$12:$F$17)</f>
        <v>2</v>
      </c>
      <c r="C1742" s="14">
        <f>_xlfn.XLOOKUP(Table1[[#This Row], [TEAM]],Sheet1!$A$12:$A$17,Sheet1!$G$12:$G$17)</f>
        <v>5932950</v>
      </c>
      <c r="D1742" t="s">
        <v>24</v>
      </c>
      <c r="E1742" s="4">
        <f>_xlfn.XLOOKUP(Table1[[#This Row], [ROOM]],Sheet1!$A$47:$A$66,Sheet1!$B$47:$B$66)</f>
        <v>345</v>
      </c>
      <c r="F1742" t="s">
        <v>62</v>
      </c>
      <c r="G174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2" s="13" t="s">
        <v>63</v>
      </c>
      <c r="I1742" s="4">
        <f>_xlfn.XLOOKUP(Table1[[#This Row], [WEAPON]],Sheet1!$A$27:$A$29,Sheet1!$B$27:$B$29)*Table1[[#This Row], [NUM OF MEM]]*(1+_xlfn.XLOOKUP(Table1[[#This Row], [WEAPON]],Sheet1!$A$27:$A$29,Sheet1!$C$27:$C$29))</f>
        <v>46000</v>
      </c>
      <c r="J1742" t="s">
        <v>64</v>
      </c>
      <c r="K1742" s="9">
        <f>Table1[[#This Row], [NUM OF MEM]]*Table1[[#This Row], [TOTAL TIME TAKEN]]*_xlfn.XLOOKUP(Table1[[#This Row], [EXIT]],Sheet1!$A$70:$A$71,Sheet1!$B$70:$B$71)*(1+_xlfn.XLOOKUP(Table1[[#This Row], [EXIT]],Sheet1!$A$70:$A$71,Sheet1!$C$70:$C$71))</f>
        <v>1807433.9999999998</v>
      </c>
      <c r="L1742" s="13" t="s">
        <v>65</v>
      </c>
      <c r="M1742" s="4">
        <f>IF(Table1[[#This Row], [EQUIPMENT]]="YES",Sheet1!$C$44*(1+Sheet1!$D$44),0)</f>
        <v>307500</v>
      </c>
      <c r="N1742" s="4">
        <f>_xlfn.XLOOKUP(Table1[[#This Row], [ROOM]],Sheet1!$A$47:$A$66,Sheet1!$F$47:$F$66)</f>
        <v>18000000</v>
      </c>
      <c r="O1742" s="9">
        <f>_xlfn.XLOOKUP(_xlfn.CONCAT(Table1[[#This Row], [TEAM]],Table1[[#This Row], [ROOM]]),'ROOM TIME'!$H$2:$H$121,'ROOM TIME'!$J$2:$J$121)</f>
        <v>61.63124999999998</v>
      </c>
      <c r="P1742" s="9">
        <f>(INDEX(Sheet1!$X$48:$Z$67,MATCH(Table1[[#This Row], [ROOM]],Sheet1!$P$48:$P$67,0),MATCH(Table1[[#This Row], [WEAPON]],Sheet1!$X$47:$Z$47,0)))/Table1[[#This Row], [NUM OF MEM]]</f>
        <v>8.1000000000000014</v>
      </c>
      <c r="Q1742" s="9">
        <f>Table1[[#This Row], [ROOM TIME]]+Table1[[#This Row], [GUARD TIME]]</f>
        <v>69.731249999999989</v>
      </c>
      <c r="R1742" s="4">
        <f>Sheet1!$K$3*_xlfn.XLOOKUP(Table1[[#This Row], [DISGUISE]],Sheet1!$A$21:$A$23,Sheet1!$D$21:$D$23)</f>
        <v>66</v>
      </c>
      <c r="S1742" s="9">
        <f>Table1[[#This Row], [TOTAL TIME]]-Table1[[#This Row], [TOTAL TIME TAKEN]]</f>
        <v>-3.7312499999999886</v>
      </c>
      <c r="T1742" t="str">
        <f>IF(Table1[[#This Row], [TIME DIFFERENCE]]&gt;=0,"PASS","FAIL")</f>
        <v>FAIL</v>
      </c>
      <c r="U1742" s="4">
        <f>Table1[[#This Row], [TRC]]+Table1[[#This Row], [DRC]]+Table1[[#This Row], [WRC]]+Table1[[#This Row], [ERC]]+Table1[[#This Row], [EQRC]]</f>
        <v>8104284</v>
      </c>
      <c r="V1742" s="9">
        <f>Table1[[#This Row], [TOTAL COST]]+_xlfn.XLOOKUP(Table1[[#This Row], [TEAM]],Sheet1!$A$12:$A$17,Sheet1!$I$12:$I$17)</f>
        <v>8400931.5</v>
      </c>
      <c r="W1742" s="4">
        <f>Table1[[#This Row], [LOOT]]-Table1[[#This Row], [TOTAL COST]]</f>
        <v>9895716</v>
      </c>
      <c r="X1742" s="4">
        <f>IF(Table1[[#This Row], [PASS/FAIL]]="FAIL",0,Table1[[#This Row], [PROFIT]])</f>
        <v>0</v>
      </c>
    </row>
    <row r="1743" spans="1:24" ht="19.5" customHeight="1" x14ac:dyDescent="0.45">
      <c r="A1743" t="s">
        <v>15</v>
      </c>
      <c r="B1743" s="14">
        <f>_xlfn.XLOOKUP(Table1[[#This Row], [TEAM]],Sheet1!$A$12:$A$17,Sheet1!$F$12:$F$17)</f>
        <v>2</v>
      </c>
      <c r="C1743" s="14">
        <f>_xlfn.XLOOKUP(Table1[[#This Row], [TEAM]],Sheet1!$A$12:$A$17,Sheet1!$G$12:$G$17)</f>
        <v>5932950</v>
      </c>
      <c r="D1743" t="s">
        <v>24</v>
      </c>
      <c r="E1743" s="4">
        <f>_xlfn.XLOOKUP(Table1[[#This Row], [ROOM]],Sheet1!$A$47:$A$66,Sheet1!$B$47:$B$66)</f>
        <v>345</v>
      </c>
      <c r="F1743" t="s">
        <v>62</v>
      </c>
      <c r="G174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3" s="13" t="s">
        <v>63</v>
      </c>
      <c r="I1743" s="4">
        <f>_xlfn.XLOOKUP(Table1[[#This Row], [WEAPON]],Sheet1!$A$27:$A$29,Sheet1!$B$27:$B$29)*Table1[[#This Row], [NUM OF MEM]]*(1+_xlfn.XLOOKUP(Table1[[#This Row], [WEAPON]],Sheet1!$A$27:$A$29,Sheet1!$C$27:$C$29))</f>
        <v>46000</v>
      </c>
      <c r="J1743" t="s">
        <v>60</v>
      </c>
      <c r="K1743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1789652.5312499995</v>
      </c>
      <c r="L1743" s="13" t="s">
        <v>65</v>
      </c>
      <c r="M1743" s="4">
        <f>IF(Table1[[#This Row], [EQUIPMENT]]="YES",Sheet1!$C$44*(1+Sheet1!$D$44),0)</f>
        <v>307500</v>
      </c>
      <c r="N1743" s="4">
        <f>_xlfn.XLOOKUP(Table1[[#This Row], [ROOM]],Sheet1!$A$47:$A$66,Sheet1!$F$47:$F$66)</f>
        <v>18000000</v>
      </c>
      <c r="O1743" s="9">
        <f>_xlfn.XLOOKUP(_xlfn.CONCAT(Table1[[#This Row], [TEAM]],Table1[[#This Row], [ROOM]]),'ROOM TIME'!$H$2:$H$121,'ROOM TIME'!$J$2:$J$121)</f>
        <v>61.63124999999998</v>
      </c>
      <c r="P1743" s="9">
        <f>(INDEX(Sheet1!$X$48:$Z$67,MATCH(Table1[[#This Row], [ROOM]],Sheet1!$P$48:$P$67,0),MATCH(Table1[[#This Row], [WEAPON]],Sheet1!$X$47:$Z$47,0)))/Table1[[#This Row], [NUM OF MEM]]</f>
        <v>8.1000000000000014</v>
      </c>
      <c r="Q1743" s="9">
        <f>Table1[[#This Row], [ROOM TIME]]+Table1[[#This Row], [GUARD TIME]]</f>
        <v>69.731249999999989</v>
      </c>
      <c r="R1743" s="4">
        <f>Sheet1!$K$3*_xlfn.XLOOKUP(Table1[[#This Row], [DISGUISE]],Sheet1!$A$21:$A$23,Sheet1!$D$21:$D$23)</f>
        <v>66</v>
      </c>
      <c r="S1743" s="9">
        <f>Table1[[#This Row], [TOTAL TIME]]-Table1[[#This Row], [TOTAL TIME TAKEN]]</f>
        <v>-3.7312499999999886</v>
      </c>
      <c r="T1743" t="str">
        <f>IF(Table1[[#This Row], [TIME DIFFERENCE]]&gt;=0,"PASS","FAIL")</f>
        <v>FAIL</v>
      </c>
      <c r="U1743" s="9">
        <f>Table1[[#This Row], [TRC]]+Table1[[#This Row], [DRC]]+Table1[[#This Row], [WRC]]+Table1[[#This Row], [ERC]]+Table1[[#This Row], [EQRC]]</f>
        <v>8086502.53125</v>
      </c>
      <c r="V1743" s="9">
        <f>Table1[[#This Row], [TOTAL COST]]+_xlfn.XLOOKUP(Table1[[#This Row], [TEAM]],Sheet1!$A$12:$A$17,Sheet1!$I$12:$I$17)</f>
        <v>8383150.03125</v>
      </c>
      <c r="W1743" s="9">
        <f>Table1[[#This Row], [LOOT]]-Table1[[#This Row], [TOTAL COST]]</f>
        <v>9913497.46875</v>
      </c>
      <c r="X1743" s="4">
        <f>IF(Table1[[#This Row], [PASS/FAIL]]="FAIL",0,Table1[[#This Row], [PROFIT]])</f>
        <v>0</v>
      </c>
    </row>
    <row r="1744" spans="1:24" ht="19.5" customHeight="1" x14ac:dyDescent="0.45">
      <c r="A1744" t="s">
        <v>15</v>
      </c>
      <c r="B1744" s="14">
        <f>_xlfn.XLOOKUP(Table1[[#This Row], [TEAM]],Sheet1!$A$12:$A$17,Sheet1!$F$12:$F$17)</f>
        <v>2</v>
      </c>
      <c r="C1744" s="14">
        <f>_xlfn.XLOOKUP(Table1[[#This Row], [TEAM]],Sheet1!$A$12:$A$17,Sheet1!$G$12:$G$17)</f>
        <v>5932950</v>
      </c>
      <c r="D1744" t="s">
        <v>24</v>
      </c>
      <c r="E1744" s="4">
        <f>_xlfn.XLOOKUP(Table1[[#This Row], [ROOM]],Sheet1!$A$47:$A$66,Sheet1!$B$47:$B$66)</f>
        <v>345</v>
      </c>
      <c r="F1744" t="s">
        <v>62</v>
      </c>
      <c r="G174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4" s="13" t="s">
        <v>66</v>
      </c>
      <c r="I1744" s="4">
        <f>_xlfn.XLOOKUP(Table1[[#This Row], [WEAPON]],Sheet1!$A$27:$A$29,Sheet1!$B$27:$B$29)*Table1[[#This Row], [NUM OF MEM]]*(1+_xlfn.XLOOKUP(Table1[[#This Row], [WEAPON]],Sheet1!$A$27:$A$29,Sheet1!$C$27:$C$29))</f>
        <v>72000</v>
      </c>
      <c r="J1744" t="s">
        <v>60</v>
      </c>
      <c r="K1744" s="9">
        <f>Table1[[#This Row], [NUM OF MEM]]*Table1[[#This Row], [TOTAL TIME TAKEN]]*_xlfn.XLOOKUP(Table1[[#This Row], [EXIT]],Sheet1!$A$70:$A$71,Sheet1!$B$70:$B$71)*(1+_xlfn.XLOOKUP(Table1[[#This Row], [EXIT]],Sheet1!$A$70:$A$71,Sheet1!$C$70:$C$71))</f>
        <v>1774253.5312499993</v>
      </c>
      <c r="L1744" s="13" t="s">
        <v>61</v>
      </c>
      <c r="M1744" s="4">
        <f>IF(Table1[[#This Row], [EQUIPMENT]]="YES",Sheet1!$C$44*(1+Sheet1!$D$44),0)</f>
        <v>0</v>
      </c>
      <c r="N1744" s="4">
        <f>_xlfn.XLOOKUP(Table1[[#This Row], [ROOM]],Sheet1!$A$47:$A$66,Sheet1!$F$47:$F$66)</f>
        <v>18000000</v>
      </c>
      <c r="O1744" s="9">
        <f>_xlfn.XLOOKUP(_xlfn.CONCAT(Table1[[#This Row], [TEAM]],Table1[[#This Row], [ROOM]]),'ROOM TIME'!$H$2:$H$121,'ROOM TIME'!$J$2:$J$121)</f>
        <v>61.63124999999998</v>
      </c>
      <c r="P1744" s="9">
        <f>(INDEX(Sheet1!$X$48:$Z$67,MATCH(Table1[[#This Row], [ROOM]],Sheet1!$P$48:$P$67,0),MATCH(Table1[[#This Row], [WEAPON]],Sheet1!$X$47:$Z$47,0)))/Table1[[#This Row], [NUM OF MEM]]</f>
        <v>7.5</v>
      </c>
      <c r="Q1744" s="9">
        <f>Table1[[#This Row], [ROOM TIME]]+Table1[[#This Row], [GUARD TIME]]</f>
        <v>69.13124999999998</v>
      </c>
      <c r="R1744" s="4">
        <f>Sheet1!$K$3*_xlfn.XLOOKUP(Table1[[#This Row], [DISGUISE]],Sheet1!$A$21:$A$23,Sheet1!$D$21:$D$23)</f>
        <v>66</v>
      </c>
      <c r="S1744" s="9">
        <f>Table1[[#This Row], [TOTAL TIME]]-Table1[[#This Row], [TOTAL TIME TAKEN]]</f>
        <v>-3.1312499999999801</v>
      </c>
      <c r="T1744" t="str">
        <f>IF(Table1[[#This Row], [TIME DIFFERENCE]]&gt;=0,"PASS","FAIL")</f>
        <v>FAIL</v>
      </c>
      <c r="U1744" s="9">
        <f>Table1[[#This Row], [TRC]]+Table1[[#This Row], [DRC]]+Table1[[#This Row], [WRC]]+Table1[[#This Row], [ERC]]+Table1[[#This Row], [EQRC]]</f>
        <v>7789603.5312499991</v>
      </c>
      <c r="V1744" s="9">
        <f>Table1[[#This Row], [TOTAL COST]]+_xlfn.XLOOKUP(Table1[[#This Row], [TEAM]],Sheet1!$A$12:$A$17,Sheet1!$I$12:$I$17)</f>
        <v>8086251.0312499991</v>
      </c>
      <c r="W1744" s="9">
        <f>Table1[[#This Row], [LOOT]]-Table1[[#This Row], [TOTAL COST]]</f>
        <v>10210396.46875</v>
      </c>
      <c r="X1744" s="4">
        <f>IF(Table1[[#This Row], [PASS/FAIL]]="FAIL",0,Table1[[#This Row], [PROFIT]])</f>
        <v>0</v>
      </c>
    </row>
    <row r="1745" spans="1:24" ht="19.5" customHeight="1" x14ac:dyDescent="0.45">
      <c r="A1745" t="s">
        <v>15</v>
      </c>
      <c r="B1745" s="14">
        <f>_xlfn.XLOOKUP(Table1[[#This Row], [TEAM]],Sheet1!$A$12:$A$17,Sheet1!$F$12:$F$17)</f>
        <v>2</v>
      </c>
      <c r="C1745" s="14">
        <f>_xlfn.XLOOKUP(Table1[[#This Row], [TEAM]],Sheet1!$A$12:$A$17,Sheet1!$G$12:$G$17)</f>
        <v>5932950</v>
      </c>
      <c r="D1745" t="s">
        <v>24</v>
      </c>
      <c r="E1745" s="4">
        <f>_xlfn.XLOOKUP(Table1[[#This Row], [ROOM]],Sheet1!$A$47:$A$66,Sheet1!$B$47:$B$66)</f>
        <v>345</v>
      </c>
      <c r="F1745" t="s">
        <v>62</v>
      </c>
      <c r="G174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5" s="13" t="s">
        <v>66</v>
      </c>
      <c r="I1745" s="4">
        <f>_xlfn.XLOOKUP(Table1[[#This Row], [WEAPON]],Sheet1!$A$27:$A$29,Sheet1!$B$27:$B$29)*Table1[[#This Row], [NUM OF MEM]]*(1+_xlfn.XLOOKUP(Table1[[#This Row], [WEAPON]],Sheet1!$A$27:$A$29,Sheet1!$C$27:$C$29))</f>
        <v>72000</v>
      </c>
      <c r="J1745" t="s">
        <v>64</v>
      </c>
      <c r="K1745" s="9">
        <f>Table1[[#This Row], [NUM OF MEM]]*Table1[[#This Row], [TOTAL TIME TAKEN]]*_xlfn.XLOOKUP(Table1[[#This Row], [EXIT]],Sheet1!$A$70:$A$71,Sheet1!$B$70:$B$71)*(1+_xlfn.XLOOKUP(Table1[[#This Row], [EXIT]],Sheet1!$A$70:$A$71,Sheet1!$C$70:$C$71))</f>
        <v>1791881.9999999993</v>
      </c>
      <c r="L1745" s="13" t="s">
        <v>61</v>
      </c>
      <c r="M1745" s="4">
        <f>IF(Table1[[#This Row], [EQUIPMENT]]="YES",Sheet1!$C$44*(1+Sheet1!$D$44),0)</f>
        <v>0</v>
      </c>
      <c r="N1745" s="4">
        <f>_xlfn.XLOOKUP(Table1[[#This Row], [ROOM]],Sheet1!$A$47:$A$66,Sheet1!$F$47:$F$66)</f>
        <v>18000000</v>
      </c>
      <c r="O1745" s="9">
        <f>_xlfn.XLOOKUP(_xlfn.CONCAT(Table1[[#This Row], [TEAM]],Table1[[#This Row], [ROOM]]),'ROOM TIME'!$H$2:$H$121,'ROOM TIME'!$J$2:$J$121)</f>
        <v>61.63124999999998</v>
      </c>
      <c r="P1745" s="9">
        <f>(INDEX(Sheet1!$X$48:$Z$67,MATCH(Table1[[#This Row], [ROOM]],Sheet1!$P$48:$P$67,0),MATCH(Table1[[#This Row], [WEAPON]],Sheet1!$X$47:$Z$47,0)))/Table1[[#This Row], [NUM OF MEM]]</f>
        <v>7.5</v>
      </c>
      <c r="Q1745" s="9">
        <f>Table1[[#This Row], [ROOM TIME]]+Table1[[#This Row], [GUARD TIME]]</f>
        <v>69.13124999999998</v>
      </c>
      <c r="R1745" s="4">
        <f>Sheet1!$K$3*_xlfn.XLOOKUP(Table1[[#This Row], [DISGUISE]],Sheet1!$A$21:$A$23,Sheet1!$D$21:$D$23)</f>
        <v>66</v>
      </c>
      <c r="S1745" s="9">
        <f>Table1[[#This Row], [TOTAL TIME]]-Table1[[#This Row], [TOTAL TIME TAKEN]]</f>
        <v>-3.1312499999999801</v>
      </c>
      <c r="T1745" t="str">
        <f>IF(Table1[[#This Row], [TIME DIFFERENCE]]&gt;=0,"PASS","FAIL")</f>
        <v>FAIL</v>
      </c>
      <c r="U1745" s="9">
        <f>Table1[[#This Row], [TRC]]+Table1[[#This Row], [DRC]]+Table1[[#This Row], [WRC]]+Table1[[#This Row], [ERC]]+Table1[[#This Row], [EQRC]]</f>
        <v>7807231.9999999991</v>
      </c>
      <c r="V1745" s="9">
        <f>Table1[[#This Row], [TOTAL COST]]+_xlfn.XLOOKUP(Table1[[#This Row], [TEAM]],Sheet1!$A$12:$A$17,Sheet1!$I$12:$I$17)</f>
        <v>8103879.4999999991</v>
      </c>
      <c r="W1745" s="4">
        <f>Table1[[#This Row], [LOOT]]-Table1[[#This Row], [TOTAL COST]]</f>
        <v>10192768</v>
      </c>
      <c r="X1745" s="4">
        <f>IF(Table1[[#This Row], [PASS/FAIL]]="FAIL",0,Table1[[#This Row], [PROFIT]])</f>
        <v>0</v>
      </c>
    </row>
    <row r="1746" spans="1:24" ht="19.5" customHeight="1" x14ac:dyDescent="0.45">
      <c r="A1746" t="s">
        <v>15</v>
      </c>
      <c r="B1746" s="14">
        <f>_xlfn.XLOOKUP(Table1[[#This Row], [TEAM]],Sheet1!$A$12:$A$17,Sheet1!$F$12:$F$17)</f>
        <v>2</v>
      </c>
      <c r="C1746" s="14">
        <f>_xlfn.XLOOKUP(Table1[[#This Row], [TEAM]],Sheet1!$A$12:$A$17,Sheet1!$G$12:$G$17)</f>
        <v>5932950</v>
      </c>
      <c r="D1746" t="s">
        <v>24</v>
      </c>
      <c r="E1746" s="4">
        <f>_xlfn.XLOOKUP(Table1[[#This Row], [ROOM]],Sheet1!$A$47:$A$66,Sheet1!$B$47:$B$66)</f>
        <v>345</v>
      </c>
      <c r="F1746" t="s">
        <v>62</v>
      </c>
      <c r="G174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6" s="13" t="s">
        <v>66</v>
      </c>
      <c r="I1746" s="4">
        <f>_xlfn.XLOOKUP(Table1[[#This Row], [WEAPON]],Sheet1!$A$27:$A$29,Sheet1!$B$27:$B$29)*Table1[[#This Row], [NUM OF MEM]]*(1+_xlfn.XLOOKUP(Table1[[#This Row], [WEAPON]],Sheet1!$A$27:$A$29,Sheet1!$C$27:$C$29))</f>
        <v>72000</v>
      </c>
      <c r="J1746" t="s">
        <v>60</v>
      </c>
      <c r="K1746" s="9">
        <f>Table1[[#This Row], [NUM OF MEM]]*Table1[[#This Row], [TOTAL TIME TAKEN]]*_xlfn.XLOOKUP(Table1[[#This Row], [EXIT]],Sheet1!$A$70:$A$71,Sheet1!$B$70:$B$71)*(1+_xlfn.XLOOKUP(Table1[[#This Row], [EXIT]],Sheet1!$A$70:$A$71,Sheet1!$C$70:$C$71))</f>
        <v>1774253.5312499993</v>
      </c>
      <c r="L1746" s="13" t="s">
        <v>65</v>
      </c>
      <c r="M1746" s="4">
        <f>IF(Table1[[#This Row], [EQUIPMENT]]="YES",Sheet1!$C$44*(1+Sheet1!$D$44),0)</f>
        <v>307500</v>
      </c>
      <c r="N1746" s="4">
        <f>_xlfn.XLOOKUP(Table1[[#This Row], [ROOM]],Sheet1!$A$47:$A$66,Sheet1!$F$47:$F$66)</f>
        <v>18000000</v>
      </c>
      <c r="O1746" s="9">
        <f>_xlfn.XLOOKUP(_xlfn.CONCAT(Table1[[#This Row], [TEAM]],Table1[[#This Row], [ROOM]]),'ROOM TIME'!$H$2:$H$121,'ROOM TIME'!$J$2:$J$121)</f>
        <v>61.63124999999998</v>
      </c>
      <c r="P1746" s="9">
        <f>(INDEX(Sheet1!$X$48:$Z$67,MATCH(Table1[[#This Row], [ROOM]],Sheet1!$P$48:$P$67,0),MATCH(Table1[[#This Row], [WEAPON]],Sheet1!$X$47:$Z$47,0)))/Table1[[#This Row], [NUM OF MEM]]</f>
        <v>7.5</v>
      </c>
      <c r="Q1746" s="9">
        <f>Table1[[#This Row], [ROOM TIME]]+Table1[[#This Row], [GUARD TIME]]</f>
        <v>69.13124999999998</v>
      </c>
      <c r="R1746" s="4">
        <f>Sheet1!$K$3*_xlfn.XLOOKUP(Table1[[#This Row], [DISGUISE]],Sheet1!$A$21:$A$23,Sheet1!$D$21:$D$23)</f>
        <v>66</v>
      </c>
      <c r="S1746" s="9">
        <f>Table1[[#This Row], [TOTAL TIME]]-Table1[[#This Row], [TOTAL TIME TAKEN]]</f>
        <v>-3.1312499999999801</v>
      </c>
      <c r="T1746" t="str">
        <f>IF(Table1[[#This Row], [TIME DIFFERENCE]]&gt;=0,"PASS","FAIL")</f>
        <v>FAIL</v>
      </c>
      <c r="U1746" s="9">
        <f>Table1[[#This Row], [TRC]]+Table1[[#This Row], [DRC]]+Table1[[#This Row], [WRC]]+Table1[[#This Row], [ERC]]+Table1[[#This Row], [EQRC]]</f>
        <v>8097103.5312499991</v>
      </c>
      <c r="V1746" s="9">
        <f>Table1[[#This Row], [TOTAL COST]]+_xlfn.XLOOKUP(Table1[[#This Row], [TEAM]],Sheet1!$A$12:$A$17,Sheet1!$I$12:$I$17)</f>
        <v>8393751.03125</v>
      </c>
      <c r="W1746" s="9">
        <f>Table1[[#This Row], [LOOT]]-Table1[[#This Row], [TOTAL COST]]</f>
        <v>9902896.46875</v>
      </c>
      <c r="X1746" s="4">
        <f>IF(Table1[[#This Row], [PASS/FAIL]]="FAIL",0,Table1[[#This Row], [PROFIT]])</f>
        <v>0</v>
      </c>
    </row>
    <row r="1747" spans="1:24" ht="19.5" customHeight="1" x14ac:dyDescent="0.45">
      <c r="A1747" t="s">
        <v>15</v>
      </c>
      <c r="B1747" s="14">
        <f>_xlfn.XLOOKUP(Table1[[#This Row], [TEAM]],Sheet1!$A$12:$A$17,Sheet1!$F$12:$F$17)</f>
        <v>2</v>
      </c>
      <c r="C1747" s="14">
        <f>_xlfn.XLOOKUP(Table1[[#This Row], [TEAM]],Sheet1!$A$12:$A$17,Sheet1!$G$12:$G$17)</f>
        <v>5932950</v>
      </c>
      <c r="D1747" t="s">
        <v>24</v>
      </c>
      <c r="E1747" s="4">
        <f>_xlfn.XLOOKUP(Table1[[#This Row], [ROOM]],Sheet1!$A$47:$A$66,Sheet1!$B$47:$B$66)</f>
        <v>345</v>
      </c>
      <c r="F1747" t="s">
        <v>62</v>
      </c>
      <c r="G174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47" s="13" t="s">
        <v>66</v>
      </c>
      <c r="I1747" s="4">
        <f>_xlfn.XLOOKUP(Table1[[#This Row], [WEAPON]],Sheet1!$A$27:$A$29,Sheet1!$B$27:$B$29)*Table1[[#This Row], [NUM OF MEM]]*(1+_xlfn.XLOOKUP(Table1[[#This Row], [WEAPON]],Sheet1!$A$27:$A$29,Sheet1!$C$27:$C$29))</f>
        <v>72000</v>
      </c>
      <c r="J1747" t="s">
        <v>64</v>
      </c>
      <c r="K1747" s="9">
        <f>Table1[[#This Row], [NUM OF MEM]]*Table1[[#This Row], [TOTAL TIME TAKEN]]*_xlfn.XLOOKUP(Table1[[#This Row], [EXIT]],Sheet1!$A$70:$A$71,Sheet1!$B$70:$B$71)*(1+_xlfn.XLOOKUP(Table1[[#This Row], [EXIT]],Sheet1!$A$70:$A$71,Sheet1!$C$70:$C$71))</f>
        <v>1791881.9999999993</v>
      </c>
      <c r="L1747" s="13" t="s">
        <v>65</v>
      </c>
      <c r="M1747" s="4">
        <f>IF(Table1[[#This Row], [EQUIPMENT]]="YES",Sheet1!$C$44*(1+Sheet1!$D$44),0)</f>
        <v>307500</v>
      </c>
      <c r="N1747" s="4">
        <f>_xlfn.XLOOKUP(Table1[[#This Row], [ROOM]],Sheet1!$A$47:$A$66,Sheet1!$F$47:$F$66)</f>
        <v>18000000</v>
      </c>
      <c r="O1747" s="9">
        <f>_xlfn.XLOOKUP(_xlfn.CONCAT(Table1[[#This Row], [TEAM]],Table1[[#This Row], [ROOM]]),'ROOM TIME'!$H$2:$H$121,'ROOM TIME'!$J$2:$J$121)</f>
        <v>61.63124999999998</v>
      </c>
      <c r="P1747" s="9">
        <f>(INDEX(Sheet1!$X$48:$Z$67,MATCH(Table1[[#This Row], [ROOM]],Sheet1!$P$48:$P$67,0),MATCH(Table1[[#This Row], [WEAPON]],Sheet1!$X$47:$Z$47,0)))/Table1[[#This Row], [NUM OF MEM]]</f>
        <v>7.5</v>
      </c>
      <c r="Q1747" s="9">
        <f>Table1[[#This Row], [ROOM TIME]]+Table1[[#This Row], [GUARD TIME]]</f>
        <v>69.13124999999998</v>
      </c>
      <c r="R1747" s="4">
        <f>Sheet1!$K$3*_xlfn.XLOOKUP(Table1[[#This Row], [DISGUISE]],Sheet1!$A$21:$A$23,Sheet1!$D$21:$D$23)</f>
        <v>66</v>
      </c>
      <c r="S1747" s="9">
        <f>Table1[[#This Row], [TOTAL TIME]]-Table1[[#This Row], [TOTAL TIME TAKEN]]</f>
        <v>-3.1312499999999801</v>
      </c>
      <c r="T1747" t="str">
        <f>IF(Table1[[#This Row], [TIME DIFFERENCE]]&gt;=0,"PASS","FAIL")</f>
        <v>FAIL</v>
      </c>
      <c r="U1747" s="9">
        <f>Table1[[#This Row], [TRC]]+Table1[[#This Row], [DRC]]+Table1[[#This Row], [WRC]]+Table1[[#This Row], [ERC]]+Table1[[#This Row], [EQRC]]</f>
        <v>8114731.9999999991</v>
      </c>
      <c r="V1747" s="9">
        <f>Table1[[#This Row], [TOTAL COST]]+_xlfn.XLOOKUP(Table1[[#This Row], [TEAM]],Sheet1!$A$12:$A$17,Sheet1!$I$12:$I$17)</f>
        <v>8411379.5</v>
      </c>
      <c r="W1747" s="4">
        <f>Table1[[#This Row], [LOOT]]-Table1[[#This Row], [TOTAL COST]]</f>
        <v>9885268</v>
      </c>
      <c r="X1747" s="4">
        <f>IF(Table1[[#This Row], [PASS/FAIL]]="FAIL",0,Table1[[#This Row], [PROFIT]])</f>
        <v>0</v>
      </c>
    </row>
    <row r="1748" spans="1:24" ht="19.5" customHeight="1" x14ac:dyDescent="0.45">
      <c r="A1748" t="s">
        <v>16</v>
      </c>
      <c r="B1748" s="14">
        <f>_xlfn.XLOOKUP(Table1[[#This Row], [TEAM]],Sheet1!$A$12:$A$17,Sheet1!$F$12:$F$17)</f>
        <v>2</v>
      </c>
      <c r="C1748" s="14">
        <f>_xlfn.XLOOKUP(Table1[[#This Row], [TEAM]],Sheet1!$A$12:$A$17,Sheet1!$G$12:$G$17)</f>
        <v>6082800</v>
      </c>
      <c r="D1748" t="s">
        <v>24</v>
      </c>
      <c r="E1748" s="4">
        <f>_xlfn.XLOOKUP(Table1[[#This Row], [ROOM]],Sheet1!$A$47:$A$66,Sheet1!$B$47:$B$66)</f>
        <v>345</v>
      </c>
      <c r="F1748" t="s">
        <v>58</v>
      </c>
      <c r="G1748" s="4">
        <f>_xlfn.XLOOKUP(Table1[[#This Row], [DISGUISE]],Sheet1!$A$21:$A$23,Sheet1!$B$21:$B$23)*Table1[[#This Row], [NUM OF MEM]]*(1+_xlfn.XLOOKUP(Table1[[#This Row], [DISGUISE]],Sheet1!$A$21:$A$23,Sheet1!$C$21:$C$23))</f>
        <v>25600</v>
      </c>
      <c r="H1748" s="13" t="s">
        <v>63</v>
      </c>
      <c r="I1748" s="4">
        <f>_xlfn.XLOOKUP(Table1[[#This Row], [WEAPON]],Sheet1!$A$27:$A$29,Sheet1!$B$27:$B$29)*Table1[[#This Row], [NUM OF MEM]]*(1+_xlfn.XLOOKUP(Table1[[#This Row], [WEAPON]],Sheet1!$A$27:$A$29,Sheet1!$C$27:$C$29))</f>
        <v>46000</v>
      </c>
      <c r="J1748" t="s">
        <v>64</v>
      </c>
      <c r="K1748" s="9">
        <f>Table1[[#This Row], [NUM OF MEM]]*Table1[[#This Row], [TOTAL TIME TAKEN]]*_xlfn.XLOOKUP(Table1[[#This Row], [EXIT]],Sheet1!$A$70:$A$71,Sheet1!$B$70:$B$71)*(1+_xlfn.XLOOKUP(Table1[[#This Row], [EXIT]],Sheet1!$A$70:$A$71,Sheet1!$C$70:$C$71))</f>
        <v>1792076.3999999997</v>
      </c>
      <c r="L1748" s="13" t="s">
        <v>61</v>
      </c>
      <c r="M1748" s="4">
        <f>IF(Table1[[#This Row], [EQUIPMENT]]="YES",Sheet1!$C$44*(1+Sheet1!$D$44),0)</f>
        <v>0</v>
      </c>
      <c r="N1748" s="4">
        <f>_xlfn.XLOOKUP(Table1[[#This Row], [ROOM]],Sheet1!$A$47:$A$66,Sheet1!$F$47:$F$66)</f>
        <v>18000000</v>
      </c>
      <c r="O1748" s="9">
        <f>_xlfn.XLOOKUP(_xlfn.CONCAT(Table1[[#This Row], [TEAM]],Table1[[#This Row], [ROOM]]),'ROOM TIME'!$H$2:$H$121,'ROOM TIME'!$J$2:$J$121)</f>
        <v>61.038749999999979</v>
      </c>
      <c r="P1748" s="9">
        <f>(INDEX(Sheet1!$X$48:$Z$67,MATCH(Table1[[#This Row], [ROOM]],Sheet1!$P$48:$P$67,0),MATCH(Table1[[#This Row], [WEAPON]],Sheet1!$X$47:$Z$47,0)))/Table1[[#This Row], [NUM OF MEM]]</f>
        <v>8.1000000000000014</v>
      </c>
      <c r="Q1748" s="9">
        <f>Table1[[#This Row], [ROOM TIME]]+Table1[[#This Row], [GUARD TIME]]</f>
        <v>69.138749999999987</v>
      </c>
      <c r="R1748" s="4">
        <f>Sheet1!$K$3*_xlfn.XLOOKUP(Table1[[#This Row], [DISGUISE]],Sheet1!$A$21:$A$23,Sheet1!$D$21:$D$23)</f>
        <v>69</v>
      </c>
      <c r="S1748" s="9">
        <f>Table1[[#This Row], [TOTAL TIME]]-Table1[[#This Row], [TOTAL TIME TAKEN]]</f>
        <v>-0.13874999999998749</v>
      </c>
      <c r="T1748" t="str">
        <f>IF(Table1[[#This Row], [TIME DIFFERENCE]]&gt;=0,"PASS","FAIL")</f>
        <v>FAIL</v>
      </c>
      <c r="U1748" s="9">
        <f>Table1[[#This Row], [TRC]]+Table1[[#This Row], [DRC]]+Table1[[#This Row], [WRC]]+Table1[[#This Row], [ERC]]+Table1[[#This Row], [EQRC]]</f>
        <v>7946476.3999999994</v>
      </c>
      <c r="V1748" s="9">
        <f>Table1[[#This Row], [TOTAL COST]]+_xlfn.XLOOKUP(Table1[[#This Row], [TEAM]],Sheet1!$A$12:$A$17,Sheet1!$I$12:$I$17)</f>
        <v>8250616.3999999994</v>
      </c>
      <c r="W1748" s="9">
        <f>Table1[[#This Row], [LOOT]]-Table1[[#This Row], [TOTAL COST]]</f>
        <v>10053523.600000001</v>
      </c>
      <c r="X1748" s="4">
        <f>IF(Table1[[#This Row], [PASS/FAIL]]="FAIL",0,Table1[[#This Row], [PROFIT]])</f>
        <v>0</v>
      </c>
    </row>
    <row r="1749" spans="1:24" ht="19.5" customHeight="1" x14ac:dyDescent="0.45">
      <c r="A1749" t="s">
        <v>16</v>
      </c>
      <c r="B1749" s="14">
        <f>_xlfn.XLOOKUP(Table1[[#This Row], [TEAM]],Sheet1!$A$12:$A$17,Sheet1!$F$12:$F$17)</f>
        <v>2</v>
      </c>
      <c r="C1749" s="14">
        <f>_xlfn.XLOOKUP(Table1[[#This Row], [TEAM]],Sheet1!$A$12:$A$17,Sheet1!$G$12:$G$17)</f>
        <v>6082800</v>
      </c>
      <c r="D1749" t="s">
        <v>24</v>
      </c>
      <c r="E1749" s="4">
        <f>_xlfn.XLOOKUP(Table1[[#This Row], [ROOM]],Sheet1!$A$47:$A$66,Sheet1!$B$47:$B$66)</f>
        <v>345</v>
      </c>
      <c r="F1749" t="s">
        <v>58</v>
      </c>
      <c r="G1749" s="4">
        <f>_xlfn.XLOOKUP(Table1[[#This Row], [DISGUISE]],Sheet1!$A$21:$A$23,Sheet1!$B$21:$B$23)*Table1[[#This Row], [NUM OF MEM]]*(1+_xlfn.XLOOKUP(Table1[[#This Row], [DISGUISE]],Sheet1!$A$21:$A$23,Sheet1!$C$21:$C$23))</f>
        <v>25600</v>
      </c>
      <c r="H1749" s="13" t="s">
        <v>63</v>
      </c>
      <c r="I1749" s="4">
        <f>_xlfn.XLOOKUP(Table1[[#This Row], [WEAPON]],Sheet1!$A$27:$A$29,Sheet1!$B$27:$B$29)*Table1[[#This Row], [NUM OF MEM]]*(1+_xlfn.XLOOKUP(Table1[[#This Row], [WEAPON]],Sheet1!$A$27:$A$29,Sheet1!$C$27:$C$29))</f>
        <v>46000</v>
      </c>
      <c r="J1749" t="s">
        <v>64</v>
      </c>
      <c r="K1749" s="9">
        <f>Table1[[#This Row], [NUM OF MEM]]*Table1[[#This Row], [TOTAL TIME TAKEN]]*_xlfn.XLOOKUP(Table1[[#This Row], [EXIT]],Sheet1!$A$70:$A$71,Sheet1!$B$70:$B$71)*(1+_xlfn.XLOOKUP(Table1[[#This Row], [EXIT]],Sheet1!$A$70:$A$71,Sheet1!$C$70:$C$71))</f>
        <v>1792076.3999999997</v>
      </c>
      <c r="L1749" s="13" t="s">
        <v>65</v>
      </c>
      <c r="M1749" s="4">
        <f>IF(Table1[[#This Row], [EQUIPMENT]]="YES",Sheet1!$C$44*(1+Sheet1!$D$44),0)</f>
        <v>307500</v>
      </c>
      <c r="N1749" s="4">
        <f>_xlfn.XLOOKUP(Table1[[#This Row], [ROOM]],Sheet1!$A$47:$A$66,Sheet1!$F$47:$F$66)</f>
        <v>18000000</v>
      </c>
      <c r="O1749" s="9">
        <f>_xlfn.XLOOKUP(_xlfn.CONCAT(Table1[[#This Row], [TEAM]],Table1[[#This Row], [ROOM]]),'ROOM TIME'!$H$2:$H$121,'ROOM TIME'!$J$2:$J$121)</f>
        <v>61.038749999999979</v>
      </c>
      <c r="P1749" s="9">
        <f>(INDEX(Sheet1!$X$48:$Z$67,MATCH(Table1[[#This Row], [ROOM]],Sheet1!$P$48:$P$67,0),MATCH(Table1[[#This Row], [WEAPON]],Sheet1!$X$47:$Z$47,0)))/Table1[[#This Row], [NUM OF MEM]]</f>
        <v>8.1000000000000014</v>
      </c>
      <c r="Q1749" s="9">
        <f>Table1[[#This Row], [ROOM TIME]]+Table1[[#This Row], [GUARD TIME]]</f>
        <v>69.138749999999987</v>
      </c>
      <c r="R1749" s="4">
        <f>Sheet1!$K$3*_xlfn.XLOOKUP(Table1[[#This Row], [DISGUISE]],Sheet1!$A$21:$A$23,Sheet1!$D$21:$D$23)</f>
        <v>69</v>
      </c>
      <c r="S1749" s="9">
        <f>Table1[[#This Row], [TOTAL TIME]]-Table1[[#This Row], [TOTAL TIME TAKEN]]</f>
        <v>-0.13874999999998749</v>
      </c>
      <c r="T1749" t="str">
        <f>IF(Table1[[#This Row], [TIME DIFFERENCE]]&gt;=0,"PASS","FAIL")</f>
        <v>FAIL</v>
      </c>
      <c r="U1749" s="9">
        <f>Table1[[#This Row], [TRC]]+Table1[[#This Row], [DRC]]+Table1[[#This Row], [WRC]]+Table1[[#This Row], [ERC]]+Table1[[#This Row], [EQRC]]</f>
        <v>8253976.3999999994</v>
      </c>
      <c r="V1749" s="9">
        <f>Table1[[#This Row], [TOTAL COST]]+_xlfn.XLOOKUP(Table1[[#This Row], [TEAM]],Sheet1!$A$12:$A$17,Sheet1!$I$12:$I$17)</f>
        <v>8558116.3999999985</v>
      </c>
      <c r="W1749" s="9">
        <f>Table1[[#This Row], [LOOT]]-Table1[[#This Row], [TOTAL COST]]</f>
        <v>9746023.6000000015</v>
      </c>
      <c r="X1749" s="4">
        <f>IF(Table1[[#This Row], [PASS/FAIL]]="FAIL",0,Table1[[#This Row], [PROFIT]])</f>
        <v>0</v>
      </c>
    </row>
    <row r="1750" spans="1:24" ht="19.5" customHeight="1" x14ac:dyDescent="0.45">
      <c r="A1750" t="s">
        <v>16</v>
      </c>
      <c r="B1750" s="14">
        <f>_xlfn.XLOOKUP(Table1[[#This Row], [TEAM]],Sheet1!$A$12:$A$17,Sheet1!$F$12:$F$17)</f>
        <v>2</v>
      </c>
      <c r="C1750" s="14">
        <f>_xlfn.XLOOKUP(Table1[[#This Row], [TEAM]],Sheet1!$A$12:$A$17,Sheet1!$G$12:$G$17)</f>
        <v>6082800</v>
      </c>
      <c r="D1750" t="s">
        <v>24</v>
      </c>
      <c r="E1750" s="4">
        <f>_xlfn.XLOOKUP(Table1[[#This Row], [ROOM]],Sheet1!$A$47:$A$66,Sheet1!$B$47:$B$66)</f>
        <v>345</v>
      </c>
      <c r="F1750" t="s">
        <v>62</v>
      </c>
      <c r="G175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0" s="13" t="s">
        <v>59</v>
      </c>
      <c r="I1750" s="4">
        <f>_xlfn.XLOOKUP(Table1[[#This Row], [WEAPON]],Sheet1!$A$27:$A$29,Sheet1!$B$27:$B$29)*Table1[[#This Row], [NUM OF MEM]]*(1+_xlfn.XLOOKUP(Table1[[#This Row], [WEAPON]],Sheet1!$A$27:$A$29,Sheet1!$C$27:$C$29))</f>
        <v>91000</v>
      </c>
      <c r="J1750" t="s">
        <v>64</v>
      </c>
      <c r="K1750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1760972.3999999997</v>
      </c>
      <c r="L1750" s="13" t="s">
        <v>61</v>
      </c>
      <c r="M1750" s="4">
        <f>IF(Table1[[#This Row], [EQUIPMENT]]="YES",Sheet1!$C$44*(1+Sheet1!$D$44),0)</f>
        <v>0</v>
      </c>
      <c r="N1750" s="4">
        <f>_xlfn.XLOOKUP(Table1[[#This Row], [ROOM]],Sheet1!$A$47:$A$66,Sheet1!$F$47:$F$66)</f>
        <v>18000000</v>
      </c>
      <c r="O1750" s="9">
        <f>_xlfn.XLOOKUP(_xlfn.CONCAT(Table1[[#This Row], [TEAM]],Table1[[#This Row], [ROOM]]),'ROOM TIME'!$H$2:$H$121,'ROOM TIME'!$J$2:$J$121)</f>
        <v>61.038749999999979</v>
      </c>
      <c r="P1750" s="9">
        <f>(INDEX(Sheet1!$X$48:$Z$67,MATCH(Table1[[#This Row], [ROOM]],Sheet1!$P$48:$P$67,0),MATCH(Table1[[#This Row], [WEAPON]],Sheet1!$X$47:$Z$47,0)))/Table1[[#This Row], [NUM OF MEM]]</f>
        <v>6.8999999999999995</v>
      </c>
      <c r="Q1750" s="9">
        <f>Table1[[#This Row], [ROOM TIME]]+Table1[[#This Row], [GUARD TIME]]</f>
        <v>67.938749999999985</v>
      </c>
      <c r="R1750" s="4">
        <f>Sheet1!$K$3*_xlfn.XLOOKUP(Table1[[#This Row], [DISGUISE]],Sheet1!$A$21:$A$23,Sheet1!$D$21:$D$23)</f>
        <v>66</v>
      </c>
      <c r="S1750" s="9">
        <f>Table1[[#This Row], [TOTAL TIME]]-Table1[[#This Row], [TOTAL TIME TAKEN]]</f>
        <v>-1.9387499999999847</v>
      </c>
      <c r="T1750" t="str">
        <f>IF(Table1[[#This Row], [TIME DIFFERENCE]]&gt;=0,"PASS","FAIL")</f>
        <v>FAIL</v>
      </c>
      <c r="U1750" s="9">
        <f>Table1[[#This Row], [TRC]]+Table1[[#This Row], [DRC]]+Table1[[#This Row], [WRC]]+Table1[[#This Row], [ERC]]+Table1[[#This Row], [EQRC]]</f>
        <v>7945172.3999999994</v>
      </c>
      <c r="V1750" s="9">
        <f>Table1[[#This Row], [TOTAL COST]]+_xlfn.XLOOKUP(Table1[[#This Row], [TEAM]],Sheet1!$A$12:$A$17,Sheet1!$I$12:$I$17)</f>
        <v>8249312.3999999994</v>
      </c>
      <c r="W1750" s="9">
        <f>Table1[[#This Row], [LOOT]]-Table1[[#This Row], [TOTAL COST]]</f>
        <v>10054827.600000001</v>
      </c>
      <c r="X1750" s="4">
        <f>IF(Table1[[#This Row], [PASS/FAIL]]="FAIL",0,Table1[[#This Row], [PROFIT]])</f>
        <v>0</v>
      </c>
    </row>
    <row r="1751" spans="1:24" ht="19.5" customHeight="1" x14ac:dyDescent="0.45">
      <c r="A1751" t="s">
        <v>16</v>
      </c>
      <c r="B1751" s="14">
        <f>_xlfn.XLOOKUP(Table1[[#This Row], [TEAM]],Sheet1!$A$12:$A$17,Sheet1!$F$12:$F$17)</f>
        <v>2</v>
      </c>
      <c r="C1751" s="14">
        <f>_xlfn.XLOOKUP(Table1[[#This Row], [TEAM]],Sheet1!$A$12:$A$17,Sheet1!$G$12:$G$17)</f>
        <v>6082800</v>
      </c>
      <c r="D1751" t="s">
        <v>24</v>
      </c>
      <c r="E1751" s="4">
        <f>_xlfn.XLOOKUP(Table1[[#This Row], [ROOM]],Sheet1!$A$47:$A$66,Sheet1!$B$47:$B$66)</f>
        <v>345</v>
      </c>
      <c r="F1751" t="s">
        <v>62</v>
      </c>
      <c r="G175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1" s="13" t="s">
        <v>59</v>
      </c>
      <c r="I1751" s="4">
        <f>_xlfn.XLOOKUP(Table1[[#This Row], [WEAPON]],Sheet1!$A$27:$A$29,Sheet1!$B$27:$B$29)*Table1[[#This Row], [NUM OF MEM]]*(1+_xlfn.XLOOKUP(Table1[[#This Row], [WEAPON]],Sheet1!$A$27:$A$29,Sheet1!$C$27:$C$29))</f>
        <v>91000</v>
      </c>
      <c r="J1751" t="s">
        <v>64</v>
      </c>
      <c r="K1751" s="9">
        <f>Table1[[#This Row], [NUM OF MEM]]*Table1[[#This Row], [TOTAL TIME TAKEN]]*_xlfn.XLOOKUP(Table1[[#This Row], [EXIT]],Sheet1!$A$70:$A$71,Sheet1!$B$70:$B$71)*(1+_xlfn.XLOOKUP(Table1[[#This Row], [EXIT]],Sheet1!$A$70:$A$71,Sheet1!$C$70:$C$71))</f>
        <v>1760972.3999999997</v>
      </c>
      <c r="L1751" s="13" t="s">
        <v>65</v>
      </c>
      <c r="M1751" s="4">
        <f>IF(Table1[[#This Row], [EQUIPMENT]]="YES",Sheet1!$C$44*(1+Sheet1!$D$44),0)</f>
        <v>307500</v>
      </c>
      <c r="N1751" s="4">
        <f>_xlfn.XLOOKUP(Table1[[#This Row], [ROOM]],Sheet1!$A$47:$A$66,Sheet1!$F$47:$F$66)</f>
        <v>18000000</v>
      </c>
      <c r="O1751" s="9">
        <f>_xlfn.XLOOKUP(_xlfn.CONCAT(Table1[[#This Row], [TEAM]],Table1[[#This Row], [ROOM]]),'ROOM TIME'!$H$2:$H$121,'ROOM TIME'!$J$2:$J$121)</f>
        <v>61.038749999999979</v>
      </c>
      <c r="P1751" s="9">
        <f>(INDEX(Sheet1!$X$48:$Z$67,MATCH(Table1[[#This Row], [ROOM]],Sheet1!$P$48:$P$67,0),MATCH(Table1[[#This Row], [WEAPON]],Sheet1!$X$47:$Z$47,0)))/Table1[[#This Row], [NUM OF MEM]]</f>
        <v>6.8999999999999995</v>
      </c>
      <c r="Q1751" s="9">
        <f>Table1[[#This Row], [ROOM TIME]]+Table1[[#This Row], [GUARD TIME]]</f>
        <v>67.938749999999985</v>
      </c>
      <c r="R1751" s="4">
        <f>Sheet1!$K$3*_xlfn.XLOOKUP(Table1[[#This Row], [DISGUISE]],Sheet1!$A$21:$A$23,Sheet1!$D$21:$D$23)</f>
        <v>66</v>
      </c>
      <c r="S1751" s="9">
        <f>Table1[[#This Row], [TOTAL TIME]]-Table1[[#This Row], [TOTAL TIME TAKEN]]</f>
        <v>-1.9387499999999847</v>
      </c>
      <c r="T1751" t="str">
        <f>IF(Table1[[#This Row], [TIME DIFFERENCE]]&gt;=0,"PASS","FAIL")</f>
        <v>FAIL</v>
      </c>
      <c r="U1751" s="9">
        <f>Table1[[#This Row], [TRC]]+Table1[[#This Row], [DRC]]+Table1[[#This Row], [WRC]]+Table1[[#This Row], [ERC]]+Table1[[#This Row], [EQRC]]</f>
        <v>8252672.3999999994</v>
      </c>
      <c r="V1751" s="9">
        <f>Table1[[#This Row], [TOTAL COST]]+_xlfn.XLOOKUP(Table1[[#This Row], [TEAM]],Sheet1!$A$12:$A$17,Sheet1!$I$12:$I$17)</f>
        <v>8556812.3999999985</v>
      </c>
      <c r="W1751" s="9">
        <f>Table1[[#This Row], [LOOT]]-Table1[[#This Row], [TOTAL COST]]</f>
        <v>9747327.6000000015</v>
      </c>
      <c r="X1751" s="4">
        <f>IF(Table1[[#This Row], [PASS/FAIL]]="FAIL",0,Table1[[#This Row], [PROFIT]])</f>
        <v>0</v>
      </c>
    </row>
    <row r="1752" spans="1:24" ht="19.5" customHeight="1" x14ac:dyDescent="0.45">
      <c r="A1752" t="s">
        <v>16</v>
      </c>
      <c r="B1752" s="14">
        <f>_xlfn.XLOOKUP(Table1[[#This Row], [TEAM]],Sheet1!$A$12:$A$17,Sheet1!$F$12:$F$17)</f>
        <v>2</v>
      </c>
      <c r="C1752" s="14">
        <f>_xlfn.XLOOKUP(Table1[[#This Row], [TEAM]],Sheet1!$A$12:$A$17,Sheet1!$G$12:$G$17)</f>
        <v>6082800</v>
      </c>
      <c r="D1752" t="s">
        <v>24</v>
      </c>
      <c r="E1752" s="4">
        <f>_xlfn.XLOOKUP(Table1[[#This Row], [ROOM]],Sheet1!$A$47:$A$66,Sheet1!$B$47:$B$66)</f>
        <v>345</v>
      </c>
      <c r="F1752" t="s">
        <v>58</v>
      </c>
      <c r="G1752" s="4">
        <f>_xlfn.XLOOKUP(Table1[[#This Row], [DISGUISE]],Sheet1!$A$21:$A$23,Sheet1!$B$21:$B$23)*Table1[[#This Row], [NUM OF MEM]]*(1+_xlfn.XLOOKUP(Table1[[#This Row], [DISGUISE]],Sheet1!$A$21:$A$23,Sheet1!$C$21:$C$23))</f>
        <v>25600</v>
      </c>
      <c r="H1752" s="13" t="s">
        <v>63</v>
      </c>
      <c r="I1752" s="4">
        <f>_xlfn.XLOOKUP(Table1[[#This Row], [WEAPON]],Sheet1!$A$27:$A$29,Sheet1!$B$27:$B$29)*Table1[[#This Row], [NUM OF MEM]]*(1+_xlfn.XLOOKUP(Table1[[#This Row], [WEAPON]],Sheet1!$A$27:$A$29,Sheet1!$C$27:$C$29))</f>
        <v>46000</v>
      </c>
      <c r="J1752" t="s">
        <v>60</v>
      </c>
      <c r="K1752" s="9">
        <f>Table1[[#This Row], [NUM OF MEM]]*Table1[[#This Row], [TOTAL TIME TAKEN]]*_xlfn.XLOOKUP(Table1[[#This Row], [EXIT]],Sheet1!$A$70:$A$71,Sheet1!$B$70:$B$71)*(1+_xlfn.XLOOKUP(Table1[[#This Row], [EXIT]],Sheet1!$A$70:$A$71,Sheet1!$C$70:$C$71))</f>
        <v>1774446.0187499996</v>
      </c>
      <c r="L1752" s="13" t="s">
        <v>61</v>
      </c>
      <c r="M1752" s="4">
        <f>IF(Table1[[#This Row], [EQUIPMENT]]="YES",Sheet1!$C$44*(1+Sheet1!$D$44),0)</f>
        <v>0</v>
      </c>
      <c r="N1752" s="4">
        <f>_xlfn.XLOOKUP(Table1[[#This Row], [ROOM]],Sheet1!$A$47:$A$66,Sheet1!$F$47:$F$66)</f>
        <v>18000000</v>
      </c>
      <c r="O1752" s="9">
        <f>_xlfn.XLOOKUP(_xlfn.CONCAT(Table1[[#This Row], [TEAM]],Table1[[#This Row], [ROOM]]),'ROOM TIME'!$H$2:$H$121,'ROOM TIME'!$J$2:$J$121)</f>
        <v>61.038749999999979</v>
      </c>
      <c r="P1752" s="9">
        <f>(INDEX(Sheet1!$X$48:$Z$67,MATCH(Table1[[#This Row], [ROOM]],Sheet1!$P$48:$P$67,0),MATCH(Table1[[#This Row], [WEAPON]],Sheet1!$X$47:$Z$47,0)))/Table1[[#This Row], [NUM OF MEM]]</f>
        <v>8.1000000000000014</v>
      </c>
      <c r="Q1752" s="9">
        <f>Table1[[#This Row], [ROOM TIME]]+Table1[[#This Row], [GUARD TIME]]</f>
        <v>69.138749999999987</v>
      </c>
      <c r="R1752" s="4">
        <f>Sheet1!$K$3*_xlfn.XLOOKUP(Table1[[#This Row], [DISGUISE]],Sheet1!$A$21:$A$23,Sheet1!$D$21:$D$23)</f>
        <v>69</v>
      </c>
      <c r="S1752" s="9">
        <f>Table1[[#This Row], [TOTAL TIME]]-Table1[[#This Row], [TOTAL TIME TAKEN]]</f>
        <v>-0.13874999999998749</v>
      </c>
      <c r="T1752" t="str">
        <f>IF(Table1[[#This Row], [TIME DIFFERENCE]]&gt;=0,"PASS","FAIL")</f>
        <v>FAIL</v>
      </c>
      <c r="U1752" s="9">
        <f>Table1[[#This Row], [TRC]]+Table1[[#This Row], [DRC]]+Table1[[#This Row], [WRC]]+Table1[[#This Row], [ERC]]+Table1[[#This Row], [EQRC]]</f>
        <v>7928846.0187499998</v>
      </c>
      <c r="V1752" s="9">
        <f>Table1[[#This Row], [TOTAL COST]]+_xlfn.XLOOKUP(Table1[[#This Row], [TEAM]],Sheet1!$A$12:$A$17,Sheet1!$I$12:$I$17)</f>
        <v>8232986.0187499998</v>
      </c>
      <c r="W1752" s="9">
        <f>Table1[[#This Row], [LOOT]]-Table1[[#This Row], [TOTAL COST]]</f>
        <v>10071153.981249999</v>
      </c>
      <c r="X1752" s="4">
        <f>IF(Table1[[#This Row], [PASS/FAIL]]="FAIL",0,Table1[[#This Row], [PROFIT]])</f>
        <v>0</v>
      </c>
    </row>
    <row r="1753" spans="1:24" ht="19.5" customHeight="1" x14ac:dyDescent="0.45">
      <c r="A1753" t="s">
        <v>16</v>
      </c>
      <c r="B1753" s="14">
        <f>_xlfn.XLOOKUP(Table1[[#This Row], [TEAM]],Sheet1!$A$12:$A$17,Sheet1!$F$12:$F$17)</f>
        <v>2</v>
      </c>
      <c r="C1753" s="14">
        <f>_xlfn.XLOOKUP(Table1[[#This Row], [TEAM]],Sheet1!$A$12:$A$17,Sheet1!$G$12:$G$17)</f>
        <v>6082800</v>
      </c>
      <c r="D1753" t="s">
        <v>24</v>
      </c>
      <c r="E1753" s="4">
        <f>_xlfn.XLOOKUP(Table1[[#This Row], [ROOM]],Sheet1!$A$47:$A$66,Sheet1!$B$47:$B$66)</f>
        <v>345</v>
      </c>
      <c r="F1753" t="s">
        <v>58</v>
      </c>
      <c r="G1753" s="4">
        <f>_xlfn.XLOOKUP(Table1[[#This Row], [DISGUISE]],Sheet1!$A$21:$A$23,Sheet1!$B$21:$B$23)*Table1[[#This Row], [NUM OF MEM]]*(1+_xlfn.XLOOKUP(Table1[[#This Row], [DISGUISE]],Sheet1!$A$21:$A$23,Sheet1!$C$21:$C$23))</f>
        <v>25600</v>
      </c>
      <c r="H1753" s="13" t="s">
        <v>63</v>
      </c>
      <c r="I1753" s="4">
        <f>_xlfn.XLOOKUP(Table1[[#This Row], [WEAPON]],Sheet1!$A$27:$A$29,Sheet1!$B$27:$B$29)*Table1[[#This Row], [NUM OF MEM]]*(1+_xlfn.XLOOKUP(Table1[[#This Row], [WEAPON]],Sheet1!$A$27:$A$29,Sheet1!$C$27:$C$29))</f>
        <v>46000</v>
      </c>
      <c r="J1753" t="s">
        <v>60</v>
      </c>
      <c r="K1753" s="9">
        <f>Table1[[#This Row], [NUM OF MEM]]*Table1[[#This Row], [TOTAL TIME TAKEN]]*_xlfn.XLOOKUP(Table1[[#This Row], [EXIT]],Sheet1!$A$70:$A$71,Sheet1!$B$70:$B$71)*(1+_xlfn.XLOOKUP(Table1[[#This Row], [EXIT]],Sheet1!$A$70:$A$71,Sheet1!$C$70:$C$71))</f>
        <v>1774446.0187499996</v>
      </c>
      <c r="L1753" s="13" t="s">
        <v>65</v>
      </c>
      <c r="M1753" s="4">
        <f>IF(Table1[[#This Row], [EQUIPMENT]]="YES",Sheet1!$C$44*(1+Sheet1!$D$44),0)</f>
        <v>307500</v>
      </c>
      <c r="N1753" s="4">
        <f>_xlfn.XLOOKUP(Table1[[#This Row], [ROOM]],Sheet1!$A$47:$A$66,Sheet1!$F$47:$F$66)</f>
        <v>18000000</v>
      </c>
      <c r="O1753" s="9">
        <f>_xlfn.XLOOKUP(_xlfn.CONCAT(Table1[[#This Row], [TEAM]],Table1[[#This Row], [ROOM]]),'ROOM TIME'!$H$2:$H$121,'ROOM TIME'!$J$2:$J$121)</f>
        <v>61.038749999999979</v>
      </c>
      <c r="P1753" s="9">
        <f>(INDEX(Sheet1!$X$48:$Z$67,MATCH(Table1[[#This Row], [ROOM]],Sheet1!$P$48:$P$67,0),MATCH(Table1[[#This Row], [WEAPON]],Sheet1!$X$47:$Z$47,0)))/Table1[[#This Row], [NUM OF MEM]]</f>
        <v>8.1000000000000014</v>
      </c>
      <c r="Q1753" s="9">
        <f>Table1[[#This Row], [ROOM TIME]]+Table1[[#This Row], [GUARD TIME]]</f>
        <v>69.138749999999987</v>
      </c>
      <c r="R1753" s="4">
        <f>Sheet1!$K$3*_xlfn.XLOOKUP(Table1[[#This Row], [DISGUISE]],Sheet1!$A$21:$A$23,Sheet1!$D$21:$D$23)</f>
        <v>69</v>
      </c>
      <c r="S1753" s="9">
        <f>Table1[[#This Row], [TOTAL TIME]]-Table1[[#This Row], [TOTAL TIME TAKEN]]</f>
        <v>-0.13874999999998749</v>
      </c>
      <c r="T1753" t="str">
        <f>IF(Table1[[#This Row], [TIME DIFFERENCE]]&gt;=0,"PASS","FAIL")</f>
        <v>FAIL</v>
      </c>
      <c r="U1753" s="9">
        <f>Table1[[#This Row], [TRC]]+Table1[[#This Row], [DRC]]+Table1[[#This Row], [WRC]]+Table1[[#This Row], [ERC]]+Table1[[#This Row], [EQRC]]</f>
        <v>8236346.0187499998</v>
      </c>
      <c r="V1753" s="9">
        <f>Table1[[#This Row], [TOTAL COST]]+_xlfn.XLOOKUP(Table1[[#This Row], [TEAM]],Sheet1!$A$12:$A$17,Sheet1!$I$12:$I$17)</f>
        <v>8540486.0187500007</v>
      </c>
      <c r="W1753" s="9">
        <f>Table1[[#This Row], [LOOT]]-Table1[[#This Row], [TOTAL COST]]</f>
        <v>9763653.9812499993</v>
      </c>
      <c r="X1753" s="4">
        <f>IF(Table1[[#This Row], [PASS/FAIL]]="FAIL",0,Table1[[#This Row], [PROFIT]])</f>
        <v>0</v>
      </c>
    </row>
    <row r="1754" spans="1:24" ht="19.5" customHeight="1" x14ac:dyDescent="0.45">
      <c r="A1754" t="s">
        <v>16</v>
      </c>
      <c r="B1754" s="14">
        <f>_xlfn.XLOOKUP(Table1[[#This Row], [TEAM]],Sheet1!$A$12:$A$17,Sheet1!$F$12:$F$17)</f>
        <v>2</v>
      </c>
      <c r="C1754" s="14">
        <f>_xlfn.XLOOKUP(Table1[[#This Row], [TEAM]],Sheet1!$A$12:$A$17,Sheet1!$G$12:$G$17)</f>
        <v>6082800</v>
      </c>
      <c r="D1754" t="s">
        <v>24</v>
      </c>
      <c r="E1754" s="4">
        <f>_xlfn.XLOOKUP(Table1[[#This Row], [ROOM]],Sheet1!$A$47:$A$66,Sheet1!$B$47:$B$66)</f>
        <v>345</v>
      </c>
      <c r="F1754" t="s">
        <v>62</v>
      </c>
      <c r="G175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4" s="13" t="s">
        <v>59</v>
      </c>
      <c r="I1754" s="4">
        <f>_xlfn.XLOOKUP(Table1[[#This Row], [WEAPON]],Sheet1!$A$27:$A$29,Sheet1!$B$27:$B$29)*Table1[[#This Row], [NUM OF MEM]]*(1+_xlfn.XLOOKUP(Table1[[#This Row], [WEAPON]],Sheet1!$A$27:$A$29,Sheet1!$C$27:$C$29))</f>
        <v>91000</v>
      </c>
      <c r="J1754" t="s">
        <v>60</v>
      </c>
      <c r="K1754" s="9">
        <f>Table1[[#This Row], [NUM OF MEM]]*Table1[[#This Row], [TOTAL TIME TAKEN]]*_xlfn.XLOOKUP(Table1[[#This Row], [EXIT]],Sheet1!$A$70:$A$71,Sheet1!$B$70:$B$71)*(1+_xlfn.XLOOKUP(Table1[[#This Row], [EXIT]],Sheet1!$A$70:$A$71,Sheet1!$C$70:$C$71))</f>
        <v>1743648.0187499996</v>
      </c>
      <c r="L1754" s="13" t="s">
        <v>61</v>
      </c>
      <c r="M1754" s="4">
        <f>IF(Table1[[#This Row], [EQUIPMENT]]="YES",Sheet1!$C$44*(1+Sheet1!$D$44),0)</f>
        <v>0</v>
      </c>
      <c r="N1754" s="4">
        <f>_xlfn.XLOOKUP(Table1[[#This Row], [ROOM]],Sheet1!$A$47:$A$66,Sheet1!$F$47:$F$66)</f>
        <v>18000000</v>
      </c>
      <c r="O1754" s="9">
        <f>_xlfn.XLOOKUP(_xlfn.CONCAT(Table1[[#This Row], [TEAM]],Table1[[#This Row], [ROOM]]),'ROOM TIME'!$H$2:$H$121,'ROOM TIME'!$J$2:$J$121)</f>
        <v>61.038749999999979</v>
      </c>
      <c r="P1754" s="9">
        <f>(INDEX(Sheet1!$X$48:$Z$67,MATCH(Table1[[#This Row], [ROOM]],Sheet1!$P$48:$P$67,0),MATCH(Table1[[#This Row], [WEAPON]],Sheet1!$X$47:$Z$47,0)))/Table1[[#This Row], [NUM OF MEM]]</f>
        <v>6.8999999999999995</v>
      </c>
      <c r="Q1754" s="9">
        <f>Table1[[#This Row], [ROOM TIME]]+Table1[[#This Row], [GUARD TIME]]</f>
        <v>67.938749999999985</v>
      </c>
      <c r="R1754" s="4">
        <f>Sheet1!$K$3*_xlfn.XLOOKUP(Table1[[#This Row], [DISGUISE]],Sheet1!$A$21:$A$23,Sheet1!$D$21:$D$23)</f>
        <v>66</v>
      </c>
      <c r="S1754" s="9">
        <f>Table1[[#This Row], [TOTAL TIME]]-Table1[[#This Row], [TOTAL TIME TAKEN]]</f>
        <v>-1.9387499999999847</v>
      </c>
      <c r="T1754" t="str">
        <f>IF(Table1[[#This Row], [TIME DIFFERENCE]]&gt;=0,"PASS","FAIL")</f>
        <v>FAIL</v>
      </c>
      <c r="U1754" s="9">
        <f>Table1[[#This Row], [TRC]]+Table1[[#This Row], [DRC]]+Table1[[#This Row], [WRC]]+Table1[[#This Row], [ERC]]+Table1[[#This Row], [EQRC]]</f>
        <v>7927848.0187499998</v>
      </c>
      <c r="V1754" s="9">
        <f>Table1[[#This Row], [TOTAL COST]]+_xlfn.XLOOKUP(Table1[[#This Row], [TEAM]],Sheet1!$A$12:$A$17,Sheet1!$I$12:$I$17)</f>
        <v>8231988.0187499998</v>
      </c>
      <c r="W1754" s="9">
        <f>Table1[[#This Row], [LOOT]]-Table1[[#This Row], [TOTAL COST]]</f>
        <v>10072151.981249999</v>
      </c>
      <c r="X1754" s="4">
        <f>IF(Table1[[#This Row], [PASS/FAIL]]="FAIL",0,Table1[[#This Row], [PROFIT]])</f>
        <v>0</v>
      </c>
    </row>
    <row r="1755" spans="1:24" ht="19.5" customHeight="1" x14ac:dyDescent="0.45">
      <c r="A1755" t="s">
        <v>16</v>
      </c>
      <c r="B1755" s="14">
        <f>_xlfn.XLOOKUP(Table1[[#This Row], [TEAM]],Sheet1!$A$12:$A$17,Sheet1!$F$12:$F$17)</f>
        <v>2</v>
      </c>
      <c r="C1755" s="14">
        <f>_xlfn.XLOOKUP(Table1[[#This Row], [TEAM]],Sheet1!$A$12:$A$17,Sheet1!$G$12:$G$17)</f>
        <v>6082800</v>
      </c>
      <c r="D1755" t="s">
        <v>24</v>
      </c>
      <c r="E1755" s="4">
        <f>_xlfn.XLOOKUP(Table1[[#This Row], [ROOM]],Sheet1!$A$47:$A$66,Sheet1!$B$47:$B$66)</f>
        <v>345</v>
      </c>
      <c r="F1755" t="s">
        <v>62</v>
      </c>
      <c r="G175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5" s="13" t="s">
        <v>59</v>
      </c>
      <c r="I1755" s="4">
        <f>_xlfn.XLOOKUP(Table1[[#This Row], [WEAPON]],Sheet1!$A$27:$A$29,Sheet1!$B$27:$B$29)*Table1[[#This Row], [NUM OF MEM]]*(1+_xlfn.XLOOKUP(Table1[[#This Row], [WEAPON]],Sheet1!$A$27:$A$29,Sheet1!$C$27:$C$29))</f>
        <v>91000</v>
      </c>
      <c r="J1755" t="s">
        <v>60</v>
      </c>
      <c r="K1755" s="9">
        <f>Table1[[#This Row], [NUM OF MEM]]*Table1[[#This Row], [TOTAL TIME TAKEN]]*_xlfn.XLOOKUP(Table1[[#This Row], [EXIT]],Sheet1!$A$70:$A$71,Sheet1!$B$70:$B$71)*(1+_xlfn.XLOOKUP(Table1[[#This Row], [EXIT]],Sheet1!$A$70:$A$71,Sheet1!$C$70:$C$71))</f>
        <v>1743648.0187499996</v>
      </c>
      <c r="L1755" s="13" t="s">
        <v>65</v>
      </c>
      <c r="M1755" s="4">
        <f>IF(Table1[[#This Row], [EQUIPMENT]]="YES",Sheet1!$C$44*(1+Sheet1!$D$44),0)</f>
        <v>307500</v>
      </c>
      <c r="N1755" s="4">
        <f>_xlfn.XLOOKUP(Table1[[#This Row], [ROOM]],Sheet1!$A$47:$A$66,Sheet1!$F$47:$F$66)</f>
        <v>18000000</v>
      </c>
      <c r="O1755" s="9">
        <f>_xlfn.XLOOKUP(_xlfn.CONCAT(Table1[[#This Row], [TEAM]],Table1[[#This Row], [ROOM]]),'ROOM TIME'!$H$2:$H$121,'ROOM TIME'!$J$2:$J$121)</f>
        <v>61.038749999999979</v>
      </c>
      <c r="P1755" s="9">
        <f>(INDEX(Sheet1!$X$48:$Z$67,MATCH(Table1[[#This Row], [ROOM]],Sheet1!$P$48:$P$67,0),MATCH(Table1[[#This Row], [WEAPON]],Sheet1!$X$47:$Z$47,0)))/Table1[[#This Row], [NUM OF MEM]]</f>
        <v>6.8999999999999995</v>
      </c>
      <c r="Q1755" s="9">
        <f>Table1[[#This Row], [ROOM TIME]]+Table1[[#This Row], [GUARD TIME]]</f>
        <v>67.938749999999985</v>
      </c>
      <c r="R1755" s="4">
        <f>Sheet1!$K$3*_xlfn.XLOOKUP(Table1[[#This Row], [DISGUISE]],Sheet1!$A$21:$A$23,Sheet1!$D$21:$D$23)</f>
        <v>66</v>
      </c>
      <c r="S1755" s="9">
        <f>Table1[[#This Row], [TOTAL TIME]]-Table1[[#This Row], [TOTAL TIME TAKEN]]</f>
        <v>-1.9387499999999847</v>
      </c>
      <c r="T1755" t="str">
        <f>IF(Table1[[#This Row], [TIME DIFFERENCE]]&gt;=0,"PASS","FAIL")</f>
        <v>FAIL</v>
      </c>
      <c r="U1755" s="9">
        <f>Table1[[#This Row], [TRC]]+Table1[[#This Row], [DRC]]+Table1[[#This Row], [WRC]]+Table1[[#This Row], [ERC]]+Table1[[#This Row], [EQRC]]</f>
        <v>8235348.0187499998</v>
      </c>
      <c r="V1755" s="9">
        <f>Table1[[#This Row], [TOTAL COST]]+_xlfn.XLOOKUP(Table1[[#This Row], [TEAM]],Sheet1!$A$12:$A$17,Sheet1!$I$12:$I$17)</f>
        <v>8539488.0187500007</v>
      </c>
      <c r="W1755" s="9">
        <f>Table1[[#This Row], [LOOT]]-Table1[[#This Row], [TOTAL COST]]</f>
        <v>9764651.9812499993</v>
      </c>
      <c r="X1755" s="4">
        <f>IF(Table1[[#This Row], [PASS/FAIL]]="FAIL",0,Table1[[#This Row], [PROFIT]])</f>
        <v>0</v>
      </c>
    </row>
    <row r="1756" spans="1:24" ht="19.5" customHeight="1" x14ac:dyDescent="0.45">
      <c r="A1756" t="s">
        <v>16</v>
      </c>
      <c r="B1756" s="14">
        <f>_xlfn.XLOOKUP(Table1[[#This Row], [TEAM]],Sheet1!$A$12:$A$17,Sheet1!$F$12:$F$17)</f>
        <v>2</v>
      </c>
      <c r="C1756" s="14">
        <f>_xlfn.XLOOKUP(Table1[[#This Row], [TEAM]],Sheet1!$A$12:$A$17,Sheet1!$G$12:$G$17)</f>
        <v>6082800</v>
      </c>
      <c r="D1756" t="s">
        <v>24</v>
      </c>
      <c r="E1756" s="4">
        <f>_xlfn.XLOOKUP(Table1[[#This Row], [ROOM]],Sheet1!$A$47:$A$66,Sheet1!$B$47:$B$66)</f>
        <v>345</v>
      </c>
      <c r="F1756" t="s">
        <v>62</v>
      </c>
      <c r="G175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6" s="13" t="s">
        <v>63</v>
      </c>
      <c r="I1756" s="4">
        <f>_xlfn.XLOOKUP(Table1[[#This Row], [WEAPON]],Sheet1!$A$27:$A$29,Sheet1!$B$27:$B$29)*Table1[[#This Row], [NUM OF MEM]]*(1+_xlfn.XLOOKUP(Table1[[#This Row], [WEAPON]],Sheet1!$A$27:$A$29,Sheet1!$C$27:$C$29))</f>
        <v>46000</v>
      </c>
      <c r="J1756" t="s">
        <v>64</v>
      </c>
      <c r="K1756" s="9">
        <f>Table1[[#This Row], [NUM OF MEM]]*Table1[[#This Row], [TOTAL TIME TAKEN]]*_xlfn.XLOOKUP(Table1[[#This Row], [EXIT]],Sheet1!$A$70:$A$71,Sheet1!$B$70:$B$71)*(1+_xlfn.XLOOKUP(Table1[[#This Row], [EXIT]],Sheet1!$A$70:$A$71,Sheet1!$C$70:$C$71))</f>
        <v>1792076.3999999997</v>
      </c>
      <c r="L1756" s="13" t="s">
        <v>61</v>
      </c>
      <c r="M1756" s="4">
        <f>IF(Table1[[#This Row], [EQUIPMENT]]="YES",Sheet1!$C$44*(1+Sheet1!$D$44),0)</f>
        <v>0</v>
      </c>
      <c r="N1756" s="4">
        <f>_xlfn.XLOOKUP(Table1[[#This Row], [ROOM]],Sheet1!$A$47:$A$66,Sheet1!$F$47:$F$66)</f>
        <v>18000000</v>
      </c>
      <c r="O1756" s="9">
        <f>_xlfn.XLOOKUP(_xlfn.CONCAT(Table1[[#This Row], [TEAM]],Table1[[#This Row], [ROOM]]),'ROOM TIME'!$H$2:$H$121,'ROOM TIME'!$J$2:$J$121)</f>
        <v>61.038749999999979</v>
      </c>
      <c r="P1756" s="9">
        <f>(INDEX(Sheet1!$X$48:$Z$67,MATCH(Table1[[#This Row], [ROOM]],Sheet1!$P$48:$P$67,0),MATCH(Table1[[#This Row], [WEAPON]],Sheet1!$X$47:$Z$47,0)))/Table1[[#This Row], [NUM OF MEM]]</f>
        <v>8.1000000000000014</v>
      </c>
      <c r="Q1756" s="9">
        <f>Table1[[#This Row], [ROOM TIME]]+Table1[[#This Row], [GUARD TIME]]</f>
        <v>69.138749999999987</v>
      </c>
      <c r="R1756" s="4">
        <f>Sheet1!$K$3*_xlfn.XLOOKUP(Table1[[#This Row], [DISGUISE]],Sheet1!$A$21:$A$23,Sheet1!$D$21:$D$23)</f>
        <v>66</v>
      </c>
      <c r="S1756" s="9">
        <f>Table1[[#This Row], [TOTAL TIME]]-Table1[[#This Row], [TOTAL TIME TAKEN]]</f>
        <v>-3.1387499999999875</v>
      </c>
      <c r="T1756" t="str">
        <f>IF(Table1[[#This Row], [TIME DIFFERENCE]]&gt;=0,"PASS","FAIL")</f>
        <v>FAIL</v>
      </c>
      <c r="U1756" s="9">
        <f>Table1[[#This Row], [TRC]]+Table1[[#This Row], [DRC]]+Table1[[#This Row], [WRC]]+Table1[[#This Row], [ERC]]+Table1[[#This Row], [EQRC]]</f>
        <v>7931276.3999999994</v>
      </c>
      <c r="V1756" s="9">
        <f>Table1[[#This Row], [TOTAL COST]]+_xlfn.XLOOKUP(Table1[[#This Row], [TEAM]],Sheet1!$A$12:$A$17,Sheet1!$I$12:$I$17)</f>
        <v>8235416.3999999994</v>
      </c>
      <c r="W1756" s="9">
        <f>Table1[[#This Row], [LOOT]]-Table1[[#This Row], [TOTAL COST]]</f>
        <v>10068723.600000001</v>
      </c>
      <c r="X1756" s="4">
        <f>IF(Table1[[#This Row], [PASS/FAIL]]="FAIL",0,Table1[[#This Row], [PROFIT]])</f>
        <v>0</v>
      </c>
    </row>
    <row r="1757" spans="1:24" ht="19.5" customHeight="1" x14ac:dyDescent="0.45">
      <c r="A1757" t="s">
        <v>16</v>
      </c>
      <c r="B1757" s="14">
        <f>_xlfn.XLOOKUP(Table1[[#This Row], [TEAM]],Sheet1!$A$12:$A$17,Sheet1!$F$12:$F$17)</f>
        <v>2</v>
      </c>
      <c r="C1757" s="14">
        <f>_xlfn.XLOOKUP(Table1[[#This Row], [TEAM]],Sheet1!$A$12:$A$17,Sheet1!$G$12:$G$17)</f>
        <v>6082800</v>
      </c>
      <c r="D1757" t="s">
        <v>24</v>
      </c>
      <c r="E1757" s="4">
        <f>_xlfn.XLOOKUP(Table1[[#This Row], [ROOM]],Sheet1!$A$47:$A$66,Sheet1!$B$47:$B$66)</f>
        <v>345</v>
      </c>
      <c r="F1757" t="s">
        <v>62</v>
      </c>
      <c r="G175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7" s="13" t="s">
        <v>63</v>
      </c>
      <c r="I1757" s="4">
        <f>_xlfn.XLOOKUP(Table1[[#This Row], [WEAPON]],Sheet1!$A$27:$A$29,Sheet1!$B$27:$B$29)*Table1[[#This Row], [NUM OF MEM]]*(1+_xlfn.XLOOKUP(Table1[[#This Row], [WEAPON]],Sheet1!$A$27:$A$29,Sheet1!$C$27:$C$29))</f>
        <v>46000</v>
      </c>
      <c r="J1757" t="s">
        <v>60</v>
      </c>
      <c r="K1757" s="9">
        <f>Table1[[#This Row], [NUM OF MEM]]*Table1[[#This Row], [TOTAL TIME TAKEN]]*_xlfn.XLOOKUP(Table1[[#This Row], [EXIT]],Sheet1!$A$70:$A$71,Sheet1!$B$70:$B$71)*(1+_xlfn.XLOOKUP(Table1[[#This Row], [EXIT]],Sheet1!$A$70:$A$71,Sheet1!$C$70:$C$71))</f>
        <v>1774446.0187499996</v>
      </c>
      <c r="L1757" s="13" t="s">
        <v>61</v>
      </c>
      <c r="M1757" s="4">
        <f>IF(Table1[[#This Row], [EQUIPMENT]]="YES",Sheet1!$C$44*(1+Sheet1!$D$44),0)</f>
        <v>0</v>
      </c>
      <c r="N1757" s="4">
        <f>_xlfn.XLOOKUP(Table1[[#This Row], [ROOM]],Sheet1!$A$47:$A$66,Sheet1!$F$47:$F$66)</f>
        <v>18000000</v>
      </c>
      <c r="O1757" s="9">
        <f>_xlfn.XLOOKUP(_xlfn.CONCAT(Table1[[#This Row], [TEAM]],Table1[[#This Row], [ROOM]]),'ROOM TIME'!$H$2:$H$121,'ROOM TIME'!$J$2:$J$121)</f>
        <v>61.038749999999979</v>
      </c>
      <c r="P1757" s="9">
        <f>(INDEX(Sheet1!$X$48:$Z$67,MATCH(Table1[[#This Row], [ROOM]],Sheet1!$P$48:$P$67,0),MATCH(Table1[[#This Row], [WEAPON]],Sheet1!$X$47:$Z$47,0)))/Table1[[#This Row], [NUM OF MEM]]</f>
        <v>8.1000000000000014</v>
      </c>
      <c r="Q1757" s="9">
        <f>Table1[[#This Row], [ROOM TIME]]+Table1[[#This Row], [GUARD TIME]]</f>
        <v>69.138749999999987</v>
      </c>
      <c r="R1757" s="4">
        <f>Sheet1!$K$3*_xlfn.XLOOKUP(Table1[[#This Row], [DISGUISE]],Sheet1!$A$21:$A$23,Sheet1!$D$21:$D$23)</f>
        <v>66</v>
      </c>
      <c r="S1757" s="9">
        <f>Table1[[#This Row], [TOTAL TIME]]-Table1[[#This Row], [TOTAL TIME TAKEN]]</f>
        <v>-3.1387499999999875</v>
      </c>
      <c r="T1757" t="str">
        <f>IF(Table1[[#This Row], [TIME DIFFERENCE]]&gt;=0,"PASS","FAIL")</f>
        <v>FAIL</v>
      </c>
      <c r="U1757" s="9">
        <f>Table1[[#This Row], [TRC]]+Table1[[#This Row], [DRC]]+Table1[[#This Row], [WRC]]+Table1[[#This Row], [ERC]]+Table1[[#This Row], [EQRC]]</f>
        <v>7913646.0187499998</v>
      </c>
      <c r="V1757" s="9">
        <f>Table1[[#This Row], [TOTAL COST]]+_xlfn.XLOOKUP(Table1[[#This Row], [TEAM]],Sheet1!$A$12:$A$17,Sheet1!$I$12:$I$17)</f>
        <v>8217786.0187499998</v>
      </c>
      <c r="W1757" s="9">
        <f>Table1[[#This Row], [LOOT]]-Table1[[#This Row], [TOTAL COST]]</f>
        <v>10086353.981249999</v>
      </c>
      <c r="X1757" s="4">
        <f>IF(Table1[[#This Row], [PASS/FAIL]]="FAIL",0,Table1[[#This Row], [PROFIT]])</f>
        <v>0</v>
      </c>
    </row>
    <row r="1758" spans="1:24" ht="19.5" customHeight="1" x14ac:dyDescent="0.45">
      <c r="A1758" t="s">
        <v>16</v>
      </c>
      <c r="B1758" s="14">
        <f>_xlfn.XLOOKUP(Table1[[#This Row], [TEAM]],Sheet1!$A$12:$A$17,Sheet1!$F$12:$F$17)</f>
        <v>2</v>
      </c>
      <c r="C1758" s="14">
        <f>_xlfn.XLOOKUP(Table1[[#This Row], [TEAM]],Sheet1!$A$12:$A$17,Sheet1!$G$12:$G$17)</f>
        <v>6082800</v>
      </c>
      <c r="D1758" t="s">
        <v>24</v>
      </c>
      <c r="E1758" s="4">
        <f>_xlfn.XLOOKUP(Table1[[#This Row], [ROOM]],Sheet1!$A$47:$A$66,Sheet1!$B$47:$B$66)</f>
        <v>345</v>
      </c>
      <c r="F1758" t="s">
        <v>62</v>
      </c>
      <c r="G175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8" s="13" t="s">
        <v>63</v>
      </c>
      <c r="I1758" s="4">
        <f>_xlfn.XLOOKUP(Table1[[#This Row], [WEAPON]],Sheet1!$A$27:$A$29,Sheet1!$B$27:$B$29)*Table1[[#This Row], [NUM OF MEM]]*(1+_xlfn.XLOOKUP(Table1[[#This Row], [WEAPON]],Sheet1!$A$27:$A$29,Sheet1!$C$27:$C$29))</f>
        <v>46000</v>
      </c>
      <c r="J1758" t="s">
        <v>64</v>
      </c>
      <c r="K1758" s="9">
        <f>Table1[[#This Row], [NUM OF MEM]]*Table1[[#This Row], [TOTAL TIME TAKEN]]*_xlfn.XLOOKUP(Table1[[#This Row], [EXIT]],Sheet1!$A$70:$A$71,Sheet1!$B$70:$B$71)*(1+_xlfn.XLOOKUP(Table1[[#This Row], [EXIT]],Sheet1!$A$70:$A$71,Sheet1!$C$70:$C$71))</f>
        <v>1792076.3999999997</v>
      </c>
      <c r="L1758" s="13" t="s">
        <v>65</v>
      </c>
      <c r="M1758" s="4">
        <f>IF(Table1[[#This Row], [EQUIPMENT]]="YES",Sheet1!$C$44*(1+Sheet1!$D$44),0)</f>
        <v>307500</v>
      </c>
      <c r="N1758" s="4">
        <f>_xlfn.XLOOKUP(Table1[[#This Row], [ROOM]],Sheet1!$A$47:$A$66,Sheet1!$F$47:$F$66)</f>
        <v>18000000</v>
      </c>
      <c r="O1758" s="9">
        <f>_xlfn.XLOOKUP(_xlfn.CONCAT(Table1[[#This Row], [TEAM]],Table1[[#This Row], [ROOM]]),'ROOM TIME'!$H$2:$H$121,'ROOM TIME'!$J$2:$J$121)</f>
        <v>61.038749999999979</v>
      </c>
      <c r="P1758" s="9">
        <f>(INDEX(Sheet1!$X$48:$Z$67,MATCH(Table1[[#This Row], [ROOM]],Sheet1!$P$48:$P$67,0),MATCH(Table1[[#This Row], [WEAPON]],Sheet1!$X$47:$Z$47,0)))/Table1[[#This Row], [NUM OF MEM]]</f>
        <v>8.1000000000000014</v>
      </c>
      <c r="Q1758" s="9">
        <f>Table1[[#This Row], [ROOM TIME]]+Table1[[#This Row], [GUARD TIME]]</f>
        <v>69.138749999999987</v>
      </c>
      <c r="R1758" s="4">
        <f>Sheet1!$K$3*_xlfn.XLOOKUP(Table1[[#This Row], [DISGUISE]],Sheet1!$A$21:$A$23,Sheet1!$D$21:$D$23)</f>
        <v>66</v>
      </c>
      <c r="S1758" s="9">
        <f>Table1[[#This Row], [TOTAL TIME]]-Table1[[#This Row], [TOTAL TIME TAKEN]]</f>
        <v>-3.1387499999999875</v>
      </c>
      <c r="T1758" t="str">
        <f>IF(Table1[[#This Row], [TIME DIFFERENCE]]&gt;=0,"PASS","FAIL")</f>
        <v>FAIL</v>
      </c>
      <c r="U1758" s="9">
        <f>Table1[[#This Row], [TRC]]+Table1[[#This Row], [DRC]]+Table1[[#This Row], [WRC]]+Table1[[#This Row], [ERC]]+Table1[[#This Row], [EQRC]]</f>
        <v>8238776.3999999994</v>
      </c>
      <c r="V1758" s="9">
        <f>Table1[[#This Row], [TOTAL COST]]+_xlfn.XLOOKUP(Table1[[#This Row], [TEAM]],Sheet1!$A$12:$A$17,Sheet1!$I$12:$I$17)</f>
        <v>8542916.3999999985</v>
      </c>
      <c r="W1758" s="9">
        <f>Table1[[#This Row], [LOOT]]-Table1[[#This Row], [TOTAL COST]]</f>
        <v>9761223.6000000015</v>
      </c>
      <c r="X1758" s="4">
        <f>IF(Table1[[#This Row], [PASS/FAIL]]="FAIL",0,Table1[[#This Row], [PROFIT]])</f>
        <v>0</v>
      </c>
    </row>
    <row r="1759" spans="1:24" ht="19.5" customHeight="1" x14ac:dyDescent="0.45">
      <c r="A1759" t="s">
        <v>16</v>
      </c>
      <c r="B1759" s="14">
        <f>_xlfn.XLOOKUP(Table1[[#This Row], [TEAM]],Sheet1!$A$12:$A$17,Sheet1!$F$12:$F$17)</f>
        <v>2</v>
      </c>
      <c r="C1759" s="14">
        <f>_xlfn.XLOOKUP(Table1[[#This Row], [TEAM]],Sheet1!$A$12:$A$17,Sheet1!$G$12:$G$17)</f>
        <v>6082800</v>
      </c>
      <c r="D1759" t="s">
        <v>24</v>
      </c>
      <c r="E1759" s="4">
        <f>_xlfn.XLOOKUP(Table1[[#This Row], [ROOM]],Sheet1!$A$47:$A$66,Sheet1!$B$47:$B$66)</f>
        <v>345</v>
      </c>
      <c r="F1759" t="s">
        <v>62</v>
      </c>
      <c r="G175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59" s="13" t="s">
        <v>63</v>
      </c>
      <c r="I1759" s="4">
        <f>_xlfn.XLOOKUP(Table1[[#This Row], [WEAPON]],Sheet1!$A$27:$A$29,Sheet1!$B$27:$B$29)*Table1[[#This Row], [NUM OF MEM]]*(1+_xlfn.XLOOKUP(Table1[[#This Row], [WEAPON]],Sheet1!$A$27:$A$29,Sheet1!$C$27:$C$29))</f>
        <v>46000</v>
      </c>
      <c r="J1759" t="s">
        <v>60</v>
      </c>
      <c r="K1759" s="9">
        <f>Table1[[#This Row], [NUM OF MEM]]*Table1[[#This Row], [TOTAL TIME TAKEN]]*_xlfn.XLOOKUP(Table1[[#This Row], [EXIT]],Sheet1!$A$70:$A$71,Sheet1!$B$70:$B$71)*(1+_xlfn.XLOOKUP(Table1[[#This Row], [EXIT]],Sheet1!$A$70:$A$71,Sheet1!$C$70:$C$71))</f>
        <v>1774446.0187499996</v>
      </c>
      <c r="L1759" s="13" t="s">
        <v>65</v>
      </c>
      <c r="M1759" s="4">
        <f>IF(Table1[[#This Row], [EQUIPMENT]]="YES",Sheet1!$C$44*(1+Sheet1!$D$44),0)</f>
        <v>307500</v>
      </c>
      <c r="N1759" s="4">
        <f>_xlfn.XLOOKUP(Table1[[#This Row], [ROOM]],Sheet1!$A$47:$A$66,Sheet1!$F$47:$F$66)</f>
        <v>18000000</v>
      </c>
      <c r="O1759" s="9">
        <f>_xlfn.XLOOKUP(_xlfn.CONCAT(Table1[[#This Row], [TEAM]],Table1[[#This Row], [ROOM]]),'ROOM TIME'!$H$2:$H$121,'ROOM TIME'!$J$2:$J$121)</f>
        <v>61.038749999999979</v>
      </c>
      <c r="P1759" s="9">
        <f>(INDEX(Sheet1!$X$48:$Z$67,MATCH(Table1[[#This Row], [ROOM]],Sheet1!$P$48:$P$67,0),MATCH(Table1[[#This Row], [WEAPON]],Sheet1!$X$47:$Z$47,0)))/Table1[[#This Row], [NUM OF MEM]]</f>
        <v>8.1000000000000014</v>
      </c>
      <c r="Q1759" s="9">
        <f>Table1[[#This Row], [ROOM TIME]]+Table1[[#This Row], [GUARD TIME]]</f>
        <v>69.138749999999987</v>
      </c>
      <c r="R1759" s="4">
        <f>Sheet1!$K$3*_xlfn.XLOOKUP(Table1[[#This Row], [DISGUISE]],Sheet1!$A$21:$A$23,Sheet1!$D$21:$D$23)</f>
        <v>66</v>
      </c>
      <c r="S1759" s="9">
        <f>Table1[[#This Row], [TOTAL TIME]]-Table1[[#This Row], [TOTAL TIME TAKEN]]</f>
        <v>-3.1387499999999875</v>
      </c>
      <c r="T1759" t="str">
        <f>IF(Table1[[#This Row], [TIME DIFFERENCE]]&gt;=0,"PASS","FAIL")</f>
        <v>FAIL</v>
      </c>
      <c r="U1759" s="9">
        <f>Table1[[#This Row], [TRC]]+Table1[[#This Row], [DRC]]+Table1[[#This Row], [WRC]]+Table1[[#This Row], [ERC]]+Table1[[#This Row], [EQRC]]</f>
        <v>8221146.0187499998</v>
      </c>
      <c r="V1759" s="9">
        <f>Table1[[#This Row], [TOTAL COST]]+_xlfn.XLOOKUP(Table1[[#This Row], [TEAM]],Sheet1!$A$12:$A$17,Sheet1!$I$12:$I$17)</f>
        <v>8525286.0187500007</v>
      </c>
      <c r="W1759" s="9">
        <f>Table1[[#This Row], [LOOT]]-Table1[[#This Row], [TOTAL COST]]</f>
        <v>9778853.9812499993</v>
      </c>
      <c r="X1759" s="4">
        <f>IF(Table1[[#This Row], [PASS/FAIL]]="FAIL",0,Table1[[#This Row], [PROFIT]])</f>
        <v>0</v>
      </c>
    </row>
    <row r="1760" spans="1:24" ht="19.5" customHeight="1" x14ac:dyDescent="0.45">
      <c r="A1760" t="s">
        <v>16</v>
      </c>
      <c r="B1760" s="14">
        <f>_xlfn.XLOOKUP(Table1[[#This Row], [TEAM]],Sheet1!$A$12:$A$17,Sheet1!$F$12:$F$17)</f>
        <v>2</v>
      </c>
      <c r="C1760" s="14">
        <f>_xlfn.XLOOKUP(Table1[[#This Row], [TEAM]],Sheet1!$A$12:$A$17,Sheet1!$G$12:$G$17)</f>
        <v>6082800</v>
      </c>
      <c r="D1760" t="s">
        <v>24</v>
      </c>
      <c r="E1760" s="4">
        <f>_xlfn.XLOOKUP(Table1[[#This Row], [ROOM]],Sheet1!$A$47:$A$66,Sheet1!$B$47:$B$66)</f>
        <v>345</v>
      </c>
      <c r="F1760" t="s">
        <v>62</v>
      </c>
      <c r="G176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0" s="13" t="s">
        <v>66</v>
      </c>
      <c r="I1760" s="4">
        <f>_xlfn.XLOOKUP(Table1[[#This Row], [WEAPON]],Sheet1!$A$27:$A$29,Sheet1!$B$27:$B$29)*Table1[[#This Row], [NUM OF MEM]]*(1+_xlfn.XLOOKUP(Table1[[#This Row], [WEAPON]],Sheet1!$A$27:$A$29,Sheet1!$C$27:$C$29))</f>
        <v>72000</v>
      </c>
      <c r="J1760" t="s">
        <v>60</v>
      </c>
      <c r="K1760" s="9">
        <f>Table1[[#This Row], [NUM OF MEM]]*Table1[[#This Row], [TOTAL TIME TAKEN]]*_xlfn.XLOOKUP(Table1[[#This Row], [EXIT]],Sheet1!$A$70:$A$71,Sheet1!$B$70:$B$71)*(1+_xlfn.XLOOKUP(Table1[[#This Row], [EXIT]],Sheet1!$A$70:$A$71,Sheet1!$C$70:$C$71))</f>
        <v>1759047.0187499993</v>
      </c>
      <c r="L1760" s="13" t="s">
        <v>61</v>
      </c>
      <c r="M1760" s="4">
        <f>IF(Table1[[#This Row], [EQUIPMENT]]="YES",Sheet1!$C$44*(1+Sheet1!$D$44),0)</f>
        <v>0</v>
      </c>
      <c r="N1760" s="4">
        <f>_xlfn.XLOOKUP(Table1[[#This Row], [ROOM]],Sheet1!$A$47:$A$66,Sheet1!$F$47:$F$66)</f>
        <v>18000000</v>
      </c>
      <c r="O1760" s="9">
        <f>_xlfn.XLOOKUP(_xlfn.CONCAT(Table1[[#This Row], [TEAM]],Table1[[#This Row], [ROOM]]),'ROOM TIME'!$H$2:$H$121,'ROOM TIME'!$J$2:$J$121)</f>
        <v>61.038749999999979</v>
      </c>
      <c r="P1760" s="9">
        <f>(INDEX(Sheet1!$X$48:$Z$67,MATCH(Table1[[#This Row], [ROOM]],Sheet1!$P$48:$P$67,0),MATCH(Table1[[#This Row], [WEAPON]],Sheet1!$X$47:$Z$47,0)))/Table1[[#This Row], [NUM OF MEM]]</f>
        <v>7.5</v>
      </c>
      <c r="Q1760" s="9">
        <f>Table1[[#This Row], [ROOM TIME]]+Table1[[#This Row], [GUARD TIME]]</f>
        <v>68.538749999999979</v>
      </c>
      <c r="R1760" s="4">
        <f>Sheet1!$K$3*_xlfn.XLOOKUP(Table1[[#This Row], [DISGUISE]],Sheet1!$A$21:$A$23,Sheet1!$D$21:$D$23)</f>
        <v>66</v>
      </c>
      <c r="S1760" s="9">
        <f>Table1[[#This Row], [TOTAL TIME]]-Table1[[#This Row], [TOTAL TIME TAKEN]]</f>
        <v>-2.538749999999979</v>
      </c>
      <c r="T1760" t="str">
        <f>IF(Table1[[#This Row], [TIME DIFFERENCE]]&gt;=0,"PASS","FAIL")</f>
        <v>FAIL</v>
      </c>
      <c r="U1760" s="9">
        <f>Table1[[#This Row], [TRC]]+Table1[[#This Row], [DRC]]+Table1[[#This Row], [WRC]]+Table1[[#This Row], [ERC]]+Table1[[#This Row], [EQRC]]</f>
        <v>7924247.0187499989</v>
      </c>
      <c r="V1760" s="9">
        <f>Table1[[#This Row], [TOTAL COST]]+_xlfn.XLOOKUP(Table1[[#This Row], [TEAM]],Sheet1!$A$12:$A$17,Sheet1!$I$12:$I$17)</f>
        <v>8228387.0187499989</v>
      </c>
      <c r="W1760" s="9">
        <f>Table1[[#This Row], [LOOT]]-Table1[[#This Row], [TOTAL COST]]</f>
        <v>10075752.981250001</v>
      </c>
      <c r="X1760" s="4">
        <f>IF(Table1[[#This Row], [PASS/FAIL]]="FAIL",0,Table1[[#This Row], [PROFIT]])</f>
        <v>0</v>
      </c>
    </row>
    <row r="1761" spans="1:24" ht="19.5" customHeight="1" x14ac:dyDescent="0.45">
      <c r="A1761" t="s">
        <v>16</v>
      </c>
      <c r="B1761" s="14">
        <f>_xlfn.XLOOKUP(Table1[[#This Row], [TEAM]],Sheet1!$A$12:$A$17,Sheet1!$F$12:$F$17)</f>
        <v>2</v>
      </c>
      <c r="C1761" s="14">
        <f>_xlfn.XLOOKUP(Table1[[#This Row], [TEAM]],Sheet1!$A$12:$A$17,Sheet1!$G$12:$G$17)</f>
        <v>6082800</v>
      </c>
      <c r="D1761" t="s">
        <v>24</v>
      </c>
      <c r="E1761" s="4">
        <f>_xlfn.XLOOKUP(Table1[[#This Row], [ROOM]],Sheet1!$A$47:$A$66,Sheet1!$B$47:$B$66)</f>
        <v>345</v>
      </c>
      <c r="F1761" t="s">
        <v>62</v>
      </c>
      <c r="G176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1" s="13" t="s">
        <v>66</v>
      </c>
      <c r="I1761" s="4">
        <f>_xlfn.XLOOKUP(Table1[[#This Row], [WEAPON]],Sheet1!$A$27:$A$29,Sheet1!$B$27:$B$29)*Table1[[#This Row], [NUM OF MEM]]*(1+_xlfn.XLOOKUP(Table1[[#This Row], [WEAPON]],Sheet1!$A$27:$A$29,Sheet1!$C$27:$C$29))</f>
        <v>72000</v>
      </c>
      <c r="J1761" t="s">
        <v>64</v>
      </c>
      <c r="K1761" s="9">
        <f>Table1[[#This Row], [NUM OF MEM]]*Table1[[#This Row], [TOTAL TIME TAKEN]]*_xlfn.XLOOKUP(Table1[[#This Row], [EXIT]],Sheet1!$A$70:$A$71,Sheet1!$B$70:$B$71)*(1+_xlfn.XLOOKUP(Table1[[#This Row], [EXIT]],Sheet1!$A$70:$A$71,Sheet1!$C$70:$C$71))</f>
        <v>1776524.3999999994</v>
      </c>
      <c r="L1761" s="13" t="s">
        <v>61</v>
      </c>
      <c r="M1761" s="4">
        <f>IF(Table1[[#This Row], [EQUIPMENT]]="YES",Sheet1!$C$44*(1+Sheet1!$D$44),0)</f>
        <v>0</v>
      </c>
      <c r="N1761" s="4">
        <f>_xlfn.XLOOKUP(Table1[[#This Row], [ROOM]],Sheet1!$A$47:$A$66,Sheet1!$F$47:$F$66)</f>
        <v>18000000</v>
      </c>
      <c r="O1761" s="9">
        <f>_xlfn.XLOOKUP(_xlfn.CONCAT(Table1[[#This Row], [TEAM]],Table1[[#This Row], [ROOM]]),'ROOM TIME'!$H$2:$H$121,'ROOM TIME'!$J$2:$J$121)</f>
        <v>61.038749999999979</v>
      </c>
      <c r="P1761" s="9">
        <f>(INDEX(Sheet1!$X$48:$Z$67,MATCH(Table1[[#This Row], [ROOM]],Sheet1!$P$48:$P$67,0),MATCH(Table1[[#This Row], [WEAPON]],Sheet1!$X$47:$Z$47,0)))/Table1[[#This Row], [NUM OF MEM]]</f>
        <v>7.5</v>
      </c>
      <c r="Q1761" s="9">
        <f>Table1[[#This Row], [ROOM TIME]]+Table1[[#This Row], [GUARD TIME]]</f>
        <v>68.538749999999979</v>
      </c>
      <c r="R1761" s="4">
        <f>Sheet1!$K$3*_xlfn.XLOOKUP(Table1[[#This Row], [DISGUISE]],Sheet1!$A$21:$A$23,Sheet1!$D$21:$D$23)</f>
        <v>66</v>
      </c>
      <c r="S1761" s="9">
        <f>Table1[[#This Row], [TOTAL TIME]]-Table1[[#This Row], [TOTAL TIME TAKEN]]</f>
        <v>-2.538749999999979</v>
      </c>
      <c r="T1761" t="str">
        <f>IF(Table1[[#This Row], [TIME DIFFERENCE]]&gt;=0,"PASS","FAIL")</f>
        <v>FAIL</v>
      </c>
      <c r="U1761" s="9">
        <f>Table1[[#This Row], [TRC]]+Table1[[#This Row], [DRC]]+Table1[[#This Row], [WRC]]+Table1[[#This Row], [ERC]]+Table1[[#This Row], [EQRC]]</f>
        <v>7941724.3999999994</v>
      </c>
      <c r="V1761" s="9">
        <f>Table1[[#This Row], [TOTAL COST]]+_xlfn.XLOOKUP(Table1[[#This Row], [TEAM]],Sheet1!$A$12:$A$17,Sheet1!$I$12:$I$17)</f>
        <v>8245864.3999999994</v>
      </c>
      <c r="W1761" s="9">
        <f>Table1[[#This Row], [LOOT]]-Table1[[#This Row], [TOTAL COST]]</f>
        <v>10058275.600000001</v>
      </c>
      <c r="X1761" s="4">
        <f>IF(Table1[[#This Row], [PASS/FAIL]]="FAIL",0,Table1[[#This Row], [PROFIT]])</f>
        <v>0</v>
      </c>
    </row>
    <row r="1762" spans="1:24" ht="19.5" customHeight="1" x14ac:dyDescent="0.45">
      <c r="A1762" t="s">
        <v>16</v>
      </c>
      <c r="B1762" s="14">
        <f>_xlfn.XLOOKUP(Table1[[#This Row], [TEAM]],Sheet1!$A$12:$A$17,Sheet1!$F$12:$F$17)</f>
        <v>2</v>
      </c>
      <c r="C1762" s="14">
        <f>_xlfn.XLOOKUP(Table1[[#This Row], [TEAM]],Sheet1!$A$12:$A$17,Sheet1!$G$12:$G$17)</f>
        <v>6082800</v>
      </c>
      <c r="D1762" t="s">
        <v>24</v>
      </c>
      <c r="E1762" s="4">
        <f>_xlfn.XLOOKUP(Table1[[#This Row], [ROOM]],Sheet1!$A$47:$A$66,Sheet1!$B$47:$B$66)</f>
        <v>345</v>
      </c>
      <c r="F1762" t="s">
        <v>62</v>
      </c>
      <c r="G176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2" s="13" t="s">
        <v>66</v>
      </c>
      <c r="I1762" s="4">
        <f>_xlfn.XLOOKUP(Table1[[#This Row], [WEAPON]],Sheet1!$A$27:$A$29,Sheet1!$B$27:$B$29)*Table1[[#This Row], [NUM OF MEM]]*(1+_xlfn.XLOOKUP(Table1[[#This Row], [WEAPON]],Sheet1!$A$27:$A$29,Sheet1!$C$27:$C$29))</f>
        <v>72000</v>
      </c>
      <c r="J1762" t="s">
        <v>60</v>
      </c>
      <c r="K1762" s="9">
        <f>Table1[[#This Row], [NUM OF MEM]]*Table1[[#This Row], [TOTAL TIME TAKEN]]*_xlfn.XLOOKUP(Table1[[#This Row], [EXIT]],Sheet1!$A$70:$A$71,Sheet1!$B$70:$B$71)*(1+_xlfn.XLOOKUP(Table1[[#This Row], [EXIT]],Sheet1!$A$70:$A$71,Sheet1!$C$70:$C$71))</f>
        <v>1759047.0187499993</v>
      </c>
      <c r="L1762" s="13" t="s">
        <v>65</v>
      </c>
      <c r="M1762" s="4">
        <f>IF(Table1[[#This Row], [EQUIPMENT]]="YES",Sheet1!$C$44*(1+Sheet1!$D$44),0)</f>
        <v>307500</v>
      </c>
      <c r="N1762" s="4">
        <f>_xlfn.XLOOKUP(Table1[[#This Row], [ROOM]],Sheet1!$A$47:$A$66,Sheet1!$F$47:$F$66)</f>
        <v>18000000</v>
      </c>
      <c r="O1762" s="9">
        <f>_xlfn.XLOOKUP(_xlfn.CONCAT(Table1[[#This Row], [TEAM]],Table1[[#This Row], [ROOM]]),'ROOM TIME'!$H$2:$H$121,'ROOM TIME'!$J$2:$J$121)</f>
        <v>61.038749999999979</v>
      </c>
      <c r="P1762" s="9">
        <f>(INDEX(Sheet1!$X$48:$Z$67,MATCH(Table1[[#This Row], [ROOM]],Sheet1!$P$48:$P$67,0),MATCH(Table1[[#This Row], [WEAPON]],Sheet1!$X$47:$Z$47,0)))/Table1[[#This Row], [NUM OF MEM]]</f>
        <v>7.5</v>
      </c>
      <c r="Q1762" s="9">
        <f>Table1[[#This Row], [ROOM TIME]]+Table1[[#This Row], [GUARD TIME]]</f>
        <v>68.538749999999979</v>
      </c>
      <c r="R1762" s="4">
        <f>Sheet1!$K$3*_xlfn.XLOOKUP(Table1[[#This Row], [DISGUISE]],Sheet1!$A$21:$A$23,Sheet1!$D$21:$D$23)</f>
        <v>66</v>
      </c>
      <c r="S1762" s="9">
        <f>Table1[[#This Row], [TOTAL TIME]]-Table1[[#This Row], [TOTAL TIME TAKEN]]</f>
        <v>-2.538749999999979</v>
      </c>
      <c r="T1762" t="str">
        <f>IF(Table1[[#This Row], [TIME DIFFERENCE]]&gt;=0,"PASS","FAIL")</f>
        <v>FAIL</v>
      </c>
      <c r="U1762" s="9">
        <f>Table1[[#This Row], [TRC]]+Table1[[#This Row], [DRC]]+Table1[[#This Row], [WRC]]+Table1[[#This Row], [ERC]]+Table1[[#This Row], [EQRC]]</f>
        <v>8231747.0187499989</v>
      </c>
      <c r="V1762" s="9">
        <f>Table1[[#This Row], [TOTAL COST]]+_xlfn.XLOOKUP(Table1[[#This Row], [TEAM]],Sheet1!$A$12:$A$17,Sheet1!$I$12:$I$17)</f>
        <v>8535887.0187499989</v>
      </c>
      <c r="W1762" s="9">
        <f>Table1[[#This Row], [LOOT]]-Table1[[#This Row], [TOTAL COST]]</f>
        <v>9768252.9812500011</v>
      </c>
      <c r="X1762" s="4">
        <f>IF(Table1[[#This Row], [PASS/FAIL]]="FAIL",0,Table1[[#This Row], [PROFIT]])</f>
        <v>0</v>
      </c>
    </row>
    <row r="1763" spans="1:24" ht="19.5" customHeight="1" x14ac:dyDescent="0.45">
      <c r="A1763" t="s">
        <v>16</v>
      </c>
      <c r="B1763" s="14">
        <f>_xlfn.XLOOKUP(Table1[[#This Row], [TEAM]],Sheet1!$A$12:$A$17,Sheet1!$F$12:$F$17)</f>
        <v>2</v>
      </c>
      <c r="C1763" s="14">
        <f>_xlfn.XLOOKUP(Table1[[#This Row], [TEAM]],Sheet1!$A$12:$A$17,Sheet1!$G$12:$G$17)</f>
        <v>6082800</v>
      </c>
      <c r="D1763" t="s">
        <v>24</v>
      </c>
      <c r="E1763" s="4">
        <f>_xlfn.XLOOKUP(Table1[[#This Row], [ROOM]],Sheet1!$A$47:$A$66,Sheet1!$B$47:$B$66)</f>
        <v>345</v>
      </c>
      <c r="F1763" t="s">
        <v>62</v>
      </c>
      <c r="G176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3" s="13" t="s">
        <v>66</v>
      </c>
      <c r="I1763" s="4">
        <f>_xlfn.XLOOKUP(Table1[[#This Row], [WEAPON]],Sheet1!$A$27:$A$29,Sheet1!$B$27:$B$29)*Table1[[#This Row], [NUM OF MEM]]*(1+_xlfn.XLOOKUP(Table1[[#This Row], [WEAPON]],Sheet1!$A$27:$A$29,Sheet1!$C$27:$C$29))</f>
        <v>72000</v>
      </c>
      <c r="J1763" t="s">
        <v>64</v>
      </c>
      <c r="K1763" s="9">
        <f>Table1[[#This Row], [NUM OF MEM]]*Table1[[#This Row], [TOTAL TIME TAKEN]]*_xlfn.XLOOKUP(Table1[[#This Row], [EXIT]],Sheet1!$A$70:$A$71,Sheet1!$B$70:$B$71)*(1+_xlfn.XLOOKUP(Table1[[#This Row], [EXIT]],Sheet1!$A$70:$A$71,Sheet1!$C$70:$C$71))</f>
        <v>1776524.3999999994</v>
      </c>
      <c r="L1763" s="13" t="s">
        <v>65</v>
      </c>
      <c r="M1763" s="4">
        <f>IF(Table1[[#This Row], [EQUIPMENT]]="YES",Sheet1!$C$44*(1+Sheet1!$D$44),0)</f>
        <v>307500</v>
      </c>
      <c r="N1763" s="4">
        <f>_xlfn.XLOOKUP(Table1[[#This Row], [ROOM]],Sheet1!$A$47:$A$66,Sheet1!$F$47:$F$66)</f>
        <v>18000000</v>
      </c>
      <c r="O1763" s="9">
        <f>_xlfn.XLOOKUP(_xlfn.CONCAT(Table1[[#This Row], [TEAM]],Table1[[#This Row], [ROOM]]),'ROOM TIME'!$H$2:$H$121,'ROOM TIME'!$J$2:$J$121)</f>
        <v>61.038749999999979</v>
      </c>
      <c r="P1763" s="9">
        <f>(INDEX(Sheet1!$X$48:$Z$67,MATCH(Table1[[#This Row], [ROOM]],Sheet1!$P$48:$P$67,0),MATCH(Table1[[#This Row], [WEAPON]],Sheet1!$X$47:$Z$47,0)))/Table1[[#This Row], [NUM OF MEM]]</f>
        <v>7.5</v>
      </c>
      <c r="Q1763" s="9">
        <f>Table1[[#This Row], [ROOM TIME]]+Table1[[#This Row], [GUARD TIME]]</f>
        <v>68.538749999999979</v>
      </c>
      <c r="R1763" s="4">
        <f>Sheet1!$K$3*_xlfn.XLOOKUP(Table1[[#This Row], [DISGUISE]],Sheet1!$A$21:$A$23,Sheet1!$D$21:$D$23)</f>
        <v>66</v>
      </c>
      <c r="S1763" s="9">
        <f>Table1[[#This Row], [TOTAL TIME]]-Table1[[#This Row], [TOTAL TIME TAKEN]]</f>
        <v>-2.538749999999979</v>
      </c>
      <c r="T1763" t="str">
        <f>IF(Table1[[#This Row], [TIME DIFFERENCE]]&gt;=0,"PASS","FAIL")</f>
        <v>FAIL</v>
      </c>
      <c r="U1763" s="9">
        <f>Table1[[#This Row], [TRC]]+Table1[[#This Row], [DRC]]+Table1[[#This Row], [WRC]]+Table1[[#This Row], [ERC]]+Table1[[#This Row], [EQRC]]</f>
        <v>8249224.3999999994</v>
      </c>
      <c r="V1763" s="9">
        <f>Table1[[#This Row], [TOTAL COST]]+_xlfn.XLOOKUP(Table1[[#This Row], [TEAM]],Sheet1!$A$12:$A$17,Sheet1!$I$12:$I$17)</f>
        <v>8553364.3999999985</v>
      </c>
      <c r="W1763" s="9">
        <f>Table1[[#This Row], [LOOT]]-Table1[[#This Row], [TOTAL COST]]</f>
        <v>9750775.6000000015</v>
      </c>
      <c r="X1763" s="4">
        <f>IF(Table1[[#This Row], [PASS/FAIL]]="FAIL",0,Table1[[#This Row], [PROFIT]])</f>
        <v>0</v>
      </c>
    </row>
    <row r="1764" spans="1:24" ht="19.5" customHeight="1" x14ac:dyDescent="0.45">
      <c r="A1764" t="s">
        <v>14</v>
      </c>
      <c r="B1764" s="14">
        <f>_xlfn.XLOOKUP(Table1[[#This Row], [TEAM]],Sheet1!$A$12:$A$17,Sheet1!$F$12:$F$17)</f>
        <v>2</v>
      </c>
      <c r="C1764" s="14">
        <f>_xlfn.XLOOKUP(Table1[[#This Row], [TEAM]],Sheet1!$A$12:$A$17,Sheet1!$G$12:$G$17)</f>
        <v>5949600</v>
      </c>
      <c r="D1764" t="s">
        <v>26</v>
      </c>
      <c r="E1764" s="4">
        <f>_xlfn.XLOOKUP(Table1[[#This Row], [ROOM]],Sheet1!$A$47:$A$66,Sheet1!$B$47:$B$66)</f>
        <v>136</v>
      </c>
      <c r="F1764" t="s">
        <v>62</v>
      </c>
      <c r="G176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4" s="13" t="s">
        <v>63</v>
      </c>
      <c r="I1764" s="4">
        <f>_xlfn.XLOOKUP(Table1[[#This Row], [WEAPON]],Sheet1!$A$27:$A$29,Sheet1!$B$27:$B$29)*Table1[[#This Row], [NUM OF MEM]]*(1+_xlfn.XLOOKUP(Table1[[#This Row], [WEAPON]],Sheet1!$A$27:$A$29,Sheet1!$C$27:$C$29))</f>
        <v>46000</v>
      </c>
      <c r="J1764" t="s">
        <v>60</v>
      </c>
      <c r="K1764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1702648.1812499997</v>
      </c>
      <c r="L1764" s="13" t="s">
        <v>65</v>
      </c>
      <c r="M1764" s="4">
        <f>IF(Table1[[#This Row], [EQUIPMENT]]="YES",Sheet1!$C$44*(1+Sheet1!$D$44),0)</f>
        <v>307500</v>
      </c>
      <c r="N1764" s="4">
        <f>_xlfn.XLOOKUP(Table1[[#This Row], [ROOM]],Sheet1!$A$47:$A$66,Sheet1!$F$47:$F$66)</f>
        <v>18150000</v>
      </c>
      <c r="O1764" s="9">
        <f>_xlfn.XLOOKUP(_xlfn.CONCAT(Table1[[#This Row], [TEAM]],Table1[[#This Row], [ROOM]]),'ROOM TIME'!$H$2:$H$121,'ROOM TIME'!$J$2:$J$121)</f>
        <v>58.241249999999987</v>
      </c>
      <c r="P1764" s="9">
        <f>(INDEX(Sheet1!$X$48:$Z$67,MATCH(Table1[[#This Row], [ROOM]],Sheet1!$P$48:$P$67,0),MATCH(Table1[[#This Row], [WEAPON]],Sheet1!$X$47:$Z$47,0)))/Table1[[#This Row], [NUM OF MEM]]</f>
        <v>8.1000000000000014</v>
      </c>
      <c r="Q1764" s="9">
        <f>Table1[[#This Row], [ROOM TIME]]+Table1[[#This Row], [GUARD TIME]]</f>
        <v>66.341249999999988</v>
      </c>
      <c r="R1764" s="4">
        <f>Sheet1!$K$3*_xlfn.XLOOKUP(Table1[[#This Row], [DISGUISE]],Sheet1!$A$21:$A$23,Sheet1!$D$21:$D$23)</f>
        <v>66</v>
      </c>
      <c r="S1764" s="9">
        <f>Table1[[#This Row], [TOTAL TIME]]-Table1[[#This Row], [TOTAL TIME TAKEN]]</f>
        <v>-0.34124999999998806</v>
      </c>
      <c r="T1764" t="str">
        <f>IF(Table1[[#This Row], [TIME DIFFERENCE]]&gt;=0,"PASS","FAIL")</f>
        <v>FAIL</v>
      </c>
      <c r="U1764" s="9">
        <f>Table1[[#This Row], [TRC]]+Table1[[#This Row], [DRC]]+Table1[[#This Row], [WRC]]+Table1[[#This Row], [ERC]]+Table1[[#This Row], [EQRC]]</f>
        <v>8016148.1812499994</v>
      </c>
      <c r="V1764" s="9">
        <f>Table1[[#This Row], [TOTAL COST]]+_xlfn.XLOOKUP(Table1[[#This Row], [TEAM]],Sheet1!$A$12:$A$17,Sheet1!$I$12:$I$17)</f>
        <v>8313628.1812499994</v>
      </c>
      <c r="W1764" s="9">
        <f>Table1[[#This Row], [LOOT]]-Table1[[#This Row], [TOTAL COST]]</f>
        <v>10133851.818750001</v>
      </c>
      <c r="X1764" s="4">
        <f>IF(Table1[[#This Row], [PASS/FAIL]]="FAIL",0,Table1[[#This Row], [PROFIT]])</f>
        <v>0</v>
      </c>
    </row>
    <row r="1765" spans="1:24" ht="19.5" customHeight="1" x14ac:dyDescent="0.45">
      <c r="A1765" t="s">
        <v>14</v>
      </c>
      <c r="B1765" s="14">
        <f>_xlfn.XLOOKUP(Table1[[#This Row], [TEAM]],Sheet1!$A$12:$A$17,Sheet1!$F$12:$F$17)</f>
        <v>2</v>
      </c>
      <c r="C1765" s="14">
        <f>_xlfn.XLOOKUP(Table1[[#This Row], [TEAM]],Sheet1!$A$12:$A$17,Sheet1!$G$12:$G$17)</f>
        <v>5949600</v>
      </c>
      <c r="D1765" t="s">
        <v>26</v>
      </c>
      <c r="E1765" s="4">
        <f>_xlfn.XLOOKUP(Table1[[#This Row], [ROOM]],Sheet1!$A$47:$A$66,Sheet1!$B$47:$B$66)</f>
        <v>136</v>
      </c>
      <c r="F1765" t="s">
        <v>62</v>
      </c>
      <c r="G176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5" s="13" t="s">
        <v>63</v>
      </c>
      <c r="I1765" s="4">
        <f>_xlfn.XLOOKUP(Table1[[#This Row], [WEAPON]],Sheet1!$A$27:$A$29,Sheet1!$B$27:$B$29)*Table1[[#This Row], [NUM OF MEM]]*(1+_xlfn.XLOOKUP(Table1[[#This Row], [WEAPON]],Sheet1!$A$27:$A$29,Sheet1!$C$27:$C$29))</f>
        <v>46000</v>
      </c>
      <c r="J1765" t="s">
        <v>64</v>
      </c>
      <c r="K1765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1719565.1999999997</v>
      </c>
      <c r="L1765" s="13" t="s">
        <v>65</v>
      </c>
      <c r="M1765" s="4">
        <f>IF(Table1[[#This Row], [EQUIPMENT]]="YES",Sheet1!$C$44*(1+Sheet1!$D$44),0)</f>
        <v>307500</v>
      </c>
      <c r="N1765" s="4">
        <f>_xlfn.XLOOKUP(Table1[[#This Row], [ROOM]],Sheet1!$A$47:$A$66,Sheet1!$F$47:$F$66)</f>
        <v>18150000</v>
      </c>
      <c r="O1765" s="9">
        <f>_xlfn.XLOOKUP(_xlfn.CONCAT(Table1[[#This Row], [TEAM]],Table1[[#This Row], [ROOM]]),'ROOM TIME'!$H$2:$H$121,'ROOM TIME'!$J$2:$J$121)</f>
        <v>58.241249999999987</v>
      </c>
      <c r="P1765" s="9">
        <f>(INDEX(Sheet1!$X$48:$Z$67,MATCH(Table1[[#This Row], [ROOM]],Sheet1!$P$48:$P$67,0),MATCH(Table1[[#This Row], [WEAPON]],Sheet1!$X$47:$Z$47,0)))/Table1[[#This Row], [NUM OF MEM]]</f>
        <v>8.1000000000000014</v>
      </c>
      <c r="Q1765" s="9">
        <f>Table1[[#This Row], [ROOM TIME]]+Table1[[#This Row], [GUARD TIME]]</f>
        <v>66.341249999999988</v>
      </c>
      <c r="R1765" s="4">
        <f>Sheet1!$K$3*_xlfn.XLOOKUP(Table1[[#This Row], [DISGUISE]],Sheet1!$A$21:$A$23,Sheet1!$D$21:$D$23)</f>
        <v>66</v>
      </c>
      <c r="S1765" s="9">
        <f>Table1[[#This Row], [TOTAL TIME]]-Table1[[#This Row], [TOTAL TIME TAKEN]]</f>
        <v>-0.34124999999998806</v>
      </c>
      <c r="T1765" t="str">
        <f>IF(Table1[[#This Row], [TIME DIFFERENCE]]&gt;=0,"PASS","FAIL")</f>
        <v>FAIL</v>
      </c>
      <c r="U1765" s="9">
        <f>Table1[[#This Row], [TRC]]+Table1[[#This Row], [DRC]]+Table1[[#This Row], [WRC]]+Table1[[#This Row], [ERC]]+Table1[[#This Row], [EQRC]]</f>
        <v>8033065.1999999993</v>
      </c>
      <c r="V1765" s="9">
        <f>Table1[[#This Row], [TOTAL COST]]+_xlfn.XLOOKUP(Table1[[#This Row], [TEAM]],Sheet1!$A$12:$A$17,Sheet1!$I$12:$I$17)</f>
        <v>8330545.1999999993</v>
      </c>
      <c r="W1765" s="9">
        <f>Table1[[#This Row], [LOOT]]-Table1[[#This Row], [TOTAL COST]]</f>
        <v>10116934.800000001</v>
      </c>
      <c r="X1765" s="4">
        <f>IF(Table1[[#This Row], [PASS/FAIL]]="FAIL",0,Table1[[#This Row], [PROFIT]])</f>
        <v>0</v>
      </c>
    </row>
    <row r="1766" spans="1:24" ht="19.5" customHeight="1" x14ac:dyDescent="0.45">
      <c r="A1766" t="s">
        <v>15</v>
      </c>
      <c r="B1766" s="14">
        <f>_xlfn.XLOOKUP(Table1[[#This Row], [TEAM]],Sheet1!$A$12:$A$17,Sheet1!$F$12:$F$17)</f>
        <v>2</v>
      </c>
      <c r="C1766" s="14">
        <f>_xlfn.XLOOKUP(Table1[[#This Row], [TEAM]],Sheet1!$A$12:$A$17,Sheet1!$G$12:$G$17)</f>
        <v>5932950</v>
      </c>
      <c r="D1766" t="s">
        <v>26</v>
      </c>
      <c r="E1766" s="4">
        <f>_xlfn.XLOOKUP(Table1[[#This Row], [ROOM]],Sheet1!$A$47:$A$66,Sheet1!$B$47:$B$66)</f>
        <v>136</v>
      </c>
      <c r="F1766" t="s">
        <v>62</v>
      </c>
      <c r="G176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6" s="13" t="s">
        <v>63</v>
      </c>
      <c r="I1766" s="4">
        <f>_xlfn.XLOOKUP(Table1[[#This Row], [WEAPON]],Sheet1!$A$27:$A$29,Sheet1!$B$27:$B$29)*Table1[[#This Row], [NUM OF MEM]]*(1+_xlfn.XLOOKUP(Table1[[#This Row], [WEAPON]],Sheet1!$A$27:$A$29,Sheet1!$C$27:$C$29))</f>
        <v>46000</v>
      </c>
      <c r="J1766" t="s">
        <v>60</v>
      </c>
      <c r="K1766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1714678.6499999992</v>
      </c>
      <c r="L1766" s="13" t="s">
        <v>65</v>
      </c>
      <c r="M1766" s="4">
        <f>IF(Table1[[#This Row], [EQUIPMENT]]="YES",Sheet1!$C$44*(1+Sheet1!$D$44),0)</f>
        <v>307500</v>
      </c>
      <c r="N1766" s="4">
        <f>_xlfn.XLOOKUP(Table1[[#This Row], [ROOM]],Sheet1!$A$47:$A$66,Sheet1!$F$47:$F$66)</f>
        <v>18150000</v>
      </c>
      <c r="O1766" s="9">
        <f>_xlfn.XLOOKUP(_xlfn.CONCAT(Table1[[#This Row], [TEAM]],Table1[[#This Row], [ROOM]]),'ROOM TIME'!$H$2:$H$121,'ROOM TIME'!$J$2:$J$121)</f>
        <v>58.70999999999998</v>
      </c>
      <c r="P1766" s="9">
        <f>(INDEX(Sheet1!$X$48:$Z$67,MATCH(Table1[[#This Row], [ROOM]],Sheet1!$P$48:$P$67,0),MATCH(Table1[[#This Row], [WEAPON]],Sheet1!$X$47:$Z$47,0)))/Table1[[#This Row], [NUM OF MEM]]</f>
        <v>8.1000000000000014</v>
      </c>
      <c r="Q1766" s="9">
        <f>Table1[[#This Row], [ROOM TIME]]+Table1[[#This Row], [GUARD TIME]]</f>
        <v>66.809999999999974</v>
      </c>
      <c r="R1766" s="4">
        <f>Sheet1!$K$3*_xlfn.XLOOKUP(Table1[[#This Row], [DISGUISE]],Sheet1!$A$21:$A$23,Sheet1!$D$21:$D$23)</f>
        <v>66</v>
      </c>
      <c r="S1766" s="9">
        <f>Table1[[#This Row], [TOTAL TIME]]-Table1[[#This Row], [TOTAL TIME TAKEN]]</f>
        <v>-0.80999999999997385</v>
      </c>
      <c r="T1766" t="str">
        <f>IF(Table1[[#This Row], [TIME DIFFERENCE]]&gt;=0,"PASS","FAIL")</f>
        <v>FAIL</v>
      </c>
      <c r="U1766" s="9">
        <f>Table1[[#This Row], [TRC]]+Table1[[#This Row], [DRC]]+Table1[[#This Row], [WRC]]+Table1[[#This Row], [ERC]]+Table1[[#This Row], [EQRC]]</f>
        <v>8011528.6499999994</v>
      </c>
      <c r="V1766" s="9">
        <f>Table1[[#This Row], [TOTAL COST]]+_xlfn.XLOOKUP(Table1[[#This Row], [TEAM]],Sheet1!$A$12:$A$17,Sheet1!$I$12:$I$17)</f>
        <v>8308176.1499999994</v>
      </c>
      <c r="W1766" s="9">
        <f>Table1[[#This Row], [LOOT]]-Table1[[#This Row], [TOTAL COST]]</f>
        <v>10138471.350000001</v>
      </c>
      <c r="X1766" s="4">
        <f>IF(Table1[[#This Row], [PASS/FAIL]]="FAIL",0,Table1[[#This Row], [PROFIT]])</f>
        <v>0</v>
      </c>
    </row>
    <row r="1767" spans="1:24" ht="19.5" customHeight="1" x14ac:dyDescent="0.45">
      <c r="A1767" t="s">
        <v>15</v>
      </c>
      <c r="B1767" s="14">
        <f>_xlfn.XLOOKUP(Table1[[#This Row], [TEAM]],Sheet1!$A$12:$A$17,Sheet1!$F$12:$F$17)</f>
        <v>2</v>
      </c>
      <c r="C1767" s="14">
        <f>_xlfn.XLOOKUP(Table1[[#This Row], [TEAM]],Sheet1!$A$12:$A$17,Sheet1!$G$12:$G$17)</f>
        <v>5932950</v>
      </c>
      <c r="D1767" t="s">
        <v>26</v>
      </c>
      <c r="E1767" s="4">
        <f>_xlfn.XLOOKUP(Table1[[#This Row], [ROOM]],Sheet1!$A$47:$A$66,Sheet1!$B$47:$B$66)</f>
        <v>136</v>
      </c>
      <c r="F1767" t="s">
        <v>62</v>
      </c>
      <c r="G176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7" s="13" t="s">
        <v>66</v>
      </c>
      <c r="I1767" s="4">
        <f>_xlfn.XLOOKUP(Table1[[#This Row], [WEAPON]],Sheet1!$A$27:$A$29,Sheet1!$B$27:$B$29)*Table1[[#This Row], [NUM OF MEM]]*(1+_xlfn.XLOOKUP(Table1[[#This Row], [WEAPON]],Sheet1!$A$27:$A$29,Sheet1!$C$27:$C$29))</f>
        <v>72000</v>
      </c>
      <c r="J1767" t="s">
        <v>60</v>
      </c>
      <c r="K1767" s="9">
        <f>Table1[[#This Row], [NUM OF MEM]]*Table1[[#This Row], [TOTAL TIME TAKEN]]*_xlfn.XLOOKUP(Table1[[#This Row], [EXIT]],Sheet1!$A$70:$A$71,Sheet1!$B$70:$B$71)*(1+_xlfn.XLOOKUP(Table1[[#This Row], [EXIT]],Sheet1!$A$70:$A$71,Sheet1!$C$70:$C$71))</f>
        <v>1699279.6499999992</v>
      </c>
      <c r="L1767" s="13" t="s">
        <v>65</v>
      </c>
      <c r="M1767" s="4">
        <f>IF(Table1[[#This Row], [EQUIPMENT]]="YES",Sheet1!$C$44*(1+Sheet1!$D$44),0)</f>
        <v>307500</v>
      </c>
      <c r="N1767" s="4">
        <f>_xlfn.XLOOKUP(Table1[[#This Row], [ROOM]],Sheet1!$A$47:$A$66,Sheet1!$F$47:$F$66)</f>
        <v>18150000</v>
      </c>
      <c r="O1767" s="9">
        <f>_xlfn.XLOOKUP(_xlfn.CONCAT(Table1[[#This Row], [TEAM]],Table1[[#This Row], [ROOM]]),'ROOM TIME'!$H$2:$H$121,'ROOM TIME'!$J$2:$J$121)</f>
        <v>58.70999999999998</v>
      </c>
      <c r="P1767" s="9">
        <f>(INDEX(Sheet1!$X$48:$Z$67,MATCH(Table1[[#This Row], [ROOM]],Sheet1!$P$48:$P$67,0),MATCH(Table1[[#This Row], [WEAPON]],Sheet1!$X$47:$Z$47,0)))/Table1[[#This Row], [NUM OF MEM]]</f>
        <v>7.5</v>
      </c>
      <c r="Q1767" s="9">
        <f>Table1[[#This Row], [ROOM TIME]]+Table1[[#This Row], [GUARD TIME]]</f>
        <v>66.20999999999998</v>
      </c>
      <c r="R1767" s="4">
        <f>Sheet1!$K$3*_xlfn.XLOOKUP(Table1[[#This Row], [DISGUISE]],Sheet1!$A$21:$A$23,Sheet1!$D$21:$D$23)</f>
        <v>66</v>
      </c>
      <c r="S1767" s="9">
        <f>Table1[[#This Row], [TOTAL TIME]]-Table1[[#This Row], [TOTAL TIME TAKEN]]</f>
        <v>-0.20999999999997954</v>
      </c>
      <c r="T1767" t="str">
        <f>IF(Table1[[#This Row], [TIME DIFFERENCE]]&gt;=0,"PASS","FAIL")</f>
        <v>FAIL</v>
      </c>
      <c r="U1767" s="9">
        <f>Table1[[#This Row], [TRC]]+Table1[[#This Row], [DRC]]+Table1[[#This Row], [WRC]]+Table1[[#This Row], [ERC]]+Table1[[#This Row], [EQRC]]</f>
        <v>8022129.6499999994</v>
      </c>
      <c r="V1767" s="9">
        <f>Table1[[#This Row], [TOTAL COST]]+_xlfn.XLOOKUP(Table1[[#This Row], [TEAM]],Sheet1!$A$12:$A$17,Sheet1!$I$12:$I$17)</f>
        <v>8318777.1499999994</v>
      </c>
      <c r="W1767" s="9">
        <f>Table1[[#This Row], [LOOT]]-Table1[[#This Row], [TOTAL COST]]</f>
        <v>10127870.350000001</v>
      </c>
      <c r="X1767" s="4">
        <f>IF(Table1[[#This Row], [PASS/FAIL]]="FAIL",0,Table1[[#This Row], [PROFIT]])</f>
        <v>0</v>
      </c>
    </row>
    <row r="1768" spans="1:24" ht="19.5" customHeight="1" x14ac:dyDescent="0.45">
      <c r="A1768" t="s">
        <v>15</v>
      </c>
      <c r="B1768" s="14">
        <f>_xlfn.XLOOKUP(Table1[[#This Row], [TEAM]],Sheet1!$A$12:$A$17,Sheet1!$F$12:$F$17)</f>
        <v>2</v>
      </c>
      <c r="C1768" s="14">
        <f>_xlfn.XLOOKUP(Table1[[#This Row], [TEAM]],Sheet1!$A$12:$A$17,Sheet1!$G$12:$G$17)</f>
        <v>5932950</v>
      </c>
      <c r="D1768" t="s">
        <v>26</v>
      </c>
      <c r="E1768" s="4">
        <f>_xlfn.XLOOKUP(Table1[[#This Row], [ROOM]],Sheet1!$A$47:$A$66,Sheet1!$B$47:$B$66)</f>
        <v>136</v>
      </c>
      <c r="F1768" t="s">
        <v>62</v>
      </c>
      <c r="G176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8" s="13" t="s">
        <v>63</v>
      </c>
      <c r="I1768" s="4">
        <f>_xlfn.XLOOKUP(Table1[[#This Row], [WEAPON]],Sheet1!$A$27:$A$29,Sheet1!$B$27:$B$29)*Table1[[#This Row], [NUM OF MEM]]*(1+_xlfn.XLOOKUP(Table1[[#This Row], [WEAPON]],Sheet1!$A$27:$A$29,Sheet1!$C$27:$C$29))</f>
        <v>46000</v>
      </c>
      <c r="J1768" t="s">
        <v>64</v>
      </c>
      <c r="K1768" s="9">
        <f>Table1[[#This Row], [NUM OF MEM]]*Table1[[#This Row], [TOTAL TIME TAKEN]]*_xlfn.XLOOKUP(Table1[[#This Row], [EXIT]],Sheet1!$A$70:$A$71,Sheet1!$B$70:$B$71)*(1+_xlfn.XLOOKUP(Table1[[#This Row], [EXIT]],Sheet1!$A$70:$A$71,Sheet1!$C$70:$C$71))</f>
        <v>1731715.1999999995</v>
      </c>
      <c r="L1768" s="13" t="s">
        <v>65</v>
      </c>
      <c r="M1768" s="4">
        <f>IF(Table1[[#This Row], [EQUIPMENT]]="YES",Sheet1!$C$44*(1+Sheet1!$D$44),0)</f>
        <v>307500</v>
      </c>
      <c r="N1768" s="4">
        <f>_xlfn.XLOOKUP(Table1[[#This Row], [ROOM]],Sheet1!$A$47:$A$66,Sheet1!$F$47:$F$66)</f>
        <v>18150000</v>
      </c>
      <c r="O1768" s="9">
        <f>_xlfn.XLOOKUP(_xlfn.CONCAT(Table1[[#This Row], [TEAM]],Table1[[#This Row], [ROOM]]),'ROOM TIME'!$H$2:$H$121,'ROOM TIME'!$J$2:$J$121)</f>
        <v>58.70999999999998</v>
      </c>
      <c r="P1768" s="9">
        <f>(INDEX(Sheet1!$X$48:$Z$67,MATCH(Table1[[#This Row], [ROOM]],Sheet1!$P$48:$P$67,0),MATCH(Table1[[#This Row], [WEAPON]],Sheet1!$X$47:$Z$47,0)))/Table1[[#This Row], [NUM OF MEM]]</f>
        <v>8.1000000000000014</v>
      </c>
      <c r="Q1768" s="9">
        <f>Table1[[#This Row], [ROOM TIME]]+Table1[[#This Row], [GUARD TIME]]</f>
        <v>66.809999999999974</v>
      </c>
      <c r="R1768" s="4">
        <f>Sheet1!$K$3*_xlfn.XLOOKUP(Table1[[#This Row], [DISGUISE]],Sheet1!$A$21:$A$23,Sheet1!$D$21:$D$23)</f>
        <v>66</v>
      </c>
      <c r="S1768" s="9">
        <f>Table1[[#This Row], [TOTAL TIME]]-Table1[[#This Row], [TOTAL TIME TAKEN]]</f>
        <v>-0.80999999999997385</v>
      </c>
      <c r="T1768" t="str">
        <f>IF(Table1[[#This Row], [TIME DIFFERENCE]]&gt;=0,"PASS","FAIL")</f>
        <v>FAIL</v>
      </c>
      <c r="U1768" s="9">
        <f>Table1[[#This Row], [TRC]]+Table1[[#This Row], [DRC]]+Table1[[#This Row], [WRC]]+Table1[[#This Row], [ERC]]+Table1[[#This Row], [EQRC]]</f>
        <v>8028565.1999999993</v>
      </c>
      <c r="V1768" s="9">
        <f>Table1[[#This Row], [TOTAL COST]]+_xlfn.XLOOKUP(Table1[[#This Row], [TEAM]],Sheet1!$A$12:$A$17,Sheet1!$I$12:$I$17)</f>
        <v>8325212.6999999993</v>
      </c>
      <c r="W1768" s="9">
        <f>Table1[[#This Row], [LOOT]]-Table1[[#This Row], [TOTAL COST]]</f>
        <v>10121434.800000001</v>
      </c>
      <c r="X1768" s="4">
        <f>IF(Table1[[#This Row], [PASS/FAIL]]="FAIL",0,Table1[[#This Row], [PROFIT]])</f>
        <v>0</v>
      </c>
    </row>
    <row r="1769" spans="1:24" ht="19.5" customHeight="1" x14ac:dyDescent="0.45">
      <c r="A1769" t="s">
        <v>15</v>
      </c>
      <c r="B1769" s="14">
        <f>_xlfn.XLOOKUP(Table1[[#This Row], [TEAM]],Sheet1!$A$12:$A$17,Sheet1!$F$12:$F$17)</f>
        <v>2</v>
      </c>
      <c r="C1769" s="14">
        <f>_xlfn.XLOOKUP(Table1[[#This Row], [TEAM]],Sheet1!$A$12:$A$17,Sheet1!$G$12:$G$17)</f>
        <v>5932950</v>
      </c>
      <c r="D1769" t="s">
        <v>26</v>
      </c>
      <c r="E1769" s="4">
        <f>_xlfn.XLOOKUP(Table1[[#This Row], [ROOM]],Sheet1!$A$47:$A$66,Sheet1!$B$47:$B$66)</f>
        <v>136</v>
      </c>
      <c r="F1769" t="s">
        <v>62</v>
      </c>
      <c r="G176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69" s="13" t="s">
        <v>66</v>
      </c>
      <c r="I1769" s="4">
        <f>_xlfn.XLOOKUP(Table1[[#This Row], [WEAPON]],Sheet1!$A$27:$A$29,Sheet1!$B$27:$B$29)*Table1[[#This Row], [NUM OF MEM]]*(1+_xlfn.XLOOKUP(Table1[[#This Row], [WEAPON]],Sheet1!$A$27:$A$29,Sheet1!$C$27:$C$29))</f>
        <v>72000</v>
      </c>
      <c r="J1769" t="s">
        <v>64</v>
      </c>
      <c r="K1769" s="9">
        <f>Table1[[#This Row], [NUM OF MEM]]*Table1[[#This Row], [TOTAL TIME TAKEN]]*_xlfn.XLOOKUP(Table1[[#This Row], [EXIT]],Sheet1!$A$70:$A$71,Sheet1!$B$70:$B$71)*(1+_xlfn.XLOOKUP(Table1[[#This Row], [EXIT]],Sheet1!$A$70:$A$71,Sheet1!$C$70:$C$71))</f>
        <v>1716163.1999999995</v>
      </c>
      <c r="L1769" s="13" t="s">
        <v>65</v>
      </c>
      <c r="M1769" s="4">
        <f>IF(Table1[[#This Row], [EQUIPMENT]]="YES",Sheet1!$C$44*(1+Sheet1!$D$44),0)</f>
        <v>307500</v>
      </c>
      <c r="N1769" s="4">
        <f>_xlfn.XLOOKUP(Table1[[#This Row], [ROOM]],Sheet1!$A$47:$A$66,Sheet1!$F$47:$F$66)</f>
        <v>18150000</v>
      </c>
      <c r="O1769" s="9">
        <f>_xlfn.XLOOKUP(_xlfn.CONCAT(Table1[[#This Row], [TEAM]],Table1[[#This Row], [ROOM]]),'ROOM TIME'!$H$2:$H$121,'ROOM TIME'!$J$2:$J$121)</f>
        <v>58.70999999999998</v>
      </c>
      <c r="P1769" s="9">
        <f>(INDEX(Sheet1!$X$48:$Z$67,MATCH(Table1[[#This Row], [ROOM]],Sheet1!$P$48:$P$67,0),MATCH(Table1[[#This Row], [WEAPON]],Sheet1!$X$47:$Z$47,0)))/Table1[[#This Row], [NUM OF MEM]]</f>
        <v>7.5</v>
      </c>
      <c r="Q1769" s="9">
        <f>Table1[[#This Row], [ROOM TIME]]+Table1[[#This Row], [GUARD TIME]]</f>
        <v>66.20999999999998</v>
      </c>
      <c r="R1769" s="4">
        <f>Sheet1!$K$3*_xlfn.XLOOKUP(Table1[[#This Row], [DISGUISE]],Sheet1!$A$21:$A$23,Sheet1!$D$21:$D$23)</f>
        <v>66</v>
      </c>
      <c r="S1769" s="9">
        <f>Table1[[#This Row], [TOTAL TIME]]-Table1[[#This Row], [TOTAL TIME TAKEN]]</f>
        <v>-0.20999999999997954</v>
      </c>
      <c r="T1769" t="str">
        <f>IF(Table1[[#This Row], [TIME DIFFERENCE]]&gt;=0,"PASS","FAIL")</f>
        <v>FAIL</v>
      </c>
      <c r="U1769" s="9">
        <f>Table1[[#This Row], [TRC]]+Table1[[#This Row], [DRC]]+Table1[[#This Row], [WRC]]+Table1[[#This Row], [ERC]]+Table1[[#This Row], [EQRC]]</f>
        <v>8039013.1999999993</v>
      </c>
      <c r="V1769" s="9">
        <f>Table1[[#This Row], [TOTAL COST]]+_xlfn.XLOOKUP(Table1[[#This Row], [TEAM]],Sheet1!$A$12:$A$17,Sheet1!$I$12:$I$17)</f>
        <v>8335660.6999999993</v>
      </c>
      <c r="W1769" s="9">
        <f>Table1[[#This Row], [LOOT]]-Table1[[#This Row], [TOTAL COST]]</f>
        <v>10110986.800000001</v>
      </c>
      <c r="X1769" s="4">
        <f>IF(Table1[[#This Row], [PASS/FAIL]]="FAIL",0,Table1[[#This Row], [PROFIT]])</f>
        <v>0</v>
      </c>
    </row>
    <row r="1770" spans="1:24" ht="19.5" customHeight="1" x14ac:dyDescent="0.45">
      <c r="A1770" t="s">
        <v>14</v>
      </c>
      <c r="B1770" s="14">
        <f>_xlfn.XLOOKUP(Table1[[#This Row], [TEAM]],Sheet1!$A$12:$A$17,Sheet1!$F$12:$F$17)</f>
        <v>2</v>
      </c>
      <c r="C1770" s="14">
        <f>_xlfn.XLOOKUP(Table1[[#This Row], [TEAM]],Sheet1!$A$12:$A$17,Sheet1!$G$12:$G$17)</f>
        <v>5949600</v>
      </c>
      <c r="D1770" t="s">
        <v>29</v>
      </c>
      <c r="E1770" s="4">
        <f>_xlfn.XLOOKUP(Table1[[#This Row], [ROOM]],Sheet1!$A$47:$A$66,Sheet1!$B$47:$B$66)</f>
        <v>236</v>
      </c>
      <c r="F1770" t="s">
        <v>62</v>
      </c>
      <c r="G177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0" s="13" t="s">
        <v>59</v>
      </c>
      <c r="I1770" s="4">
        <f>_xlfn.XLOOKUP(Table1[[#This Row], [WEAPON]],Sheet1!$A$27:$A$29,Sheet1!$B$27:$B$29)*Table1[[#This Row], [NUM OF MEM]]*(1+_xlfn.XLOOKUP(Table1[[#This Row], [WEAPON]],Sheet1!$A$27:$A$29,Sheet1!$C$27:$C$29))</f>
        <v>91000</v>
      </c>
      <c r="J1770" t="s">
        <v>60</v>
      </c>
      <c r="K1770" s="9">
        <f>Table1[[#This Row], [NUM OF MEM]]*Table1[[#This Row], [TOTAL TIME TAKEN]]*_xlfn.XLOOKUP(Table1[[#This Row], [EXIT]],Sheet1!$A$70:$A$71,Sheet1!$B$70:$B$71)*(1+_xlfn.XLOOKUP(Table1[[#This Row], [EXIT]],Sheet1!$A$70:$A$71,Sheet1!$C$70:$C$71))</f>
        <v>1697579.3437499995</v>
      </c>
      <c r="L1770" s="13" t="s">
        <v>65</v>
      </c>
      <c r="M1770" s="4">
        <f>IF(Table1[[#This Row], [EQUIPMENT]]="YES",Sheet1!$C$44*(1+Sheet1!$D$44),0)</f>
        <v>307500</v>
      </c>
      <c r="N1770" s="4">
        <f>_xlfn.XLOOKUP(Table1[[#This Row], [ROOM]],Sheet1!$A$47:$A$66,Sheet1!$F$47:$F$66)</f>
        <v>18000000</v>
      </c>
      <c r="O1770" s="9">
        <f>_xlfn.XLOOKUP(_xlfn.CONCAT(Table1[[#This Row], [TEAM]],Table1[[#This Row], [ROOM]]),'ROOM TIME'!$H$2:$H$121,'ROOM TIME'!$J$2:$J$121)</f>
        <v>58.668749999999982</v>
      </c>
      <c r="P1770" s="9">
        <f>(INDEX(Sheet1!$X$48:$Z$67,MATCH(Table1[[#This Row], [ROOM]],Sheet1!$P$48:$P$67,0),MATCH(Table1[[#This Row], [WEAPON]],Sheet1!$X$47:$Z$47,0)))/Table1[[#This Row], [NUM OF MEM]]</f>
        <v>7.4749999999999996</v>
      </c>
      <c r="Q1770" s="9">
        <f>Table1[[#This Row], [ROOM TIME]]+Table1[[#This Row], [GUARD TIME]]</f>
        <v>66.143749999999983</v>
      </c>
      <c r="R1770" s="4">
        <f>Sheet1!$K$3*_xlfn.XLOOKUP(Table1[[#This Row], [DISGUISE]],Sheet1!$A$21:$A$23,Sheet1!$D$21:$D$23)</f>
        <v>66</v>
      </c>
      <c r="S1770" s="9">
        <f>Table1[[#This Row], [TOTAL TIME]]-Table1[[#This Row], [TOTAL TIME TAKEN]]</f>
        <v>-0.14374999999998295</v>
      </c>
      <c r="T1770" t="str">
        <f>IF(Table1[[#This Row], [TIME DIFFERENCE]]&gt;=0,"PASS","FAIL")</f>
        <v>FAIL</v>
      </c>
      <c r="U1770" s="9">
        <f>Table1[[#This Row], [TRC]]+Table1[[#This Row], [DRC]]+Table1[[#This Row], [WRC]]+Table1[[#This Row], [ERC]]+Table1[[#This Row], [EQRC]]</f>
        <v>8056079.34375</v>
      </c>
      <c r="V1770" s="9">
        <f>Table1[[#This Row], [TOTAL COST]]+_xlfn.XLOOKUP(Table1[[#This Row], [TEAM]],Sheet1!$A$12:$A$17,Sheet1!$I$12:$I$17)</f>
        <v>8353559.34375</v>
      </c>
      <c r="W1770" s="9">
        <f>Table1[[#This Row], [LOOT]]-Table1[[#This Row], [TOTAL COST]]</f>
        <v>9943920.65625</v>
      </c>
      <c r="X1770" s="4">
        <f>IF(Table1[[#This Row], [PASS/FAIL]]="FAIL",0,Table1[[#This Row], [PROFIT]])</f>
        <v>0</v>
      </c>
    </row>
    <row r="1771" spans="1:24" ht="19.5" customHeight="1" x14ac:dyDescent="0.45">
      <c r="A1771" t="s">
        <v>14</v>
      </c>
      <c r="B1771" s="14">
        <f>_xlfn.XLOOKUP(Table1[[#This Row], [TEAM]],Sheet1!$A$12:$A$17,Sheet1!$F$12:$F$17)</f>
        <v>2</v>
      </c>
      <c r="C1771" s="14">
        <f>_xlfn.XLOOKUP(Table1[[#This Row], [TEAM]],Sheet1!$A$12:$A$17,Sheet1!$G$12:$G$17)</f>
        <v>5949600</v>
      </c>
      <c r="D1771" t="s">
        <v>29</v>
      </c>
      <c r="E1771" s="4">
        <f>_xlfn.XLOOKUP(Table1[[#This Row], [ROOM]],Sheet1!$A$47:$A$66,Sheet1!$B$47:$B$66)</f>
        <v>236</v>
      </c>
      <c r="F1771" t="s">
        <v>62</v>
      </c>
      <c r="G177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1" s="13" t="s">
        <v>59</v>
      </c>
      <c r="I1771" s="4">
        <f>_xlfn.XLOOKUP(Table1[[#This Row], [WEAPON]],Sheet1!$A$27:$A$29,Sheet1!$B$27:$B$29)*Table1[[#This Row], [NUM OF MEM]]*(1+_xlfn.XLOOKUP(Table1[[#This Row], [WEAPON]],Sheet1!$A$27:$A$29,Sheet1!$C$27:$C$29))</f>
        <v>91000</v>
      </c>
      <c r="J1771" t="s">
        <v>64</v>
      </c>
      <c r="K1771" s="9">
        <f>Table1[[#This Row], [NUM OF MEM]]*Table1[[#This Row], [TOTAL TIME TAKEN]]*_xlfn.XLOOKUP(Table1[[#This Row], [EXIT]],Sheet1!$A$70:$A$71,Sheet1!$B$70:$B$71)*(1+_xlfn.XLOOKUP(Table1[[#This Row], [EXIT]],Sheet1!$A$70:$A$71,Sheet1!$C$70:$C$71))</f>
        <v>1714445.9999999993</v>
      </c>
      <c r="L1771" s="13" t="s">
        <v>65</v>
      </c>
      <c r="M1771" s="4">
        <f>IF(Table1[[#This Row], [EQUIPMENT]]="YES",Sheet1!$C$44*(1+Sheet1!$D$44),0)</f>
        <v>307500</v>
      </c>
      <c r="N1771" s="4">
        <f>_xlfn.XLOOKUP(Table1[[#This Row], [ROOM]],Sheet1!$A$47:$A$66,Sheet1!$F$47:$F$66)</f>
        <v>18000000</v>
      </c>
      <c r="O1771" s="9">
        <f>_xlfn.XLOOKUP(_xlfn.CONCAT(Table1[[#This Row], [TEAM]],Table1[[#This Row], [ROOM]]),'ROOM TIME'!$H$2:$H$121,'ROOM TIME'!$J$2:$J$121)</f>
        <v>58.668749999999982</v>
      </c>
      <c r="P1771" s="9">
        <f>(INDEX(Sheet1!$X$48:$Z$67,MATCH(Table1[[#This Row], [ROOM]],Sheet1!$P$48:$P$67,0),MATCH(Table1[[#This Row], [WEAPON]],Sheet1!$X$47:$Z$47,0)))/Table1[[#This Row], [NUM OF MEM]]</f>
        <v>7.4749999999999996</v>
      </c>
      <c r="Q1771" s="9">
        <f>Table1[[#This Row], [ROOM TIME]]+Table1[[#This Row], [GUARD TIME]]</f>
        <v>66.143749999999983</v>
      </c>
      <c r="R1771" s="4">
        <f>Sheet1!$K$3*_xlfn.XLOOKUP(Table1[[#This Row], [DISGUISE]],Sheet1!$A$21:$A$23,Sheet1!$D$21:$D$23)</f>
        <v>66</v>
      </c>
      <c r="S1771" s="9">
        <f>Table1[[#This Row], [TOTAL TIME]]-Table1[[#This Row], [TOTAL TIME TAKEN]]</f>
        <v>-0.14374999999998295</v>
      </c>
      <c r="T1771" t="str">
        <f>IF(Table1[[#This Row], [TIME DIFFERENCE]]&gt;=0,"PASS","FAIL")</f>
        <v>FAIL</v>
      </c>
      <c r="U1771" s="9">
        <f>Table1[[#This Row], [TRC]]+Table1[[#This Row], [DRC]]+Table1[[#This Row], [WRC]]+Table1[[#This Row], [ERC]]+Table1[[#This Row], [EQRC]]</f>
        <v>8072945.9999999991</v>
      </c>
      <c r="V1771" s="9">
        <f>Table1[[#This Row], [TOTAL COST]]+_xlfn.XLOOKUP(Table1[[#This Row], [TEAM]],Sheet1!$A$12:$A$17,Sheet1!$I$12:$I$17)</f>
        <v>8370425.9999999991</v>
      </c>
      <c r="W1771" s="4">
        <f>Table1[[#This Row], [LOOT]]-Table1[[#This Row], [TOTAL COST]]</f>
        <v>9927054</v>
      </c>
      <c r="X1771" s="4">
        <f>IF(Table1[[#This Row], [PASS/FAIL]]="FAIL",0,Table1[[#This Row], [PROFIT]])</f>
        <v>0</v>
      </c>
    </row>
    <row r="1772" spans="1:24" ht="19.5" customHeight="1" x14ac:dyDescent="0.45">
      <c r="A1772" t="s">
        <v>14</v>
      </c>
      <c r="B1772" s="14">
        <f>_xlfn.XLOOKUP(Table1[[#This Row], [TEAM]],Sheet1!$A$12:$A$17,Sheet1!$F$12:$F$17)</f>
        <v>2</v>
      </c>
      <c r="C1772" s="14">
        <f>_xlfn.XLOOKUP(Table1[[#This Row], [TEAM]],Sheet1!$A$12:$A$17,Sheet1!$G$12:$G$17)</f>
        <v>5949600</v>
      </c>
      <c r="D1772" t="s">
        <v>29</v>
      </c>
      <c r="E1772" s="4">
        <f>_xlfn.XLOOKUP(Table1[[#This Row], [ROOM]],Sheet1!$A$47:$A$66,Sheet1!$B$47:$B$66)</f>
        <v>236</v>
      </c>
      <c r="F1772" t="s">
        <v>62</v>
      </c>
      <c r="G177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2" s="13" t="s">
        <v>63</v>
      </c>
      <c r="I1772" s="4">
        <f>_xlfn.XLOOKUP(Table1[[#This Row], [WEAPON]],Sheet1!$A$27:$A$29,Sheet1!$B$27:$B$29)*Table1[[#This Row], [NUM OF MEM]]*(1+_xlfn.XLOOKUP(Table1[[#This Row], [WEAPON]],Sheet1!$A$27:$A$29,Sheet1!$C$27:$C$29))</f>
        <v>46000</v>
      </c>
      <c r="J1772" t="s">
        <v>60</v>
      </c>
      <c r="K1772" s="9">
        <f>Table1[[#This Row], [NUM OF MEM]]*Table1[[#This Row], [TOTAL TIME TAKEN]]*_xlfn.XLOOKUP(Table1[[#This Row], [EXIT]],Sheet1!$A$70:$A$71,Sheet1!$B$70:$B$71)*(1+_xlfn.XLOOKUP(Table1[[#This Row], [EXIT]],Sheet1!$A$70:$A$71,Sheet1!$C$70:$C$71))</f>
        <v>1730943.8437499993</v>
      </c>
      <c r="L1772" s="13" t="s">
        <v>65</v>
      </c>
      <c r="M1772" s="4">
        <f>IF(Table1[[#This Row], [EQUIPMENT]]="YES",Sheet1!$C$44*(1+Sheet1!$D$44),0)</f>
        <v>307500</v>
      </c>
      <c r="N1772" s="4">
        <f>_xlfn.XLOOKUP(Table1[[#This Row], [ROOM]],Sheet1!$A$47:$A$66,Sheet1!$F$47:$F$66)</f>
        <v>18000000</v>
      </c>
      <c r="O1772" s="9">
        <f>_xlfn.XLOOKUP(_xlfn.CONCAT(Table1[[#This Row], [TEAM]],Table1[[#This Row], [ROOM]]),'ROOM TIME'!$H$2:$H$121,'ROOM TIME'!$J$2:$J$121)</f>
        <v>58.668749999999982</v>
      </c>
      <c r="P1772" s="9">
        <f>(INDEX(Sheet1!$X$48:$Z$67,MATCH(Table1[[#This Row], [ROOM]],Sheet1!$P$48:$P$67,0),MATCH(Table1[[#This Row], [WEAPON]],Sheet1!$X$47:$Z$47,0)))/Table1[[#This Row], [NUM OF MEM]]</f>
        <v>8.7750000000000004</v>
      </c>
      <c r="Q1772" s="9">
        <f>Table1[[#This Row], [ROOM TIME]]+Table1[[#This Row], [GUARD TIME]]</f>
        <v>67.44374999999998</v>
      </c>
      <c r="R1772" s="4">
        <f>Sheet1!$K$3*_xlfn.XLOOKUP(Table1[[#This Row], [DISGUISE]],Sheet1!$A$21:$A$23,Sheet1!$D$21:$D$23)</f>
        <v>66</v>
      </c>
      <c r="S1772" s="9">
        <f>Table1[[#This Row], [TOTAL TIME]]-Table1[[#This Row], [TOTAL TIME TAKEN]]</f>
        <v>-1.4437499999999801</v>
      </c>
      <c r="T1772" t="str">
        <f>IF(Table1[[#This Row], [TIME DIFFERENCE]]&gt;=0,"PASS","FAIL")</f>
        <v>FAIL</v>
      </c>
      <c r="U1772" s="9">
        <f>Table1[[#This Row], [TRC]]+Table1[[#This Row], [DRC]]+Table1[[#This Row], [WRC]]+Table1[[#This Row], [ERC]]+Table1[[#This Row], [EQRC]]</f>
        <v>8044443.8437499991</v>
      </c>
      <c r="V1772" s="9">
        <f>Table1[[#This Row], [TOTAL COST]]+_xlfn.XLOOKUP(Table1[[#This Row], [TEAM]],Sheet1!$A$12:$A$17,Sheet1!$I$12:$I$17)</f>
        <v>8341923.8437499991</v>
      </c>
      <c r="W1772" s="9">
        <f>Table1[[#This Row], [LOOT]]-Table1[[#This Row], [TOTAL COST]]</f>
        <v>9955556.15625</v>
      </c>
      <c r="X1772" s="4">
        <f>IF(Table1[[#This Row], [PASS/FAIL]]="FAIL",0,Table1[[#This Row], [PROFIT]])</f>
        <v>0</v>
      </c>
    </row>
    <row r="1773" spans="1:24" ht="19.5" customHeight="1" x14ac:dyDescent="0.45">
      <c r="A1773" t="s">
        <v>14</v>
      </c>
      <c r="B1773" s="14">
        <f>_xlfn.XLOOKUP(Table1[[#This Row], [TEAM]],Sheet1!$A$12:$A$17,Sheet1!$F$12:$F$17)</f>
        <v>2</v>
      </c>
      <c r="C1773" s="14">
        <f>_xlfn.XLOOKUP(Table1[[#This Row], [TEAM]],Sheet1!$A$12:$A$17,Sheet1!$G$12:$G$17)</f>
        <v>5949600</v>
      </c>
      <c r="D1773" t="s">
        <v>29</v>
      </c>
      <c r="E1773" s="4">
        <f>_xlfn.XLOOKUP(Table1[[#This Row], [ROOM]],Sheet1!$A$47:$A$66,Sheet1!$B$47:$B$66)</f>
        <v>236</v>
      </c>
      <c r="F1773" t="s">
        <v>62</v>
      </c>
      <c r="G177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3" s="13" t="s">
        <v>63</v>
      </c>
      <c r="I1773" s="4">
        <f>_xlfn.XLOOKUP(Table1[[#This Row], [WEAPON]],Sheet1!$A$27:$A$29,Sheet1!$B$27:$B$29)*Table1[[#This Row], [NUM OF MEM]]*(1+_xlfn.XLOOKUP(Table1[[#This Row], [WEAPON]],Sheet1!$A$27:$A$29,Sheet1!$C$27:$C$29))</f>
        <v>46000</v>
      </c>
      <c r="J1773" t="s">
        <v>64</v>
      </c>
      <c r="K1773" s="9">
        <f>Table1[[#This Row], [NUM OF MEM]]*Table1[[#This Row], [TOTAL TIME TAKEN]]*_xlfn.XLOOKUP(Table1[[#This Row], [EXIT]],Sheet1!$A$70:$A$71,Sheet1!$B$70:$B$71)*(1+_xlfn.XLOOKUP(Table1[[#This Row], [EXIT]],Sheet1!$A$70:$A$71,Sheet1!$C$70:$C$71))</f>
        <v>1748141.9999999993</v>
      </c>
      <c r="L1773" s="13" t="s">
        <v>65</v>
      </c>
      <c r="M1773" s="4">
        <f>IF(Table1[[#This Row], [EQUIPMENT]]="YES",Sheet1!$C$44*(1+Sheet1!$D$44),0)</f>
        <v>307500</v>
      </c>
      <c r="N1773" s="4">
        <f>_xlfn.XLOOKUP(Table1[[#This Row], [ROOM]],Sheet1!$A$47:$A$66,Sheet1!$F$47:$F$66)</f>
        <v>18000000</v>
      </c>
      <c r="O1773" s="9">
        <f>_xlfn.XLOOKUP(_xlfn.CONCAT(Table1[[#This Row], [TEAM]],Table1[[#This Row], [ROOM]]),'ROOM TIME'!$H$2:$H$121,'ROOM TIME'!$J$2:$J$121)</f>
        <v>58.668749999999982</v>
      </c>
      <c r="P1773" s="9">
        <f>(INDEX(Sheet1!$X$48:$Z$67,MATCH(Table1[[#This Row], [ROOM]],Sheet1!$P$48:$P$67,0),MATCH(Table1[[#This Row], [WEAPON]],Sheet1!$X$47:$Z$47,0)))/Table1[[#This Row], [NUM OF MEM]]</f>
        <v>8.7750000000000004</v>
      </c>
      <c r="Q1773" s="9">
        <f>Table1[[#This Row], [ROOM TIME]]+Table1[[#This Row], [GUARD TIME]]</f>
        <v>67.44374999999998</v>
      </c>
      <c r="R1773" s="4">
        <f>Sheet1!$K$3*_xlfn.XLOOKUP(Table1[[#This Row], [DISGUISE]],Sheet1!$A$21:$A$23,Sheet1!$D$21:$D$23)</f>
        <v>66</v>
      </c>
      <c r="S1773" s="9">
        <f>Table1[[#This Row], [TOTAL TIME]]-Table1[[#This Row], [TOTAL TIME TAKEN]]</f>
        <v>-1.4437499999999801</v>
      </c>
      <c r="T1773" t="str">
        <f>IF(Table1[[#This Row], [TIME DIFFERENCE]]&gt;=0,"PASS","FAIL")</f>
        <v>FAIL</v>
      </c>
      <c r="U1773" s="9">
        <f>Table1[[#This Row], [TRC]]+Table1[[#This Row], [DRC]]+Table1[[#This Row], [WRC]]+Table1[[#This Row], [ERC]]+Table1[[#This Row], [EQRC]]</f>
        <v>8061641.9999999991</v>
      </c>
      <c r="V1773" s="9">
        <f>Table1[[#This Row], [TOTAL COST]]+_xlfn.XLOOKUP(Table1[[#This Row], [TEAM]],Sheet1!$A$12:$A$17,Sheet1!$I$12:$I$17)</f>
        <v>8359121.9999999991</v>
      </c>
      <c r="W1773" s="4">
        <f>Table1[[#This Row], [LOOT]]-Table1[[#This Row], [TOTAL COST]]</f>
        <v>9938358</v>
      </c>
      <c r="X1773" s="4">
        <f>IF(Table1[[#This Row], [PASS/FAIL]]="FAIL",0,Table1[[#This Row], [PROFIT]])</f>
        <v>0</v>
      </c>
    </row>
    <row r="1774" spans="1:24" ht="19.5" customHeight="1" x14ac:dyDescent="0.45">
      <c r="A1774" t="s">
        <v>14</v>
      </c>
      <c r="B1774" s="14">
        <f>_xlfn.XLOOKUP(Table1[[#This Row], [TEAM]],Sheet1!$A$12:$A$17,Sheet1!$F$12:$F$17)</f>
        <v>2</v>
      </c>
      <c r="C1774" s="14">
        <f>_xlfn.XLOOKUP(Table1[[#This Row], [TEAM]],Sheet1!$A$12:$A$17,Sheet1!$G$12:$G$17)</f>
        <v>5949600</v>
      </c>
      <c r="D1774" t="s">
        <v>29</v>
      </c>
      <c r="E1774" s="4">
        <f>_xlfn.XLOOKUP(Table1[[#This Row], [ROOM]],Sheet1!$A$47:$A$66,Sheet1!$B$47:$B$66)</f>
        <v>236</v>
      </c>
      <c r="F1774" t="s">
        <v>62</v>
      </c>
      <c r="G177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4" s="13" t="s">
        <v>66</v>
      </c>
      <c r="I1774" s="4">
        <f>_xlfn.XLOOKUP(Table1[[#This Row], [WEAPON]],Sheet1!$A$27:$A$29,Sheet1!$B$27:$B$29)*Table1[[#This Row], [NUM OF MEM]]*(1+_xlfn.XLOOKUP(Table1[[#This Row], [WEAPON]],Sheet1!$A$27:$A$29,Sheet1!$C$27:$C$29))</f>
        <v>72000</v>
      </c>
      <c r="J1774" t="s">
        <v>60</v>
      </c>
      <c r="K1774" s="9">
        <f>Table1[[#This Row], [NUM OF MEM]]*Table1[[#This Row], [TOTAL TIME TAKEN]]*_xlfn.XLOOKUP(Table1[[#This Row], [EXIT]],Sheet1!$A$70:$A$71,Sheet1!$B$70:$B$71)*(1+_xlfn.XLOOKUP(Table1[[#This Row], [EXIT]],Sheet1!$A$70:$A$71,Sheet1!$C$70:$C$71))</f>
        <v>1714261.5937499995</v>
      </c>
      <c r="L1774" s="13" t="s">
        <v>65</v>
      </c>
      <c r="M1774" s="4">
        <f>IF(Table1[[#This Row], [EQUIPMENT]]="YES",Sheet1!$C$44*(1+Sheet1!$D$44),0)</f>
        <v>307500</v>
      </c>
      <c r="N1774" s="4">
        <f>_xlfn.XLOOKUP(Table1[[#This Row], [ROOM]],Sheet1!$A$47:$A$66,Sheet1!$F$47:$F$66)</f>
        <v>18000000</v>
      </c>
      <c r="O1774" s="9">
        <f>_xlfn.XLOOKUP(_xlfn.CONCAT(Table1[[#This Row], [TEAM]],Table1[[#This Row], [ROOM]]),'ROOM TIME'!$H$2:$H$121,'ROOM TIME'!$J$2:$J$121)</f>
        <v>58.668749999999982</v>
      </c>
      <c r="P1774" s="9">
        <f>(INDEX(Sheet1!$X$48:$Z$67,MATCH(Table1[[#This Row], [ROOM]],Sheet1!$P$48:$P$67,0),MATCH(Table1[[#This Row], [WEAPON]],Sheet1!$X$47:$Z$47,0)))/Table1[[#This Row], [NUM OF MEM]]</f>
        <v>8.125</v>
      </c>
      <c r="Q1774" s="9">
        <f>Table1[[#This Row], [ROOM TIME]]+Table1[[#This Row], [GUARD TIME]]</f>
        <v>66.793749999999989</v>
      </c>
      <c r="R1774" s="4">
        <f>Sheet1!$K$3*_xlfn.XLOOKUP(Table1[[#This Row], [DISGUISE]],Sheet1!$A$21:$A$23,Sheet1!$D$21:$D$23)</f>
        <v>66</v>
      </c>
      <c r="S1774" s="9">
        <f>Table1[[#This Row], [TOTAL TIME]]-Table1[[#This Row], [TOTAL TIME TAKEN]]</f>
        <v>-0.79374999999998863</v>
      </c>
      <c r="T1774" t="str">
        <f>IF(Table1[[#This Row], [TIME DIFFERENCE]]&gt;=0,"PASS","FAIL")</f>
        <v>FAIL</v>
      </c>
      <c r="U1774" s="9">
        <f>Table1[[#This Row], [TRC]]+Table1[[#This Row], [DRC]]+Table1[[#This Row], [WRC]]+Table1[[#This Row], [ERC]]+Table1[[#This Row], [EQRC]]</f>
        <v>8053761.59375</v>
      </c>
      <c r="V1774" s="9">
        <f>Table1[[#This Row], [TOTAL COST]]+_xlfn.XLOOKUP(Table1[[#This Row], [TEAM]],Sheet1!$A$12:$A$17,Sheet1!$I$12:$I$17)</f>
        <v>8351241.59375</v>
      </c>
      <c r="W1774" s="9">
        <f>Table1[[#This Row], [LOOT]]-Table1[[#This Row], [TOTAL COST]]</f>
        <v>9946238.40625</v>
      </c>
      <c r="X1774" s="4">
        <f>IF(Table1[[#This Row], [PASS/FAIL]]="FAIL",0,Table1[[#This Row], [PROFIT]])</f>
        <v>0</v>
      </c>
    </row>
    <row r="1775" spans="1:24" ht="19.5" customHeight="1" x14ac:dyDescent="0.45">
      <c r="A1775" t="s">
        <v>14</v>
      </c>
      <c r="B1775" s="14">
        <f>_xlfn.XLOOKUP(Table1[[#This Row], [TEAM]],Sheet1!$A$12:$A$17,Sheet1!$F$12:$F$17)</f>
        <v>2</v>
      </c>
      <c r="C1775" s="14">
        <f>_xlfn.XLOOKUP(Table1[[#This Row], [TEAM]],Sheet1!$A$12:$A$17,Sheet1!$G$12:$G$17)</f>
        <v>5949600</v>
      </c>
      <c r="D1775" t="s">
        <v>29</v>
      </c>
      <c r="E1775" s="4">
        <f>_xlfn.XLOOKUP(Table1[[#This Row], [ROOM]],Sheet1!$A$47:$A$66,Sheet1!$B$47:$B$66)</f>
        <v>236</v>
      </c>
      <c r="F1775" t="s">
        <v>62</v>
      </c>
      <c r="G177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5" s="13" t="s">
        <v>66</v>
      </c>
      <c r="I1775" s="4">
        <f>_xlfn.XLOOKUP(Table1[[#This Row], [WEAPON]],Sheet1!$A$27:$A$29,Sheet1!$B$27:$B$29)*Table1[[#This Row], [NUM OF MEM]]*(1+_xlfn.XLOOKUP(Table1[[#This Row], [WEAPON]],Sheet1!$A$27:$A$29,Sheet1!$C$27:$C$29))</f>
        <v>72000</v>
      </c>
      <c r="J1775" t="s">
        <v>64</v>
      </c>
      <c r="K1775" s="9">
        <f>Table1[[#This Row], [NUM OF MEM]]*Table1[[#This Row], [TOTAL TIME TAKEN]]*_xlfn.XLOOKUP(Table1[[#This Row], [EXIT]],Sheet1!$A$70:$A$71,Sheet1!$B$70:$B$71)*(1+_xlfn.XLOOKUP(Table1[[#This Row], [EXIT]],Sheet1!$A$70:$A$71,Sheet1!$C$70:$C$71))</f>
        <v>1731293.9999999998</v>
      </c>
      <c r="L1775" s="13" t="s">
        <v>65</v>
      </c>
      <c r="M1775" s="4">
        <f>IF(Table1[[#This Row], [EQUIPMENT]]="YES",Sheet1!$C$44*(1+Sheet1!$D$44),0)</f>
        <v>307500</v>
      </c>
      <c r="N1775" s="4">
        <f>_xlfn.XLOOKUP(Table1[[#This Row], [ROOM]],Sheet1!$A$47:$A$66,Sheet1!$F$47:$F$66)</f>
        <v>18000000</v>
      </c>
      <c r="O1775" s="9">
        <f>_xlfn.XLOOKUP(_xlfn.CONCAT(Table1[[#This Row], [TEAM]],Table1[[#This Row], [ROOM]]),'ROOM TIME'!$H$2:$H$121,'ROOM TIME'!$J$2:$J$121)</f>
        <v>58.668749999999982</v>
      </c>
      <c r="P1775" s="9">
        <f>(INDEX(Sheet1!$X$48:$Z$67,MATCH(Table1[[#This Row], [ROOM]],Sheet1!$P$48:$P$67,0),MATCH(Table1[[#This Row], [WEAPON]],Sheet1!$X$47:$Z$47,0)))/Table1[[#This Row], [NUM OF MEM]]</f>
        <v>8.125</v>
      </c>
      <c r="Q1775" s="9">
        <f>Table1[[#This Row], [ROOM TIME]]+Table1[[#This Row], [GUARD TIME]]</f>
        <v>66.793749999999989</v>
      </c>
      <c r="R1775" s="4">
        <f>Sheet1!$K$3*_xlfn.XLOOKUP(Table1[[#This Row], [DISGUISE]],Sheet1!$A$21:$A$23,Sheet1!$D$21:$D$23)</f>
        <v>66</v>
      </c>
      <c r="S1775" s="9">
        <f>Table1[[#This Row], [TOTAL TIME]]-Table1[[#This Row], [TOTAL TIME TAKEN]]</f>
        <v>-0.79374999999998863</v>
      </c>
      <c r="T1775" t="str">
        <f>IF(Table1[[#This Row], [TIME DIFFERENCE]]&gt;=0,"PASS","FAIL")</f>
        <v>FAIL</v>
      </c>
      <c r="U1775" s="4">
        <f>Table1[[#This Row], [TRC]]+Table1[[#This Row], [DRC]]+Table1[[#This Row], [WRC]]+Table1[[#This Row], [ERC]]+Table1[[#This Row], [EQRC]]</f>
        <v>8070794</v>
      </c>
      <c r="V1775" s="4">
        <f>Table1[[#This Row], [TOTAL COST]]+_xlfn.XLOOKUP(Table1[[#This Row], [TEAM]],Sheet1!$A$12:$A$17,Sheet1!$I$12:$I$17)</f>
        <v>8368274</v>
      </c>
      <c r="W1775" s="4">
        <f>Table1[[#This Row], [LOOT]]-Table1[[#This Row], [TOTAL COST]]</f>
        <v>9929206</v>
      </c>
      <c r="X1775" s="4">
        <f>IF(Table1[[#This Row], [PASS/FAIL]]="FAIL",0,Table1[[#This Row], [PROFIT]])</f>
        <v>0</v>
      </c>
    </row>
    <row r="1776" spans="1:24" ht="19.5" customHeight="1" x14ac:dyDescent="0.45">
      <c r="A1776" t="s">
        <v>15</v>
      </c>
      <c r="B1776" s="14">
        <f>_xlfn.XLOOKUP(Table1[[#This Row], [TEAM]],Sheet1!$A$12:$A$17,Sheet1!$F$12:$F$17)</f>
        <v>2</v>
      </c>
      <c r="C1776" s="14">
        <f>_xlfn.XLOOKUP(Table1[[#This Row], [TEAM]],Sheet1!$A$12:$A$17,Sheet1!$G$12:$G$17)</f>
        <v>5932950</v>
      </c>
      <c r="D1776" t="s">
        <v>29</v>
      </c>
      <c r="E1776" s="4">
        <f>_xlfn.XLOOKUP(Table1[[#This Row], [ROOM]],Sheet1!$A$47:$A$66,Sheet1!$B$47:$B$66)</f>
        <v>236</v>
      </c>
      <c r="F1776" t="s">
        <v>62</v>
      </c>
      <c r="G177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6" s="13" t="s">
        <v>59</v>
      </c>
      <c r="I1776" s="4">
        <f>_xlfn.XLOOKUP(Table1[[#This Row], [WEAPON]],Sheet1!$A$27:$A$29,Sheet1!$B$27:$B$29)*Table1[[#This Row], [NUM OF MEM]]*(1+_xlfn.XLOOKUP(Table1[[#This Row], [WEAPON]],Sheet1!$A$27:$A$29,Sheet1!$C$27:$C$29))</f>
        <v>91000</v>
      </c>
      <c r="J1776" t="s">
        <v>64</v>
      </c>
      <c r="K1776" s="9">
        <f>Table1[[#This Row], [NUM OF MEM]]*Table1[[#This Row], [TOTAL TIME TAKEN]]*_xlfn.XLOOKUP(Table1[[#This Row], [EXIT]],Sheet1!$A$70:$A$71,Sheet1!$B$70:$B$71)*(1+_xlfn.XLOOKUP(Table1[[#This Row], [EXIT]],Sheet1!$A$70:$A$71,Sheet1!$C$70:$C$71))</f>
        <v>1731261.5999999994</v>
      </c>
      <c r="L1776" s="13" t="s">
        <v>65</v>
      </c>
      <c r="M1776" s="4">
        <f>IF(Table1[[#This Row], [EQUIPMENT]]="YES",Sheet1!$C$44*(1+Sheet1!$D$44),0)</f>
        <v>307500</v>
      </c>
      <c r="N1776" s="4">
        <f>_xlfn.XLOOKUP(Table1[[#This Row], [ROOM]],Sheet1!$A$47:$A$66,Sheet1!$F$47:$F$66)</f>
        <v>18000000</v>
      </c>
      <c r="O1776" s="9">
        <f>_xlfn.XLOOKUP(_xlfn.CONCAT(Table1[[#This Row], [TEAM]],Table1[[#This Row], [ROOM]]),'ROOM TIME'!$H$2:$H$121,'ROOM TIME'!$J$2:$J$121)</f>
        <v>59.317499999999981</v>
      </c>
      <c r="P1776" s="9">
        <f>(INDEX(Sheet1!$X$48:$Z$67,MATCH(Table1[[#This Row], [ROOM]],Sheet1!$P$48:$P$67,0),MATCH(Table1[[#This Row], [WEAPON]],Sheet1!$X$47:$Z$47,0)))/Table1[[#This Row], [NUM OF MEM]]</f>
        <v>7.4749999999999996</v>
      </c>
      <c r="Q1776" s="9">
        <f>Table1[[#This Row], [ROOM TIME]]+Table1[[#This Row], [GUARD TIME]]</f>
        <v>66.792499999999976</v>
      </c>
      <c r="R1776" s="4">
        <f>Sheet1!$K$3*_xlfn.XLOOKUP(Table1[[#This Row], [DISGUISE]],Sheet1!$A$21:$A$23,Sheet1!$D$21:$D$23)</f>
        <v>66</v>
      </c>
      <c r="S1776" s="9">
        <f>Table1[[#This Row], [TOTAL TIME]]-Table1[[#This Row], [TOTAL TIME TAKEN]]</f>
        <v>-0.79249999999997556</v>
      </c>
      <c r="T1776" t="str">
        <f>IF(Table1[[#This Row], [TIME DIFFERENCE]]&gt;=0,"PASS","FAIL")</f>
        <v>FAIL</v>
      </c>
      <c r="U1776" s="9">
        <f>Table1[[#This Row], [TRC]]+Table1[[#This Row], [DRC]]+Table1[[#This Row], [WRC]]+Table1[[#This Row], [ERC]]+Table1[[#This Row], [EQRC]]</f>
        <v>8073111.5999999996</v>
      </c>
      <c r="V1776" s="9">
        <f>Table1[[#This Row], [TOTAL COST]]+_xlfn.XLOOKUP(Table1[[#This Row], [TEAM]],Sheet1!$A$12:$A$17,Sheet1!$I$12:$I$17)</f>
        <v>8369759.0999999996</v>
      </c>
      <c r="W1776" s="9">
        <f>Table1[[#This Row], [LOOT]]-Table1[[#This Row], [TOTAL COST]]</f>
        <v>9926888.4000000004</v>
      </c>
      <c r="X1776" s="4">
        <f>IF(Table1[[#This Row], [PASS/FAIL]]="FAIL",0,Table1[[#This Row], [PROFIT]])</f>
        <v>0</v>
      </c>
    </row>
    <row r="1777" spans="1:24" ht="19.5" customHeight="1" x14ac:dyDescent="0.45">
      <c r="A1777" t="s">
        <v>15</v>
      </c>
      <c r="B1777" s="14">
        <f>_xlfn.XLOOKUP(Table1[[#This Row], [TEAM]],Sheet1!$A$12:$A$17,Sheet1!$F$12:$F$17)</f>
        <v>2</v>
      </c>
      <c r="C1777" s="14">
        <f>_xlfn.XLOOKUP(Table1[[#This Row], [TEAM]],Sheet1!$A$12:$A$17,Sheet1!$G$12:$G$17)</f>
        <v>5932950</v>
      </c>
      <c r="D1777" t="s">
        <v>29</v>
      </c>
      <c r="E1777" s="4">
        <f>_xlfn.XLOOKUP(Table1[[#This Row], [ROOM]],Sheet1!$A$47:$A$66,Sheet1!$B$47:$B$66)</f>
        <v>236</v>
      </c>
      <c r="F1777" t="s">
        <v>62</v>
      </c>
      <c r="G177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7" s="13" t="s">
        <v>59</v>
      </c>
      <c r="I1777" s="4">
        <f>_xlfn.XLOOKUP(Table1[[#This Row], [WEAPON]],Sheet1!$A$27:$A$29,Sheet1!$B$27:$B$29)*Table1[[#This Row], [NUM OF MEM]]*(1+_xlfn.XLOOKUP(Table1[[#This Row], [WEAPON]],Sheet1!$A$27:$A$29,Sheet1!$C$27:$C$29))</f>
        <v>91000</v>
      </c>
      <c r="J1777" t="s">
        <v>60</v>
      </c>
      <c r="K1777" s="9">
        <f>Table1[[#This Row], [NUM OF MEM]]*Table1[[#This Row], [TOTAL TIME TAKEN]]*_xlfn.XLOOKUP(Table1[[#This Row], [EXIT]],Sheet1!$A$70:$A$71,Sheet1!$B$70:$B$71)*(1+_xlfn.XLOOKUP(Table1[[#This Row], [EXIT]],Sheet1!$A$70:$A$71,Sheet1!$C$70:$C$71))</f>
        <v>1714229.5124999993</v>
      </c>
      <c r="L1777" s="13" t="s">
        <v>65</v>
      </c>
      <c r="M1777" s="4">
        <f>IF(Table1[[#This Row], [EQUIPMENT]]="YES",Sheet1!$C$44*(1+Sheet1!$D$44),0)</f>
        <v>307500</v>
      </c>
      <c r="N1777" s="4">
        <f>_xlfn.XLOOKUP(Table1[[#This Row], [ROOM]],Sheet1!$A$47:$A$66,Sheet1!$F$47:$F$66)</f>
        <v>18000000</v>
      </c>
      <c r="O1777" s="9">
        <f>_xlfn.XLOOKUP(_xlfn.CONCAT(Table1[[#This Row], [TEAM]],Table1[[#This Row], [ROOM]]),'ROOM TIME'!$H$2:$H$121,'ROOM TIME'!$J$2:$J$121)</f>
        <v>59.317499999999981</v>
      </c>
      <c r="P1777" s="9">
        <f>(INDEX(Sheet1!$X$48:$Z$67,MATCH(Table1[[#This Row], [ROOM]],Sheet1!$P$48:$P$67,0),MATCH(Table1[[#This Row], [WEAPON]],Sheet1!$X$47:$Z$47,0)))/Table1[[#This Row], [NUM OF MEM]]</f>
        <v>7.4749999999999996</v>
      </c>
      <c r="Q1777" s="9">
        <f>Table1[[#This Row], [ROOM TIME]]+Table1[[#This Row], [GUARD TIME]]</f>
        <v>66.792499999999976</v>
      </c>
      <c r="R1777" s="4">
        <f>Sheet1!$K$3*_xlfn.XLOOKUP(Table1[[#This Row], [DISGUISE]],Sheet1!$A$21:$A$23,Sheet1!$D$21:$D$23)</f>
        <v>66</v>
      </c>
      <c r="S1777" s="9">
        <f>Table1[[#This Row], [TOTAL TIME]]-Table1[[#This Row], [TOTAL TIME TAKEN]]</f>
        <v>-0.79249999999997556</v>
      </c>
      <c r="T1777" t="str">
        <f>IF(Table1[[#This Row], [TIME DIFFERENCE]]&gt;=0,"PASS","FAIL")</f>
        <v>FAIL</v>
      </c>
      <c r="U1777" s="9">
        <f>Table1[[#This Row], [TRC]]+Table1[[#This Row], [DRC]]+Table1[[#This Row], [WRC]]+Table1[[#This Row], [ERC]]+Table1[[#This Row], [EQRC]]</f>
        <v>8056079.5124999993</v>
      </c>
      <c r="V1777" s="9">
        <f>Table1[[#This Row], [TOTAL COST]]+_xlfn.XLOOKUP(Table1[[#This Row], [TEAM]],Sheet1!$A$12:$A$17,Sheet1!$I$12:$I$17)</f>
        <v>8352727.0124999993</v>
      </c>
      <c r="W1777" s="9">
        <f>Table1[[#This Row], [LOOT]]-Table1[[#This Row], [TOTAL COST]]</f>
        <v>9943920.4875000007</v>
      </c>
      <c r="X1777" s="4">
        <f>IF(Table1[[#This Row], [PASS/FAIL]]="FAIL",0,Table1[[#This Row], [PROFIT]])</f>
        <v>0</v>
      </c>
    </row>
    <row r="1778" spans="1:24" ht="19.5" customHeight="1" x14ac:dyDescent="0.45">
      <c r="A1778" t="s">
        <v>15</v>
      </c>
      <c r="B1778" s="14">
        <f>_xlfn.XLOOKUP(Table1[[#This Row], [TEAM]],Sheet1!$A$12:$A$17,Sheet1!$F$12:$F$17)</f>
        <v>2</v>
      </c>
      <c r="C1778" s="14">
        <f>_xlfn.XLOOKUP(Table1[[#This Row], [TEAM]],Sheet1!$A$12:$A$17,Sheet1!$G$12:$G$17)</f>
        <v>5932950</v>
      </c>
      <c r="D1778" t="s">
        <v>29</v>
      </c>
      <c r="E1778" s="4">
        <f>_xlfn.XLOOKUP(Table1[[#This Row], [ROOM]],Sheet1!$A$47:$A$66,Sheet1!$B$47:$B$66)</f>
        <v>236</v>
      </c>
      <c r="F1778" t="s">
        <v>62</v>
      </c>
      <c r="G177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8" s="13" t="s">
        <v>63</v>
      </c>
      <c r="I1778" s="4">
        <f>_xlfn.XLOOKUP(Table1[[#This Row], [WEAPON]],Sheet1!$A$27:$A$29,Sheet1!$B$27:$B$29)*Table1[[#This Row], [NUM OF MEM]]*(1+_xlfn.XLOOKUP(Table1[[#This Row], [WEAPON]],Sheet1!$A$27:$A$29,Sheet1!$C$27:$C$29))</f>
        <v>46000</v>
      </c>
      <c r="J1778" t="s">
        <v>60</v>
      </c>
      <c r="K1778" s="9">
        <f>Table1[[#This Row], [NUM OF MEM]]*Table1[[#This Row], [TOTAL TIME TAKEN]]*_xlfn.XLOOKUP(Table1[[#This Row], [EXIT]],Sheet1!$A$70:$A$71,Sheet1!$B$70:$B$71)*(1+_xlfn.XLOOKUP(Table1[[#This Row], [EXIT]],Sheet1!$A$70:$A$71,Sheet1!$C$70:$C$71))</f>
        <v>1747594.0124999997</v>
      </c>
      <c r="L1778" s="13" t="s">
        <v>65</v>
      </c>
      <c r="M1778" s="4">
        <f>IF(Table1[[#This Row], [EQUIPMENT]]="YES",Sheet1!$C$44*(1+Sheet1!$D$44),0)</f>
        <v>307500</v>
      </c>
      <c r="N1778" s="4">
        <f>_xlfn.XLOOKUP(Table1[[#This Row], [ROOM]],Sheet1!$A$47:$A$66,Sheet1!$F$47:$F$66)</f>
        <v>18000000</v>
      </c>
      <c r="O1778" s="9">
        <f>_xlfn.XLOOKUP(_xlfn.CONCAT(Table1[[#This Row], [TEAM]],Table1[[#This Row], [ROOM]]),'ROOM TIME'!$H$2:$H$121,'ROOM TIME'!$J$2:$J$121)</f>
        <v>59.317499999999981</v>
      </c>
      <c r="P1778" s="9">
        <f>(INDEX(Sheet1!$X$48:$Z$67,MATCH(Table1[[#This Row], [ROOM]],Sheet1!$P$48:$P$67,0),MATCH(Table1[[#This Row], [WEAPON]],Sheet1!$X$47:$Z$47,0)))/Table1[[#This Row], [NUM OF MEM]]</f>
        <v>8.7750000000000004</v>
      </c>
      <c r="Q1778" s="9">
        <f>Table1[[#This Row], [ROOM TIME]]+Table1[[#This Row], [GUARD TIME]]</f>
        <v>68.092499999999987</v>
      </c>
      <c r="R1778" s="4">
        <f>Sheet1!$K$3*_xlfn.XLOOKUP(Table1[[#This Row], [DISGUISE]],Sheet1!$A$21:$A$23,Sheet1!$D$21:$D$23)</f>
        <v>66</v>
      </c>
      <c r="S1778" s="9">
        <f>Table1[[#This Row], [TOTAL TIME]]-Table1[[#This Row], [TOTAL TIME TAKEN]]</f>
        <v>-2.0924999999999869</v>
      </c>
      <c r="T1778" t="str">
        <f>IF(Table1[[#This Row], [TIME DIFFERENCE]]&gt;=0,"PASS","FAIL")</f>
        <v>FAIL</v>
      </c>
      <c r="U1778" s="9">
        <f>Table1[[#This Row], [TRC]]+Table1[[#This Row], [DRC]]+Table1[[#This Row], [WRC]]+Table1[[#This Row], [ERC]]+Table1[[#This Row], [EQRC]]</f>
        <v>8044444.0124999993</v>
      </c>
      <c r="V1778" s="9">
        <f>Table1[[#This Row], [TOTAL COST]]+_xlfn.XLOOKUP(Table1[[#This Row], [TEAM]],Sheet1!$A$12:$A$17,Sheet1!$I$12:$I$17)</f>
        <v>8341091.5124999993</v>
      </c>
      <c r="W1778" s="9">
        <f>Table1[[#This Row], [LOOT]]-Table1[[#This Row], [TOTAL COST]]</f>
        <v>9955555.9875000007</v>
      </c>
      <c r="X1778" s="4">
        <f>IF(Table1[[#This Row], [PASS/FAIL]]="FAIL",0,Table1[[#This Row], [PROFIT]])</f>
        <v>0</v>
      </c>
    </row>
    <row r="1779" spans="1:24" ht="19.5" customHeight="1" x14ac:dyDescent="0.45">
      <c r="A1779" t="s">
        <v>15</v>
      </c>
      <c r="B1779" s="14">
        <f>_xlfn.XLOOKUP(Table1[[#This Row], [TEAM]],Sheet1!$A$12:$A$17,Sheet1!$F$12:$F$17)</f>
        <v>2</v>
      </c>
      <c r="C1779" s="14">
        <f>_xlfn.XLOOKUP(Table1[[#This Row], [TEAM]],Sheet1!$A$12:$A$17,Sheet1!$G$12:$G$17)</f>
        <v>5932950</v>
      </c>
      <c r="D1779" t="s">
        <v>29</v>
      </c>
      <c r="E1779" s="4">
        <f>_xlfn.XLOOKUP(Table1[[#This Row], [ROOM]],Sheet1!$A$47:$A$66,Sheet1!$B$47:$B$66)</f>
        <v>236</v>
      </c>
      <c r="F1779" t="s">
        <v>62</v>
      </c>
      <c r="G177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79" s="13" t="s">
        <v>66</v>
      </c>
      <c r="I1779" s="4">
        <f>_xlfn.XLOOKUP(Table1[[#This Row], [WEAPON]],Sheet1!$A$27:$A$29,Sheet1!$B$27:$B$29)*Table1[[#This Row], [NUM OF MEM]]*(1+_xlfn.XLOOKUP(Table1[[#This Row], [WEAPON]],Sheet1!$A$27:$A$29,Sheet1!$C$27:$C$29))</f>
        <v>72000</v>
      </c>
      <c r="J1779" t="s">
        <v>60</v>
      </c>
      <c r="K1779" s="9">
        <f>Table1[[#This Row], [NUM OF MEM]]*Table1[[#This Row], [TOTAL TIME TAKEN]]*_xlfn.XLOOKUP(Table1[[#This Row], [EXIT]],Sheet1!$A$70:$A$71,Sheet1!$B$70:$B$71)*(1+_xlfn.XLOOKUP(Table1[[#This Row], [EXIT]],Sheet1!$A$70:$A$71,Sheet1!$C$70:$C$71))</f>
        <v>1730911.7624999997</v>
      </c>
      <c r="L1779" s="13" t="s">
        <v>65</v>
      </c>
      <c r="M1779" s="4">
        <f>IF(Table1[[#This Row], [EQUIPMENT]]="YES",Sheet1!$C$44*(1+Sheet1!$D$44),0)</f>
        <v>307500</v>
      </c>
      <c r="N1779" s="4">
        <f>_xlfn.XLOOKUP(Table1[[#This Row], [ROOM]],Sheet1!$A$47:$A$66,Sheet1!$F$47:$F$66)</f>
        <v>18000000</v>
      </c>
      <c r="O1779" s="9">
        <f>_xlfn.XLOOKUP(_xlfn.CONCAT(Table1[[#This Row], [TEAM]],Table1[[#This Row], [ROOM]]),'ROOM TIME'!$H$2:$H$121,'ROOM TIME'!$J$2:$J$121)</f>
        <v>59.317499999999981</v>
      </c>
      <c r="P1779" s="9">
        <f>(INDEX(Sheet1!$X$48:$Z$67,MATCH(Table1[[#This Row], [ROOM]],Sheet1!$P$48:$P$67,0),MATCH(Table1[[#This Row], [WEAPON]],Sheet1!$X$47:$Z$47,0)))/Table1[[#This Row], [NUM OF MEM]]</f>
        <v>8.125</v>
      </c>
      <c r="Q1779" s="9">
        <f>Table1[[#This Row], [ROOM TIME]]+Table1[[#This Row], [GUARD TIME]]</f>
        <v>67.442499999999981</v>
      </c>
      <c r="R1779" s="4">
        <f>Sheet1!$K$3*_xlfn.XLOOKUP(Table1[[#This Row], [DISGUISE]],Sheet1!$A$21:$A$23,Sheet1!$D$21:$D$23)</f>
        <v>66</v>
      </c>
      <c r="S1779" s="9">
        <f>Table1[[#This Row], [TOTAL TIME]]-Table1[[#This Row], [TOTAL TIME TAKEN]]</f>
        <v>-1.4424999999999812</v>
      </c>
      <c r="T1779" t="str">
        <f>IF(Table1[[#This Row], [TIME DIFFERENCE]]&gt;=0,"PASS","FAIL")</f>
        <v>FAIL</v>
      </c>
      <c r="U1779" s="9">
        <f>Table1[[#This Row], [TRC]]+Table1[[#This Row], [DRC]]+Table1[[#This Row], [WRC]]+Table1[[#This Row], [ERC]]+Table1[[#This Row], [EQRC]]</f>
        <v>8053761.7624999993</v>
      </c>
      <c r="V1779" s="9">
        <f>Table1[[#This Row], [TOTAL COST]]+_xlfn.XLOOKUP(Table1[[#This Row], [TEAM]],Sheet1!$A$12:$A$17,Sheet1!$I$12:$I$17)</f>
        <v>8350409.2624999993</v>
      </c>
      <c r="W1779" s="9">
        <f>Table1[[#This Row], [LOOT]]-Table1[[#This Row], [TOTAL COST]]</f>
        <v>9946238.2375000007</v>
      </c>
      <c r="X1779" s="4">
        <f>IF(Table1[[#This Row], [PASS/FAIL]]="FAIL",0,Table1[[#This Row], [PROFIT]])</f>
        <v>0</v>
      </c>
    </row>
    <row r="1780" spans="1:24" ht="19.5" customHeight="1" x14ac:dyDescent="0.45">
      <c r="A1780" t="s">
        <v>15</v>
      </c>
      <c r="B1780" s="14">
        <f>_xlfn.XLOOKUP(Table1[[#This Row], [TEAM]],Sheet1!$A$12:$A$17,Sheet1!$F$12:$F$17)</f>
        <v>2</v>
      </c>
      <c r="C1780" s="14">
        <f>_xlfn.XLOOKUP(Table1[[#This Row], [TEAM]],Sheet1!$A$12:$A$17,Sheet1!$G$12:$G$17)</f>
        <v>5932950</v>
      </c>
      <c r="D1780" t="s">
        <v>29</v>
      </c>
      <c r="E1780" s="4">
        <f>_xlfn.XLOOKUP(Table1[[#This Row], [ROOM]],Sheet1!$A$47:$A$66,Sheet1!$B$47:$B$66)</f>
        <v>236</v>
      </c>
      <c r="F1780" t="s">
        <v>62</v>
      </c>
      <c r="G178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0" s="13" t="s">
        <v>63</v>
      </c>
      <c r="I1780" s="4">
        <f>_xlfn.XLOOKUP(Table1[[#This Row], [WEAPON]],Sheet1!$A$27:$A$29,Sheet1!$B$27:$B$29)*Table1[[#This Row], [NUM OF MEM]]*(1+_xlfn.XLOOKUP(Table1[[#This Row], [WEAPON]],Sheet1!$A$27:$A$29,Sheet1!$C$27:$C$29))</f>
        <v>46000</v>
      </c>
      <c r="J1780" t="s">
        <v>64</v>
      </c>
      <c r="K1780" s="9">
        <f>Table1[[#This Row], [NUM OF MEM]]*Table1[[#This Row], [TOTAL TIME TAKEN]]*_xlfn.XLOOKUP(Table1[[#This Row], [EXIT]],Sheet1!$A$70:$A$71,Sheet1!$B$70:$B$71)*(1+_xlfn.XLOOKUP(Table1[[#This Row], [EXIT]],Sheet1!$A$70:$A$71,Sheet1!$C$70:$C$71))</f>
        <v>1764957.5999999996</v>
      </c>
      <c r="L1780" s="13" t="s">
        <v>65</v>
      </c>
      <c r="M1780" s="4">
        <f>IF(Table1[[#This Row], [EQUIPMENT]]="YES",Sheet1!$C$44*(1+Sheet1!$D$44),0)</f>
        <v>307500</v>
      </c>
      <c r="N1780" s="4">
        <f>_xlfn.XLOOKUP(Table1[[#This Row], [ROOM]],Sheet1!$A$47:$A$66,Sheet1!$F$47:$F$66)</f>
        <v>18000000</v>
      </c>
      <c r="O1780" s="9">
        <f>_xlfn.XLOOKUP(_xlfn.CONCAT(Table1[[#This Row], [TEAM]],Table1[[#This Row], [ROOM]]),'ROOM TIME'!$H$2:$H$121,'ROOM TIME'!$J$2:$J$121)</f>
        <v>59.317499999999981</v>
      </c>
      <c r="P1780" s="9">
        <f>(INDEX(Sheet1!$X$48:$Z$67,MATCH(Table1[[#This Row], [ROOM]],Sheet1!$P$48:$P$67,0),MATCH(Table1[[#This Row], [WEAPON]],Sheet1!$X$47:$Z$47,0)))/Table1[[#This Row], [NUM OF MEM]]</f>
        <v>8.7750000000000004</v>
      </c>
      <c r="Q1780" s="9">
        <f>Table1[[#This Row], [ROOM TIME]]+Table1[[#This Row], [GUARD TIME]]</f>
        <v>68.092499999999987</v>
      </c>
      <c r="R1780" s="4">
        <f>Sheet1!$K$3*_xlfn.XLOOKUP(Table1[[#This Row], [DISGUISE]],Sheet1!$A$21:$A$23,Sheet1!$D$21:$D$23)</f>
        <v>66</v>
      </c>
      <c r="S1780" s="9">
        <f>Table1[[#This Row], [TOTAL TIME]]-Table1[[#This Row], [TOTAL TIME TAKEN]]</f>
        <v>-2.0924999999999869</v>
      </c>
      <c r="T1780" t="str">
        <f>IF(Table1[[#This Row], [TIME DIFFERENCE]]&gt;=0,"PASS","FAIL")</f>
        <v>FAIL</v>
      </c>
      <c r="U1780" s="9">
        <f>Table1[[#This Row], [TRC]]+Table1[[#This Row], [DRC]]+Table1[[#This Row], [WRC]]+Table1[[#This Row], [ERC]]+Table1[[#This Row], [EQRC]]</f>
        <v>8061807.5999999996</v>
      </c>
      <c r="V1780" s="9">
        <f>Table1[[#This Row], [TOTAL COST]]+_xlfn.XLOOKUP(Table1[[#This Row], [TEAM]],Sheet1!$A$12:$A$17,Sheet1!$I$12:$I$17)</f>
        <v>8358455.0999999996</v>
      </c>
      <c r="W1780" s="9">
        <f>Table1[[#This Row], [LOOT]]-Table1[[#This Row], [TOTAL COST]]</f>
        <v>9938192.4000000004</v>
      </c>
      <c r="X1780" s="4">
        <f>IF(Table1[[#This Row], [PASS/FAIL]]="FAIL",0,Table1[[#This Row], [PROFIT]])</f>
        <v>0</v>
      </c>
    </row>
    <row r="1781" spans="1:24" ht="19.5" customHeight="1" x14ac:dyDescent="0.45">
      <c r="A1781" t="s">
        <v>15</v>
      </c>
      <c r="B1781" s="14">
        <f>_xlfn.XLOOKUP(Table1[[#This Row], [TEAM]],Sheet1!$A$12:$A$17,Sheet1!$F$12:$F$17)</f>
        <v>2</v>
      </c>
      <c r="C1781" s="14">
        <f>_xlfn.XLOOKUP(Table1[[#This Row], [TEAM]],Sheet1!$A$12:$A$17,Sheet1!$G$12:$G$17)</f>
        <v>5932950</v>
      </c>
      <c r="D1781" t="s">
        <v>29</v>
      </c>
      <c r="E1781" s="4">
        <f>_xlfn.XLOOKUP(Table1[[#This Row], [ROOM]],Sheet1!$A$47:$A$66,Sheet1!$B$47:$B$66)</f>
        <v>236</v>
      </c>
      <c r="F1781" t="s">
        <v>62</v>
      </c>
      <c r="G178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1" s="13" t="s">
        <v>66</v>
      </c>
      <c r="I1781" s="4">
        <f>_xlfn.XLOOKUP(Table1[[#This Row], [WEAPON]],Sheet1!$A$27:$A$29,Sheet1!$B$27:$B$29)*Table1[[#This Row], [NUM OF MEM]]*(1+_xlfn.XLOOKUP(Table1[[#This Row], [WEAPON]],Sheet1!$A$27:$A$29,Sheet1!$C$27:$C$29))</f>
        <v>72000</v>
      </c>
      <c r="J1781" t="s">
        <v>64</v>
      </c>
      <c r="K1781" s="9">
        <f>Table1[[#This Row], [NUM OF MEM]]*Table1[[#This Row], [TOTAL TIME TAKEN]]*_xlfn.XLOOKUP(Table1[[#This Row], [EXIT]],Sheet1!$A$70:$A$71,Sheet1!$B$70:$B$71)*(1+_xlfn.XLOOKUP(Table1[[#This Row], [EXIT]],Sheet1!$A$70:$A$71,Sheet1!$C$70:$C$71))</f>
        <v>1748109.5999999994</v>
      </c>
      <c r="L1781" s="13" t="s">
        <v>65</v>
      </c>
      <c r="M1781" s="4">
        <f>IF(Table1[[#This Row], [EQUIPMENT]]="YES",Sheet1!$C$44*(1+Sheet1!$D$44),0)</f>
        <v>307500</v>
      </c>
      <c r="N1781" s="4">
        <f>_xlfn.XLOOKUP(Table1[[#This Row], [ROOM]],Sheet1!$A$47:$A$66,Sheet1!$F$47:$F$66)</f>
        <v>18000000</v>
      </c>
      <c r="O1781" s="9">
        <f>_xlfn.XLOOKUP(_xlfn.CONCAT(Table1[[#This Row], [TEAM]],Table1[[#This Row], [ROOM]]),'ROOM TIME'!$H$2:$H$121,'ROOM TIME'!$J$2:$J$121)</f>
        <v>59.317499999999981</v>
      </c>
      <c r="P1781" s="9">
        <f>(INDEX(Sheet1!$X$48:$Z$67,MATCH(Table1[[#This Row], [ROOM]],Sheet1!$P$48:$P$67,0),MATCH(Table1[[#This Row], [WEAPON]],Sheet1!$X$47:$Z$47,0)))/Table1[[#This Row], [NUM OF MEM]]</f>
        <v>8.125</v>
      </c>
      <c r="Q1781" s="9">
        <f>Table1[[#This Row], [ROOM TIME]]+Table1[[#This Row], [GUARD TIME]]</f>
        <v>67.442499999999981</v>
      </c>
      <c r="R1781" s="4">
        <f>Sheet1!$K$3*_xlfn.XLOOKUP(Table1[[#This Row], [DISGUISE]],Sheet1!$A$21:$A$23,Sheet1!$D$21:$D$23)</f>
        <v>66</v>
      </c>
      <c r="S1781" s="9">
        <f>Table1[[#This Row], [TOTAL TIME]]-Table1[[#This Row], [TOTAL TIME TAKEN]]</f>
        <v>-1.4424999999999812</v>
      </c>
      <c r="T1781" t="str">
        <f>IF(Table1[[#This Row], [TIME DIFFERENCE]]&gt;=0,"PASS","FAIL")</f>
        <v>FAIL</v>
      </c>
      <c r="U1781" s="9">
        <f>Table1[[#This Row], [TRC]]+Table1[[#This Row], [DRC]]+Table1[[#This Row], [WRC]]+Table1[[#This Row], [ERC]]+Table1[[#This Row], [EQRC]]</f>
        <v>8070959.5999999996</v>
      </c>
      <c r="V1781" s="9">
        <f>Table1[[#This Row], [TOTAL COST]]+_xlfn.XLOOKUP(Table1[[#This Row], [TEAM]],Sheet1!$A$12:$A$17,Sheet1!$I$12:$I$17)</f>
        <v>8367607.0999999996</v>
      </c>
      <c r="W1781" s="9">
        <f>Table1[[#This Row], [LOOT]]-Table1[[#This Row], [TOTAL COST]]</f>
        <v>9929040.4000000004</v>
      </c>
      <c r="X1781" s="4">
        <f>IF(Table1[[#This Row], [PASS/FAIL]]="FAIL",0,Table1[[#This Row], [PROFIT]])</f>
        <v>0</v>
      </c>
    </row>
    <row r="1782" spans="1:24" ht="19.5" customHeight="1" x14ac:dyDescent="0.45">
      <c r="A1782" t="s">
        <v>16</v>
      </c>
      <c r="B1782" s="14">
        <f>_xlfn.XLOOKUP(Table1[[#This Row], [TEAM]],Sheet1!$A$12:$A$17,Sheet1!$F$12:$F$17)</f>
        <v>2</v>
      </c>
      <c r="C1782" s="14">
        <f>_xlfn.XLOOKUP(Table1[[#This Row], [TEAM]],Sheet1!$A$12:$A$17,Sheet1!$G$12:$G$17)</f>
        <v>6082800</v>
      </c>
      <c r="D1782" t="s">
        <v>29</v>
      </c>
      <c r="E1782" s="4">
        <f>_xlfn.XLOOKUP(Table1[[#This Row], [ROOM]],Sheet1!$A$47:$A$66,Sheet1!$B$47:$B$66)</f>
        <v>236</v>
      </c>
      <c r="F1782" t="s">
        <v>62</v>
      </c>
      <c r="G178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2" s="13" t="s">
        <v>63</v>
      </c>
      <c r="I1782" s="4">
        <f>_xlfn.XLOOKUP(Table1[[#This Row], [WEAPON]],Sheet1!$A$27:$A$29,Sheet1!$B$27:$B$29)*Table1[[#This Row], [NUM OF MEM]]*(1+_xlfn.XLOOKUP(Table1[[#This Row], [WEAPON]],Sheet1!$A$27:$A$29,Sheet1!$C$27:$C$29))</f>
        <v>46000</v>
      </c>
      <c r="J1782" t="s">
        <v>60</v>
      </c>
      <c r="K1782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1725554.1937499996</v>
      </c>
      <c r="L1782" s="13" t="s">
        <v>65</v>
      </c>
      <c r="M1782" s="4">
        <f>IF(Table1[[#This Row], [EQUIPMENT]]="YES",Sheet1!$C$44*(1+Sheet1!$D$44),0)</f>
        <v>307500</v>
      </c>
      <c r="N1782" s="4">
        <f>_xlfn.XLOOKUP(Table1[[#This Row], [ROOM]],Sheet1!$A$47:$A$66,Sheet1!$F$47:$F$66)</f>
        <v>18000000</v>
      </c>
      <c r="O1782" s="9">
        <f>_xlfn.XLOOKUP(_xlfn.CONCAT(Table1[[#This Row], [TEAM]],Table1[[#This Row], [ROOM]]),'ROOM TIME'!$H$2:$H$121,'ROOM TIME'!$J$2:$J$121)</f>
        <v>58.458749999999981</v>
      </c>
      <c r="P1782" s="9">
        <f>(INDEX(Sheet1!$X$48:$Z$67,MATCH(Table1[[#This Row], [ROOM]],Sheet1!$P$48:$P$67,0),MATCH(Table1[[#This Row], [WEAPON]],Sheet1!$X$47:$Z$47,0)))/Table1[[#This Row], [NUM OF MEM]]</f>
        <v>8.7750000000000004</v>
      </c>
      <c r="Q1782" s="9">
        <f>Table1[[#This Row], [ROOM TIME]]+Table1[[#This Row], [GUARD TIME]]</f>
        <v>67.233749999999986</v>
      </c>
      <c r="R1782" s="4">
        <f>Sheet1!$K$3*_xlfn.XLOOKUP(Table1[[#This Row], [DISGUISE]],Sheet1!$A$21:$A$23,Sheet1!$D$21:$D$23)</f>
        <v>66</v>
      </c>
      <c r="S1782" s="9">
        <f>Table1[[#This Row], [TOTAL TIME]]-Table1[[#This Row], [TOTAL TIME TAKEN]]</f>
        <v>-1.2337499999999864</v>
      </c>
      <c r="T1782" t="str">
        <f>IF(Table1[[#This Row], [TIME DIFFERENCE]]&gt;=0,"PASS","FAIL")</f>
        <v>FAIL</v>
      </c>
      <c r="U1782" s="9">
        <f>Table1[[#This Row], [TRC]]+Table1[[#This Row], [DRC]]+Table1[[#This Row], [WRC]]+Table1[[#This Row], [ERC]]+Table1[[#This Row], [EQRC]]</f>
        <v>8172254.1937499996</v>
      </c>
      <c r="V1782" s="9">
        <f>Table1[[#This Row], [TOTAL COST]]+_xlfn.XLOOKUP(Table1[[#This Row], [TEAM]],Sheet1!$A$12:$A$17,Sheet1!$I$12:$I$17)</f>
        <v>8476394.1937499996</v>
      </c>
      <c r="W1782" s="9">
        <f>Table1[[#This Row], [LOOT]]-Table1[[#This Row], [TOTAL COST]]</f>
        <v>9827745.8062500004</v>
      </c>
      <c r="X1782" s="4">
        <f>IF(Table1[[#This Row], [PASS/FAIL]]="FAIL",0,Table1[[#This Row], [PROFIT]])</f>
        <v>0</v>
      </c>
    </row>
    <row r="1783" spans="1:24" ht="19.5" customHeight="1" x14ac:dyDescent="0.45">
      <c r="A1783" t="s">
        <v>16</v>
      </c>
      <c r="B1783" s="14">
        <f>_xlfn.XLOOKUP(Table1[[#This Row], [TEAM]],Sheet1!$A$12:$A$17,Sheet1!$F$12:$F$17)</f>
        <v>2</v>
      </c>
      <c r="C1783" s="14">
        <f>_xlfn.XLOOKUP(Table1[[#This Row], [TEAM]],Sheet1!$A$12:$A$17,Sheet1!$G$12:$G$17)</f>
        <v>6082800</v>
      </c>
      <c r="D1783" t="s">
        <v>29</v>
      </c>
      <c r="E1783" s="4">
        <f>_xlfn.XLOOKUP(Table1[[#This Row], [ROOM]],Sheet1!$A$47:$A$66,Sheet1!$B$47:$B$66)</f>
        <v>236</v>
      </c>
      <c r="F1783" t="s">
        <v>62</v>
      </c>
      <c r="G178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3" s="13" t="s">
        <v>63</v>
      </c>
      <c r="I1783" s="4">
        <f>_xlfn.XLOOKUP(Table1[[#This Row], [WEAPON]],Sheet1!$A$27:$A$29,Sheet1!$B$27:$B$29)*Table1[[#This Row], [NUM OF MEM]]*(1+_xlfn.XLOOKUP(Table1[[#This Row], [WEAPON]],Sheet1!$A$27:$A$29,Sheet1!$C$27:$C$29))</f>
        <v>46000</v>
      </c>
      <c r="J1783" t="s">
        <v>64</v>
      </c>
      <c r="K1783" s="9">
        <f>Table1[[#This Row], [NUM OF MEM]]*Table1[[#This Row], [TOTAL TIME TAKEN]]*_xlfn.XLOOKUP(Table1[[#This Row], [EXIT]],Sheet1!$A$70:$A$71,Sheet1!$B$70:$B$71)*(1+_xlfn.XLOOKUP(Table1[[#This Row], [EXIT]],Sheet1!$A$70:$A$71,Sheet1!$C$70:$C$71))</f>
        <v>1742698.7999999996</v>
      </c>
      <c r="L1783" s="13" t="s">
        <v>65</v>
      </c>
      <c r="M1783" s="4">
        <f>IF(Table1[[#This Row], [EQUIPMENT]]="YES",Sheet1!$C$44*(1+Sheet1!$D$44),0)</f>
        <v>307500</v>
      </c>
      <c r="N1783" s="4">
        <f>_xlfn.XLOOKUP(Table1[[#This Row], [ROOM]],Sheet1!$A$47:$A$66,Sheet1!$F$47:$F$66)</f>
        <v>18000000</v>
      </c>
      <c r="O1783" s="9">
        <f>_xlfn.XLOOKUP(_xlfn.CONCAT(Table1[[#This Row], [TEAM]],Table1[[#This Row], [ROOM]]),'ROOM TIME'!$H$2:$H$121,'ROOM TIME'!$J$2:$J$121)</f>
        <v>58.458749999999981</v>
      </c>
      <c r="P1783" s="9">
        <f>(INDEX(Sheet1!$X$48:$Z$67,MATCH(Table1[[#This Row], [ROOM]],Sheet1!$P$48:$P$67,0),MATCH(Table1[[#This Row], [WEAPON]],Sheet1!$X$47:$Z$47,0)))/Table1[[#This Row], [NUM OF MEM]]</f>
        <v>8.7750000000000004</v>
      </c>
      <c r="Q1783" s="9">
        <f>Table1[[#This Row], [ROOM TIME]]+Table1[[#This Row], [GUARD TIME]]</f>
        <v>67.233749999999986</v>
      </c>
      <c r="R1783" s="4">
        <f>Sheet1!$K$3*_xlfn.XLOOKUP(Table1[[#This Row], [DISGUISE]],Sheet1!$A$21:$A$23,Sheet1!$D$21:$D$23)</f>
        <v>66</v>
      </c>
      <c r="S1783" s="9">
        <f>Table1[[#This Row], [TOTAL TIME]]-Table1[[#This Row], [TOTAL TIME TAKEN]]</f>
        <v>-1.2337499999999864</v>
      </c>
      <c r="T1783" t="str">
        <f>IF(Table1[[#This Row], [TIME DIFFERENCE]]&gt;=0,"PASS","FAIL")</f>
        <v>FAIL</v>
      </c>
      <c r="U1783" s="9">
        <f>Table1[[#This Row], [TRC]]+Table1[[#This Row], [DRC]]+Table1[[#This Row], [WRC]]+Table1[[#This Row], [ERC]]+Table1[[#This Row], [EQRC]]</f>
        <v>8189398.7999999998</v>
      </c>
      <c r="V1783" s="9">
        <f>Table1[[#This Row], [TOTAL COST]]+_xlfn.XLOOKUP(Table1[[#This Row], [TEAM]],Sheet1!$A$12:$A$17,Sheet1!$I$12:$I$17)</f>
        <v>8493538.8000000007</v>
      </c>
      <c r="W1783" s="9">
        <f>Table1[[#This Row], [LOOT]]-Table1[[#This Row], [TOTAL COST]]</f>
        <v>9810601.1999999993</v>
      </c>
      <c r="X1783" s="4">
        <f>IF(Table1[[#This Row], [PASS/FAIL]]="FAIL",0,Table1[[#This Row], [PROFIT]])</f>
        <v>0</v>
      </c>
    </row>
    <row r="1784" spans="1:24" ht="19.5" customHeight="1" x14ac:dyDescent="0.45">
      <c r="A1784" t="s">
        <v>16</v>
      </c>
      <c r="B1784" s="14">
        <f>_xlfn.XLOOKUP(Table1[[#This Row], [TEAM]],Sheet1!$A$12:$A$17,Sheet1!$F$12:$F$17)</f>
        <v>2</v>
      </c>
      <c r="C1784" s="14">
        <f>_xlfn.XLOOKUP(Table1[[#This Row], [TEAM]],Sheet1!$A$12:$A$17,Sheet1!$G$12:$G$17)</f>
        <v>6082800</v>
      </c>
      <c r="D1784" t="s">
        <v>29</v>
      </c>
      <c r="E1784" s="4">
        <f>_xlfn.XLOOKUP(Table1[[#This Row], [ROOM]],Sheet1!$A$47:$A$66,Sheet1!$B$47:$B$66)</f>
        <v>236</v>
      </c>
      <c r="F1784" t="s">
        <v>62</v>
      </c>
      <c r="G178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4" s="13" t="s">
        <v>66</v>
      </c>
      <c r="I1784" s="4">
        <f>_xlfn.XLOOKUP(Table1[[#This Row], [WEAPON]],Sheet1!$A$27:$A$29,Sheet1!$B$27:$B$29)*Table1[[#This Row], [NUM OF MEM]]*(1+_xlfn.XLOOKUP(Table1[[#This Row], [WEAPON]],Sheet1!$A$27:$A$29,Sheet1!$C$27:$C$29))</f>
        <v>72000</v>
      </c>
      <c r="J1784" t="s">
        <v>60</v>
      </c>
      <c r="K1784" s="9">
        <f>Table1[[#This Row], [NUM OF MEM]]*Table1[[#This Row], [TOTAL TIME TAKEN]]*_xlfn.XLOOKUP(Table1[[#This Row], [EXIT]],Sheet1!$A$70:$A$71,Sheet1!$B$70:$B$71)*(1+_xlfn.XLOOKUP(Table1[[#This Row], [EXIT]],Sheet1!$A$70:$A$71,Sheet1!$C$70:$C$71))</f>
        <v>1708871.9437499996</v>
      </c>
      <c r="L1784" s="13" t="s">
        <v>65</v>
      </c>
      <c r="M1784" s="4">
        <f>IF(Table1[[#This Row], [EQUIPMENT]]="YES",Sheet1!$C$44*(1+Sheet1!$D$44),0)</f>
        <v>307500</v>
      </c>
      <c r="N1784" s="4">
        <f>_xlfn.XLOOKUP(Table1[[#This Row], [ROOM]],Sheet1!$A$47:$A$66,Sheet1!$F$47:$F$66)</f>
        <v>18000000</v>
      </c>
      <c r="O1784" s="9">
        <f>_xlfn.XLOOKUP(_xlfn.CONCAT(Table1[[#This Row], [TEAM]],Table1[[#This Row], [ROOM]]),'ROOM TIME'!$H$2:$H$121,'ROOM TIME'!$J$2:$J$121)</f>
        <v>58.458749999999981</v>
      </c>
      <c r="P1784" s="9">
        <f>(INDEX(Sheet1!$X$48:$Z$67,MATCH(Table1[[#This Row], [ROOM]],Sheet1!$P$48:$P$67,0),MATCH(Table1[[#This Row], [WEAPON]],Sheet1!$X$47:$Z$47,0)))/Table1[[#This Row], [NUM OF MEM]]</f>
        <v>8.125</v>
      </c>
      <c r="Q1784" s="9">
        <f>Table1[[#This Row], [ROOM TIME]]+Table1[[#This Row], [GUARD TIME]]</f>
        <v>66.583749999999981</v>
      </c>
      <c r="R1784" s="4">
        <f>Sheet1!$K$3*_xlfn.XLOOKUP(Table1[[#This Row], [DISGUISE]],Sheet1!$A$21:$A$23,Sheet1!$D$21:$D$23)</f>
        <v>66</v>
      </c>
      <c r="S1784" s="9">
        <f>Table1[[#This Row], [TOTAL TIME]]-Table1[[#This Row], [TOTAL TIME TAKEN]]</f>
        <v>-0.58374999999998067</v>
      </c>
      <c r="T1784" t="str">
        <f>IF(Table1[[#This Row], [TIME DIFFERENCE]]&gt;=0,"PASS","FAIL")</f>
        <v>FAIL</v>
      </c>
      <c r="U1784" s="9">
        <f>Table1[[#This Row], [TRC]]+Table1[[#This Row], [DRC]]+Table1[[#This Row], [WRC]]+Table1[[#This Row], [ERC]]+Table1[[#This Row], [EQRC]]</f>
        <v>8181571.9437499996</v>
      </c>
      <c r="V1784" s="9">
        <f>Table1[[#This Row], [TOTAL COST]]+_xlfn.XLOOKUP(Table1[[#This Row], [TEAM]],Sheet1!$A$12:$A$17,Sheet1!$I$12:$I$17)</f>
        <v>8485711.9437499996</v>
      </c>
      <c r="W1784" s="9">
        <f>Table1[[#This Row], [LOOT]]-Table1[[#This Row], [TOTAL COST]]</f>
        <v>9818428.0562500004</v>
      </c>
      <c r="X1784" s="4">
        <f>IF(Table1[[#This Row], [PASS/FAIL]]="FAIL",0,Table1[[#This Row], [PROFIT]])</f>
        <v>0</v>
      </c>
    </row>
    <row r="1785" spans="1:24" ht="19.5" customHeight="1" x14ac:dyDescent="0.45">
      <c r="A1785" t="s">
        <v>16</v>
      </c>
      <c r="B1785" s="14">
        <f>_xlfn.XLOOKUP(Table1[[#This Row], [TEAM]],Sheet1!$A$12:$A$17,Sheet1!$F$12:$F$17)</f>
        <v>2</v>
      </c>
      <c r="C1785" s="14">
        <f>_xlfn.XLOOKUP(Table1[[#This Row], [TEAM]],Sheet1!$A$12:$A$17,Sheet1!$G$12:$G$17)</f>
        <v>6082800</v>
      </c>
      <c r="D1785" t="s">
        <v>29</v>
      </c>
      <c r="E1785" s="4">
        <f>_xlfn.XLOOKUP(Table1[[#This Row], [ROOM]],Sheet1!$A$47:$A$66,Sheet1!$B$47:$B$66)</f>
        <v>236</v>
      </c>
      <c r="F1785" t="s">
        <v>62</v>
      </c>
      <c r="G178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5" s="13" t="s">
        <v>66</v>
      </c>
      <c r="I1785" s="4">
        <f>_xlfn.XLOOKUP(Table1[[#This Row], [WEAPON]],Sheet1!$A$27:$A$29,Sheet1!$B$27:$B$29)*Table1[[#This Row], [NUM OF MEM]]*(1+_xlfn.XLOOKUP(Table1[[#This Row], [WEAPON]],Sheet1!$A$27:$A$29,Sheet1!$C$27:$C$29))</f>
        <v>72000</v>
      </c>
      <c r="J1785" t="s">
        <v>64</v>
      </c>
      <c r="K1785" s="9">
        <f>Table1[[#This Row], [NUM OF MEM]]*Table1[[#This Row], [TOTAL TIME TAKEN]]*_xlfn.XLOOKUP(Table1[[#This Row], [EXIT]],Sheet1!$A$70:$A$71,Sheet1!$B$70:$B$71)*(1+_xlfn.XLOOKUP(Table1[[#This Row], [EXIT]],Sheet1!$A$70:$A$71,Sheet1!$C$70:$C$71))</f>
        <v>1725850.7999999993</v>
      </c>
      <c r="L1785" s="13" t="s">
        <v>65</v>
      </c>
      <c r="M1785" s="4">
        <f>IF(Table1[[#This Row], [EQUIPMENT]]="YES",Sheet1!$C$44*(1+Sheet1!$D$44),0)</f>
        <v>307500</v>
      </c>
      <c r="N1785" s="4">
        <f>_xlfn.XLOOKUP(Table1[[#This Row], [ROOM]],Sheet1!$A$47:$A$66,Sheet1!$F$47:$F$66)</f>
        <v>18000000</v>
      </c>
      <c r="O1785" s="9">
        <f>_xlfn.XLOOKUP(_xlfn.CONCAT(Table1[[#This Row], [TEAM]],Table1[[#This Row], [ROOM]]),'ROOM TIME'!$H$2:$H$121,'ROOM TIME'!$J$2:$J$121)</f>
        <v>58.458749999999981</v>
      </c>
      <c r="P1785" s="9">
        <f>(INDEX(Sheet1!$X$48:$Z$67,MATCH(Table1[[#This Row], [ROOM]],Sheet1!$P$48:$P$67,0),MATCH(Table1[[#This Row], [WEAPON]],Sheet1!$X$47:$Z$47,0)))/Table1[[#This Row], [NUM OF MEM]]</f>
        <v>8.125</v>
      </c>
      <c r="Q1785" s="9">
        <f>Table1[[#This Row], [ROOM TIME]]+Table1[[#This Row], [GUARD TIME]]</f>
        <v>66.583749999999981</v>
      </c>
      <c r="R1785" s="4">
        <f>Sheet1!$K$3*_xlfn.XLOOKUP(Table1[[#This Row], [DISGUISE]],Sheet1!$A$21:$A$23,Sheet1!$D$21:$D$23)</f>
        <v>66</v>
      </c>
      <c r="S1785" s="9">
        <f>Table1[[#This Row], [TOTAL TIME]]-Table1[[#This Row], [TOTAL TIME TAKEN]]</f>
        <v>-0.58374999999998067</v>
      </c>
      <c r="T1785" t="str">
        <f>IF(Table1[[#This Row], [TIME DIFFERENCE]]&gt;=0,"PASS","FAIL")</f>
        <v>FAIL</v>
      </c>
      <c r="U1785" s="9">
        <f>Table1[[#This Row], [TRC]]+Table1[[#This Row], [DRC]]+Table1[[#This Row], [WRC]]+Table1[[#This Row], [ERC]]+Table1[[#This Row], [EQRC]]</f>
        <v>8198550.7999999989</v>
      </c>
      <c r="V1785" s="9">
        <f>Table1[[#This Row], [TOTAL COST]]+_xlfn.XLOOKUP(Table1[[#This Row], [TEAM]],Sheet1!$A$12:$A$17,Sheet1!$I$12:$I$17)</f>
        <v>8502690.7999999989</v>
      </c>
      <c r="W1785" s="9">
        <f>Table1[[#This Row], [LOOT]]-Table1[[#This Row], [TOTAL COST]]</f>
        <v>9801449.2000000011</v>
      </c>
      <c r="X1785" s="4">
        <f>IF(Table1[[#This Row], [PASS/FAIL]]="FAIL",0,Table1[[#This Row], [PROFIT]])</f>
        <v>0</v>
      </c>
    </row>
    <row r="1786" spans="1:24" ht="19.5" customHeight="1" x14ac:dyDescent="0.45">
      <c r="A1786" t="s">
        <v>14</v>
      </c>
      <c r="B1786" s="14">
        <f>_xlfn.XLOOKUP(Table1[[#This Row], [TEAM]],Sheet1!$A$12:$A$17,Sheet1!$F$12:$F$17)</f>
        <v>2</v>
      </c>
      <c r="C1786" s="14">
        <f>_xlfn.XLOOKUP(Table1[[#This Row], [TEAM]],Sheet1!$A$12:$A$17,Sheet1!$G$12:$G$17)</f>
        <v>5949600</v>
      </c>
      <c r="D1786" t="s">
        <v>32</v>
      </c>
      <c r="E1786" s="4">
        <f>_xlfn.XLOOKUP(Table1[[#This Row], [ROOM]],Sheet1!$A$47:$A$66,Sheet1!$B$47:$B$66)</f>
        <v>346</v>
      </c>
      <c r="F1786" t="s">
        <v>62</v>
      </c>
      <c r="G178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6" s="13" t="s">
        <v>63</v>
      </c>
      <c r="I1786" s="4">
        <f>_xlfn.XLOOKUP(Table1[[#This Row], [WEAPON]],Sheet1!$A$27:$A$29,Sheet1!$B$27:$B$29)*Table1[[#This Row], [NUM OF MEM]]*(1+_xlfn.XLOOKUP(Table1[[#This Row], [WEAPON]],Sheet1!$A$27:$A$29,Sheet1!$C$27:$C$29))</f>
        <v>46000</v>
      </c>
      <c r="J1786" t="s">
        <v>60</v>
      </c>
      <c r="K1786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1711374.2812499995</v>
      </c>
      <c r="L1786" s="13" t="s">
        <v>65</v>
      </c>
      <c r="M1786" s="4">
        <f>IF(Table1[[#This Row], [EQUIPMENT]]="YES",Sheet1!$C$44*(1+Sheet1!$D$44),0)</f>
        <v>307500</v>
      </c>
      <c r="N1786" s="4">
        <f>_xlfn.XLOOKUP(Table1[[#This Row], [ROOM]],Sheet1!$A$47:$A$66,Sheet1!$F$47:$F$66)</f>
        <v>18200000</v>
      </c>
      <c r="O1786" s="9">
        <f>_xlfn.XLOOKUP(_xlfn.CONCAT(Table1[[#This Row], [TEAM]],Table1[[#This Row], [ROOM]]),'ROOM TIME'!$H$2:$H$121,'ROOM TIME'!$J$2:$J$121)</f>
        <v>57.906249999999986</v>
      </c>
      <c r="P1786" s="9">
        <f>(INDEX(Sheet1!$X$48:$Z$67,MATCH(Table1[[#This Row], [ROOM]],Sheet1!$P$48:$P$67,0),MATCH(Table1[[#This Row], [WEAPON]],Sheet1!$X$47:$Z$47,0)))/Table1[[#This Row], [NUM OF MEM]]</f>
        <v>8.7750000000000004</v>
      </c>
      <c r="Q1786" s="9">
        <f>Table1[[#This Row], [ROOM TIME]]+Table1[[#This Row], [GUARD TIME]]</f>
        <v>66.681249999999991</v>
      </c>
      <c r="R1786" s="4">
        <f>Sheet1!$K$3*_xlfn.XLOOKUP(Table1[[#This Row], [DISGUISE]],Sheet1!$A$21:$A$23,Sheet1!$D$21:$D$23)</f>
        <v>66</v>
      </c>
      <c r="S1786" s="9">
        <f>Table1[[#This Row], [TOTAL TIME]]-Table1[[#This Row], [TOTAL TIME TAKEN]]</f>
        <v>-0.68124999999999147</v>
      </c>
      <c r="T1786" t="str">
        <f>IF(Table1[[#This Row], [TIME DIFFERENCE]]&gt;=0,"PASS","FAIL")</f>
        <v>FAIL</v>
      </c>
      <c r="U1786" s="9">
        <f>Table1[[#This Row], [TRC]]+Table1[[#This Row], [DRC]]+Table1[[#This Row], [WRC]]+Table1[[#This Row], [ERC]]+Table1[[#This Row], [EQRC]]</f>
        <v>8024874.28125</v>
      </c>
      <c r="V1786" s="9">
        <f>Table1[[#This Row], [TOTAL COST]]+_xlfn.XLOOKUP(Table1[[#This Row], [TEAM]],Sheet1!$A$12:$A$17,Sheet1!$I$12:$I$17)</f>
        <v>8322354.28125</v>
      </c>
      <c r="W1786" s="9">
        <f>Table1[[#This Row], [LOOT]]-Table1[[#This Row], [TOTAL COST]]</f>
        <v>10175125.71875</v>
      </c>
      <c r="X1786" s="4">
        <f>IF(Table1[[#This Row], [PASS/FAIL]]="FAIL",0,Table1[[#This Row], [PROFIT]])</f>
        <v>0</v>
      </c>
    </row>
    <row r="1787" spans="1:24" ht="19.5" customHeight="1" x14ac:dyDescent="0.45">
      <c r="A1787" t="s">
        <v>14</v>
      </c>
      <c r="B1787" s="14">
        <f>_xlfn.XLOOKUP(Table1[[#This Row], [TEAM]],Sheet1!$A$12:$A$17,Sheet1!$F$12:$F$17)</f>
        <v>2</v>
      </c>
      <c r="C1787" s="14">
        <f>_xlfn.XLOOKUP(Table1[[#This Row], [TEAM]],Sheet1!$A$12:$A$17,Sheet1!$G$12:$G$17)</f>
        <v>5949600</v>
      </c>
      <c r="D1787" t="s">
        <v>32</v>
      </c>
      <c r="E1787" s="4">
        <f>_xlfn.XLOOKUP(Table1[[#This Row], [ROOM]],Sheet1!$A$47:$A$66,Sheet1!$B$47:$B$66)</f>
        <v>346</v>
      </c>
      <c r="F1787" t="s">
        <v>62</v>
      </c>
      <c r="G178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7" s="13" t="s">
        <v>63</v>
      </c>
      <c r="I1787" s="4">
        <f>_xlfn.XLOOKUP(Table1[[#This Row], [WEAPON]],Sheet1!$A$27:$A$29,Sheet1!$B$27:$B$29)*Table1[[#This Row], [NUM OF MEM]]*(1+_xlfn.XLOOKUP(Table1[[#This Row], [WEAPON]],Sheet1!$A$27:$A$29,Sheet1!$C$27:$C$29))</f>
        <v>46000</v>
      </c>
      <c r="J1787" t="s">
        <v>64</v>
      </c>
      <c r="K1787" s="9">
        <f>Table1[[#This Row], [NUM OF MEM]]*Table1[[#This Row], [TOTAL TIME TAKEN]]*_xlfn.XLOOKUP(Table1[[#This Row], [EXIT]],Sheet1!$A$70:$A$71,Sheet1!$B$70:$B$71)*(1+_xlfn.XLOOKUP(Table1[[#This Row], [EXIT]],Sheet1!$A$70:$A$71,Sheet1!$C$70:$C$71))</f>
        <v>1728377.9999999998</v>
      </c>
      <c r="L1787" s="13" t="s">
        <v>65</v>
      </c>
      <c r="M1787" s="4">
        <f>IF(Table1[[#This Row], [EQUIPMENT]]="YES",Sheet1!$C$44*(1+Sheet1!$D$44),0)</f>
        <v>307500</v>
      </c>
      <c r="N1787" s="4">
        <f>_xlfn.XLOOKUP(Table1[[#This Row], [ROOM]],Sheet1!$A$47:$A$66,Sheet1!$F$47:$F$66)</f>
        <v>18200000</v>
      </c>
      <c r="O1787" s="9">
        <f>_xlfn.XLOOKUP(_xlfn.CONCAT(Table1[[#This Row], [TEAM]],Table1[[#This Row], [ROOM]]),'ROOM TIME'!$H$2:$H$121,'ROOM TIME'!$J$2:$J$121)</f>
        <v>57.906249999999986</v>
      </c>
      <c r="P1787" s="9">
        <f>(INDEX(Sheet1!$X$48:$Z$67,MATCH(Table1[[#This Row], [ROOM]],Sheet1!$P$48:$P$67,0),MATCH(Table1[[#This Row], [WEAPON]],Sheet1!$X$47:$Z$47,0)))/Table1[[#This Row], [NUM OF MEM]]</f>
        <v>8.7750000000000004</v>
      </c>
      <c r="Q1787" s="9">
        <f>Table1[[#This Row], [ROOM TIME]]+Table1[[#This Row], [GUARD TIME]]</f>
        <v>66.681249999999991</v>
      </c>
      <c r="R1787" s="4">
        <f>Sheet1!$K$3*_xlfn.XLOOKUP(Table1[[#This Row], [DISGUISE]],Sheet1!$A$21:$A$23,Sheet1!$D$21:$D$23)</f>
        <v>66</v>
      </c>
      <c r="S1787" s="9">
        <f>Table1[[#This Row], [TOTAL TIME]]-Table1[[#This Row], [TOTAL TIME TAKEN]]</f>
        <v>-0.68124999999999147</v>
      </c>
      <c r="T1787" t="str">
        <f>IF(Table1[[#This Row], [TIME DIFFERENCE]]&gt;=0,"PASS","FAIL")</f>
        <v>FAIL</v>
      </c>
      <c r="U1787" s="4">
        <f>Table1[[#This Row], [TRC]]+Table1[[#This Row], [DRC]]+Table1[[#This Row], [WRC]]+Table1[[#This Row], [ERC]]+Table1[[#This Row], [EQRC]]</f>
        <v>8041878</v>
      </c>
      <c r="V1787" s="4">
        <f>Table1[[#This Row], [TOTAL COST]]+_xlfn.XLOOKUP(Table1[[#This Row], [TEAM]],Sheet1!$A$12:$A$17,Sheet1!$I$12:$I$17)</f>
        <v>8339358</v>
      </c>
      <c r="W1787" s="4">
        <f>Table1[[#This Row], [LOOT]]-Table1[[#This Row], [TOTAL COST]]</f>
        <v>10158122</v>
      </c>
      <c r="X1787" s="4">
        <f>IF(Table1[[#This Row], [PASS/FAIL]]="FAIL",0,Table1[[#This Row], [PROFIT]])</f>
        <v>0</v>
      </c>
    </row>
    <row r="1788" spans="1:24" ht="19.5" customHeight="1" x14ac:dyDescent="0.45">
      <c r="A1788" t="s">
        <v>14</v>
      </c>
      <c r="B1788" s="14">
        <f>_xlfn.XLOOKUP(Table1[[#This Row], [TEAM]],Sheet1!$A$12:$A$17,Sheet1!$F$12:$F$17)</f>
        <v>2</v>
      </c>
      <c r="C1788" s="14">
        <f>_xlfn.XLOOKUP(Table1[[#This Row], [TEAM]],Sheet1!$A$12:$A$17,Sheet1!$G$12:$G$17)</f>
        <v>5949600</v>
      </c>
      <c r="D1788" t="s">
        <v>32</v>
      </c>
      <c r="E1788" s="4">
        <f>_xlfn.XLOOKUP(Table1[[#This Row], [ROOM]],Sheet1!$A$47:$A$66,Sheet1!$B$47:$B$66)</f>
        <v>346</v>
      </c>
      <c r="F1788" t="s">
        <v>62</v>
      </c>
      <c r="G178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8" s="13" t="s">
        <v>66</v>
      </c>
      <c r="I1788" s="4">
        <f>_xlfn.XLOOKUP(Table1[[#This Row], [WEAPON]],Sheet1!$A$27:$A$29,Sheet1!$B$27:$B$29)*Table1[[#This Row], [NUM OF MEM]]*(1+_xlfn.XLOOKUP(Table1[[#This Row], [WEAPON]],Sheet1!$A$27:$A$29,Sheet1!$C$27:$C$29))</f>
        <v>72000</v>
      </c>
      <c r="J1788" t="s">
        <v>60</v>
      </c>
      <c r="K1788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1694692.0312499995</v>
      </c>
      <c r="L1788" s="13" t="s">
        <v>65</v>
      </c>
      <c r="M1788" s="4">
        <f>IF(Table1[[#This Row], [EQUIPMENT]]="YES",Sheet1!$C$44*(1+Sheet1!$D$44),0)</f>
        <v>307500</v>
      </c>
      <c r="N1788" s="4">
        <f>_xlfn.XLOOKUP(Table1[[#This Row], [ROOM]],Sheet1!$A$47:$A$66,Sheet1!$F$47:$F$66)</f>
        <v>18200000</v>
      </c>
      <c r="O1788" s="9">
        <f>_xlfn.XLOOKUP(_xlfn.CONCAT(Table1[[#This Row], [TEAM]],Table1[[#This Row], [ROOM]]),'ROOM TIME'!$H$2:$H$121,'ROOM TIME'!$J$2:$J$121)</f>
        <v>57.906249999999986</v>
      </c>
      <c r="P1788" s="9">
        <f>(INDEX(Sheet1!$X$48:$Z$67,MATCH(Table1[[#This Row], [ROOM]],Sheet1!$P$48:$P$67,0),MATCH(Table1[[#This Row], [WEAPON]],Sheet1!$X$47:$Z$47,0)))/Table1[[#This Row], [NUM OF MEM]]</f>
        <v>8.125</v>
      </c>
      <c r="Q1788" s="9">
        <f>Table1[[#This Row], [ROOM TIME]]+Table1[[#This Row], [GUARD TIME]]</f>
        <v>66.031249999999986</v>
      </c>
      <c r="R1788" s="4">
        <f>Sheet1!$K$3*_xlfn.XLOOKUP(Table1[[#This Row], [DISGUISE]],Sheet1!$A$21:$A$23,Sheet1!$D$21:$D$23)</f>
        <v>66</v>
      </c>
      <c r="S1788" s="9">
        <f>Table1[[#This Row], [TOTAL TIME]]-Table1[[#This Row], [TOTAL TIME TAKEN]]</f>
        <v>-3.1249999999985789E-2</v>
      </c>
      <c r="T1788" t="str">
        <f>IF(Table1[[#This Row], [TIME DIFFERENCE]]&gt;=0,"PASS","FAIL")</f>
        <v>FAIL</v>
      </c>
      <c r="U1788" s="9">
        <f>Table1[[#This Row], [TRC]]+Table1[[#This Row], [DRC]]+Table1[[#This Row], [WRC]]+Table1[[#This Row], [ERC]]+Table1[[#This Row], [EQRC]]</f>
        <v>8034192.03125</v>
      </c>
      <c r="V1788" s="9">
        <f>Table1[[#This Row], [TOTAL COST]]+_xlfn.XLOOKUP(Table1[[#This Row], [TEAM]],Sheet1!$A$12:$A$17,Sheet1!$I$12:$I$17)</f>
        <v>8331672.03125</v>
      </c>
      <c r="W1788" s="9">
        <f>Table1[[#This Row], [LOOT]]-Table1[[#This Row], [TOTAL COST]]</f>
        <v>10165807.96875</v>
      </c>
      <c r="X1788" s="4">
        <f>IF(Table1[[#This Row], [PASS/FAIL]]="FAIL",0,Table1[[#This Row], [PROFIT]])</f>
        <v>0</v>
      </c>
    </row>
    <row r="1789" spans="1:24" ht="19.5" customHeight="1" x14ac:dyDescent="0.45">
      <c r="A1789" t="s">
        <v>14</v>
      </c>
      <c r="B1789" s="14">
        <f>_xlfn.XLOOKUP(Table1[[#This Row], [TEAM]],Sheet1!$A$12:$A$17,Sheet1!$F$12:$F$17)</f>
        <v>2</v>
      </c>
      <c r="C1789" s="14">
        <f>_xlfn.XLOOKUP(Table1[[#This Row], [TEAM]],Sheet1!$A$12:$A$17,Sheet1!$G$12:$G$17)</f>
        <v>5949600</v>
      </c>
      <c r="D1789" t="s">
        <v>32</v>
      </c>
      <c r="E1789" s="4">
        <f>_xlfn.XLOOKUP(Table1[[#This Row], [ROOM]],Sheet1!$A$47:$A$66,Sheet1!$B$47:$B$66)</f>
        <v>346</v>
      </c>
      <c r="F1789" t="s">
        <v>62</v>
      </c>
      <c r="G178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89" s="13" t="s">
        <v>66</v>
      </c>
      <c r="I1789" s="4">
        <f>_xlfn.XLOOKUP(Table1[[#This Row], [WEAPON]],Sheet1!$A$27:$A$29,Sheet1!$B$27:$B$29)*Table1[[#This Row], [NUM OF MEM]]*(1+_xlfn.XLOOKUP(Table1[[#This Row], [WEAPON]],Sheet1!$A$27:$A$29,Sheet1!$C$27:$C$29))</f>
        <v>72000</v>
      </c>
      <c r="J1789" t="s">
        <v>64</v>
      </c>
      <c r="K1789" s="9">
        <f>Table1[[#This Row], [NUM OF MEM]]*Table1[[#This Row], [TOTAL TIME TAKEN]]*_xlfn.XLOOKUP(Table1[[#This Row], [EXIT]],Sheet1!$A$70:$A$71,Sheet1!$B$70:$B$71)*(1+_xlfn.XLOOKUP(Table1[[#This Row], [EXIT]],Sheet1!$A$70:$A$71,Sheet1!$C$70:$C$71))</f>
        <v>1711529.9999999998</v>
      </c>
      <c r="L1789" s="13" t="s">
        <v>65</v>
      </c>
      <c r="M1789" s="4">
        <f>IF(Table1[[#This Row], [EQUIPMENT]]="YES",Sheet1!$C$44*(1+Sheet1!$D$44),0)</f>
        <v>307500</v>
      </c>
      <c r="N1789" s="4">
        <f>_xlfn.XLOOKUP(Table1[[#This Row], [ROOM]],Sheet1!$A$47:$A$66,Sheet1!$F$47:$F$66)</f>
        <v>18200000</v>
      </c>
      <c r="O1789" s="9">
        <f>_xlfn.XLOOKUP(_xlfn.CONCAT(Table1[[#This Row], [TEAM]],Table1[[#This Row], [ROOM]]),'ROOM TIME'!$H$2:$H$121,'ROOM TIME'!$J$2:$J$121)</f>
        <v>57.906249999999986</v>
      </c>
      <c r="P1789" s="9">
        <f>(INDEX(Sheet1!$X$48:$Z$67,MATCH(Table1[[#This Row], [ROOM]],Sheet1!$P$48:$P$67,0),MATCH(Table1[[#This Row], [WEAPON]],Sheet1!$X$47:$Z$47,0)))/Table1[[#This Row], [NUM OF MEM]]</f>
        <v>8.125</v>
      </c>
      <c r="Q1789" s="9">
        <f>Table1[[#This Row], [ROOM TIME]]+Table1[[#This Row], [GUARD TIME]]</f>
        <v>66.031249999999986</v>
      </c>
      <c r="R1789" s="4">
        <f>Sheet1!$K$3*_xlfn.XLOOKUP(Table1[[#This Row], [DISGUISE]],Sheet1!$A$21:$A$23,Sheet1!$D$21:$D$23)</f>
        <v>66</v>
      </c>
      <c r="S1789" s="9">
        <f>Table1[[#This Row], [TOTAL TIME]]-Table1[[#This Row], [TOTAL TIME TAKEN]]</f>
        <v>-3.1249999999985789E-2</v>
      </c>
      <c r="T1789" t="str">
        <f>IF(Table1[[#This Row], [TIME DIFFERENCE]]&gt;=0,"PASS","FAIL")</f>
        <v>FAIL</v>
      </c>
      <c r="U1789" s="4">
        <f>Table1[[#This Row], [TRC]]+Table1[[#This Row], [DRC]]+Table1[[#This Row], [WRC]]+Table1[[#This Row], [ERC]]+Table1[[#This Row], [EQRC]]</f>
        <v>8051030</v>
      </c>
      <c r="V1789" s="4">
        <f>Table1[[#This Row], [TOTAL COST]]+_xlfn.XLOOKUP(Table1[[#This Row], [TEAM]],Sheet1!$A$12:$A$17,Sheet1!$I$12:$I$17)</f>
        <v>8348510</v>
      </c>
      <c r="W1789" s="4">
        <f>Table1[[#This Row], [LOOT]]-Table1[[#This Row], [TOTAL COST]]</f>
        <v>10148970</v>
      </c>
      <c r="X1789" s="4">
        <f>IF(Table1[[#This Row], [PASS/FAIL]]="FAIL",0,Table1[[#This Row], [PROFIT]])</f>
        <v>0</v>
      </c>
    </row>
    <row r="1790" spans="1:24" ht="19.5" customHeight="1" x14ac:dyDescent="0.45">
      <c r="A1790" t="s">
        <v>15</v>
      </c>
      <c r="B1790" s="14">
        <f>_xlfn.XLOOKUP(Table1[[#This Row], [TEAM]],Sheet1!$A$12:$A$17,Sheet1!$F$12:$F$17)</f>
        <v>2</v>
      </c>
      <c r="C1790" s="14">
        <f>_xlfn.XLOOKUP(Table1[[#This Row], [TEAM]],Sheet1!$A$12:$A$17,Sheet1!$G$12:$G$17)</f>
        <v>5932950</v>
      </c>
      <c r="D1790" t="s">
        <v>32</v>
      </c>
      <c r="E1790" s="4">
        <f>_xlfn.XLOOKUP(Table1[[#This Row], [ROOM]],Sheet1!$A$47:$A$66,Sheet1!$B$47:$B$66)</f>
        <v>346</v>
      </c>
      <c r="F1790" t="s">
        <v>62</v>
      </c>
      <c r="G1790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0" s="13" t="s">
        <v>59</v>
      </c>
      <c r="I1790" s="4">
        <f>_xlfn.XLOOKUP(Table1[[#This Row], [WEAPON]],Sheet1!$A$27:$A$29,Sheet1!$B$27:$B$29)*Table1[[#This Row], [NUM OF MEM]]*(1+_xlfn.XLOOKUP(Table1[[#This Row], [WEAPON]],Sheet1!$A$27:$A$29,Sheet1!$C$27:$C$29))</f>
        <v>91000</v>
      </c>
      <c r="J1790" t="s">
        <v>60</v>
      </c>
      <c r="K1790" s="9">
        <f>Table1[[#This Row], [NUM OF MEM]]*Table1[[#This Row], [TOTAL TIME TAKEN]]*_xlfn.XLOOKUP(Table1[[#This Row], [EXIT]],Sheet1!$A$70:$A$71,Sheet1!$B$70:$B$71)*(1+_xlfn.XLOOKUP(Table1[[#This Row], [EXIT]],Sheet1!$A$70:$A$71,Sheet1!$C$70:$C$71))</f>
        <v>1694692.0312499993</v>
      </c>
      <c r="L1790" s="13" t="s">
        <v>65</v>
      </c>
      <c r="M1790" s="4">
        <f>IF(Table1[[#This Row], [EQUIPMENT]]="YES",Sheet1!$C$44*(1+Sheet1!$D$44),0)</f>
        <v>307500</v>
      </c>
      <c r="N1790" s="4">
        <f>_xlfn.XLOOKUP(Table1[[#This Row], [ROOM]],Sheet1!$A$47:$A$66,Sheet1!$F$47:$F$66)</f>
        <v>18200000</v>
      </c>
      <c r="O1790" s="9">
        <f>_xlfn.XLOOKUP(_xlfn.CONCAT(Table1[[#This Row], [TEAM]],Table1[[#This Row], [ROOM]]),'ROOM TIME'!$H$2:$H$121,'ROOM TIME'!$J$2:$J$121)</f>
        <v>58.556249999999977</v>
      </c>
      <c r="P1790" s="9">
        <f>(INDEX(Sheet1!$X$48:$Z$67,MATCH(Table1[[#This Row], [ROOM]],Sheet1!$P$48:$P$67,0),MATCH(Table1[[#This Row], [WEAPON]],Sheet1!$X$47:$Z$47,0)))/Table1[[#This Row], [NUM OF MEM]]</f>
        <v>7.4749999999999996</v>
      </c>
      <c r="Q1790" s="9">
        <f>Table1[[#This Row], [ROOM TIME]]+Table1[[#This Row], [GUARD TIME]]</f>
        <v>66.031249999999972</v>
      </c>
      <c r="R1790" s="4">
        <f>Sheet1!$K$3*_xlfn.XLOOKUP(Table1[[#This Row], [DISGUISE]],Sheet1!$A$21:$A$23,Sheet1!$D$21:$D$23)</f>
        <v>66</v>
      </c>
      <c r="S1790" s="9">
        <f>Table1[[#This Row], [TOTAL TIME]]-Table1[[#This Row], [TOTAL TIME TAKEN]]</f>
        <v>-3.1249999999971578E-2</v>
      </c>
      <c r="T1790" t="str">
        <f>IF(Table1[[#This Row], [TIME DIFFERENCE]]&gt;=0,"PASS","FAIL")</f>
        <v>FAIL</v>
      </c>
      <c r="U1790" s="9">
        <f>Table1[[#This Row], [TRC]]+Table1[[#This Row], [DRC]]+Table1[[#This Row], [WRC]]+Table1[[#This Row], [ERC]]+Table1[[#This Row], [EQRC]]</f>
        <v>8036542.0312499991</v>
      </c>
      <c r="V1790" s="9">
        <f>Table1[[#This Row], [TOTAL COST]]+_xlfn.XLOOKUP(Table1[[#This Row], [TEAM]],Sheet1!$A$12:$A$17,Sheet1!$I$12:$I$17)</f>
        <v>8333189.5312499991</v>
      </c>
      <c r="W1790" s="9">
        <f>Table1[[#This Row], [LOOT]]-Table1[[#This Row], [TOTAL COST]]</f>
        <v>10163457.96875</v>
      </c>
      <c r="X1790" s="4">
        <f>IF(Table1[[#This Row], [PASS/FAIL]]="FAIL",0,Table1[[#This Row], [PROFIT]])</f>
        <v>0</v>
      </c>
    </row>
    <row r="1791" spans="1:24" ht="19.5" customHeight="1" x14ac:dyDescent="0.45">
      <c r="A1791" t="s">
        <v>15</v>
      </c>
      <c r="B1791" s="14">
        <f>_xlfn.XLOOKUP(Table1[[#This Row], [TEAM]],Sheet1!$A$12:$A$17,Sheet1!$F$12:$F$17)</f>
        <v>2</v>
      </c>
      <c r="C1791" s="14">
        <f>_xlfn.XLOOKUP(Table1[[#This Row], [TEAM]],Sheet1!$A$12:$A$17,Sheet1!$G$12:$G$17)</f>
        <v>5932950</v>
      </c>
      <c r="D1791" t="s">
        <v>32</v>
      </c>
      <c r="E1791" s="4">
        <f>_xlfn.XLOOKUP(Table1[[#This Row], [ROOM]],Sheet1!$A$47:$A$66,Sheet1!$B$47:$B$66)</f>
        <v>346</v>
      </c>
      <c r="F1791" t="s">
        <v>62</v>
      </c>
      <c r="G1791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1" s="13" t="s">
        <v>59</v>
      </c>
      <c r="I1791" s="4">
        <f>_xlfn.XLOOKUP(Table1[[#This Row], [WEAPON]],Sheet1!$A$27:$A$29,Sheet1!$B$27:$B$29)*Table1[[#This Row], [NUM OF MEM]]*(1+_xlfn.XLOOKUP(Table1[[#This Row], [WEAPON]],Sheet1!$A$27:$A$29,Sheet1!$C$27:$C$29))</f>
        <v>91000</v>
      </c>
      <c r="J1791" t="s">
        <v>64</v>
      </c>
      <c r="K1791" s="9">
        <f>Table1[[#This Row], [NUM OF MEM]]*Table1[[#This Row], [TOTAL TIME TAKEN]]*_xlfn.XLOOKUP(Table1[[#This Row], [EXIT]],Sheet1!$A$70:$A$71,Sheet1!$B$70:$B$71)*(1+_xlfn.XLOOKUP(Table1[[#This Row], [EXIT]],Sheet1!$A$70:$A$71,Sheet1!$C$70:$C$71))</f>
        <v>1711529.9999999991</v>
      </c>
      <c r="L1791" s="13" t="s">
        <v>65</v>
      </c>
      <c r="M1791" s="4">
        <f>IF(Table1[[#This Row], [EQUIPMENT]]="YES",Sheet1!$C$44*(1+Sheet1!$D$44),0)</f>
        <v>307500</v>
      </c>
      <c r="N1791" s="4">
        <f>_xlfn.XLOOKUP(Table1[[#This Row], [ROOM]],Sheet1!$A$47:$A$66,Sheet1!$F$47:$F$66)</f>
        <v>18200000</v>
      </c>
      <c r="O1791" s="9">
        <f>_xlfn.XLOOKUP(_xlfn.CONCAT(Table1[[#This Row], [TEAM]],Table1[[#This Row], [ROOM]]),'ROOM TIME'!$H$2:$H$121,'ROOM TIME'!$J$2:$J$121)</f>
        <v>58.556249999999977</v>
      </c>
      <c r="P1791" s="9">
        <f>(INDEX(Sheet1!$X$48:$Z$67,MATCH(Table1[[#This Row], [ROOM]],Sheet1!$P$48:$P$67,0),MATCH(Table1[[#This Row], [WEAPON]],Sheet1!$X$47:$Z$47,0)))/Table1[[#This Row], [NUM OF MEM]]</f>
        <v>7.4749999999999996</v>
      </c>
      <c r="Q1791" s="9">
        <f>Table1[[#This Row], [ROOM TIME]]+Table1[[#This Row], [GUARD TIME]]</f>
        <v>66.031249999999972</v>
      </c>
      <c r="R1791" s="4">
        <f>Sheet1!$K$3*_xlfn.XLOOKUP(Table1[[#This Row], [DISGUISE]],Sheet1!$A$21:$A$23,Sheet1!$D$21:$D$23)</f>
        <v>66</v>
      </c>
      <c r="S1791" s="9">
        <f>Table1[[#This Row], [TOTAL TIME]]-Table1[[#This Row], [TOTAL TIME TAKEN]]</f>
        <v>-3.1249999999971578E-2</v>
      </c>
      <c r="T1791" t="str">
        <f>IF(Table1[[#This Row], [TIME DIFFERENCE]]&gt;=0,"PASS","FAIL")</f>
        <v>FAIL</v>
      </c>
      <c r="U1791" s="9">
        <f>Table1[[#This Row], [TRC]]+Table1[[#This Row], [DRC]]+Table1[[#This Row], [WRC]]+Table1[[#This Row], [ERC]]+Table1[[#This Row], [EQRC]]</f>
        <v>8053379.9999999991</v>
      </c>
      <c r="V1791" s="9">
        <f>Table1[[#This Row], [TOTAL COST]]+_xlfn.XLOOKUP(Table1[[#This Row], [TEAM]],Sheet1!$A$12:$A$17,Sheet1!$I$12:$I$17)</f>
        <v>8350027.4999999991</v>
      </c>
      <c r="W1791" s="4">
        <f>Table1[[#This Row], [LOOT]]-Table1[[#This Row], [TOTAL COST]]</f>
        <v>10146620</v>
      </c>
      <c r="X1791" s="4">
        <f>IF(Table1[[#This Row], [PASS/FAIL]]="FAIL",0,Table1[[#This Row], [PROFIT]])</f>
        <v>0</v>
      </c>
    </row>
    <row r="1792" spans="1:24" ht="19.5" customHeight="1" x14ac:dyDescent="0.45">
      <c r="A1792" t="s">
        <v>15</v>
      </c>
      <c r="B1792" s="14">
        <f>_xlfn.XLOOKUP(Table1[[#This Row], [TEAM]],Sheet1!$A$12:$A$17,Sheet1!$F$12:$F$17)</f>
        <v>2</v>
      </c>
      <c r="C1792" s="14">
        <f>_xlfn.XLOOKUP(Table1[[#This Row], [TEAM]],Sheet1!$A$12:$A$17,Sheet1!$G$12:$G$17)</f>
        <v>5932950</v>
      </c>
      <c r="D1792" t="s">
        <v>32</v>
      </c>
      <c r="E1792" s="4">
        <f>_xlfn.XLOOKUP(Table1[[#This Row], [ROOM]],Sheet1!$A$47:$A$66,Sheet1!$B$47:$B$66)</f>
        <v>346</v>
      </c>
      <c r="F1792" t="s">
        <v>62</v>
      </c>
      <c r="G1792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2" s="13" t="s">
        <v>63</v>
      </c>
      <c r="I1792" s="4">
        <f>_xlfn.XLOOKUP(Table1[[#This Row], [WEAPON]],Sheet1!$A$27:$A$29,Sheet1!$B$27:$B$29)*Table1[[#This Row], [NUM OF MEM]]*(1+_xlfn.XLOOKUP(Table1[[#This Row], [WEAPON]],Sheet1!$A$27:$A$29,Sheet1!$C$27:$C$29))</f>
        <v>46000</v>
      </c>
      <c r="J1792" t="s">
        <v>60</v>
      </c>
      <c r="K1792" s="9">
        <f>Table1[[#This Row], [NUM OF MEM]]*Table1[[#This Row], [TOTAL TIME TAKEN]]*_xlfn.XLOOKUP(Table1[[#This Row], [EXIT]],Sheet1!$A$70:$A$71,Sheet1!$B$70:$B$71)*(1+_xlfn.XLOOKUP(Table1[[#This Row], [EXIT]],Sheet1!$A$70:$A$71,Sheet1!$C$70:$C$71))</f>
        <v>1728056.5312499995</v>
      </c>
      <c r="L1792" s="13" t="s">
        <v>65</v>
      </c>
      <c r="M1792" s="4">
        <f>IF(Table1[[#This Row], [EQUIPMENT]]="YES",Sheet1!$C$44*(1+Sheet1!$D$44),0)</f>
        <v>307500</v>
      </c>
      <c r="N1792" s="4">
        <f>_xlfn.XLOOKUP(Table1[[#This Row], [ROOM]],Sheet1!$A$47:$A$66,Sheet1!$F$47:$F$66)</f>
        <v>18200000</v>
      </c>
      <c r="O1792" s="9">
        <f>_xlfn.XLOOKUP(_xlfn.CONCAT(Table1[[#This Row], [TEAM]],Table1[[#This Row], [ROOM]]),'ROOM TIME'!$H$2:$H$121,'ROOM TIME'!$J$2:$J$121)</f>
        <v>58.556249999999977</v>
      </c>
      <c r="P1792" s="9">
        <f>(INDEX(Sheet1!$X$48:$Z$67,MATCH(Table1[[#This Row], [ROOM]],Sheet1!$P$48:$P$67,0),MATCH(Table1[[#This Row], [WEAPON]],Sheet1!$X$47:$Z$47,0)))/Table1[[#This Row], [NUM OF MEM]]</f>
        <v>8.7750000000000004</v>
      </c>
      <c r="Q1792" s="9">
        <f>Table1[[#This Row], [ROOM TIME]]+Table1[[#This Row], [GUARD TIME]]</f>
        <v>67.331249999999983</v>
      </c>
      <c r="R1792" s="4">
        <f>Sheet1!$K$3*_xlfn.XLOOKUP(Table1[[#This Row], [DISGUISE]],Sheet1!$A$21:$A$23,Sheet1!$D$21:$D$23)</f>
        <v>66</v>
      </c>
      <c r="S1792" s="9">
        <f>Table1[[#This Row], [TOTAL TIME]]-Table1[[#This Row], [TOTAL TIME TAKEN]]</f>
        <v>-1.3312499999999829</v>
      </c>
      <c r="T1792" t="str">
        <f>IF(Table1[[#This Row], [TIME DIFFERENCE]]&gt;=0,"PASS","FAIL")</f>
        <v>FAIL</v>
      </c>
      <c r="U1792" s="9">
        <f>Table1[[#This Row], [TRC]]+Table1[[#This Row], [DRC]]+Table1[[#This Row], [WRC]]+Table1[[#This Row], [ERC]]+Table1[[#This Row], [EQRC]]</f>
        <v>8024906.53125</v>
      </c>
      <c r="V1792" s="9">
        <f>Table1[[#This Row], [TOTAL COST]]+_xlfn.XLOOKUP(Table1[[#This Row], [TEAM]],Sheet1!$A$12:$A$17,Sheet1!$I$12:$I$17)</f>
        <v>8321554.03125</v>
      </c>
      <c r="W1792" s="9">
        <f>Table1[[#This Row], [LOOT]]-Table1[[#This Row], [TOTAL COST]]</f>
        <v>10175093.46875</v>
      </c>
      <c r="X1792" s="4">
        <f>IF(Table1[[#This Row], [PASS/FAIL]]="FAIL",0,Table1[[#This Row], [PROFIT]])</f>
        <v>0</v>
      </c>
    </row>
    <row r="1793" spans="1:24" ht="19.5" customHeight="1" x14ac:dyDescent="0.45">
      <c r="A1793" t="s">
        <v>15</v>
      </c>
      <c r="B1793" s="14">
        <f>_xlfn.XLOOKUP(Table1[[#This Row], [TEAM]],Sheet1!$A$12:$A$17,Sheet1!$F$12:$F$17)</f>
        <v>2</v>
      </c>
      <c r="C1793" s="14">
        <f>_xlfn.XLOOKUP(Table1[[#This Row], [TEAM]],Sheet1!$A$12:$A$17,Sheet1!$G$12:$G$17)</f>
        <v>5932950</v>
      </c>
      <c r="D1793" t="s">
        <v>32</v>
      </c>
      <c r="E1793" s="4">
        <f>_xlfn.XLOOKUP(Table1[[#This Row], [ROOM]],Sheet1!$A$47:$A$66,Sheet1!$B$47:$B$66)</f>
        <v>346</v>
      </c>
      <c r="F1793" t="s">
        <v>62</v>
      </c>
      <c r="G1793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3" s="13" t="s">
        <v>66</v>
      </c>
      <c r="I1793" s="4">
        <f>_xlfn.XLOOKUP(Table1[[#This Row], [WEAPON]],Sheet1!$A$27:$A$29,Sheet1!$B$27:$B$29)*Table1[[#This Row], [NUM OF MEM]]*(1+_xlfn.XLOOKUP(Table1[[#This Row], [WEAPON]],Sheet1!$A$27:$A$29,Sheet1!$C$27:$C$29))</f>
        <v>72000</v>
      </c>
      <c r="J1793" t="s">
        <v>60</v>
      </c>
      <c r="K1793" s="9">
        <f>Table1[[#This Row], [NUM OF MEM]]*Table1[[#This Row], [TOTAL TIME TAKEN]]*_xlfn.XLOOKUP(Table1[[#This Row], [EXIT]],Sheet1!$A$70:$A$71,Sheet1!$B$70:$B$71)*(1+_xlfn.XLOOKUP(Table1[[#This Row], [EXIT]],Sheet1!$A$70:$A$71,Sheet1!$C$70:$C$71))</f>
        <v>1711374.2812499993</v>
      </c>
      <c r="L1793" s="13" t="s">
        <v>65</v>
      </c>
      <c r="M1793" s="4">
        <f>IF(Table1[[#This Row], [EQUIPMENT]]="YES",Sheet1!$C$44*(1+Sheet1!$D$44),0)</f>
        <v>307500</v>
      </c>
      <c r="N1793" s="4">
        <f>_xlfn.XLOOKUP(Table1[[#This Row], [ROOM]],Sheet1!$A$47:$A$66,Sheet1!$F$47:$F$66)</f>
        <v>18200000</v>
      </c>
      <c r="O1793" s="9">
        <f>_xlfn.XLOOKUP(_xlfn.CONCAT(Table1[[#This Row], [TEAM]],Table1[[#This Row], [ROOM]]),'ROOM TIME'!$H$2:$H$121,'ROOM TIME'!$J$2:$J$121)</f>
        <v>58.556249999999977</v>
      </c>
      <c r="P1793" s="9">
        <f>(INDEX(Sheet1!$X$48:$Z$67,MATCH(Table1[[#This Row], [ROOM]],Sheet1!$P$48:$P$67,0),MATCH(Table1[[#This Row], [WEAPON]],Sheet1!$X$47:$Z$47,0)))/Table1[[#This Row], [NUM OF MEM]]</f>
        <v>8.125</v>
      </c>
      <c r="Q1793" s="9">
        <f>Table1[[#This Row], [ROOM TIME]]+Table1[[#This Row], [GUARD TIME]]</f>
        <v>66.681249999999977</v>
      </c>
      <c r="R1793" s="4">
        <f>Sheet1!$K$3*_xlfn.XLOOKUP(Table1[[#This Row], [DISGUISE]],Sheet1!$A$21:$A$23,Sheet1!$D$21:$D$23)</f>
        <v>66</v>
      </c>
      <c r="S1793" s="9">
        <f>Table1[[#This Row], [TOTAL TIME]]-Table1[[#This Row], [TOTAL TIME TAKEN]]</f>
        <v>-0.68124999999997726</v>
      </c>
      <c r="T1793" t="str">
        <f>IF(Table1[[#This Row], [TIME DIFFERENCE]]&gt;=0,"PASS","FAIL")</f>
        <v>FAIL</v>
      </c>
      <c r="U1793" s="9">
        <f>Table1[[#This Row], [TRC]]+Table1[[#This Row], [DRC]]+Table1[[#This Row], [WRC]]+Table1[[#This Row], [ERC]]+Table1[[#This Row], [EQRC]]</f>
        <v>8034224.2812499991</v>
      </c>
      <c r="V1793" s="9">
        <f>Table1[[#This Row], [TOTAL COST]]+_xlfn.XLOOKUP(Table1[[#This Row], [TEAM]],Sheet1!$A$12:$A$17,Sheet1!$I$12:$I$17)</f>
        <v>8330871.7812499991</v>
      </c>
      <c r="W1793" s="9">
        <f>Table1[[#This Row], [LOOT]]-Table1[[#This Row], [TOTAL COST]]</f>
        <v>10165775.71875</v>
      </c>
      <c r="X1793" s="4">
        <f>IF(Table1[[#This Row], [PASS/FAIL]]="FAIL",0,Table1[[#This Row], [PROFIT]])</f>
        <v>0</v>
      </c>
    </row>
    <row r="1794" spans="1:24" ht="19.5" customHeight="1" x14ac:dyDescent="0.45">
      <c r="A1794" t="s">
        <v>15</v>
      </c>
      <c r="B1794" s="14">
        <f>_xlfn.XLOOKUP(Table1[[#This Row], [TEAM]],Sheet1!$A$12:$A$17,Sheet1!$F$12:$F$17)</f>
        <v>2</v>
      </c>
      <c r="C1794" s="14">
        <f>_xlfn.XLOOKUP(Table1[[#This Row], [TEAM]],Sheet1!$A$12:$A$17,Sheet1!$G$12:$G$17)</f>
        <v>5932950</v>
      </c>
      <c r="D1794" t="s">
        <v>32</v>
      </c>
      <c r="E1794" s="4">
        <f>_xlfn.XLOOKUP(Table1[[#This Row], [ROOM]],Sheet1!$A$47:$A$66,Sheet1!$B$47:$B$66)</f>
        <v>346</v>
      </c>
      <c r="F1794" t="s">
        <v>62</v>
      </c>
      <c r="G1794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4" s="13" t="s">
        <v>63</v>
      </c>
      <c r="I1794" s="4">
        <f>_xlfn.XLOOKUP(Table1[[#This Row], [WEAPON]],Sheet1!$A$27:$A$29,Sheet1!$B$27:$B$29)*Table1[[#This Row], [NUM OF MEM]]*(1+_xlfn.XLOOKUP(Table1[[#This Row], [WEAPON]],Sheet1!$A$27:$A$29,Sheet1!$C$27:$C$29))</f>
        <v>46000</v>
      </c>
      <c r="J1794" t="s">
        <v>64</v>
      </c>
      <c r="K1794" s="9">
        <f>Table1[[#This Row], [NUM OF MEM]]*Table1[[#This Row], [TOTAL TIME TAKEN]]*_xlfn.XLOOKUP(Table1[[#This Row], [EXIT]],Sheet1!$A$70:$A$71,Sheet1!$B$70:$B$71)*(1+_xlfn.XLOOKUP(Table1[[#This Row], [EXIT]],Sheet1!$A$70:$A$71,Sheet1!$C$70:$C$71))</f>
        <v>1745225.9999999993</v>
      </c>
      <c r="L1794" s="13" t="s">
        <v>65</v>
      </c>
      <c r="M1794" s="4">
        <f>IF(Table1[[#This Row], [EQUIPMENT]]="YES",Sheet1!$C$44*(1+Sheet1!$D$44),0)</f>
        <v>307500</v>
      </c>
      <c r="N1794" s="4">
        <f>_xlfn.XLOOKUP(Table1[[#This Row], [ROOM]],Sheet1!$A$47:$A$66,Sheet1!$F$47:$F$66)</f>
        <v>18200000</v>
      </c>
      <c r="O1794" s="9">
        <f>_xlfn.XLOOKUP(_xlfn.CONCAT(Table1[[#This Row], [TEAM]],Table1[[#This Row], [ROOM]]),'ROOM TIME'!$H$2:$H$121,'ROOM TIME'!$J$2:$J$121)</f>
        <v>58.556249999999977</v>
      </c>
      <c r="P1794" s="9">
        <f>(INDEX(Sheet1!$X$48:$Z$67,MATCH(Table1[[#This Row], [ROOM]],Sheet1!$P$48:$P$67,0),MATCH(Table1[[#This Row], [WEAPON]],Sheet1!$X$47:$Z$47,0)))/Table1[[#This Row], [NUM OF MEM]]</f>
        <v>8.7750000000000004</v>
      </c>
      <c r="Q1794" s="9">
        <f>Table1[[#This Row], [ROOM TIME]]+Table1[[#This Row], [GUARD TIME]]</f>
        <v>67.331249999999983</v>
      </c>
      <c r="R1794" s="4">
        <f>Sheet1!$K$3*_xlfn.XLOOKUP(Table1[[#This Row], [DISGUISE]],Sheet1!$A$21:$A$23,Sheet1!$D$21:$D$23)</f>
        <v>66</v>
      </c>
      <c r="S1794" s="9">
        <f>Table1[[#This Row], [TOTAL TIME]]-Table1[[#This Row], [TOTAL TIME TAKEN]]</f>
        <v>-1.3312499999999829</v>
      </c>
      <c r="T1794" t="str">
        <f>IF(Table1[[#This Row], [TIME DIFFERENCE]]&gt;=0,"PASS","FAIL")</f>
        <v>FAIL</v>
      </c>
      <c r="U1794" s="9">
        <f>Table1[[#This Row], [TRC]]+Table1[[#This Row], [DRC]]+Table1[[#This Row], [WRC]]+Table1[[#This Row], [ERC]]+Table1[[#This Row], [EQRC]]</f>
        <v>8042075.9999999991</v>
      </c>
      <c r="V1794" s="9">
        <f>Table1[[#This Row], [TOTAL COST]]+_xlfn.XLOOKUP(Table1[[#This Row], [TEAM]],Sheet1!$A$12:$A$17,Sheet1!$I$12:$I$17)</f>
        <v>8338723.4999999991</v>
      </c>
      <c r="W1794" s="4">
        <f>Table1[[#This Row], [LOOT]]-Table1[[#This Row], [TOTAL COST]]</f>
        <v>10157924</v>
      </c>
      <c r="X1794" s="4">
        <f>IF(Table1[[#This Row], [PASS/FAIL]]="FAIL",0,Table1[[#This Row], [PROFIT]])</f>
        <v>0</v>
      </c>
    </row>
    <row r="1795" spans="1:24" ht="19.5" customHeight="1" x14ac:dyDescent="0.45">
      <c r="A1795" t="s">
        <v>15</v>
      </c>
      <c r="B1795" s="14">
        <f>_xlfn.XLOOKUP(Table1[[#This Row], [TEAM]],Sheet1!$A$12:$A$17,Sheet1!$F$12:$F$17)</f>
        <v>2</v>
      </c>
      <c r="C1795" s="14">
        <f>_xlfn.XLOOKUP(Table1[[#This Row], [TEAM]],Sheet1!$A$12:$A$17,Sheet1!$G$12:$G$17)</f>
        <v>5932950</v>
      </c>
      <c r="D1795" t="s">
        <v>32</v>
      </c>
      <c r="E1795" s="4">
        <f>_xlfn.XLOOKUP(Table1[[#This Row], [ROOM]],Sheet1!$A$47:$A$66,Sheet1!$B$47:$B$66)</f>
        <v>346</v>
      </c>
      <c r="F1795" t="s">
        <v>62</v>
      </c>
      <c r="G1795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5" s="13" t="s">
        <v>66</v>
      </c>
      <c r="I1795" s="4">
        <f>_xlfn.XLOOKUP(Table1[[#This Row], [WEAPON]],Sheet1!$A$27:$A$29,Sheet1!$B$27:$B$29)*Table1[[#This Row], [NUM OF MEM]]*(1+_xlfn.XLOOKUP(Table1[[#This Row], [WEAPON]],Sheet1!$A$27:$A$29,Sheet1!$C$27:$C$29))</f>
        <v>72000</v>
      </c>
      <c r="J1795" t="s">
        <v>64</v>
      </c>
      <c r="K1795" s="9">
        <f>Table1[[#This Row], [NUM OF MEM]]*Table1[[#This Row], [TOTAL TIME TAKEN]]*_xlfn.XLOOKUP(Table1[[#This Row], [EXIT]],Sheet1!$A$70:$A$71,Sheet1!$B$70:$B$71)*(1+_xlfn.XLOOKUP(Table1[[#This Row], [EXIT]],Sheet1!$A$70:$A$71,Sheet1!$C$70:$C$71))</f>
        <v>1728377.9999999993</v>
      </c>
      <c r="L1795" s="13" t="s">
        <v>65</v>
      </c>
      <c r="M1795" s="4">
        <f>IF(Table1[[#This Row], [EQUIPMENT]]="YES",Sheet1!$C$44*(1+Sheet1!$D$44),0)</f>
        <v>307500</v>
      </c>
      <c r="N1795" s="4">
        <f>_xlfn.XLOOKUP(Table1[[#This Row], [ROOM]],Sheet1!$A$47:$A$66,Sheet1!$F$47:$F$66)</f>
        <v>18200000</v>
      </c>
      <c r="O1795" s="9">
        <f>_xlfn.XLOOKUP(_xlfn.CONCAT(Table1[[#This Row], [TEAM]],Table1[[#This Row], [ROOM]]),'ROOM TIME'!$H$2:$H$121,'ROOM TIME'!$J$2:$J$121)</f>
        <v>58.556249999999977</v>
      </c>
      <c r="P1795" s="9">
        <f>(INDEX(Sheet1!$X$48:$Z$67,MATCH(Table1[[#This Row], [ROOM]],Sheet1!$P$48:$P$67,0),MATCH(Table1[[#This Row], [WEAPON]],Sheet1!$X$47:$Z$47,0)))/Table1[[#This Row], [NUM OF MEM]]</f>
        <v>8.125</v>
      </c>
      <c r="Q1795" s="9">
        <f>Table1[[#This Row], [ROOM TIME]]+Table1[[#This Row], [GUARD TIME]]</f>
        <v>66.681249999999977</v>
      </c>
      <c r="R1795" s="4">
        <f>Sheet1!$K$3*_xlfn.XLOOKUP(Table1[[#This Row], [DISGUISE]],Sheet1!$A$21:$A$23,Sheet1!$D$21:$D$23)</f>
        <v>66</v>
      </c>
      <c r="S1795" s="9">
        <f>Table1[[#This Row], [TOTAL TIME]]-Table1[[#This Row], [TOTAL TIME TAKEN]]</f>
        <v>-0.68124999999997726</v>
      </c>
      <c r="T1795" t="str">
        <f>IF(Table1[[#This Row], [TIME DIFFERENCE]]&gt;=0,"PASS","FAIL")</f>
        <v>FAIL</v>
      </c>
      <c r="U1795" s="9">
        <f>Table1[[#This Row], [TRC]]+Table1[[#This Row], [DRC]]+Table1[[#This Row], [WRC]]+Table1[[#This Row], [ERC]]+Table1[[#This Row], [EQRC]]</f>
        <v>8051227.9999999991</v>
      </c>
      <c r="V1795" s="9">
        <f>Table1[[#This Row], [TOTAL COST]]+_xlfn.XLOOKUP(Table1[[#This Row], [TEAM]],Sheet1!$A$12:$A$17,Sheet1!$I$12:$I$17)</f>
        <v>8347875.4999999991</v>
      </c>
      <c r="W1795" s="4">
        <f>Table1[[#This Row], [LOOT]]-Table1[[#This Row], [TOTAL COST]]</f>
        <v>10148772</v>
      </c>
      <c r="X1795" s="4">
        <f>IF(Table1[[#This Row], [PASS/FAIL]]="FAIL",0,Table1[[#This Row], [PROFIT]])</f>
        <v>0</v>
      </c>
    </row>
    <row r="1796" spans="1:24" ht="19.5" customHeight="1" x14ac:dyDescent="0.45">
      <c r="A1796" t="s">
        <v>16</v>
      </c>
      <c r="B1796" s="14">
        <f>_xlfn.XLOOKUP(Table1[[#This Row], [TEAM]],Sheet1!$A$12:$A$17,Sheet1!$F$12:$F$17)</f>
        <v>2</v>
      </c>
      <c r="C1796" s="14">
        <f>_xlfn.XLOOKUP(Table1[[#This Row], [TEAM]],Sheet1!$A$12:$A$17,Sheet1!$G$12:$G$17)</f>
        <v>6082800</v>
      </c>
      <c r="D1796" t="s">
        <v>32</v>
      </c>
      <c r="E1796" s="4">
        <f>_xlfn.XLOOKUP(Table1[[#This Row], [ROOM]],Sheet1!$A$47:$A$66,Sheet1!$B$47:$B$66)</f>
        <v>346</v>
      </c>
      <c r="F1796" t="s">
        <v>62</v>
      </c>
      <c r="G1796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6" s="13" t="s">
        <v>63</v>
      </c>
      <c r="I1796" s="4">
        <f>_xlfn.XLOOKUP(Table1[[#This Row], [WEAPON]],Sheet1!$A$27:$A$29,Sheet1!$B$27:$B$29)*Table1[[#This Row], [NUM OF MEM]]*(1+_xlfn.XLOOKUP(Table1[[#This Row], [WEAPON]],Sheet1!$A$27:$A$29,Sheet1!$C$27:$C$29))</f>
        <v>46000</v>
      </c>
      <c r="J1796" t="s">
        <v>60</v>
      </c>
      <c r="K1796" s="9">
        <f>Table1[[#This Row], [NUM OF MEM]]*Table1[[#This Row], [TOTAL TIME TAKEN]]*_xlfn.XLOOKUP(Table1[[#This Row], [EXIT]],Sheet1!$A$70:$A$71,Sheet1!$B$70:$B$71)*(1+_xlfn.XLOOKUP(Table1[[#This Row], [EXIT]],Sheet1!$A$70:$A$71,Sheet1!$C$70:$C$71))</f>
        <v>1701429.0937499993</v>
      </c>
      <c r="L1796" s="13" t="s">
        <v>65</v>
      </c>
      <c r="M1796" s="4">
        <f>IF(Table1[[#This Row], [EQUIPMENT]]="YES",Sheet1!$C$44*(1+Sheet1!$D$44),0)</f>
        <v>307500</v>
      </c>
      <c r="N1796" s="4">
        <f>_xlfn.XLOOKUP(Table1[[#This Row], [ROOM]],Sheet1!$A$47:$A$66,Sheet1!$F$47:$F$66)</f>
        <v>18200000</v>
      </c>
      <c r="O1796" s="9">
        <f>_xlfn.XLOOKUP(_xlfn.CONCAT(Table1[[#This Row], [TEAM]],Table1[[#This Row], [ROOM]]),'ROOM TIME'!$H$2:$H$121,'ROOM TIME'!$J$2:$J$121)</f>
        <v>57.518749999999976</v>
      </c>
      <c r="P1796" s="9">
        <f>(INDEX(Sheet1!$X$48:$Z$67,MATCH(Table1[[#This Row], [ROOM]],Sheet1!$P$48:$P$67,0),MATCH(Table1[[#This Row], [WEAPON]],Sheet1!$X$47:$Z$47,0)))/Table1[[#This Row], [NUM OF MEM]]</f>
        <v>8.7750000000000004</v>
      </c>
      <c r="Q1796" s="9">
        <f>Table1[[#This Row], [ROOM TIME]]+Table1[[#This Row], [GUARD TIME]]</f>
        <v>66.293749999999974</v>
      </c>
      <c r="R1796" s="4">
        <f>Sheet1!$K$3*_xlfn.XLOOKUP(Table1[[#This Row], [DISGUISE]],Sheet1!$A$21:$A$23,Sheet1!$D$21:$D$23)</f>
        <v>66</v>
      </c>
      <c r="S1796" s="9">
        <f>Table1[[#This Row], [TOTAL TIME]]-Table1[[#This Row], [TOTAL TIME TAKEN]]</f>
        <v>-0.29374999999997442</v>
      </c>
      <c r="T1796" t="str">
        <f>IF(Table1[[#This Row], [TIME DIFFERENCE]]&gt;=0,"PASS","FAIL")</f>
        <v>FAIL</v>
      </c>
      <c r="U1796" s="9">
        <f>Table1[[#This Row], [TRC]]+Table1[[#This Row], [DRC]]+Table1[[#This Row], [WRC]]+Table1[[#This Row], [ERC]]+Table1[[#This Row], [EQRC]]</f>
        <v>8148129.0937499991</v>
      </c>
      <c r="V1796" s="9">
        <f>Table1[[#This Row], [TOTAL COST]]+_xlfn.XLOOKUP(Table1[[#This Row], [TEAM]],Sheet1!$A$12:$A$17,Sheet1!$I$12:$I$17)</f>
        <v>8452269.09375</v>
      </c>
      <c r="W1796" s="9">
        <f>Table1[[#This Row], [LOOT]]-Table1[[#This Row], [TOTAL COST]]</f>
        <v>10051870.90625</v>
      </c>
      <c r="X1796" s="4">
        <f>IF(Table1[[#This Row], [PASS/FAIL]]="FAIL",0,Table1[[#This Row], [PROFIT]])</f>
        <v>0</v>
      </c>
    </row>
    <row r="1797" spans="1:24" ht="19.5" customHeight="1" x14ac:dyDescent="0.45">
      <c r="A1797" t="s">
        <v>16</v>
      </c>
      <c r="B1797" s="14">
        <f>_xlfn.XLOOKUP(Table1[[#This Row], [TEAM]],Sheet1!$A$12:$A$17,Sheet1!$F$12:$F$17)</f>
        <v>2</v>
      </c>
      <c r="C1797" s="14">
        <f>_xlfn.XLOOKUP(Table1[[#This Row], [TEAM]],Sheet1!$A$12:$A$17,Sheet1!$G$12:$G$17)</f>
        <v>6082800</v>
      </c>
      <c r="D1797" t="s">
        <v>32</v>
      </c>
      <c r="E1797" s="4">
        <f>_xlfn.XLOOKUP(Table1[[#This Row], [ROOM]],Sheet1!$A$47:$A$66,Sheet1!$B$47:$B$66)</f>
        <v>346</v>
      </c>
      <c r="F1797" t="s">
        <v>62</v>
      </c>
      <c r="G1797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7" s="13" t="s">
        <v>63</v>
      </c>
      <c r="I1797" s="4">
        <f>_xlfn.XLOOKUP(Table1[[#This Row], [WEAPON]],Sheet1!$A$27:$A$29,Sheet1!$B$27:$B$29)*Table1[[#This Row], [NUM OF MEM]]*(1+_xlfn.XLOOKUP(Table1[[#This Row], [WEAPON]],Sheet1!$A$27:$A$29,Sheet1!$C$27:$C$29))</f>
        <v>46000</v>
      </c>
      <c r="J1797" t="s">
        <v>64</v>
      </c>
      <c r="K1797" s="9">
        <f>Table1[[#This Row], [NUM OF MEM]]*Table1[[#This Row], [TOTAL TIME TAKEN]]*_xlfn.XLOOKUP(Table1[[#This Row], [EXIT]],Sheet1!$A$70:$A$71,Sheet1!$B$70:$B$71)*(1+_xlfn.XLOOKUP(Table1[[#This Row], [EXIT]],Sheet1!$A$70:$A$71,Sheet1!$C$70:$C$71))</f>
        <v>1718333.9999999993</v>
      </c>
      <c r="L1797" s="13" t="s">
        <v>65</v>
      </c>
      <c r="M1797" s="4">
        <f>IF(Table1[[#This Row], [EQUIPMENT]]="YES",Sheet1!$C$44*(1+Sheet1!$D$44),0)</f>
        <v>307500</v>
      </c>
      <c r="N1797" s="4">
        <f>_xlfn.XLOOKUP(Table1[[#This Row], [ROOM]],Sheet1!$A$47:$A$66,Sheet1!$F$47:$F$66)</f>
        <v>18200000</v>
      </c>
      <c r="O1797" s="9">
        <f>_xlfn.XLOOKUP(_xlfn.CONCAT(Table1[[#This Row], [TEAM]],Table1[[#This Row], [ROOM]]),'ROOM TIME'!$H$2:$H$121,'ROOM TIME'!$J$2:$J$121)</f>
        <v>57.518749999999976</v>
      </c>
      <c r="P1797" s="9">
        <f>(INDEX(Sheet1!$X$48:$Z$67,MATCH(Table1[[#This Row], [ROOM]],Sheet1!$P$48:$P$67,0),MATCH(Table1[[#This Row], [WEAPON]],Sheet1!$X$47:$Z$47,0)))/Table1[[#This Row], [NUM OF MEM]]</f>
        <v>8.7750000000000004</v>
      </c>
      <c r="Q1797" s="9">
        <f>Table1[[#This Row], [ROOM TIME]]+Table1[[#This Row], [GUARD TIME]]</f>
        <v>66.293749999999974</v>
      </c>
      <c r="R1797" s="4">
        <f>Sheet1!$K$3*_xlfn.XLOOKUP(Table1[[#This Row], [DISGUISE]],Sheet1!$A$21:$A$23,Sheet1!$D$21:$D$23)</f>
        <v>66</v>
      </c>
      <c r="S1797" s="9">
        <f>Table1[[#This Row], [TOTAL TIME]]-Table1[[#This Row], [TOTAL TIME TAKEN]]</f>
        <v>-0.29374999999997442</v>
      </c>
      <c r="T1797" t="str">
        <f>IF(Table1[[#This Row], [TIME DIFFERENCE]]&gt;=0,"PASS","FAIL")</f>
        <v>FAIL</v>
      </c>
      <c r="U1797" s="9">
        <f>Table1[[#This Row], [TRC]]+Table1[[#This Row], [DRC]]+Table1[[#This Row], [WRC]]+Table1[[#This Row], [ERC]]+Table1[[#This Row], [EQRC]]</f>
        <v>8165033.9999999991</v>
      </c>
      <c r="V1797" s="4">
        <f>Table1[[#This Row], [TOTAL COST]]+_xlfn.XLOOKUP(Table1[[#This Row], [TEAM]],Sheet1!$A$12:$A$17,Sheet1!$I$12:$I$17)</f>
        <v>8469174</v>
      </c>
      <c r="W1797" s="4">
        <f>Table1[[#This Row], [LOOT]]-Table1[[#This Row], [TOTAL COST]]</f>
        <v>10034966</v>
      </c>
      <c r="X1797" s="4">
        <f>IF(Table1[[#This Row], [PASS/FAIL]]="FAIL",0,Table1[[#This Row], [PROFIT]])</f>
        <v>0</v>
      </c>
    </row>
    <row r="1798" spans="1:24" ht="19.5" customHeight="1" x14ac:dyDescent="0.45">
      <c r="A1798" t="s">
        <v>14</v>
      </c>
      <c r="B1798" s="14">
        <f>_xlfn.XLOOKUP(Table1[[#This Row], [TEAM]],Sheet1!$A$12:$A$17,Sheet1!$F$12:$F$17)</f>
        <v>2</v>
      </c>
      <c r="C1798" s="14">
        <f>_xlfn.XLOOKUP(Table1[[#This Row], [TEAM]],Sheet1!$A$12:$A$17,Sheet1!$G$12:$G$17)</f>
        <v>5949600</v>
      </c>
      <c r="D1798" t="s">
        <v>11</v>
      </c>
      <c r="E1798" s="4">
        <f>_xlfn.XLOOKUP(Table1[[#This Row], [ROOM]],Sheet1!$A$47:$A$66,Sheet1!$B$47:$B$66)</f>
        <v>124</v>
      </c>
      <c r="F1798" t="s">
        <v>62</v>
      </c>
      <c r="G1798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8" s="13" t="s">
        <v>59</v>
      </c>
      <c r="I1798" s="4">
        <f>_xlfn.XLOOKUP(Table1[[#This Row], [WEAPON]],Sheet1!$A$27:$A$29,Sheet1!$B$27:$B$29)*Table1[[#This Row], [NUM OF MEM]]*(1+_xlfn.XLOOKUP(Table1[[#This Row], [WEAPON]],Sheet1!$A$27:$A$29,Sheet1!$C$27:$C$29))</f>
        <v>91000</v>
      </c>
      <c r="J1798" t="s">
        <v>60</v>
      </c>
      <c r="K1798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1725586.2749999999</v>
      </c>
      <c r="L1798" s="13" t="s">
        <v>61</v>
      </c>
      <c r="M1798" s="4">
        <f>IF(Table1[[#This Row], [EQUIPMENT]]="YES",Sheet1!$C$44*(1+Sheet1!$D$44),0)</f>
        <v>0</v>
      </c>
      <c r="N1798" s="4">
        <f>_xlfn.XLOOKUP(Table1[[#This Row], [ROOM]],Sheet1!$A$47:$A$66,Sheet1!$F$47:$F$66)</f>
        <v>17450000</v>
      </c>
      <c r="O1798" s="9">
        <f>_xlfn.XLOOKUP(_xlfn.CONCAT(Table1[[#This Row], [TEAM]],Table1[[#This Row], [ROOM]]),'ROOM TIME'!$H$2:$H$121,'ROOM TIME'!$J$2:$J$121)</f>
        <v>60.91</v>
      </c>
      <c r="P1798" s="9">
        <f>(INDEX(Sheet1!$X$48:$Z$67,MATCH(Table1[[#This Row], [ROOM]],Sheet1!$P$48:$P$67,0),MATCH(Table1[[#This Row], [WEAPON]],Sheet1!$X$47:$Z$47,0)))/Table1[[#This Row], [NUM OF MEM]]</f>
        <v>6.3249999999999993</v>
      </c>
      <c r="Q1798" s="9">
        <f>Table1[[#This Row], [ROOM TIME]]+Table1[[#This Row], [GUARD TIME]]</f>
        <v>67.234999999999999</v>
      </c>
      <c r="R1798" s="4">
        <f>Sheet1!$K$3*_xlfn.XLOOKUP(Table1[[#This Row], [DISGUISE]],Sheet1!$A$21:$A$23,Sheet1!$D$21:$D$23)</f>
        <v>66</v>
      </c>
      <c r="S1798" s="9">
        <f>Table1[[#This Row], [TOTAL TIME]]-Table1[[#This Row], [TOTAL TIME TAKEN]]</f>
        <v>-1.2349999999999994</v>
      </c>
      <c r="T1798" t="str">
        <f>IF(Table1[[#This Row], [TIME DIFFERENCE]]&gt;=0,"PASS","FAIL")</f>
        <v>FAIL</v>
      </c>
      <c r="U1798" s="9">
        <f>Table1[[#This Row], [TRC]]+Table1[[#This Row], [DRC]]+Table1[[#This Row], [WRC]]+Table1[[#This Row], [ERC]]+Table1[[#This Row], [EQRC]]</f>
        <v>7776586.2750000004</v>
      </c>
      <c r="V1798" s="9">
        <f>Table1[[#This Row], [TOTAL COST]]+_xlfn.XLOOKUP(Table1[[#This Row], [TEAM]],Sheet1!$A$12:$A$17,Sheet1!$I$12:$I$17)</f>
        <v>8074066.2750000004</v>
      </c>
      <c r="W1798" s="9">
        <f>Table1[[#This Row], [LOOT]]-Table1[[#This Row], [TOTAL COST]]</f>
        <v>9673413.7249999996</v>
      </c>
      <c r="X1798" s="4">
        <f>IF(Table1[[#This Row], [PASS/FAIL]]="FAIL",0,Table1[[#This Row], [PROFIT]])</f>
        <v>0</v>
      </c>
    </row>
    <row r="1799" spans="1:24" ht="19.5" customHeight="1" x14ac:dyDescent="0.45">
      <c r="A1799" t="s">
        <v>14</v>
      </c>
      <c r="B1799" s="14">
        <f>_xlfn.XLOOKUP(Table1[[#This Row], [TEAM]],Sheet1!$A$12:$A$17,Sheet1!$F$12:$F$17)</f>
        <v>2</v>
      </c>
      <c r="C1799" s="14">
        <f>_xlfn.XLOOKUP(Table1[[#This Row], [TEAM]],Sheet1!$A$12:$A$17,Sheet1!$G$12:$G$17)</f>
        <v>5949600</v>
      </c>
      <c r="D1799" t="s">
        <v>11</v>
      </c>
      <c r="E1799" s="4">
        <f>_xlfn.XLOOKUP(Table1[[#This Row], [ROOM]],Sheet1!$A$47:$A$66,Sheet1!$B$47:$B$66)</f>
        <v>124</v>
      </c>
      <c r="F1799" t="s">
        <v>62</v>
      </c>
      <c r="G1799" s="4">
        <f>_xlfn.XLOOKUP(Table1[[#This Row], [DISGUISE]],Sheet1!$A$21:$A$23,Sheet1!$B$21:$B$23)*Table1[[#This Row], [NUM OF MEM]]*(1+_xlfn.XLOOKUP(Table1[[#This Row], [DISGUISE]],Sheet1!$A$21:$A$23,Sheet1!$C$21:$C$23))</f>
        <v>10400</v>
      </c>
      <c r="H1799" s="13" t="s">
        <v>59</v>
      </c>
      <c r="I1799" s="4">
        <f>_xlfn.XLOOKUP(Table1[[#This Row], [WEAPON]],Sheet1!$A$27:$A$29,Sheet1!$B$27:$B$29)*Table1[[#This Row], [NUM OF MEM]]*(1+_xlfn.XLOOKUP(Table1[[#This Row], [WEAPON]],Sheet1!$A$27:$A$29,Sheet1!$C$27:$C$29))</f>
        <v>91000</v>
      </c>
      <c r="J1799" t="s">
        <v>64</v>
      </c>
      <c r="K1799" s="9">
        <f>Table1[[#This Row], [NUM OF MEM]]*Table1[[#This Row], [TOTAL TIME TAKEN]]*_xlfn.XLOOKUP(Table1[[#This Row], [EXIT]],Sheet1!$A$70:$A$71,Sheet1!$B$70:$B$71)*(1+_xlfn.XLOOKUP(Table1[[#This Row], [EXIT]],Sheet1!$A$70:$A$71,Sheet1!$C$70:$C$71))</f>
        <v>1742731.2</v>
      </c>
      <c r="L1799" s="13" t="s">
        <v>61</v>
      </c>
      <c r="M1799" s="4">
        <f>IF(Table1[[#This Row], [EQUIPMENT]]="YES",Sheet1!$C$44*(1+Sheet1!$D$44),0)</f>
        <v>0</v>
      </c>
      <c r="N1799" s="4">
        <f>_xlfn.XLOOKUP(Table1[[#This Row], [ROOM]],Sheet1!$A$47:$A$66,Sheet1!$F$47:$F$66)</f>
        <v>17450000</v>
      </c>
      <c r="O1799" s="9">
        <f>_xlfn.XLOOKUP(_xlfn.CONCAT(Table1[[#This Row], [TEAM]],Table1[[#This Row], [ROOM]]),'ROOM TIME'!$H$2:$H$121,'ROOM TIME'!$J$2:$J$121)</f>
        <v>60.91</v>
      </c>
      <c r="P1799" s="9">
        <f>(INDEX(Sheet1!$X$48:$Z$67,MATCH(Table1[[#This Row], [ROOM]],Sheet1!$P$48:$P$67,0),MATCH(Table1[[#This Row], [WEAPON]],Sheet1!$X$47:$Z$47,0)))/Table1[[#This Row], [NUM OF MEM]]</f>
        <v>6.3249999999999993</v>
      </c>
      <c r="Q1799" s="9">
        <f>Table1[[#This Row], [ROOM TIME]]+Table1[[#This Row], [GUARD TIME]]</f>
        <v>67.234999999999999</v>
      </c>
      <c r="R1799" s="4">
        <f>Sheet1!$K$3*_xlfn.XLOOKUP(Table1[[#This Row], [DISGUISE]],Sheet1!$A$21:$A$23,Sheet1!$D$21:$D$23)</f>
        <v>66</v>
      </c>
      <c r="S1799" s="9">
        <f>Table1[[#This Row], [TOTAL TIME]]-Table1[[#This Row], [TOTAL TIME TAKEN]]</f>
        <v>-1.2349999999999994</v>
      </c>
      <c r="T1799" t="str">
        <f>IF(Table1[[#This Row], [TIME DIFFERENCE]]&gt;=0,"PASS","FAIL")</f>
        <v>FAIL</v>
      </c>
      <c r="U1799" s="9">
        <f>Table1[[#This Row], [TRC]]+Table1[[#This Row], [DRC]]+Table1[[#This Row], [WRC]]+Table1[[#This Row], [ERC]]+Table1[[#This Row], [EQRC]]</f>
        <v>7793731.2000000002</v>
      </c>
      <c r="V1799" s="9">
        <f>Table1[[#This Row], [TOTAL COST]]+_xlfn.XLOOKUP(Table1[[#This Row], [TEAM]],Sheet1!$A$12:$A$17,Sheet1!$I$12:$I$17)</f>
        <v>8091211.2000000002</v>
      </c>
      <c r="W1799" s="9">
        <f>Table1[[#This Row], [LOOT]]-Table1[[#This Row], [TOTAL COST]]</f>
        <v>9656268.8000000007</v>
      </c>
      <c r="X1799" s="4">
        <f>IF(Table1[[#This Row], [PASS/FAIL]]="FAIL",0,Table1[[#This Row], [PROFIT]])</f>
        <v>0</v>
      </c>
    </row>
    <row r="1800" spans="1:24" ht="19.5" customHeight="1" x14ac:dyDescent="0.45">
      <c r="A1800" t="s">
        <v>14</v>
      </c>
      <c r="B1800" s="14">
        <f>_xlfn.XLOOKUP(Table1[[#This Row], [TEAM]],Sheet1!$A$12:$A$17,Sheet1!$F$12:$F$17)</f>
        <v>2</v>
      </c>
      <c r="C1800" s="14">
        <f>_xlfn.XLOOKUP(Table1[[#This Row], [TEAM]],Sheet1!$A$12:$A$17,Sheet1!$G$12:$G$17)</f>
        <v>5949600</v>
      </c>
      <c r="D1800" t="s">
        <v>11</v>
      </c>
      <c r="E1800" s="4">
        <f>_xlfn.XLOOKUP(Table1[[#This Row], [ROOM]],Sheet1!$A$47:$A$66,Sheet1!$B$47:$B$66)</f>
        <v>124</v>
      </c>
      <c r="F1800" t="s">
        <v>62</v>
      </c>
      <c r="G180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0" s="13" t="s">
        <v>59</v>
      </c>
      <c r="I1800" s="4">
        <f>_xlfn.XLOOKUP(Table1[[#This Row], [WEAPON]],Sheet1!$A$27:$A$29,Sheet1!$B$27:$B$29)*Table1[[#This Row], [NUM OF MEM]]*(1+_xlfn.XLOOKUP(Table1[[#This Row], [WEAPON]],Sheet1!$A$27:$A$29,Sheet1!$C$27:$C$29))</f>
        <v>91000</v>
      </c>
      <c r="J1800" t="s">
        <v>60</v>
      </c>
      <c r="K1800" s="9">
        <f>Table1[[#This Row], [NUM OF MEM]]*Table1[[#This Row], [TOTAL TIME TAKEN]]*_xlfn.XLOOKUP(Table1[[#This Row], [EXIT]],Sheet1!$A$70:$A$71,Sheet1!$B$70:$B$71)*(1+_xlfn.XLOOKUP(Table1[[#This Row], [EXIT]],Sheet1!$A$70:$A$71,Sheet1!$C$70:$C$71))</f>
        <v>1725586.2749999999</v>
      </c>
      <c r="L1800" s="13" t="s">
        <v>65</v>
      </c>
      <c r="M1800" s="4">
        <f>IF(Table1[[#This Row], [EQUIPMENT]]="YES",Sheet1!$C$44*(1+Sheet1!$D$44),0)</f>
        <v>307500</v>
      </c>
      <c r="N1800" s="4">
        <f>_xlfn.XLOOKUP(Table1[[#This Row], [ROOM]],Sheet1!$A$47:$A$66,Sheet1!$F$47:$F$66)</f>
        <v>17450000</v>
      </c>
      <c r="O1800" s="9">
        <f>_xlfn.XLOOKUP(_xlfn.CONCAT(Table1[[#This Row], [TEAM]],Table1[[#This Row], [ROOM]]),'ROOM TIME'!$H$2:$H$121,'ROOM TIME'!$J$2:$J$121)</f>
        <v>60.91</v>
      </c>
      <c r="P1800" s="9">
        <f>(INDEX(Sheet1!$X$48:$Z$67,MATCH(Table1[[#This Row], [ROOM]],Sheet1!$P$48:$P$67,0),MATCH(Table1[[#This Row], [WEAPON]],Sheet1!$X$47:$Z$47,0)))/Table1[[#This Row], [NUM OF MEM]]</f>
        <v>6.3249999999999993</v>
      </c>
      <c r="Q1800" s="9">
        <f>Table1[[#This Row], [ROOM TIME]]+Table1[[#This Row], [GUARD TIME]]</f>
        <v>67.234999999999999</v>
      </c>
      <c r="R1800" s="4">
        <f>Sheet1!$K$3*_xlfn.XLOOKUP(Table1[[#This Row], [DISGUISE]],Sheet1!$A$21:$A$23,Sheet1!$D$21:$D$23)</f>
        <v>66</v>
      </c>
      <c r="S1800" s="9">
        <f>Table1[[#This Row], [TOTAL TIME]]-Table1[[#This Row], [TOTAL TIME TAKEN]]</f>
        <v>-1.2349999999999994</v>
      </c>
      <c r="T1800" t="str">
        <f>IF(Table1[[#This Row], [TIME DIFFERENCE]]&gt;=0,"PASS","FAIL")</f>
        <v>FAIL</v>
      </c>
      <c r="U1800" s="9">
        <f>Table1[[#This Row], [TRC]]+Table1[[#This Row], [DRC]]+Table1[[#This Row], [WRC]]+Table1[[#This Row], [ERC]]+Table1[[#This Row], [EQRC]]</f>
        <v>8084086.2750000004</v>
      </c>
      <c r="V1800" s="9">
        <f>Table1[[#This Row], [TOTAL COST]]+_xlfn.XLOOKUP(Table1[[#This Row], [TEAM]],Sheet1!$A$12:$A$17,Sheet1!$I$12:$I$17)</f>
        <v>8381566.2750000004</v>
      </c>
      <c r="W1800" s="9">
        <f>Table1[[#This Row], [LOOT]]-Table1[[#This Row], [TOTAL COST]]</f>
        <v>9365913.7249999996</v>
      </c>
      <c r="X1800" s="4">
        <f>IF(Table1[[#This Row], [PASS/FAIL]]="FAIL",0,Table1[[#This Row], [PROFIT]])</f>
        <v>0</v>
      </c>
    </row>
    <row r="1801" spans="1:24" ht="19.5" customHeight="1" x14ac:dyDescent="0.45">
      <c r="A1801" t="s">
        <v>14</v>
      </c>
      <c r="B1801" s="14">
        <f>_xlfn.XLOOKUP(Table1[[#This Row], [TEAM]],Sheet1!$A$12:$A$17,Sheet1!$F$12:$F$17)</f>
        <v>2</v>
      </c>
      <c r="C1801" s="14">
        <f>_xlfn.XLOOKUP(Table1[[#This Row], [TEAM]],Sheet1!$A$12:$A$17,Sheet1!$G$12:$G$17)</f>
        <v>5949600</v>
      </c>
      <c r="D1801" t="s">
        <v>11</v>
      </c>
      <c r="E1801" s="4">
        <f>_xlfn.XLOOKUP(Table1[[#This Row], [ROOM]],Sheet1!$A$47:$A$66,Sheet1!$B$47:$B$66)</f>
        <v>124</v>
      </c>
      <c r="F1801" t="s">
        <v>62</v>
      </c>
      <c r="G180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1" s="13" t="s">
        <v>59</v>
      </c>
      <c r="I1801" s="4">
        <f>_xlfn.XLOOKUP(Table1[[#This Row], [WEAPON]],Sheet1!$A$27:$A$29,Sheet1!$B$27:$B$29)*Table1[[#This Row], [NUM OF MEM]]*(1+_xlfn.XLOOKUP(Table1[[#This Row], [WEAPON]],Sheet1!$A$27:$A$29,Sheet1!$C$27:$C$29))</f>
        <v>91000</v>
      </c>
      <c r="J1801" t="s">
        <v>64</v>
      </c>
      <c r="K1801" s="9">
        <f>Table1[[#This Row], [NUM OF MEM]]*Table1[[#This Row], [TOTAL TIME TAKEN]]*_xlfn.XLOOKUP(Table1[[#This Row], [EXIT]],Sheet1!$A$70:$A$71,Sheet1!$B$70:$B$71)*(1+_xlfn.XLOOKUP(Table1[[#This Row], [EXIT]],Sheet1!$A$70:$A$71,Sheet1!$C$70:$C$71))</f>
        <v>1742731.2</v>
      </c>
      <c r="L1801" s="13" t="s">
        <v>65</v>
      </c>
      <c r="M1801" s="4">
        <f>IF(Table1[[#This Row], [EQUIPMENT]]="YES",Sheet1!$C$44*(1+Sheet1!$D$44),0)</f>
        <v>307500</v>
      </c>
      <c r="N1801" s="4">
        <f>_xlfn.XLOOKUP(Table1[[#This Row], [ROOM]],Sheet1!$A$47:$A$66,Sheet1!$F$47:$F$66)</f>
        <v>17450000</v>
      </c>
      <c r="O1801" s="9">
        <f>_xlfn.XLOOKUP(_xlfn.CONCAT(Table1[[#This Row], [TEAM]],Table1[[#This Row], [ROOM]]),'ROOM TIME'!$H$2:$H$121,'ROOM TIME'!$J$2:$J$121)</f>
        <v>60.91</v>
      </c>
      <c r="P1801" s="9">
        <f>(INDEX(Sheet1!$X$48:$Z$67,MATCH(Table1[[#This Row], [ROOM]],Sheet1!$P$48:$P$67,0),MATCH(Table1[[#This Row], [WEAPON]],Sheet1!$X$47:$Z$47,0)))/Table1[[#This Row], [NUM OF MEM]]</f>
        <v>6.3249999999999993</v>
      </c>
      <c r="Q1801" s="9">
        <f>Table1[[#This Row], [ROOM TIME]]+Table1[[#This Row], [GUARD TIME]]</f>
        <v>67.234999999999999</v>
      </c>
      <c r="R1801" s="4">
        <f>Sheet1!$K$3*_xlfn.XLOOKUP(Table1[[#This Row], [DISGUISE]],Sheet1!$A$21:$A$23,Sheet1!$D$21:$D$23)</f>
        <v>66</v>
      </c>
      <c r="S1801" s="9">
        <f>Table1[[#This Row], [TOTAL TIME]]-Table1[[#This Row], [TOTAL TIME TAKEN]]</f>
        <v>-1.2349999999999994</v>
      </c>
      <c r="T1801" t="str">
        <f>IF(Table1[[#This Row], [TIME DIFFERENCE]]&gt;=0,"PASS","FAIL")</f>
        <v>FAIL</v>
      </c>
      <c r="U1801" s="9">
        <f>Table1[[#This Row], [TRC]]+Table1[[#This Row], [DRC]]+Table1[[#This Row], [WRC]]+Table1[[#This Row], [ERC]]+Table1[[#This Row], [EQRC]]</f>
        <v>8101231.2000000002</v>
      </c>
      <c r="V1801" s="9">
        <f>Table1[[#This Row], [TOTAL COST]]+_xlfn.XLOOKUP(Table1[[#This Row], [TEAM]],Sheet1!$A$12:$A$17,Sheet1!$I$12:$I$17)</f>
        <v>8398711.1999999993</v>
      </c>
      <c r="W1801" s="9">
        <f>Table1[[#This Row], [LOOT]]-Table1[[#This Row], [TOTAL COST]]</f>
        <v>9348768.8000000007</v>
      </c>
      <c r="X1801" s="4">
        <f>IF(Table1[[#This Row], [PASS/FAIL]]="FAIL",0,Table1[[#This Row], [PROFIT]])</f>
        <v>0</v>
      </c>
    </row>
    <row r="1802" spans="1:24" ht="19.5" customHeight="1" x14ac:dyDescent="0.45">
      <c r="A1802" t="s">
        <v>14</v>
      </c>
      <c r="B1802" s="14">
        <f>_xlfn.XLOOKUP(Table1[[#This Row], [TEAM]],Sheet1!$A$12:$A$17,Sheet1!$F$12:$F$17)</f>
        <v>2</v>
      </c>
      <c r="C1802" s="14">
        <f>_xlfn.XLOOKUP(Table1[[#This Row], [TEAM]],Sheet1!$A$12:$A$17,Sheet1!$G$12:$G$17)</f>
        <v>5949600</v>
      </c>
      <c r="D1802" t="s">
        <v>11</v>
      </c>
      <c r="E1802" s="4">
        <f>_xlfn.XLOOKUP(Table1[[#This Row], [ROOM]],Sheet1!$A$47:$A$66,Sheet1!$B$47:$B$66)</f>
        <v>124</v>
      </c>
      <c r="F1802" t="s">
        <v>62</v>
      </c>
      <c r="G180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2" s="13" t="s">
        <v>63</v>
      </c>
      <c r="I1802" s="4">
        <f>_xlfn.XLOOKUP(Table1[[#This Row], [WEAPON]],Sheet1!$A$27:$A$29,Sheet1!$B$27:$B$29)*Table1[[#This Row], [NUM OF MEM]]*(1+_xlfn.XLOOKUP(Table1[[#This Row], [WEAPON]],Sheet1!$A$27:$A$29,Sheet1!$C$27:$C$29))</f>
        <v>46000</v>
      </c>
      <c r="J1802" t="s">
        <v>60</v>
      </c>
      <c r="K1802" s="9">
        <f>Table1[[#This Row], [NUM OF MEM]]*Table1[[#This Row], [TOTAL TIME TAKEN]]*_xlfn.XLOOKUP(Table1[[#This Row], [EXIT]],Sheet1!$A$70:$A$71,Sheet1!$B$70:$B$71)*(1+_xlfn.XLOOKUP(Table1[[#This Row], [EXIT]],Sheet1!$A$70:$A$71,Sheet1!$C$70:$C$71))</f>
        <v>1753817.7749999999</v>
      </c>
      <c r="L1802" s="13" t="s">
        <v>61</v>
      </c>
      <c r="M1802" s="4">
        <f>IF(Table1[[#This Row], [EQUIPMENT]]="YES",Sheet1!$C$44*(1+Sheet1!$D$44),0)</f>
        <v>0</v>
      </c>
      <c r="N1802" s="4">
        <f>_xlfn.XLOOKUP(Table1[[#This Row], [ROOM]],Sheet1!$A$47:$A$66,Sheet1!$F$47:$F$66)</f>
        <v>17450000</v>
      </c>
      <c r="O1802" s="9">
        <f>_xlfn.XLOOKUP(_xlfn.CONCAT(Table1[[#This Row], [TEAM]],Table1[[#This Row], [ROOM]]),'ROOM TIME'!$H$2:$H$121,'ROOM TIME'!$J$2:$J$121)</f>
        <v>60.91</v>
      </c>
      <c r="P1802" s="9">
        <f>(INDEX(Sheet1!$X$48:$Z$67,MATCH(Table1[[#This Row], [ROOM]],Sheet1!$P$48:$P$67,0),MATCH(Table1[[#This Row], [WEAPON]],Sheet1!$X$47:$Z$47,0)))/Table1[[#This Row], [NUM OF MEM]]</f>
        <v>7.4250000000000007</v>
      </c>
      <c r="Q1802" s="9">
        <f>Table1[[#This Row], [ROOM TIME]]+Table1[[#This Row], [GUARD TIME]]</f>
        <v>68.334999999999994</v>
      </c>
      <c r="R1802" s="4">
        <f>Sheet1!$K$3*_xlfn.XLOOKUP(Table1[[#This Row], [DISGUISE]],Sheet1!$A$21:$A$23,Sheet1!$D$21:$D$23)</f>
        <v>66</v>
      </c>
      <c r="S1802" s="9">
        <f>Table1[[#This Row], [TOTAL TIME]]-Table1[[#This Row], [TOTAL TIME TAKEN]]</f>
        <v>-2.3349999999999937</v>
      </c>
      <c r="T1802" t="str">
        <f>IF(Table1[[#This Row], [TIME DIFFERENCE]]&gt;=0,"PASS","FAIL")</f>
        <v>FAIL</v>
      </c>
      <c r="U1802" s="9">
        <f>Table1[[#This Row], [TRC]]+Table1[[#This Row], [DRC]]+Table1[[#This Row], [WRC]]+Table1[[#This Row], [ERC]]+Table1[[#This Row], [EQRC]]</f>
        <v>7759817.7750000004</v>
      </c>
      <c r="V1802" s="9">
        <f>Table1[[#This Row], [TOTAL COST]]+_xlfn.XLOOKUP(Table1[[#This Row], [TEAM]],Sheet1!$A$12:$A$17,Sheet1!$I$12:$I$17)</f>
        <v>8057297.7750000004</v>
      </c>
      <c r="W1802" s="9">
        <f>Table1[[#This Row], [LOOT]]-Table1[[#This Row], [TOTAL COST]]</f>
        <v>9690182.2249999996</v>
      </c>
      <c r="X1802" s="4">
        <f>IF(Table1[[#This Row], [PASS/FAIL]]="FAIL",0,Table1[[#This Row], [PROFIT]])</f>
        <v>0</v>
      </c>
    </row>
    <row r="1803" spans="1:24" ht="19.5" customHeight="1" x14ac:dyDescent="0.45">
      <c r="A1803" t="s">
        <v>14</v>
      </c>
      <c r="B1803" s="14">
        <f>_xlfn.XLOOKUP(Table1[[#This Row], [TEAM]],Sheet1!$A$12:$A$17,Sheet1!$F$12:$F$17)</f>
        <v>2</v>
      </c>
      <c r="C1803" s="14">
        <f>_xlfn.XLOOKUP(Table1[[#This Row], [TEAM]],Sheet1!$A$12:$A$17,Sheet1!$G$12:$G$17)</f>
        <v>5949600</v>
      </c>
      <c r="D1803" t="s">
        <v>11</v>
      </c>
      <c r="E1803" s="4">
        <f>_xlfn.XLOOKUP(Table1[[#This Row], [ROOM]],Sheet1!$A$47:$A$66,Sheet1!$B$47:$B$66)</f>
        <v>124</v>
      </c>
      <c r="F1803" t="s">
        <v>62</v>
      </c>
      <c r="G180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3" s="13" t="s">
        <v>66</v>
      </c>
      <c r="I1803" s="4">
        <f>_xlfn.XLOOKUP(Table1[[#This Row], [WEAPON]],Sheet1!$A$27:$A$29,Sheet1!$B$27:$B$29)*Table1[[#This Row], [NUM OF MEM]]*(1+_xlfn.XLOOKUP(Table1[[#This Row], [WEAPON]],Sheet1!$A$27:$A$29,Sheet1!$C$27:$C$29))</f>
        <v>72000</v>
      </c>
      <c r="J1803" t="s">
        <v>60</v>
      </c>
      <c r="K1803" s="9">
        <f>Table1[[#This Row], [NUM OF MEM]]*Table1[[#This Row], [TOTAL TIME TAKEN]]*_xlfn.XLOOKUP(Table1[[#This Row], [EXIT]],Sheet1!$A$70:$A$71,Sheet1!$B$70:$B$71)*(1+_xlfn.XLOOKUP(Table1[[#This Row], [EXIT]],Sheet1!$A$70:$A$71,Sheet1!$C$70:$C$71))</f>
        <v>1739702.0249999999</v>
      </c>
      <c r="L1803" s="13" t="s">
        <v>61</v>
      </c>
      <c r="M1803" s="4">
        <f>IF(Table1[[#This Row], [EQUIPMENT]]="YES",Sheet1!$C$44*(1+Sheet1!$D$44),0)</f>
        <v>0</v>
      </c>
      <c r="N1803" s="4">
        <f>_xlfn.XLOOKUP(Table1[[#This Row], [ROOM]],Sheet1!$A$47:$A$66,Sheet1!$F$47:$F$66)</f>
        <v>17450000</v>
      </c>
      <c r="O1803" s="9">
        <f>_xlfn.XLOOKUP(_xlfn.CONCAT(Table1[[#This Row], [TEAM]],Table1[[#This Row], [ROOM]]),'ROOM TIME'!$H$2:$H$121,'ROOM TIME'!$J$2:$J$121)</f>
        <v>60.91</v>
      </c>
      <c r="P1803" s="9">
        <f>(INDEX(Sheet1!$X$48:$Z$67,MATCH(Table1[[#This Row], [ROOM]],Sheet1!$P$48:$P$67,0),MATCH(Table1[[#This Row], [WEAPON]],Sheet1!$X$47:$Z$47,0)))/Table1[[#This Row], [NUM OF MEM]]</f>
        <v>6.875</v>
      </c>
      <c r="Q1803" s="9">
        <f>Table1[[#This Row], [ROOM TIME]]+Table1[[#This Row], [GUARD TIME]]</f>
        <v>67.784999999999997</v>
      </c>
      <c r="R1803" s="4">
        <f>Sheet1!$K$3*_xlfn.XLOOKUP(Table1[[#This Row], [DISGUISE]],Sheet1!$A$21:$A$23,Sheet1!$D$21:$D$23)</f>
        <v>66</v>
      </c>
      <c r="S1803" s="9">
        <f>Table1[[#This Row], [TOTAL TIME]]-Table1[[#This Row], [TOTAL TIME TAKEN]]</f>
        <v>-1.7849999999999966</v>
      </c>
      <c r="T1803" t="str">
        <f>IF(Table1[[#This Row], [TIME DIFFERENCE]]&gt;=0,"PASS","FAIL")</f>
        <v>FAIL</v>
      </c>
      <c r="U1803" s="9">
        <f>Table1[[#This Row], [TRC]]+Table1[[#This Row], [DRC]]+Table1[[#This Row], [WRC]]+Table1[[#This Row], [ERC]]+Table1[[#This Row], [EQRC]]</f>
        <v>7771702.0250000004</v>
      </c>
      <c r="V1803" s="9">
        <f>Table1[[#This Row], [TOTAL COST]]+_xlfn.XLOOKUP(Table1[[#This Row], [TEAM]],Sheet1!$A$12:$A$17,Sheet1!$I$12:$I$17)</f>
        <v>8069182.0250000004</v>
      </c>
      <c r="W1803" s="9">
        <f>Table1[[#This Row], [LOOT]]-Table1[[#This Row], [TOTAL COST]]</f>
        <v>9678297.9749999996</v>
      </c>
      <c r="X1803" s="4">
        <f>IF(Table1[[#This Row], [PASS/FAIL]]="FAIL",0,Table1[[#This Row], [PROFIT]])</f>
        <v>0</v>
      </c>
    </row>
    <row r="1804" spans="1:24" ht="19.5" customHeight="1" x14ac:dyDescent="0.45">
      <c r="A1804" t="s">
        <v>14</v>
      </c>
      <c r="B1804" s="14">
        <f>_xlfn.XLOOKUP(Table1[[#This Row], [TEAM]],Sheet1!$A$12:$A$17,Sheet1!$F$12:$F$17)</f>
        <v>2</v>
      </c>
      <c r="C1804" s="14">
        <f>_xlfn.XLOOKUP(Table1[[#This Row], [TEAM]],Sheet1!$A$12:$A$17,Sheet1!$G$12:$G$17)</f>
        <v>5949600</v>
      </c>
      <c r="D1804" t="s">
        <v>11</v>
      </c>
      <c r="E1804" s="4">
        <f>_xlfn.XLOOKUP(Table1[[#This Row], [ROOM]],Sheet1!$A$47:$A$66,Sheet1!$B$47:$B$66)</f>
        <v>124</v>
      </c>
      <c r="F1804" t="s">
        <v>62</v>
      </c>
      <c r="G180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4" s="13" t="s">
        <v>63</v>
      </c>
      <c r="I1804" s="4">
        <f>_xlfn.XLOOKUP(Table1[[#This Row], [WEAPON]],Sheet1!$A$27:$A$29,Sheet1!$B$27:$B$29)*Table1[[#This Row], [NUM OF MEM]]*(1+_xlfn.XLOOKUP(Table1[[#This Row], [WEAPON]],Sheet1!$A$27:$A$29,Sheet1!$C$27:$C$29))</f>
        <v>46000</v>
      </c>
      <c r="J1804" t="s">
        <v>64</v>
      </c>
      <c r="K1804" s="9">
        <f>Table1[[#This Row], [NUM OF MEM]]*Table1[[#This Row], [TOTAL TIME TAKEN]]*_xlfn.XLOOKUP(Table1[[#This Row], [EXIT]],Sheet1!$A$70:$A$71,Sheet1!$B$70:$B$71)*(1+_xlfn.XLOOKUP(Table1[[#This Row], [EXIT]],Sheet1!$A$70:$A$71,Sheet1!$C$70:$C$71))</f>
        <v>1771243.1999999997</v>
      </c>
      <c r="L1804" s="13" t="s">
        <v>61</v>
      </c>
      <c r="M1804" s="4">
        <f>IF(Table1[[#This Row], [EQUIPMENT]]="YES",Sheet1!$C$44*(1+Sheet1!$D$44),0)</f>
        <v>0</v>
      </c>
      <c r="N1804" s="4">
        <f>_xlfn.XLOOKUP(Table1[[#This Row], [ROOM]],Sheet1!$A$47:$A$66,Sheet1!$F$47:$F$66)</f>
        <v>17450000</v>
      </c>
      <c r="O1804" s="9">
        <f>_xlfn.XLOOKUP(_xlfn.CONCAT(Table1[[#This Row], [TEAM]],Table1[[#This Row], [ROOM]]),'ROOM TIME'!$H$2:$H$121,'ROOM TIME'!$J$2:$J$121)</f>
        <v>60.91</v>
      </c>
      <c r="P1804" s="9">
        <f>(INDEX(Sheet1!$X$48:$Z$67,MATCH(Table1[[#This Row], [ROOM]],Sheet1!$P$48:$P$67,0),MATCH(Table1[[#This Row], [WEAPON]],Sheet1!$X$47:$Z$47,0)))/Table1[[#This Row], [NUM OF MEM]]</f>
        <v>7.4250000000000007</v>
      </c>
      <c r="Q1804" s="9">
        <f>Table1[[#This Row], [ROOM TIME]]+Table1[[#This Row], [GUARD TIME]]</f>
        <v>68.334999999999994</v>
      </c>
      <c r="R1804" s="4">
        <f>Sheet1!$K$3*_xlfn.XLOOKUP(Table1[[#This Row], [DISGUISE]],Sheet1!$A$21:$A$23,Sheet1!$D$21:$D$23)</f>
        <v>66</v>
      </c>
      <c r="S1804" s="9">
        <f>Table1[[#This Row], [TOTAL TIME]]-Table1[[#This Row], [TOTAL TIME TAKEN]]</f>
        <v>-2.3349999999999937</v>
      </c>
      <c r="T1804" t="str">
        <f>IF(Table1[[#This Row], [TIME DIFFERENCE]]&gt;=0,"PASS","FAIL")</f>
        <v>FAIL</v>
      </c>
      <c r="U1804" s="9">
        <f>Table1[[#This Row], [TRC]]+Table1[[#This Row], [DRC]]+Table1[[#This Row], [WRC]]+Table1[[#This Row], [ERC]]+Table1[[#This Row], [EQRC]]</f>
        <v>7777243.1999999993</v>
      </c>
      <c r="V1804" s="9">
        <f>Table1[[#This Row], [TOTAL COST]]+_xlfn.XLOOKUP(Table1[[#This Row], [TEAM]],Sheet1!$A$12:$A$17,Sheet1!$I$12:$I$17)</f>
        <v>8074723.1999999993</v>
      </c>
      <c r="W1804" s="9">
        <f>Table1[[#This Row], [LOOT]]-Table1[[#This Row], [TOTAL COST]]</f>
        <v>9672756.8000000007</v>
      </c>
      <c r="X1804" s="4">
        <f>IF(Table1[[#This Row], [PASS/FAIL]]="FAIL",0,Table1[[#This Row], [PROFIT]])</f>
        <v>0</v>
      </c>
    </row>
    <row r="1805" spans="1:24" ht="19.5" customHeight="1" x14ac:dyDescent="0.45">
      <c r="A1805" t="s">
        <v>14</v>
      </c>
      <c r="B1805" s="14">
        <f>_xlfn.XLOOKUP(Table1[[#This Row], [TEAM]],Sheet1!$A$12:$A$17,Sheet1!$F$12:$F$17)</f>
        <v>2</v>
      </c>
      <c r="C1805" s="14">
        <f>_xlfn.XLOOKUP(Table1[[#This Row], [TEAM]],Sheet1!$A$12:$A$17,Sheet1!$G$12:$G$17)</f>
        <v>5949600</v>
      </c>
      <c r="D1805" t="s">
        <v>11</v>
      </c>
      <c r="E1805" s="4">
        <f>_xlfn.XLOOKUP(Table1[[#This Row], [ROOM]],Sheet1!$A$47:$A$66,Sheet1!$B$47:$B$66)</f>
        <v>124</v>
      </c>
      <c r="F1805" t="s">
        <v>62</v>
      </c>
      <c r="G180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5" s="13" t="s">
        <v>66</v>
      </c>
      <c r="I1805" s="4">
        <f>_xlfn.XLOOKUP(Table1[[#This Row], [WEAPON]],Sheet1!$A$27:$A$29,Sheet1!$B$27:$B$29)*Table1[[#This Row], [NUM OF MEM]]*(1+_xlfn.XLOOKUP(Table1[[#This Row], [WEAPON]],Sheet1!$A$27:$A$29,Sheet1!$C$27:$C$29))</f>
        <v>72000</v>
      </c>
      <c r="J1805" t="s">
        <v>64</v>
      </c>
      <c r="K1805" s="9">
        <f>Table1[[#This Row], [NUM OF MEM]]*Table1[[#This Row], [TOTAL TIME TAKEN]]*_xlfn.XLOOKUP(Table1[[#This Row], [EXIT]],Sheet1!$A$70:$A$71,Sheet1!$B$70:$B$71)*(1+_xlfn.XLOOKUP(Table1[[#This Row], [EXIT]],Sheet1!$A$70:$A$71,Sheet1!$C$70:$C$71))</f>
        <v>1756987.2</v>
      </c>
      <c r="L1805" s="13" t="s">
        <v>61</v>
      </c>
      <c r="M1805" s="4">
        <f>IF(Table1[[#This Row], [EQUIPMENT]]="YES",Sheet1!$C$44*(1+Sheet1!$D$44),0)</f>
        <v>0</v>
      </c>
      <c r="N1805" s="4">
        <f>_xlfn.XLOOKUP(Table1[[#This Row], [ROOM]],Sheet1!$A$47:$A$66,Sheet1!$F$47:$F$66)</f>
        <v>17450000</v>
      </c>
      <c r="O1805" s="9">
        <f>_xlfn.XLOOKUP(_xlfn.CONCAT(Table1[[#This Row], [TEAM]],Table1[[#This Row], [ROOM]]),'ROOM TIME'!$H$2:$H$121,'ROOM TIME'!$J$2:$J$121)</f>
        <v>60.91</v>
      </c>
      <c r="P1805" s="9">
        <f>(INDEX(Sheet1!$X$48:$Z$67,MATCH(Table1[[#This Row], [ROOM]],Sheet1!$P$48:$P$67,0),MATCH(Table1[[#This Row], [WEAPON]],Sheet1!$X$47:$Z$47,0)))/Table1[[#This Row], [NUM OF MEM]]</f>
        <v>6.875</v>
      </c>
      <c r="Q1805" s="9">
        <f>Table1[[#This Row], [ROOM TIME]]+Table1[[#This Row], [GUARD TIME]]</f>
        <v>67.784999999999997</v>
      </c>
      <c r="R1805" s="4">
        <f>Sheet1!$K$3*_xlfn.XLOOKUP(Table1[[#This Row], [DISGUISE]],Sheet1!$A$21:$A$23,Sheet1!$D$21:$D$23)</f>
        <v>66</v>
      </c>
      <c r="S1805" s="9">
        <f>Table1[[#This Row], [TOTAL TIME]]-Table1[[#This Row], [TOTAL TIME TAKEN]]</f>
        <v>-1.7849999999999966</v>
      </c>
      <c r="T1805" t="str">
        <f>IF(Table1[[#This Row], [TIME DIFFERENCE]]&gt;=0,"PASS","FAIL")</f>
        <v>FAIL</v>
      </c>
      <c r="U1805" s="9">
        <f>Table1[[#This Row], [TRC]]+Table1[[#This Row], [DRC]]+Table1[[#This Row], [WRC]]+Table1[[#This Row], [ERC]]+Table1[[#This Row], [EQRC]]</f>
        <v>7788987.2000000002</v>
      </c>
      <c r="V1805" s="9">
        <f>Table1[[#This Row], [TOTAL COST]]+_xlfn.XLOOKUP(Table1[[#This Row], [TEAM]],Sheet1!$A$12:$A$17,Sheet1!$I$12:$I$17)</f>
        <v>8086467.2000000002</v>
      </c>
      <c r="W1805" s="9">
        <f>Table1[[#This Row], [LOOT]]-Table1[[#This Row], [TOTAL COST]]</f>
        <v>9661012.8000000007</v>
      </c>
      <c r="X1805" s="4">
        <f>IF(Table1[[#This Row], [PASS/FAIL]]="FAIL",0,Table1[[#This Row], [PROFIT]])</f>
        <v>0</v>
      </c>
    </row>
    <row r="1806" spans="1:24" ht="19.5" customHeight="1" x14ac:dyDescent="0.45">
      <c r="A1806" t="s">
        <v>14</v>
      </c>
      <c r="B1806" s="14">
        <f>_xlfn.XLOOKUP(Table1[[#This Row], [TEAM]],Sheet1!$A$12:$A$17,Sheet1!$F$12:$F$17)</f>
        <v>2</v>
      </c>
      <c r="C1806" s="14">
        <f>_xlfn.XLOOKUP(Table1[[#This Row], [TEAM]],Sheet1!$A$12:$A$17,Sheet1!$G$12:$G$17)</f>
        <v>5949600</v>
      </c>
      <c r="D1806" t="s">
        <v>11</v>
      </c>
      <c r="E1806" s="4">
        <f>_xlfn.XLOOKUP(Table1[[#This Row], [ROOM]],Sheet1!$A$47:$A$66,Sheet1!$B$47:$B$66)</f>
        <v>124</v>
      </c>
      <c r="F1806" t="s">
        <v>62</v>
      </c>
      <c r="G180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6" s="13" t="s">
        <v>63</v>
      </c>
      <c r="I1806" s="4">
        <f>_xlfn.XLOOKUP(Table1[[#This Row], [WEAPON]],Sheet1!$A$27:$A$29,Sheet1!$B$27:$B$29)*Table1[[#This Row], [NUM OF MEM]]*(1+_xlfn.XLOOKUP(Table1[[#This Row], [WEAPON]],Sheet1!$A$27:$A$29,Sheet1!$C$27:$C$29))</f>
        <v>46000</v>
      </c>
      <c r="J1806" t="s">
        <v>60</v>
      </c>
      <c r="K1806" s="9">
        <f>Table1[[#This Row], [NUM OF MEM]]*Table1[[#This Row], [TOTAL TIME TAKEN]]*_xlfn.XLOOKUP(Table1[[#This Row], [EXIT]],Sheet1!$A$70:$A$71,Sheet1!$B$70:$B$71)*(1+_xlfn.XLOOKUP(Table1[[#This Row], [EXIT]],Sheet1!$A$70:$A$71,Sheet1!$C$70:$C$71))</f>
        <v>1753817.7749999999</v>
      </c>
      <c r="L1806" s="13" t="s">
        <v>65</v>
      </c>
      <c r="M1806" s="4">
        <f>IF(Table1[[#This Row], [EQUIPMENT]]="YES",Sheet1!$C$44*(1+Sheet1!$D$44),0)</f>
        <v>307500</v>
      </c>
      <c r="N1806" s="4">
        <f>_xlfn.XLOOKUP(Table1[[#This Row], [ROOM]],Sheet1!$A$47:$A$66,Sheet1!$F$47:$F$66)</f>
        <v>17450000</v>
      </c>
      <c r="O1806" s="9">
        <f>_xlfn.XLOOKUP(_xlfn.CONCAT(Table1[[#This Row], [TEAM]],Table1[[#This Row], [ROOM]]),'ROOM TIME'!$H$2:$H$121,'ROOM TIME'!$J$2:$J$121)</f>
        <v>60.91</v>
      </c>
      <c r="P1806" s="9">
        <f>(INDEX(Sheet1!$X$48:$Z$67,MATCH(Table1[[#This Row], [ROOM]],Sheet1!$P$48:$P$67,0),MATCH(Table1[[#This Row], [WEAPON]],Sheet1!$X$47:$Z$47,0)))/Table1[[#This Row], [NUM OF MEM]]</f>
        <v>7.4250000000000007</v>
      </c>
      <c r="Q1806" s="9">
        <f>Table1[[#This Row], [ROOM TIME]]+Table1[[#This Row], [GUARD TIME]]</f>
        <v>68.334999999999994</v>
      </c>
      <c r="R1806" s="4">
        <f>Sheet1!$K$3*_xlfn.XLOOKUP(Table1[[#This Row], [DISGUISE]],Sheet1!$A$21:$A$23,Sheet1!$D$21:$D$23)</f>
        <v>66</v>
      </c>
      <c r="S1806" s="9">
        <f>Table1[[#This Row], [TOTAL TIME]]-Table1[[#This Row], [TOTAL TIME TAKEN]]</f>
        <v>-2.3349999999999937</v>
      </c>
      <c r="T1806" t="str">
        <f>IF(Table1[[#This Row], [TIME DIFFERENCE]]&gt;=0,"PASS","FAIL")</f>
        <v>FAIL</v>
      </c>
      <c r="U1806" s="9">
        <f>Table1[[#This Row], [TRC]]+Table1[[#This Row], [DRC]]+Table1[[#This Row], [WRC]]+Table1[[#This Row], [ERC]]+Table1[[#This Row], [EQRC]]</f>
        <v>8067317.7750000004</v>
      </c>
      <c r="V1806" s="9">
        <f>Table1[[#This Row], [TOTAL COST]]+_xlfn.XLOOKUP(Table1[[#This Row], [TEAM]],Sheet1!$A$12:$A$17,Sheet1!$I$12:$I$17)</f>
        <v>8364797.7750000004</v>
      </c>
      <c r="W1806" s="9">
        <f>Table1[[#This Row], [LOOT]]-Table1[[#This Row], [TOTAL COST]]</f>
        <v>9382682.2249999996</v>
      </c>
      <c r="X1806" s="4">
        <f>IF(Table1[[#This Row], [PASS/FAIL]]="FAIL",0,Table1[[#This Row], [PROFIT]])</f>
        <v>0</v>
      </c>
    </row>
    <row r="1807" spans="1:24" ht="19.5" customHeight="1" x14ac:dyDescent="0.45">
      <c r="A1807" t="s">
        <v>14</v>
      </c>
      <c r="B1807" s="14">
        <f>_xlfn.XLOOKUP(Table1[[#This Row], [TEAM]],Sheet1!$A$12:$A$17,Sheet1!$F$12:$F$17)</f>
        <v>2</v>
      </c>
      <c r="C1807" s="14">
        <f>_xlfn.XLOOKUP(Table1[[#This Row], [TEAM]],Sheet1!$A$12:$A$17,Sheet1!$G$12:$G$17)</f>
        <v>5949600</v>
      </c>
      <c r="D1807" t="s">
        <v>11</v>
      </c>
      <c r="E1807" s="4">
        <f>_xlfn.XLOOKUP(Table1[[#This Row], [ROOM]],Sheet1!$A$47:$A$66,Sheet1!$B$47:$B$66)</f>
        <v>124</v>
      </c>
      <c r="F1807" t="s">
        <v>62</v>
      </c>
      <c r="G180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7" s="13" t="s">
        <v>66</v>
      </c>
      <c r="I1807" s="4">
        <f>_xlfn.XLOOKUP(Table1[[#This Row], [WEAPON]],Sheet1!$A$27:$A$29,Sheet1!$B$27:$B$29)*Table1[[#This Row], [NUM OF MEM]]*(1+_xlfn.XLOOKUP(Table1[[#This Row], [WEAPON]],Sheet1!$A$27:$A$29,Sheet1!$C$27:$C$29))</f>
        <v>72000</v>
      </c>
      <c r="J1807" t="s">
        <v>60</v>
      </c>
      <c r="K1807" s="9">
        <f>Table1[[#This Row], [NUM OF MEM]]*Table1[[#This Row], [TOTAL TIME TAKEN]]*_xlfn.XLOOKUP(Table1[[#This Row], [EXIT]],Sheet1!$A$70:$A$71,Sheet1!$B$70:$B$71)*(1+_xlfn.XLOOKUP(Table1[[#This Row], [EXIT]],Sheet1!$A$70:$A$71,Sheet1!$C$70:$C$71))</f>
        <v>1739702.0249999999</v>
      </c>
      <c r="L1807" s="13" t="s">
        <v>65</v>
      </c>
      <c r="M1807" s="4">
        <f>IF(Table1[[#This Row], [EQUIPMENT]]="YES",Sheet1!$C$44*(1+Sheet1!$D$44),0)</f>
        <v>307500</v>
      </c>
      <c r="N1807" s="4">
        <f>_xlfn.XLOOKUP(Table1[[#This Row], [ROOM]],Sheet1!$A$47:$A$66,Sheet1!$F$47:$F$66)</f>
        <v>17450000</v>
      </c>
      <c r="O1807" s="9">
        <f>_xlfn.XLOOKUP(_xlfn.CONCAT(Table1[[#This Row], [TEAM]],Table1[[#This Row], [ROOM]]),'ROOM TIME'!$H$2:$H$121,'ROOM TIME'!$J$2:$J$121)</f>
        <v>60.91</v>
      </c>
      <c r="P1807" s="9">
        <f>(INDEX(Sheet1!$X$48:$Z$67,MATCH(Table1[[#This Row], [ROOM]],Sheet1!$P$48:$P$67,0),MATCH(Table1[[#This Row], [WEAPON]],Sheet1!$X$47:$Z$47,0)))/Table1[[#This Row], [NUM OF MEM]]</f>
        <v>6.875</v>
      </c>
      <c r="Q1807" s="9">
        <f>Table1[[#This Row], [ROOM TIME]]+Table1[[#This Row], [GUARD TIME]]</f>
        <v>67.784999999999997</v>
      </c>
      <c r="R1807" s="4">
        <f>Sheet1!$K$3*_xlfn.XLOOKUP(Table1[[#This Row], [DISGUISE]],Sheet1!$A$21:$A$23,Sheet1!$D$21:$D$23)</f>
        <v>66</v>
      </c>
      <c r="S1807" s="9">
        <f>Table1[[#This Row], [TOTAL TIME]]-Table1[[#This Row], [TOTAL TIME TAKEN]]</f>
        <v>-1.7849999999999966</v>
      </c>
      <c r="T1807" t="str">
        <f>IF(Table1[[#This Row], [TIME DIFFERENCE]]&gt;=0,"PASS","FAIL")</f>
        <v>FAIL</v>
      </c>
      <c r="U1807" s="9">
        <f>Table1[[#This Row], [TRC]]+Table1[[#This Row], [DRC]]+Table1[[#This Row], [WRC]]+Table1[[#This Row], [ERC]]+Table1[[#This Row], [EQRC]]</f>
        <v>8079202.0250000004</v>
      </c>
      <c r="V1807" s="9">
        <f>Table1[[#This Row], [TOTAL COST]]+_xlfn.XLOOKUP(Table1[[#This Row], [TEAM]],Sheet1!$A$12:$A$17,Sheet1!$I$12:$I$17)</f>
        <v>8376682.0250000004</v>
      </c>
      <c r="W1807" s="9">
        <f>Table1[[#This Row], [LOOT]]-Table1[[#This Row], [TOTAL COST]]</f>
        <v>9370797.9749999996</v>
      </c>
      <c r="X1807" s="4">
        <f>IF(Table1[[#This Row], [PASS/FAIL]]="FAIL",0,Table1[[#This Row], [PROFIT]])</f>
        <v>0</v>
      </c>
    </row>
    <row r="1808" spans="1:24" ht="19.5" customHeight="1" x14ac:dyDescent="0.45">
      <c r="A1808" t="s">
        <v>14</v>
      </c>
      <c r="B1808" s="14">
        <f>_xlfn.XLOOKUP(Table1[[#This Row], [TEAM]],Sheet1!$A$12:$A$17,Sheet1!$F$12:$F$17)</f>
        <v>2</v>
      </c>
      <c r="C1808" s="14">
        <f>_xlfn.XLOOKUP(Table1[[#This Row], [TEAM]],Sheet1!$A$12:$A$17,Sheet1!$G$12:$G$17)</f>
        <v>5949600</v>
      </c>
      <c r="D1808" t="s">
        <v>11</v>
      </c>
      <c r="E1808" s="4">
        <f>_xlfn.XLOOKUP(Table1[[#This Row], [ROOM]],Sheet1!$A$47:$A$66,Sheet1!$B$47:$B$66)</f>
        <v>124</v>
      </c>
      <c r="F1808" t="s">
        <v>62</v>
      </c>
      <c r="G180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8" s="13" t="s">
        <v>63</v>
      </c>
      <c r="I1808" s="4">
        <f>_xlfn.XLOOKUP(Table1[[#This Row], [WEAPON]],Sheet1!$A$27:$A$29,Sheet1!$B$27:$B$29)*Table1[[#This Row], [NUM OF MEM]]*(1+_xlfn.XLOOKUP(Table1[[#This Row], [WEAPON]],Sheet1!$A$27:$A$29,Sheet1!$C$27:$C$29))</f>
        <v>46000</v>
      </c>
      <c r="J1808" t="s">
        <v>64</v>
      </c>
      <c r="K1808" s="9">
        <f>Table1[[#This Row], [NUM OF MEM]]*Table1[[#This Row], [TOTAL TIME TAKEN]]*_xlfn.XLOOKUP(Table1[[#This Row], [EXIT]],Sheet1!$A$70:$A$71,Sheet1!$B$70:$B$71)*(1+_xlfn.XLOOKUP(Table1[[#This Row], [EXIT]],Sheet1!$A$70:$A$71,Sheet1!$C$70:$C$71))</f>
        <v>1771243.1999999997</v>
      </c>
      <c r="L1808" s="13" t="s">
        <v>65</v>
      </c>
      <c r="M1808" s="4">
        <f>IF(Table1[[#This Row], [EQUIPMENT]]="YES",Sheet1!$C$44*(1+Sheet1!$D$44),0)</f>
        <v>307500</v>
      </c>
      <c r="N1808" s="4">
        <f>_xlfn.XLOOKUP(Table1[[#This Row], [ROOM]],Sheet1!$A$47:$A$66,Sheet1!$F$47:$F$66)</f>
        <v>17450000</v>
      </c>
      <c r="O1808" s="9">
        <f>_xlfn.XLOOKUP(_xlfn.CONCAT(Table1[[#This Row], [TEAM]],Table1[[#This Row], [ROOM]]),'ROOM TIME'!$H$2:$H$121,'ROOM TIME'!$J$2:$J$121)</f>
        <v>60.91</v>
      </c>
      <c r="P1808" s="9">
        <f>(INDEX(Sheet1!$X$48:$Z$67,MATCH(Table1[[#This Row], [ROOM]],Sheet1!$P$48:$P$67,0),MATCH(Table1[[#This Row], [WEAPON]],Sheet1!$X$47:$Z$47,0)))/Table1[[#This Row], [NUM OF MEM]]</f>
        <v>7.4250000000000007</v>
      </c>
      <c r="Q1808" s="9">
        <f>Table1[[#This Row], [ROOM TIME]]+Table1[[#This Row], [GUARD TIME]]</f>
        <v>68.334999999999994</v>
      </c>
      <c r="R1808" s="4">
        <f>Sheet1!$K$3*_xlfn.XLOOKUP(Table1[[#This Row], [DISGUISE]],Sheet1!$A$21:$A$23,Sheet1!$D$21:$D$23)</f>
        <v>66</v>
      </c>
      <c r="S1808" s="9">
        <f>Table1[[#This Row], [TOTAL TIME]]-Table1[[#This Row], [TOTAL TIME TAKEN]]</f>
        <v>-2.3349999999999937</v>
      </c>
      <c r="T1808" t="str">
        <f>IF(Table1[[#This Row], [TIME DIFFERENCE]]&gt;=0,"PASS","FAIL")</f>
        <v>FAIL</v>
      </c>
      <c r="U1808" s="9">
        <f>Table1[[#This Row], [TRC]]+Table1[[#This Row], [DRC]]+Table1[[#This Row], [WRC]]+Table1[[#This Row], [ERC]]+Table1[[#This Row], [EQRC]]</f>
        <v>8084743.1999999993</v>
      </c>
      <c r="V1808" s="9">
        <f>Table1[[#This Row], [TOTAL COST]]+_xlfn.XLOOKUP(Table1[[#This Row], [TEAM]],Sheet1!$A$12:$A$17,Sheet1!$I$12:$I$17)</f>
        <v>8382223.1999999993</v>
      </c>
      <c r="W1808" s="9">
        <f>Table1[[#This Row], [LOOT]]-Table1[[#This Row], [TOTAL COST]]</f>
        <v>9365256.8000000007</v>
      </c>
      <c r="X1808" s="4">
        <f>IF(Table1[[#This Row], [PASS/FAIL]]="FAIL",0,Table1[[#This Row], [PROFIT]])</f>
        <v>0</v>
      </c>
    </row>
    <row r="1809" spans="1:24" ht="19.5" customHeight="1" x14ac:dyDescent="0.45">
      <c r="A1809" t="s">
        <v>14</v>
      </c>
      <c r="B1809" s="14">
        <f>_xlfn.XLOOKUP(Table1[[#This Row], [TEAM]],Sheet1!$A$12:$A$17,Sheet1!$F$12:$F$17)</f>
        <v>2</v>
      </c>
      <c r="C1809" s="14">
        <f>_xlfn.XLOOKUP(Table1[[#This Row], [TEAM]],Sheet1!$A$12:$A$17,Sheet1!$G$12:$G$17)</f>
        <v>5949600</v>
      </c>
      <c r="D1809" t="s">
        <v>11</v>
      </c>
      <c r="E1809" s="4">
        <f>_xlfn.XLOOKUP(Table1[[#This Row], [ROOM]],Sheet1!$A$47:$A$66,Sheet1!$B$47:$B$66)</f>
        <v>124</v>
      </c>
      <c r="F1809" t="s">
        <v>62</v>
      </c>
      <c r="G180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09" s="13" t="s">
        <v>66</v>
      </c>
      <c r="I1809" s="4">
        <f>_xlfn.XLOOKUP(Table1[[#This Row], [WEAPON]],Sheet1!$A$27:$A$29,Sheet1!$B$27:$B$29)*Table1[[#This Row], [NUM OF MEM]]*(1+_xlfn.XLOOKUP(Table1[[#This Row], [WEAPON]],Sheet1!$A$27:$A$29,Sheet1!$C$27:$C$29))</f>
        <v>72000</v>
      </c>
      <c r="J1809" t="s">
        <v>64</v>
      </c>
      <c r="K1809" s="9">
        <f>Table1[[#This Row], [NUM OF MEM]]*Table1[[#This Row], [TOTAL TIME TAKEN]]*_xlfn.XLOOKUP(Table1[[#This Row], [EXIT]],Sheet1!$A$70:$A$71,Sheet1!$B$70:$B$71)*(1+_xlfn.XLOOKUP(Table1[[#This Row], [EXIT]],Sheet1!$A$70:$A$71,Sheet1!$C$70:$C$71))</f>
        <v>1756987.2</v>
      </c>
      <c r="L1809" s="13" t="s">
        <v>65</v>
      </c>
      <c r="M1809" s="4">
        <f>IF(Table1[[#This Row], [EQUIPMENT]]="YES",Sheet1!$C$44*(1+Sheet1!$D$44),0)</f>
        <v>307500</v>
      </c>
      <c r="N1809" s="4">
        <f>_xlfn.XLOOKUP(Table1[[#This Row], [ROOM]],Sheet1!$A$47:$A$66,Sheet1!$F$47:$F$66)</f>
        <v>17450000</v>
      </c>
      <c r="O1809" s="9">
        <f>_xlfn.XLOOKUP(_xlfn.CONCAT(Table1[[#This Row], [TEAM]],Table1[[#This Row], [ROOM]]),'ROOM TIME'!$H$2:$H$121,'ROOM TIME'!$J$2:$J$121)</f>
        <v>60.91</v>
      </c>
      <c r="P1809" s="9">
        <f>(INDEX(Sheet1!$X$48:$Z$67,MATCH(Table1[[#This Row], [ROOM]],Sheet1!$P$48:$P$67,0),MATCH(Table1[[#This Row], [WEAPON]],Sheet1!$X$47:$Z$47,0)))/Table1[[#This Row], [NUM OF MEM]]</f>
        <v>6.875</v>
      </c>
      <c r="Q1809" s="9">
        <f>Table1[[#This Row], [ROOM TIME]]+Table1[[#This Row], [GUARD TIME]]</f>
        <v>67.784999999999997</v>
      </c>
      <c r="R1809" s="4">
        <f>Sheet1!$K$3*_xlfn.XLOOKUP(Table1[[#This Row], [DISGUISE]],Sheet1!$A$21:$A$23,Sheet1!$D$21:$D$23)</f>
        <v>66</v>
      </c>
      <c r="S1809" s="9">
        <f>Table1[[#This Row], [TOTAL TIME]]-Table1[[#This Row], [TOTAL TIME TAKEN]]</f>
        <v>-1.7849999999999966</v>
      </c>
      <c r="T1809" t="str">
        <f>IF(Table1[[#This Row], [TIME DIFFERENCE]]&gt;=0,"PASS","FAIL")</f>
        <v>FAIL</v>
      </c>
      <c r="U1809" s="9">
        <f>Table1[[#This Row], [TRC]]+Table1[[#This Row], [DRC]]+Table1[[#This Row], [WRC]]+Table1[[#This Row], [ERC]]+Table1[[#This Row], [EQRC]]</f>
        <v>8096487.2000000002</v>
      </c>
      <c r="V1809" s="9">
        <f>Table1[[#This Row], [TOTAL COST]]+_xlfn.XLOOKUP(Table1[[#This Row], [TEAM]],Sheet1!$A$12:$A$17,Sheet1!$I$12:$I$17)</f>
        <v>8393967.1999999993</v>
      </c>
      <c r="W1809" s="9">
        <f>Table1[[#This Row], [LOOT]]-Table1[[#This Row], [TOTAL COST]]</f>
        <v>9353512.8000000007</v>
      </c>
      <c r="X1809" s="4">
        <f>IF(Table1[[#This Row], [PASS/FAIL]]="FAIL",0,Table1[[#This Row], [PROFIT]])</f>
        <v>0</v>
      </c>
    </row>
    <row r="1810" spans="1:24" ht="19.5" customHeight="1" x14ac:dyDescent="0.45">
      <c r="A1810" t="s">
        <v>15</v>
      </c>
      <c r="B1810" s="14">
        <f>_xlfn.XLOOKUP(Table1[[#This Row], [TEAM]],Sheet1!$A$12:$A$17,Sheet1!$F$12:$F$17)</f>
        <v>2</v>
      </c>
      <c r="C1810" s="14">
        <f>_xlfn.XLOOKUP(Table1[[#This Row], [TEAM]],Sheet1!$A$12:$A$17,Sheet1!$G$12:$G$17)</f>
        <v>5932950</v>
      </c>
      <c r="D1810" t="s">
        <v>11</v>
      </c>
      <c r="E1810" s="4">
        <f>_xlfn.XLOOKUP(Table1[[#This Row], [ROOM]],Sheet1!$A$47:$A$66,Sheet1!$B$47:$B$66)</f>
        <v>124</v>
      </c>
      <c r="F1810" t="s">
        <v>62</v>
      </c>
      <c r="G181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0" s="13" t="s">
        <v>59</v>
      </c>
      <c r="I1810" s="4">
        <f>_xlfn.XLOOKUP(Table1[[#This Row], [WEAPON]],Sheet1!$A$27:$A$29,Sheet1!$B$27:$B$29)*Table1[[#This Row], [NUM OF MEM]]*(1+_xlfn.XLOOKUP(Table1[[#This Row], [WEAPON]],Sheet1!$A$27:$A$29,Sheet1!$C$27:$C$29))</f>
        <v>91000</v>
      </c>
      <c r="J1810" t="s">
        <v>60</v>
      </c>
      <c r="K1810" s="9">
        <f>Table1[[#This Row], [NUM OF MEM]]*Table1[[#This Row], [TOTAL TIME TAKEN]]*_xlfn.XLOOKUP(Table1[[#This Row], [EXIT]],Sheet1!$A$70:$A$71,Sheet1!$B$70:$B$71)*(1+_xlfn.XLOOKUP(Table1[[#This Row], [EXIT]],Sheet1!$A$70:$A$71,Sheet1!$C$70:$C$71))</f>
        <v>1734857.7562499996</v>
      </c>
      <c r="L1810" s="13" t="s">
        <v>61</v>
      </c>
      <c r="M1810" s="4">
        <f>IF(Table1[[#This Row], [EQUIPMENT]]="YES",Sheet1!$C$44*(1+Sheet1!$D$44),0)</f>
        <v>0</v>
      </c>
      <c r="N1810" s="4">
        <f>_xlfn.XLOOKUP(Table1[[#This Row], [ROOM]],Sheet1!$A$47:$A$66,Sheet1!$F$47:$F$66)</f>
        <v>17450000</v>
      </c>
      <c r="O1810" s="9">
        <f>_xlfn.XLOOKUP(_xlfn.CONCAT(Table1[[#This Row], [TEAM]],Table1[[#This Row], [ROOM]]),'ROOM TIME'!$H$2:$H$121,'ROOM TIME'!$J$2:$J$121)</f>
        <v>61.271249999999981</v>
      </c>
      <c r="P1810" s="9">
        <f>(INDEX(Sheet1!$X$48:$Z$67,MATCH(Table1[[#This Row], [ROOM]],Sheet1!$P$48:$P$67,0),MATCH(Table1[[#This Row], [WEAPON]],Sheet1!$X$47:$Z$47,0)))/Table1[[#This Row], [NUM OF MEM]]</f>
        <v>6.3249999999999993</v>
      </c>
      <c r="Q1810" s="9">
        <f>Table1[[#This Row], [ROOM TIME]]+Table1[[#This Row], [GUARD TIME]]</f>
        <v>67.596249999999984</v>
      </c>
      <c r="R1810" s="4">
        <f>Sheet1!$K$3*_xlfn.XLOOKUP(Table1[[#This Row], [DISGUISE]],Sheet1!$A$21:$A$23,Sheet1!$D$21:$D$23)</f>
        <v>66</v>
      </c>
      <c r="S1810" s="9">
        <f>Table1[[#This Row], [TOTAL TIME]]-Table1[[#This Row], [TOTAL TIME TAKEN]]</f>
        <v>-1.5962499999999835</v>
      </c>
      <c r="T1810" t="str">
        <f>IF(Table1[[#This Row], [TIME DIFFERENCE]]&gt;=0,"PASS","FAIL")</f>
        <v>FAIL</v>
      </c>
      <c r="U1810" s="9">
        <f>Table1[[#This Row], [TRC]]+Table1[[#This Row], [DRC]]+Table1[[#This Row], [WRC]]+Table1[[#This Row], [ERC]]+Table1[[#This Row], [EQRC]]</f>
        <v>7769207.7562499996</v>
      </c>
      <c r="V1810" s="9">
        <f>Table1[[#This Row], [TOTAL COST]]+_xlfn.XLOOKUP(Table1[[#This Row], [TEAM]],Sheet1!$A$12:$A$17,Sheet1!$I$12:$I$17)</f>
        <v>8065855.2562499996</v>
      </c>
      <c r="W1810" s="9">
        <f>Table1[[#This Row], [LOOT]]-Table1[[#This Row], [TOTAL COST]]</f>
        <v>9680792.2437500004</v>
      </c>
      <c r="X1810" s="4">
        <f>IF(Table1[[#This Row], [PASS/FAIL]]="FAIL",0,Table1[[#This Row], [PROFIT]])</f>
        <v>0</v>
      </c>
    </row>
    <row r="1811" spans="1:24" ht="19.5" customHeight="1" x14ac:dyDescent="0.45">
      <c r="A1811" t="s">
        <v>15</v>
      </c>
      <c r="B1811" s="14">
        <f>_xlfn.XLOOKUP(Table1[[#This Row], [TEAM]],Sheet1!$A$12:$A$17,Sheet1!$F$12:$F$17)</f>
        <v>2</v>
      </c>
      <c r="C1811" s="14">
        <f>_xlfn.XLOOKUP(Table1[[#This Row], [TEAM]],Sheet1!$A$12:$A$17,Sheet1!$G$12:$G$17)</f>
        <v>5932950</v>
      </c>
      <c r="D1811" t="s">
        <v>11</v>
      </c>
      <c r="E1811" s="4">
        <f>_xlfn.XLOOKUP(Table1[[#This Row], [ROOM]],Sheet1!$A$47:$A$66,Sheet1!$B$47:$B$66)</f>
        <v>124</v>
      </c>
      <c r="F1811" t="s">
        <v>62</v>
      </c>
      <c r="G181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1" s="13" t="s">
        <v>59</v>
      </c>
      <c r="I1811" s="4">
        <f>_xlfn.XLOOKUP(Table1[[#This Row], [WEAPON]],Sheet1!$A$27:$A$29,Sheet1!$B$27:$B$29)*Table1[[#This Row], [NUM OF MEM]]*(1+_xlfn.XLOOKUP(Table1[[#This Row], [WEAPON]],Sheet1!$A$27:$A$29,Sheet1!$C$27:$C$29))</f>
        <v>91000</v>
      </c>
      <c r="J1811" t="s">
        <v>64</v>
      </c>
      <c r="K1811" s="9">
        <f>Table1[[#This Row], [NUM OF MEM]]*Table1[[#This Row], [TOTAL TIME TAKEN]]*_xlfn.XLOOKUP(Table1[[#This Row], [EXIT]],Sheet1!$A$70:$A$71,Sheet1!$B$70:$B$71)*(1+_xlfn.XLOOKUP(Table1[[#This Row], [EXIT]],Sheet1!$A$70:$A$71,Sheet1!$C$70:$C$71))</f>
        <v>1752094.7999999993</v>
      </c>
      <c r="L1811" s="13" t="s">
        <v>61</v>
      </c>
      <c r="M1811" s="4">
        <f>IF(Table1[[#This Row], [EQUIPMENT]]="YES",Sheet1!$C$44*(1+Sheet1!$D$44),0)</f>
        <v>0</v>
      </c>
      <c r="N1811" s="4">
        <f>_xlfn.XLOOKUP(Table1[[#This Row], [ROOM]],Sheet1!$A$47:$A$66,Sheet1!$F$47:$F$66)</f>
        <v>17450000</v>
      </c>
      <c r="O1811" s="9">
        <f>_xlfn.XLOOKUP(_xlfn.CONCAT(Table1[[#This Row], [TEAM]],Table1[[#This Row], [ROOM]]),'ROOM TIME'!$H$2:$H$121,'ROOM TIME'!$J$2:$J$121)</f>
        <v>61.271249999999981</v>
      </c>
      <c r="P1811" s="9">
        <f>(INDEX(Sheet1!$X$48:$Z$67,MATCH(Table1[[#This Row], [ROOM]],Sheet1!$P$48:$P$67,0),MATCH(Table1[[#This Row], [WEAPON]],Sheet1!$X$47:$Z$47,0)))/Table1[[#This Row], [NUM OF MEM]]</f>
        <v>6.3249999999999993</v>
      </c>
      <c r="Q1811" s="9">
        <f>Table1[[#This Row], [ROOM TIME]]+Table1[[#This Row], [GUARD TIME]]</f>
        <v>67.596249999999984</v>
      </c>
      <c r="R1811" s="4">
        <f>Sheet1!$K$3*_xlfn.XLOOKUP(Table1[[#This Row], [DISGUISE]],Sheet1!$A$21:$A$23,Sheet1!$D$21:$D$23)</f>
        <v>66</v>
      </c>
      <c r="S1811" s="9">
        <f>Table1[[#This Row], [TOTAL TIME]]-Table1[[#This Row], [TOTAL TIME TAKEN]]</f>
        <v>-1.5962499999999835</v>
      </c>
      <c r="T1811" t="str">
        <f>IF(Table1[[#This Row], [TIME DIFFERENCE]]&gt;=0,"PASS","FAIL")</f>
        <v>FAIL</v>
      </c>
      <c r="U1811" s="9">
        <f>Table1[[#This Row], [TRC]]+Table1[[#This Row], [DRC]]+Table1[[#This Row], [WRC]]+Table1[[#This Row], [ERC]]+Table1[[#This Row], [EQRC]]</f>
        <v>7786444.7999999989</v>
      </c>
      <c r="V1811" s="9">
        <f>Table1[[#This Row], [TOTAL COST]]+_xlfn.XLOOKUP(Table1[[#This Row], [TEAM]],Sheet1!$A$12:$A$17,Sheet1!$I$12:$I$17)</f>
        <v>8083092.2999999989</v>
      </c>
      <c r="W1811" s="9">
        <f>Table1[[#This Row], [LOOT]]-Table1[[#This Row], [TOTAL COST]]</f>
        <v>9663555.2000000011</v>
      </c>
      <c r="X1811" s="4">
        <f>IF(Table1[[#This Row], [PASS/FAIL]]="FAIL",0,Table1[[#This Row], [PROFIT]])</f>
        <v>0</v>
      </c>
    </row>
    <row r="1812" spans="1:24" ht="19.5" customHeight="1" x14ac:dyDescent="0.45">
      <c r="A1812" t="s">
        <v>15</v>
      </c>
      <c r="B1812" s="14">
        <f>_xlfn.XLOOKUP(Table1[[#This Row], [TEAM]],Sheet1!$A$12:$A$17,Sheet1!$F$12:$F$17)</f>
        <v>2</v>
      </c>
      <c r="C1812" s="14">
        <f>_xlfn.XLOOKUP(Table1[[#This Row], [TEAM]],Sheet1!$A$12:$A$17,Sheet1!$G$12:$G$17)</f>
        <v>5932950</v>
      </c>
      <c r="D1812" t="s">
        <v>11</v>
      </c>
      <c r="E1812" s="4">
        <f>_xlfn.XLOOKUP(Table1[[#This Row], [ROOM]],Sheet1!$A$47:$A$66,Sheet1!$B$47:$B$66)</f>
        <v>124</v>
      </c>
      <c r="F1812" t="s">
        <v>62</v>
      </c>
      <c r="G181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2" s="13" t="s">
        <v>59</v>
      </c>
      <c r="I1812" s="4">
        <f>_xlfn.XLOOKUP(Table1[[#This Row], [WEAPON]],Sheet1!$A$27:$A$29,Sheet1!$B$27:$B$29)*Table1[[#This Row], [NUM OF MEM]]*(1+_xlfn.XLOOKUP(Table1[[#This Row], [WEAPON]],Sheet1!$A$27:$A$29,Sheet1!$C$27:$C$29))</f>
        <v>91000</v>
      </c>
      <c r="J1812" t="s">
        <v>60</v>
      </c>
      <c r="K1812" s="9">
        <f>Table1[[#This Row], [NUM OF MEM]]*Table1[[#This Row], [TOTAL TIME TAKEN]]*_xlfn.XLOOKUP(Table1[[#This Row], [EXIT]],Sheet1!$A$70:$A$71,Sheet1!$B$70:$B$71)*(1+_xlfn.XLOOKUP(Table1[[#This Row], [EXIT]],Sheet1!$A$70:$A$71,Sheet1!$C$70:$C$71))</f>
        <v>1734857.7562499996</v>
      </c>
      <c r="L1812" s="13" t="s">
        <v>65</v>
      </c>
      <c r="M1812" s="4">
        <f>IF(Table1[[#This Row], [EQUIPMENT]]="YES",Sheet1!$C$44*(1+Sheet1!$D$44),0)</f>
        <v>307500</v>
      </c>
      <c r="N1812" s="4">
        <f>_xlfn.XLOOKUP(Table1[[#This Row], [ROOM]],Sheet1!$A$47:$A$66,Sheet1!$F$47:$F$66)</f>
        <v>17450000</v>
      </c>
      <c r="O1812" s="9">
        <f>_xlfn.XLOOKUP(_xlfn.CONCAT(Table1[[#This Row], [TEAM]],Table1[[#This Row], [ROOM]]),'ROOM TIME'!$H$2:$H$121,'ROOM TIME'!$J$2:$J$121)</f>
        <v>61.271249999999981</v>
      </c>
      <c r="P1812" s="9">
        <f>(INDEX(Sheet1!$X$48:$Z$67,MATCH(Table1[[#This Row], [ROOM]],Sheet1!$P$48:$P$67,0),MATCH(Table1[[#This Row], [WEAPON]],Sheet1!$X$47:$Z$47,0)))/Table1[[#This Row], [NUM OF MEM]]</f>
        <v>6.3249999999999993</v>
      </c>
      <c r="Q1812" s="9">
        <f>Table1[[#This Row], [ROOM TIME]]+Table1[[#This Row], [GUARD TIME]]</f>
        <v>67.596249999999984</v>
      </c>
      <c r="R1812" s="4">
        <f>Sheet1!$K$3*_xlfn.XLOOKUP(Table1[[#This Row], [DISGUISE]],Sheet1!$A$21:$A$23,Sheet1!$D$21:$D$23)</f>
        <v>66</v>
      </c>
      <c r="S1812" s="9">
        <f>Table1[[#This Row], [TOTAL TIME]]-Table1[[#This Row], [TOTAL TIME TAKEN]]</f>
        <v>-1.5962499999999835</v>
      </c>
      <c r="T1812" t="str">
        <f>IF(Table1[[#This Row], [TIME DIFFERENCE]]&gt;=0,"PASS","FAIL")</f>
        <v>FAIL</v>
      </c>
      <c r="U1812" s="9">
        <f>Table1[[#This Row], [TRC]]+Table1[[#This Row], [DRC]]+Table1[[#This Row], [WRC]]+Table1[[#This Row], [ERC]]+Table1[[#This Row], [EQRC]]</f>
        <v>8076707.7562499996</v>
      </c>
      <c r="V1812" s="9">
        <f>Table1[[#This Row], [TOTAL COST]]+_xlfn.XLOOKUP(Table1[[#This Row], [TEAM]],Sheet1!$A$12:$A$17,Sheet1!$I$12:$I$17)</f>
        <v>8373355.2562499996</v>
      </c>
      <c r="W1812" s="9">
        <f>Table1[[#This Row], [LOOT]]-Table1[[#This Row], [TOTAL COST]]</f>
        <v>9373292.2437500004</v>
      </c>
      <c r="X1812" s="4">
        <f>IF(Table1[[#This Row], [PASS/FAIL]]="FAIL",0,Table1[[#This Row], [PROFIT]])</f>
        <v>0</v>
      </c>
    </row>
    <row r="1813" spans="1:24" ht="19.5" customHeight="1" x14ac:dyDescent="0.45">
      <c r="A1813" t="s">
        <v>15</v>
      </c>
      <c r="B1813" s="14">
        <f>_xlfn.XLOOKUP(Table1[[#This Row], [TEAM]],Sheet1!$A$12:$A$17,Sheet1!$F$12:$F$17)</f>
        <v>2</v>
      </c>
      <c r="C1813" s="14">
        <f>_xlfn.XLOOKUP(Table1[[#This Row], [TEAM]],Sheet1!$A$12:$A$17,Sheet1!$G$12:$G$17)</f>
        <v>5932950</v>
      </c>
      <c r="D1813" t="s">
        <v>11</v>
      </c>
      <c r="E1813" s="4">
        <f>_xlfn.XLOOKUP(Table1[[#This Row], [ROOM]],Sheet1!$A$47:$A$66,Sheet1!$B$47:$B$66)</f>
        <v>124</v>
      </c>
      <c r="F1813" t="s">
        <v>62</v>
      </c>
      <c r="G181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3" s="13" t="s">
        <v>59</v>
      </c>
      <c r="I1813" s="4">
        <f>_xlfn.XLOOKUP(Table1[[#This Row], [WEAPON]],Sheet1!$A$27:$A$29,Sheet1!$B$27:$B$29)*Table1[[#This Row], [NUM OF MEM]]*(1+_xlfn.XLOOKUP(Table1[[#This Row], [WEAPON]],Sheet1!$A$27:$A$29,Sheet1!$C$27:$C$29))</f>
        <v>91000</v>
      </c>
      <c r="J1813" t="s">
        <v>64</v>
      </c>
      <c r="K1813" s="9">
        <f>Table1[[#This Row], [NUM OF MEM]]*Table1[[#This Row], [TOTAL TIME TAKEN]]*_xlfn.XLOOKUP(Table1[[#This Row], [EXIT]],Sheet1!$A$70:$A$71,Sheet1!$B$70:$B$71)*(1+_xlfn.XLOOKUP(Table1[[#This Row], [EXIT]],Sheet1!$A$70:$A$71,Sheet1!$C$70:$C$71))</f>
        <v>1752094.7999999993</v>
      </c>
      <c r="L1813" s="13" t="s">
        <v>65</v>
      </c>
      <c r="M1813" s="4">
        <f>IF(Table1[[#This Row], [EQUIPMENT]]="YES",Sheet1!$C$44*(1+Sheet1!$D$44),0)</f>
        <v>307500</v>
      </c>
      <c r="N1813" s="4">
        <f>_xlfn.XLOOKUP(Table1[[#This Row], [ROOM]],Sheet1!$A$47:$A$66,Sheet1!$F$47:$F$66)</f>
        <v>17450000</v>
      </c>
      <c r="O1813" s="9">
        <f>_xlfn.XLOOKUP(_xlfn.CONCAT(Table1[[#This Row], [TEAM]],Table1[[#This Row], [ROOM]]),'ROOM TIME'!$H$2:$H$121,'ROOM TIME'!$J$2:$J$121)</f>
        <v>61.271249999999981</v>
      </c>
      <c r="P1813" s="9">
        <f>(INDEX(Sheet1!$X$48:$Z$67,MATCH(Table1[[#This Row], [ROOM]],Sheet1!$P$48:$P$67,0),MATCH(Table1[[#This Row], [WEAPON]],Sheet1!$X$47:$Z$47,0)))/Table1[[#This Row], [NUM OF MEM]]</f>
        <v>6.3249999999999993</v>
      </c>
      <c r="Q1813" s="9">
        <f>Table1[[#This Row], [ROOM TIME]]+Table1[[#This Row], [GUARD TIME]]</f>
        <v>67.596249999999984</v>
      </c>
      <c r="R1813" s="4">
        <f>Sheet1!$K$3*_xlfn.XLOOKUP(Table1[[#This Row], [DISGUISE]],Sheet1!$A$21:$A$23,Sheet1!$D$21:$D$23)</f>
        <v>66</v>
      </c>
      <c r="S1813" s="9">
        <f>Table1[[#This Row], [TOTAL TIME]]-Table1[[#This Row], [TOTAL TIME TAKEN]]</f>
        <v>-1.5962499999999835</v>
      </c>
      <c r="T1813" t="str">
        <f>IF(Table1[[#This Row], [TIME DIFFERENCE]]&gt;=0,"PASS","FAIL")</f>
        <v>FAIL</v>
      </c>
      <c r="U1813" s="9">
        <f>Table1[[#This Row], [TRC]]+Table1[[#This Row], [DRC]]+Table1[[#This Row], [WRC]]+Table1[[#This Row], [ERC]]+Table1[[#This Row], [EQRC]]</f>
        <v>8093944.7999999989</v>
      </c>
      <c r="V1813" s="9">
        <f>Table1[[#This Row], [TOTAL COST]]+_xlfn.XLOOKUP(Table1[[#This Row], [TEAM]],Sheet1!$A$12:$A$17,Sheet1!$I$12:$I$17)</f>
        <v>8390592.2999999989</v>
      </c>
      <c r="W1813" s="9">
        <f>Table1[[#This Row], [LOOT]]-Table1[[#This Row], [TOTAL COST]]</f>
        <v>9356055.2000000011</v>
      </c>
      <c r="X1813" s="4">
        <f>IF(Table1[[#This Row], [PASS/FAIL]]="FAIL",0,Table1[[#This Row], [PROFIT]])</f>
        <v>0</v>
      </c>
    </row>
    <row r="1814" spans="1:24" ht="19.5" customHeight="1" x14ac:dyDescent="0.45">
      <c r="A1814" t="s">
        <v>15</v>
      </c>
      <c r="B1814" s="14">
        <f>_xlfn.XLOOKUP(Table1[[#This Row], [TEAM]],Sheet1!$A$12:$A$17,Sheet1!$F$12:$F$17)</f>
        <v>2</v>
      </c>
      <c r="C1814" s="14">
        <f>_xlfn.XLOOKUP(Table1[[#This Row], [TEAM]],Sheet1!$A$12:$A$17,Sheet1!$G$12:$G$17)</f>
        <v>5932950</v>
      </c>
      <c r="D1814" t="s">
        <v>11</v>
      </c>
      <c r="E1814" s="4">
        <f>_xlfn.XLOOKUP(Table1[[#This Row], [ROOM]],Sheet1!$A$47:$A$66,Sheet1!$B$47:$B$66)</f>
        <v>124</v>
      </c>
      <c r="F1814" t="s">
        <v>62</v>
      </c>
      <c r="G181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4" s="13" t="s">
        <v>63</v>
      </c>
      <c r="I1814" s="4">
        <f>_xlfn.XLOOKUP(Table1[[#This Row], [WEAPON]],Sheet1!$A$27:$A$29,Sheet1!$B$27:$B$29)*Table1[[#This Row], [NUM OF MEM]]*(1+_xlfn.XLOOKUP(Table1[[#This Row], [WEAPON]],Sheet1!$A$27:$A$29,Sheet1!$C$27:$C$29))</f>
        <v>46000</v>
      </c>
      <c r="J1814" t="s">
        <v>60</v>
      </c>
      <c r="K1814" s="9">
        <f>Table1[[#This Row], [NUM OF MEM]]*Table1[[#This Row], [TOTAL TIME TAKEN]]*_xlfn.XLOOKUP(Table1[[#This Row], [EXIT]],Sheet1!$A$70:$A$71,Sheet1!$B$70:$B$71)*(1+_xlfn.XLOOKUP(Table1[[#This Row], [EXIT]],Sheet1!$A$70:$A$71,Sheet1!$C$70:$C$71))</f>
        <v>1763089.2562499992</v>
      </c>
      <c r="L1814" s="13" t="s">
        <v>61</v>
      </c>
      <c r="M1814" s="4">
        <f>IF(Table1[[#This Row], [EQUIPMENT]]="YES",Sheet1!$C$44*(1+Sheet1!$D$44),0)</f>
        <v>0</v>
      </c>
      <c r="N1814" s="4">
        <f>_xlfn.XLOOKUP(Table1[[#This Row], [ROOM]],Sheet1!$A$47:$A$66,Sheet1!$F$47:$F$66)</f>
        <v>17450000</v>
      </c>
      <c r="O1814" s="9">
        <f>_xlfn.XLOOKUP(_xlfn.CONCAT(Table1[[#This Row], [TEAM]],Table1[[#This Row], [ROOM]]),'ROOM TIME'!$H$2:$H$121,'ROOM TIME'!$J$2:$J$121)</f>
        <v>61.271249999999981</v>
      </c>
      <c r="P1814" s="9">
        <f>(INDEX(Sheet1!$X$48:$Z$67,MATCH(Table1[[#This Row], [ROOM]],Sheet1!$P$48:$P$67,0),MATCH(Table1[[#This Row], [WEAPON]],Sheet1!$X$47:$Z$47,0)))/Table1[[#This Row], [NUM OF MEM]]</f>
        <v>7.4250000000000007</v>
      </c>
      <c r="Q1814" s="9">
        <f>Table1[[#This Row], [ROOM TIME]]+Table1[[#This Row], [GUARD TIME]]</f>
        <v>68.696249999999978</v>
      </c>
      <c r="R1814" s="4">
        <f>Sheet1!$K$3*_xlfn.XLOOKUP(Table1[[#This Row], [DISGUISE]],Sheet1!$A$21:$A$23,Sheet1!$D$21:$D$23)</f>
        <v>66</v>
      </c>
      <c r="S1814" s="9">
        <f>Table1[[#This Row], [TOTAL TIME]]-Table1[[#This Row], [TOTAL TIME TAKEN]]</f>
        <v>-2.6962499999999778</v>
      </c>
      <c r="T1814" t="str">
        <f>IF(Table1[[#This Row], [TIME DIFFERENCE]]&gt;=0,"PASS","FAIL")</f>
        <v>FAIL</v>
      </c>
      <c r="U1814" s="9">
        <f>Table1[[#This Row], [TRC]]+Table1[[#This Row], [DRC]]+Table1[[#This Row], [WRC]]+Table1[[#This Row], [ERC]]+Table1[[#This Row], [EQRC]]</f>
        <v>7752439.2562499996</v>
      </c>
      <c r="V1814" s="9">
        <f>Table1[[#This Row], [TOTAL COST]]+_xlfn.XLOOKUP(Table1[[#This Row], [TEAM]],Sheet1!$A$12:$A$17,Sheet1!$I$12:$I$17)</f>
        <v>8049086.7562499996</v>
      </c>
      <c r="W1814" s="9">
        <f>Table1[[#This Row], [LOOT]]-Table1[[#This Row], [TOTAL COST]]</f>
        <v>9697560.7437500004</v>
      </c>
      <c r="X1814" s="4">
        <f>IF(Table1[[#This Row], [PASS/FAIL]]="FAIL",0,Table1[[#This Row], [PROFIT]])</f>
        <v>0</v>
      </c>
    </row>
    <row r="1815" spans="1:24" ht="19.5" customHeight="1" x14ac:dyDescent="0.45">
      <c r="A1815" t="s">
        <v>15</v>
      </c>
      <c r="B1815" s="14">
        <f>_xlfn.XLOOKUP(Table1[[#This Row], [TEAM]],Sheet1!$A$12:$A$17,Sheet1!$F$12:$F$17)</f>
        <v>2</v>
      </c>
      <c r="C1815" s="14">
        <f>_xlfn.XLOOKUP(Table1[[#This Row], [TEAM]],Sheet1!$A$12:$A$17,Sheet1!$G$12:$G$17)</f>
        <v>5932950</v>
      </c>
      <c r="D1815" t="s">
        <v>11</v>
      </c>
      <c r="E1815" s="4">
        <f>_xlfn.XLOOKUP(Table1[[#This Row], [ROOM]],Sheet1!$A$47:$A$66,Sheet1!$B$47:$B$66)</f>
        <v>124</v>
      </c>
      <c r="F1815" t="s">
        <v>62</v>
      </c>
      <c r="G181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5" s="13" t="s">
        <v>66</v>
      </c>
      <c r="I1815" s="4">
        <f>_xlfn.XLOOKUP(Table1[[#This Row], [WEAPON]],Sheet1!$A$27:$A$29,Sheet1!$B$27:$B$29)*Table1[[#This Row], [NUM OF MEM]]*(1+_xlfn.XLOOKUP(Table1[[#This Row], [WEAPON]],Sheet1!$A$27:$A$29,Sheet1!$C$27:$C$29))</f>
        <v>72000</v>
      </c>
      <c r="J1815" t="s">
        <v>60</v>
      </c>
      <c r="K1815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1748973.5062499996</v>
      </c>
      <c r="L1815" s="13" t="s">
        <v>61</v>
      </c>
      <c r="M1815" s="4">
        <f>IF(Table1[[#This Row], [EQUIPMENT]]="YES",Sheet1!$C$44*(1+Sheet1!$D$44),0)</f>
        <v>0</v>
      </c>
      <c r="N1815" s="4">
        <f>_xlfn.XLOOKUP(Table1[[#This Row], [ROOM]],Sheet1!$A$47:$A$66,Sheet1!$F$47:$F$66)</f>
        <v>17450000</v>
      </c>
      <c r="O1815" s="9">
        <f>_xlfn.XLOOKUP(_xlfn.CONCAT(Table1[[#This Row], [TEAM]],Table1[[#This Row], [ROOM]]),'ROOM TIME'!$H$2:$H$121,'ROOM TIME'!$J$2:$J$121)</f>
        <v>61.271249999999981</v>
      </c>
      <c r="P1815" s="9">
        <f>(INDEX(Sheet1!$X$48:$Z$67,MATCH(Table1[[#This Row], [ROOM]],Sheet1!$P$48:$P$67,0),MATCH(Table1[[#This Row], [WEAPON]],Sheet1!$X$47:$Z$47,0)))/Table1[[#This Row], [NUM OF MEM]]</f>
        <v>6.875</v>
      </c>
      <c r="Q1815" s="9">
        <f>Table1[[#This Row], [ROOM TIME]]+Table1[[#This Row], [GUARD TIME]]</f>
        <v>68.146249999999981</v>
      </c>
      <c r="R1815" s="4">
        <f>Sheet1!$K$3*_xlfn.XLOOKUP(Table1[[#This Row], [DISGUISE]],Sheet1!$A$21:$A$23,Sheet1!$D$21:$D$23)</f>
        <v>66</v>
      </c>
      <c r="S1815" s="9">
        <f>Table1[[#This Row], [TOTAL TIME]]-Table1[[#This Row], [TOTAL TIME TAKEN]]</f>
        <v>-2.1462499999999807</v>
      </c>
      <c r="T1815" t="str">
        <f>IF(Table1[[#This Row], [TIME DIFFERENCE]]&gt;=0,"PASS","FAIL")</f>
        <v>FAIL</v>
      </c>
      <c r="U1815" s="9">
        <f>Table1[[#This Row], [TRC]]+Table1[[#This Row], [DRC]]+Table1[[#This Row], [WRC]]+Table1[[#This Row], [ERC]]+Table1[[#This Row], [EQRC]]</f>
        <v>7764323.5062499996</v>
      </c>
      <c r="V1815" s="9">
        <f>Table1[[#This Row], [TOTAL COST]]+_xlfn.XLOOKUP(Table1[[#This Row], [TEAM]],Sheet1!$A$12:$A$17,Sheet1!$I$12:$I$17)</f>
        <v>8060971.0062499996</v>
      </c>
      <c r="W1815" s="9">
        <f>Table1[[#This Row], [LOOT]]-Table1[[#This Row], [TOTAL COST]]</f>
        <v>9685676.4937500004</v>
      </c>
      <c r="X1815" s="4">
        <f>IF(Table1[[#This Row], [PASS/FAIL]]="FAIL",0,Table1[[#This Row], [PROFIT]])</f>
        <v>0</v>
      </c>
    </row>
    <row r="1816" spans="1:24" ht="19.5" customHeight="1" x14ac:dyDescent="0.45">
      <c r="A1816" t="s">
        <v>15</v>
      </c>
      <c r="B1816" s="14">
        <f>_xlfn.XLOOKUP(Table1[[#This Row], [TEAM]],Sheet1!$A$12:$A$17,Sheet1!$F$12:$F$17)</f>
        <v>2</v>
      </c>
      <c r="C1816" s="14">
        <f>_xlfn.XLOOKUP(Table1[[#This Row], [TEAM]],Sheet1!$A$12:$A$17,Sheet1!$G$12:$G$17)</f>
        <v>5932950</v>
      </c>
      <c r="D1816" t="s">
        <v>11</v>
      </c>
      <c r="E1816" s="4">
        <f>_xlfn.XLOOKUP(Table1[[#This Row], [ROOM]],Sheet1!$A$47:$A$66,Sheet1!$B$47:$B$66)</f>
        <v>124</v>
      </c>
      <c r="F1816" t="s">
        <v>62</v>
      </c>
      <c r="G181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6" s="13" t="s">
        <v>63</v>
      </c>
      <c r="I1816" s="4">
        <f>_xlfn.XLOOKUP(Table1[[#This Row], [WEAPON]],Sheet1!$A$27:$A$29,Sheet1!$B$27:$B$29)*Table1[[#This Row], [NUM OF MEM]]*(1+_xlfn.XLOOKUP(Table1[[#This Row], [WEAPON]],Sheet1!$A$27:$A$29,Sheet1!$C$27:$C$29))</f>
        <v>46000</v>
      </c>
      <c r="J1816" t="s">
        <v>64</v>
      </c>
      <c r="K1816" s="9">
        <f>Table1[[#This Row], [NUM OF MEM]]*Table1[[#This Row], [TOTAL TIME TAKEN]]*_xlfn.XLOOKUP(Table1[[#This Row], [EXIT]],Sheet1!$A$70:$A$71,Sheet1!$B$70:$B$71)*(1+_xlfn.XLOOKUP(Table1[[#This Row], [EXIT]],Sheet1!$A$70:$A$71,Sheet1!$C$70:$C$71))</f>
        <v>1780606.7999999993</v>
      </c>
      <c r="L1816" s="13" t="s">
        <v>61</v>
      </c>
      <c r="M1816" s="4">
        <f>IF(Table1[[#This Row], [EQUIPMENT]]="YES",Sheet1!$C$44*(1+Sheet1!$D$44),0)</f>
        <v>0</v>
      </c>
      <c r="N1816" s="4">
        <f>_xlfn.XLOOKUP(Table1[[#This Row], [ROOM]],Sheet1!$A$47:$A$66,Sheet1!$F$47:$F$66)</f>
        <v>17450000</v>
      </c>
      <c r="O1816" s="9">
        <f>_xlfn.XLOOKUP(_xlfn.CONCAT(Table1[[#This Row], [TEAM]],Table1[[#This Row], [ROOM]]),'ROOM TIME'!$H$2:$H$121,'ROOM TIME'!$J$2:$J$121)</f>
        <v>61.271249999999981</v>
      </c>
      <c r="P1816" s="9">
        <f>(INDEX(Sheet1!$X$48:$Z$67,MATCH(Table1[[#This Row], [ROOM]],Sheet1!$P$48:$P$67,0),MATCH(Table1[[#This Row], [WEAPON]],Sheet1!$X$47:$Z$47,0)))/Table1[[#This Row], [NUM OF MEM]]</f>
        <v>7.4250000000000007</v>
      </c>
      <c r="Q1816" s="9">
        <f>Table1[[#This Row], [ROOM TIME]]+Table1[[#This Row], [GUARD TIME]]</f>
        <v>68.696249999999978</v>
      </c>
      <c r="R1816" s="4">
        <f>Sheet1!$K$3*_xlfn.XLOOKUP(Table1[[#This Row], [DISGUISE]],Sheet1!$A$21:$A$23,Sheet1!$D$21:$D$23)</f>
        <v>66</v>
      </c>
      <c r="S1816" s="9">
        <f>Table1[[#This Row], [TOTAL TIME]]-Table1[[#This Row], [TOTAL TIME TAKEN]]</f>
        <v>-2.6962499999999778</v>
      </c>
      <c r="T1816" t="str">
        <f>IF(Table1[[#This Row], [TIME DIFFERENCE]]&gt;=0,"PASS","FAIL")</f>
        <v>FAIL</v>
      </c>
      <c r="U1816" s="9">
        <f>Table1[[#This Row], [TRC]]+Table1[[#This Row], [DRC]]+Table1[[#This Row], [WRC]]+Table1[[#This Row], [ERC]]+Table1[[#This Row], [EQRC]]</f>
        <v>7769956.7999999989</v>
      </c>
      <c r="V1816" s="9">
        <f>Table1[[#This Row], [TOTAL COST]]+_xlfn.XLOOKUP(Table1[[#This Row], [TEAM]],Sheet1!$A$12:$A$17,Sheet1!$I$12:$I$17)</f>
        <v>8066604.2999999989</v>
      </c>
      <c r="W1816" s="9">
        <f>Table1[[#This Row], [LOOT]]-Table1[[#This Row], [TOTAL COST]]</f>
        <v>9680043.2000000011</v>
      </c>
      <c r="X1816" s="4">
        <f>IF(Table1[[#This Row], [PASS/FAIL]]="FAIL",0,Table1[[#This Row], [PROFIT]])</f>
        <v>0</v>
      </c>
    </row>
    <row r="1817" spans="1:24" ht="19.5" customHeight="1" x14ac:dyDescent="0.45">
      <c r="A1817" t="s">
        <v>15</v>
      </c>
      <c r="B1817" s="14">
        <f>_xlfn.XLOOKUP(Table1[[#This Row], [TEAM]],Sheet1!$A$12:$A$17,Sheet1!$F$12:$F$17)</f>
        <v>2</v>
      </c>
      <c r="C1817" s="14">
        <f>_xlfn.XLOOKUP(Table1[[#This Row], [TEAM]],Sheet1!$A$12:$A$17,Sheet1!$G$12:$G$17)</f>
        <v>5932950</v>
      </c>
      <c r="D1817" t="s">
        <v>11</v>
      </c>
      <c r="E1817" s="4">
        <f>_xlfn.XLOOKUP(Table1[[#This Row], [ROOM]],Sheet1!$A$47:$A$66,Sheet1!$B$47:$B$66)</f>
        <v>124</v>
      </c>
      <c r="F1817" t="s">
        <v>62</v>
      </c>
      <c r="G181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7" s="13" t="s">
        <v>66</v>
      </c>
      <c r="I1817" s="4">
        <f>_xlfn.XLOOKUP(Table1[[#This Row], [WEAPON]],Sheet1!$A$27:$A$29,Sheet1!$B$27:$B$29)*Table1[[#This Row], [NUM OF MEM]]*(1+_xlfn.XLOOKUP(Table1[[#This Row], [WEAPON]],Sheet1!$A$27:$A$29,Sheet1!$C$27:$C$29))</f>
        <v>72000</v>
      </c>
      <c r="J1817" t="s">
        <v>64</v>
      </c>
      <c r="K1817" s="9">
        <f>Table1[[#This Row], [NUM OF MEM]]*Table1[[#This Row], [TOTAL TIME TAKEN]]*_xlfn.XLOOKUP(Table1[[#This Row], [EXIT]],Sheet1!$A$70:$A$71,Sheet1!$B$70:$B$71)*(1+_xlfn.XLOOKUP(Table1[[#This Row], [EXIT]],Sheet1!$A$70:$A$71,Sheet1!$C$70:$C$71))</f>
        <v>1766350.7999999993</v>
      </c>
      <c r="L1817" s="13" t="s">
        <v>61</v>
      </c>
      <c r="M1817" s="4">
        <f>IF(Table1[[#This Row], [EQUIPMENT]]="YES",Sheet1!$C$44*(1+Sheet1!$D$44),0)</f>
        <v>0</v>
      </c>
      <c r="N1817" s="4">
        <f>_xlfn.XLOOKUP(Table1[[#This Row], [ROOM]],Sheet1!$A$47:$A$66,Sheet1!$F$47:$F$66)</f>
        <v>17450000</v>
      </c>
      <c r="O1817" s="9">
        <f>_xlfn.XLOOKUP(_xlfn.CONCAT(Table1[[#This Row], [TEAM]],Table1[[#This Row], [ROOM]]),'ROOM TIME'!$H$2:$H$121,'ROOM TIME'!$J$2:$J$121)</f>
        <v>61.271249999999981</v>
      </c>
      <c r="P1817" s="9">
        <f>(INDEX(Sheet1!$X$48:$Z$67,MATCH(Table1[[#This Row], [ROOM]],Sheet1!$P$48:$P$67,0),MATCH(Table1[[#This Row], [WEAPON]],Sheet1!$X$47:$Z$47,0)))/Table1[[#This Row], [NUM OF MEM]]</f>
        <v>6.875</v>
      </c>
      <c r="Q1817" s="9">
        <f>Table1[[#This Row], [ROOM TIME]]+Table1[[#This Row], [GUARD TIME]]</f>
        <v>68.146249999999981</v>
      </c>
      <c r="R1817" s="4">
        <f>Sheet1!$K$3*_xlfn.XLOOKUP(Table1[[#This Row], [DISGUISE]],Sheet1!$A$21:$A$23,Sheet1!$D$21:$D$23)</f>
        <v>66</v>
      </c>
      <c r="S1817" s="9">
        <f>Table1[[#This Row], [TOTAL TIME]]-Table1[[#This Row], [TOTAL TIME TAKEN]]</f>
        <v>-2.1462499999999807</v>
      </c>
      <c r="T1817" t="str">
        <f>IF(Table1[[#This Row], [TIME DIFFERENCE]]&gt;=0,"PASS","FAIL")</f>
        <v>FAIL</v>
      </c>
      <c r="U1817" s="9">
        <f>Table1[[#This Row], [TRC]]+Table1[[#This Row], [DRC]]+Table1[[#This Row], [WRC]]+Table1[[#This Row], [ERC]]+Table1[[#This Row], [EQRC]]</f>
        <v>7781700.7999999989</v>
      </c>
      <c r="V1817" s="9">
        <f>Table1[[#This Row], [TOTAL COST]]+_xlfn.XLOOKUP(Table1[[#This Row], [TEAM]],Sheet1!$A$12:$A$17,Sheet1!$I$12:$I$17)</f>
        <v>8078348.2999999989</v>
      </c>
      <c r="W1817" s="9">
        <f>Table1[[#This Row], [LOOT]]-Table1[[#This Row], [TOTAL COST]]</f>
        <v>9668299.2000000011</v>
      </c>
      <c r="X1817" s="4">
        <f>IF(Table1[[#This Row], [PASS/FAIL]]="FAIL",0,Table1[[#This Row], [PROFIT]])</f>
        <v>0</v>
      </c>
    </row>
    <row r="1818" spans="1:24" ht="19.5" customHeight="1" x14ac:dyDescent="0.45">
      <c r="A1818" t="s">
        <v>15</v>
      </c>
      <c r="B1818" s="14">
        <f>_xlfn.XLOOKUP(Table1[[#This Row], [TEAM]],Sheet1!$A$12:$A$17,Sheet1!$F$12:$F$17)</f>
        <v>2</v>
      </c>
      <c r="C1818" s="14">
        <f>_xlfn.XLOOKUP(Table1[[#This Row], [TEAM]],Sheet1!$A$12:$A$17,Sheet1!$G$12:$G$17)</f>
        <v>5932950</v>
      </c>
      <c r="D1818" t="s">
        <v>11</v>
      </c>
      <c r="E1818" s="4">
        <f>_xlfn.XLOOKUP(Table1[[#This Row], [ROOM]],Sheet1!$A$47:$A$66,Sheet1!$B$47:$B$66)</f>
        <v>124</v>
      </c>
      <c r="F1818" t="s">
        <v>62</v>
      </c>
      <c r="G181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8" s="13" t="s">
        <v>63</v>
      </c>
      <c r="I1818" s="4">
        <f>_xlfn.XLOOKUP(Table1[[#This Row], [WEAPON]],Sheet1!$A$27:$A$29,Sheet1!$B$27:$B$29)*Table1[[#This Row], [NUM OF MEM]]*(1+_xlfn.XLOOKUP(Table1[[#This Row], [WEAPON]],Sheet1!$A$27:$A$29,Sheet1!$C$27:$C$29))</f>
        <v>46000</v>
      </c>
      <c r="J1818" t="s">
        <v>60</v>
      </c>
      <c r="K1818" s="9">
        <f>Table1[[#This Row], [NUM OF MEM]]*Table1[[#This Row], [TOTAL TIME TAKEN]]*_xlfn.XLOOKUP(Table1[[#This Row], [EXIT]],Sheet1!$A$70:$A$71,Sheet1!$B$70:$B$71)*(1+_xlfn.XLOOKUP(Table1[[#This Row], [EXIT]],Sheet1!$A$70:$A$71,Sheet1!$C$70:$C$71))</f>
        <v>1763089.2562499992</v>
      </c>
      <c r="L1818" s="13" t="s">
        <v>65</v>
      </c>
      <c r="M1818" s="4">
        <f>IF(Table1[[#This Row], [EQUIPMENT]]="YES",Sheet1!$C$44*(1+Sheet1!$D$44),0)</f>
        <v>307500</v>
      </c>
      <c r="N1818" s="4">
        <f>_xlfn.XLOOKUP(Table1[[#This Row], [ROOM]],Sheet1!$A$47:$A$66,Sheet1!$F$47:$F$66)</f>
        <v>17450000</v>
      </c>
      <c r="O1818" s="9">
        <f>_xlfn.XLOOKUP(_xlfn.CONCAT(Table1[[#This Row], [TEAM]],Table1[[#This Row], [ROOM]]),'ROOM TIME'!$H$2:$H$121,'ROOM TIME'!$J$2:$J$121)</f>
        <v>61.271249999999981</v>
      </c>
      <c r="P1818" s="9">
        <f>(INDEX(Sheet1!$X$48:$Z$67,MATCH(Table1[[#This Row], [ROOM]],Sheet1!$P$48:$P$67,0),MATCH(Table1[[#This Row], [WEAPON]],Sheet1!$X$47:$Z$47,0)))/Table1[[#This Row], [NUM OF MEM]]</f>
        <v>7.4250000000000007</v>
      </c>
      <c r="Q1818" s="9">
        <f>Table1[[#This Row], [ROOM TIME]]+Table1[[#This Row], [GUARD TIME]]</f>
        <v>68.696249999999978</v>
      </c>
      <c r="R1818" s="4">
        <f>Sheet1!$K$3*_xlfn.XLOOKUP(Table1[[#This Row], [DISGUISE]],Sheet1!$A$21:$A$23,Sheet1!$D$21:$D$23)</f>
        <v>66</v>
      </c>
      <c r="S1818" s="9">
        <f>Table1[[#This Row], [TOTAL TIME]]-Table1[[#This Row], [TOTAL TIME TAKEN]]</f>
        <v>-2.6962499999999778</v>
      </c>
      <c r="T1818" t="str">
        <f>IF(Table1[[#This Row], [TIME DIFFERENCE]]&gt;=0,"PASS","FAIL")</f>
        <v>FAIL</v>
      </c>
      <c r="U1818" s="9">
        <f>Table1[[#This Row], [TRC]]+Table1[[#This Row], [DRC]]+Table1[[#This Row], [WRC]]+Table1[[#This Row], [ERC]]+Table1[[#This Row], [EQRC]]</f>
        <v>8059939.2562499996</v>
      </c>
      <c r="V1818" s="9">
        <f>Table1[[#This Row], [TOTAL COST]]+_xlfn.XLOOKUP(Table1[[#This Row], [TEAM]],Sheet1!$A$12:$A$17,Sheet1!$I$12:$I$17)</f>
        <v>8356586.7562499996</v>
      </c>
      <c r="W1818" s="9">
        <f>Table1[[#This Row], [LOOT]]-Table1[[#This Row], [TOTAL COST]]</f>
        <v>9390060.7437500004</v>
      </c>
      <c r="X1818" s="4">
        <f>IF(Table1[[#This Row], [PASS/FAIL]]="FAIL",0,Table1[[#This Row], [PROFIT]])</f>
        <v>0</v>
      </c>
    </row>
    <row r="1819" spans="1:24" ht="19.5" customHeight="1" x14ac:dyDescent="0.45">
      <c r="A1819" t="s">
        <v>15</v>
      </c>
      <c r="B1819" s="14">
        <f>_xlfn.XLOOKUP(Table1[[#This Row], [TEAM]],Sheet1!$A$12:$A$17,Sheet1!$F$12:$F$17)</f>
        <v>2</v>
      </c>
      <c r="C1819" s="14">
        <f>_xlfn.XLOOKUP(Table1[[#This Row], [TEAM]],Sheet1!$A$12:$A$17,Sheet1!$G$12:$G$17)</f>
        <v>5932950</v>
      </c>
      <c r="D1819" t="s">
        <v>11</v>
      </c>
      <c r="E1819" s="4">
        <f>_xlfn.XLOOKUP(Table1[[#This Row], [ROOM]],Sheet1!$A$47:$A$66,Sheet1!$B$47:$B$66)</f>
        <v>124</v>
      </c>
      <c r="F1819" t="s">
        <v>62</v>
      </c>
      <c r="G181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19" s="13" t="s">
        <v>66</v>
      </c>
      <c r="I1819" s="4">
        <f>_xlfn.XLOOKUP(Table1[[#This Row], [WEAPON]],Sheet1!$A$27:$A$29,Sheet1!$B$27:$B$29)*Table1[[#This Row], [NUM OF MEM]]*(1+_xlfn.XLOOKUP(Table1[[#This Row], [WEAPON]],Sheet1!$A$27:$A$29,Sheet1!$C$27:$C$29))</f>
        <v>72000</v>
      </c>
      <c r="J1819" t="s">
        <v>60</v>
      </c>
      <c r="K1819" s="9">
        <f>Table1[[#This Row], [NUM OF MEM]]*Table1[[#This Row], [TOTAL TIME TAKEN]]*_xlfn.XLOOKUP(Table1[[#This Row], [EXIT]],Sheet1!$A$70:$A$71,Sheet1!$B$70:$B$71)*(1+_xlfn.XLOOKUP(Table1[[#This Row], [EXIT]],Sheet1!$A$70:$A$71,Sheet1!$C$70:$C$71))</f>
        <v>1748973.5062499996</v>
      </c>
      <c r="L1819" s="13" t="s">
        <v>65</v>
      </c>
      <c r="M1819" s="4">
        <f>IF(Table1[[#This Row], [EQUIPMENT]]="YES",Sheet1!$C$44*(1+Sheet1!$D$44),0)</f>
        <v>307500</v>
      </c>
      <c r="N1819" s="4">
        <f>_xlfn.XLOOKUP(Table1[[#This Row], [ROOM]],Sheet1!$A$47:$A$66,Sheet1!$F$47:$F$66)</f>
        <v>17450000</v>
      </c>
      <c r="O1819" s="9">
        <f>_xlfn.XLOOKUP(_xlfn.CONCAT(Table1[[#This Row], [TEAM]],Table1[[#This Row], [ROOM]]),'ROOM TIME'!$H$2:$H$121,'ROOM TIME'!$J$2:$J$121)</f>
        <v>61.271249999999981</v>
      </c>
      <c r="P1819" s="9">
        <f>(INDEX(Sheet1!$X$48:$Z$67,MATCH(Table1[[#This Row], [ROOM]],Sheet1!$P$48:$P$67,0),MATCH(Table1[[#This Row], [WEAPON]],Sheet1!$X$47:$Z$47,0)))/Table1[[#This Row], [NUM OF MEM]]</f>
        <v>6.875</v>
      </c>
      <c r="Q1819" s="9">
        <f>Table1[[#This Row], [ROOM TIME]]+Table1[[#This Row], [GUARD TIME]]</f>
        <v>68.146249999999981</v>
      </c>
      <c r="R1819" s="4">
        <f>Sheet1!$K$3*_xlfn.XLOOKUP(Table1[[#This Row], [DISGUISE]],Sheet1!$A$21:$A$23,Sheet1!$D$21:$D$23)</f>
        <v>66</v>
      </c>
      <c r="S1819" s="9">
        <f>Table1[[#This Row], [TOTAL TIME]]-Table1[[#This Row], [TOTAL TIME TAKEN]]</f>
        <v>-2.1462499999999807</v>
      </c>
      <c r="T1819" t="str">
        <f>IF(Table1[[#This Row], [TIME DIFFERENCE]]&gt;=0,"PASS","FAIL")</f>
        <v>FAIL</v>
      </c>
      <c r="U1819" s="9">
        <f>Table1[[#This Row], [TRC]]+Table1[[#This Row], [DRC]]+Table1[[#This Row], [WRC]]+Table1[[#This Row], [ERC]]+Table1[[#This Row], [EQRC]]</f>
        <v>8071823.5062499996</v>
      </c>
      <c r="V1819" s="9">
        <f>Table1[[#This Row], [TOTAL COST]]+_xlfn.XLOOKUP(Table1[[#This Row], [TEAM]],Sheet1!$A$12:$A$17,Sheet1!$I$12:$I$17)</f>
        <v>8368471.0062499996</v>
      </c>
      <c r="W1819" s="9">
        <f>Table1[[#This Row], [LOOT]]-Table1[[#This Row], [TOTAL COST]]</f>
        <v>9378176.4937500004</v>
      </c>
      <c r="X1819" s="4">
        <f>IF(Table1[[#This Row], [PASS/FAIL]]="FAIL",0,Table1[[#This Row], [PROFIT]])</f>
        <v>0</v>
      </c>
    </row>
    <row r="1820" spans="1:24" ht="19.5" customHeight="1" x14ac:dyDescent="0.45">
      <c r="A1820" t="s">
        <v>15</v>
      </c>
      <c r="B1820" s="14">
        <f>_xlfn.XLOOKUP(Table1[[#This Row], [TEAM]],Sheet1!$A$12:$A$17,Sheet1!$F$12:$F$17)</f>
        <v>2</v>
      </c>
      <c r="C1820" s="14">
        <f>_xlfn.XLOOKUP(Table1[[#This Row], [TEAM]],Sheet1!$A$12:$A$17,Sheet1!$G$12:$G$17)</f>
        <v>5932950</v>
      </c>
      <c r="D1820" t="s">
        <v>11</v>
      </c>
      <c r="E1820" s="4">
        <f>_xlfn.XLOOKUP(Table1[[#This Row], [ROOM]],Sheet1!$A$47:$A$66,Sheet1!$B$47:$B$66)</f>
        <v>124</v>
      </c>
      <c r="F1820" t="s">
        <v>62</v>
      </c>
      <c r="G182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0" s="13" t="s">
        <v>63</v>
      </c>
      <c r="I1820" s="4">
        <f>_xlfn.XLOOKUP(Table1[[#This Row], [WEAPON]],Sheet1!$A$27:$A$29,Sheet1!$B$27:$B$29)*Table1[[#This Row], [NUM OF MEM]]*(1+_xlfn.XLOOKUP(Table1[[#This Row], [WEAPON]],Sheet1!$A$27:$A$29,Sheet1!$C$27:$C$29))</f>
        <v>46000</v>
      </c>
      <c r="J1820" t="s">
        <v>64</v>
      </c>
      <c r="K1820" s="9">
        <f>Table1[[#This Row], [NUM OF MEM]]*Table1[[#This Row], [TOTAL TIME TAKEN]]*_xlfn.XLOOKUP(Table1[[#This Row], [EXIT]],Sheet1!$A$70:$A$71,Sheet1!$B$70:$B$71)*(1+_xlfn.XLOOKUP(Table1[[#This Row], [EXIT]],Sheet1!$A$70:$A$71,Sheet1!$C$70:$C$71))</f>
        <v>1780606.7999999993</v>
      </c>
      <c r="L1820" s="13" t="s">
        <v>65</v>
      </c>
      <c r="M1820" s="4">
        <f>IF(Table1[[#This Row], [EQUIPMENT]]="YES",Sheet1!$C$44*(1+Sheet1!$D$44),0)</f>
        <v>307500</v>
      </c>
      <c r="N1820" s="4">
        <f>_xlfn.XLOOKUP(Table1[[#This Row], [ROOM]],Sheet1!$A$47:$A$66,Sheet1!$F$47:$F$66)</f>
        <v>17450000</v>
      </c>
      <c r="O1820" s="9">
        <f>_xlfn.XLOOKUP(_xlfn.CONCAT(Table1[[#This Row], [TEAM]],Table1[[#This Row], [ROOM]]),'ROOM TIME'!$H$2:$H$121,'ROOM TIME'!$J$2:$J$121)</f>
        <v>61.271249999999981</v>
      </c>
      <c r="P1820" s="9">
        <f>(INDEX(Sheet1!$X$48:$Z$67,MATCH(Table1[[#This Row], [ROOM]],Sheet1!$P$48:$P$67,0),MATCH(Table1[[#This Row], [WEAPON]],Sheet1!$X$47:$Z$47,0)))/Table1[[#This Row], [NUM OF MEM]]</f>
        <v>7.4250000000000007</v>
      </c>
      <c r="Q1820" s="9">
        <f>Table1[[#This Row], [ROOM TIME]]+Table1[[#This Row], [GUARD TIME]]</f>
        <v>68.696249999999978</v>
      </c>
      <c r="R1820" s="4">
        <f>Sheet1!$K$3*_xlfn.XLOOKUP(Table1[[#This Row], [DISGUISE]],Sheet1!$A$21:$A$23,Sheet1!$D$21:$D$23)</f>
        <v>66</v>
      </c>
      <c r="S1820" s="9">
        <f>Table1[[#This Row], [TOTAL TIME]]-Table1[[#This Row], [TOTAL TIME TAKEN]]</f>
        <v>-2.6962499999999778</v>
      </c>
      <c r="T1820" t="str">
        <f>IF(Table1[[#This Row], [TIME DIFFERENCE]]&gt;=0,"PASS","FAIL")</f>
        <v>FAIL</v>
      </c>
      <c r="U1820" s="9">
        <f>Table1[[#This Row], [TRC]]+Table1[[#This Row], [DRC]]+Table1[[#This Row], [WRC]]+Table1[[#This Row], [ERC]]+Table1[[#This Row], [EQRC]]</f>
        <v>8077456.7999999989</v>
      </c>
      <c r="V1820" s="9">
        <f>Table1[[#This Row], [TOTAL COST]]+_xlfn.XLOOKUP(Table1[[#This Row], [TEAM]],Sheet1!$A$12:$A$17,Sheet1!$I$12:$I$17)</f>
        <v>8374104.2999999989</v>
      </c>
      <c r="W1820" s="9">
        <f>Table1[[#This Row], [LOOT]]-Table1[[#This Row], [TOTAL COST]]</f>
        <v>9372543.2000000011</v>
      </c>
      <c r="X1820" s="4">
        <f>IF(Table1[[#This Row], [PASS/FAIL]]="FAIL",0,Table1[[#This Row], [PROFIT]])</f>
        <v>0</v>
      </c>
    </row>
    <row r="1821" spans="1:24" ht="19.5" customHeight="1" x14ac:dyDescent="0.45">
      <c r="A1821" t="s">
        <v>15</v>
      </c>
      <c r="B1821" s="14">
        <f>_xlfn.XLOOKUP(Table1[[#This Row], [TEAM]],Sheet1!$A$12:$A$17,Sheet1!$F$12:$F$17)</f>
        <v>2</v>
      </c>
      <c r="C1821" s="14">
        <f>_xlfn.XLOOKUP(Table1[[#This Row], [TEAM]],Sheet1!$A$12:$A$17,Sheet1!$G$12:$G$17)</f>
        <v>5932950</v>
      </c>
      <c r="D1821" t="s">
        <v>11</v>
      </c>
      <c r="E1821" s="4">
        <f>_xlfn.XLOOKUP(Table1[[#This Row], [ROOM]],Sheet1!$A$47:$A$66,Sheet1!$B$47:$B$66)</f>
        <v>124</v>
      </c>
      <c r="F1821" t="s">
        <v>62</v>
      </c>
      <c r="G182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1" s="13" t="s">
        <v>66</v>
      </c>
      <c r="I1821" s="4">
        <f>_xlfn.XLOOKUP(Table1[[#This Row], [WEAPON]],Sheet1!$A$27:$A$29,Sheet1!$B$27:$B$29)*Table1[[#This Row], [NUM OF MEM]]*(1+_xlfn.XLOOKUP(Table1[[#This Row], [WEAPON]],Sheet1!$A$27:$A$29,Sheet1!$C$27:$C$29))</f>
        <v>72000</v>
      </c>
      <c r="J1821" t="s">
        <v>64</v>
      </c>
      <c r="K1821" s="9">
        <f>Table1[[#This Row], [NUM OF MEM]]*Table1[[#This Row], [TOTAL TIME TAKEN]]*_xlfn.XLOOKUP(Table1[[#This Row], [EXIT]],Sheet1!$A$70:$A$71,Sheet1!$B$70:$B$71)*(1+_xlfn.XLOOKUP(Table1[[#This Row], [EXIT]],Sheet1!$A$70:$A$71,Sheet1!$C$70:$C$71))</f>
        <v>1766350.7999999993</v>
      </c>
      <c r="L1821" s="13" t="s">
        <v>65</v>
      </c>
      <c r="M1821" s="4">
        <f>IF(Table1[[#This Row], [EQUIPMENT]]="YES",Sheet1!$C$44*(1+Sheet1!$D$44),0)</f>
        <v>307500</v>
      </c>
      <c r="N1821" s="4">
        <f>_xlfn.XLOOKUP(Table1[[#This Row], [ROOM]],Sheet1!$A$47:$A$66,Sheet1!$F$47:$F$66)</f>
        <v>17450000</v>
      </c>
      <c r="O1821" s="9">
        <f>_xlfn.XLOOKUP(_xlfn.CONCAT(Table1[[#This Row], [TEAM]],Table1[[#This Row], [ROOM]]),'ROOM TIME'!$H$2:$H$121,'ROOM TIME'!$J$2:$J$121)</f>
        <v>61.271249999999981</v>
      </c>
      <c r="P1821" s="9">
        <f>(INDEX(Sheet1!$X$48:$Z$67,MATCH(Table1[[#This Row], [ROOM]],Sheet1!$P$48:$P$67,0),MATCH(Table1[[#This Row], [WEAPON]],Sheet1!$X$47:$Z$47,0)))/Table1[[#This Row], [NUM OF MEM]]</f>
        <v>6.875</v>
      </c>
      <c r="Q1821" s="9">
        <f>Table1[[#This Row], [ROOM TIME]]+Table1[[#This Row], [GUARD TIME]]</f>
        <v>68.146249999999981</v>
      </c>
      <c r="R1821" s="4">
        <f>Sheet1!$K$3*_xlfn.XLOOKUP(Table1[[#This Row], [DISGUISE]],Sheet1!$A$21:$A$23,Sheet1!$D$21:$D$23)</f>
        <v>66</v>
      </c>
      <c r="S1821" s="9">
        <f>Table1[[#This Row], [TOTAL TIME]]-Table1[[#This Row], [TOTAL TIME TAKEN]]</f>
        <v>-2.1462499999999807</v>
      </c>
      <c r="T1821" t="str">
        <f>IF(Table1[[#This Row], [TIME DIFFERENCE]]&gt;=0,"PASS","FAIL")</f>
        <v>FAIL</v>
      </c>
      <c r="U1821" s="9">
        <f>Table1[[#This Row], [TRC]]+Table1[[#This Row], [DRC]]+Table1[[#This Row], [WRC]]+Table1[[#This Row], [ERC]]+Table1[[#This Row], [EQRC]]</f>
        <v>8089200.7999999989</v>
      </c>
      <c r="V1821" s="9">
        <f>Table1[[#This Row], [TOTAL COST]]+_xlfn.XLOOKUP(Table1[[#This Row], [TEAM]],Sheet1!$A$12:$A$17,Sheet1!$I$12:$I$17)</f>
        <v>8385848.2999999989</v>
      </c>
      <c r="W1821" s="9">
        <f>Table1[[#This Row], [LOOT]]-Table1[[#This Row], [TOTAL COST]]</f>
        <v>9360799.2000000011</v>
      </c>
      <c r="X1821" s="4">
        <f>IF(Table1[[#This Row], [PASS/FAIL]]="FAIL",0,Table1[[#This Row], [PROFIT]])</f>
        <v>0</v>
      </c>
    </row>
    <row r="1822" spans="1:24" ht="19.5" customHeight="1" x14ac:dyDescent="0.45">
      <c r="A1822" t="s">
        <v>16</v>
      </c>
      <c r="B1822" s="14">
        <f>_xlfn.XLOOKUP(Table1[[#This Row], [TEAM]],Sheet1!$A$12:$A$17,Sheet1!$F$12:$F$17)</f>
        <v>2</v>
      </c>
      <c r="C1822" s="14">
        <f>_xlfn.XLOOKUP(Table1[[#This Row], [TEAM]],Sheet1!$A$12:$A$17,Sheet1!$G$12:$G$17)</f>
        <v>6082800</v>
      </c>
      <c r="D1822" t="s">
        <v>11</v>
      </c>
      <c r="E1822" s="4">
        <f>_xlfn.XLOOKUP(Table1[[#This Row], [ROOM]],Sheet1!$A$47:$A$66,Sheet1!$B$47:$B$66)</f>
        <v>124</v>
      </c>
      <c r="F1822" t="s">
        <v>62</v>
      </c>
      <c r="G182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2" s="13" t="s">
        <v>59</v>
      </c>
      <c r="I1822" s="4">
        <f>_xlfn.XLOOKUP(Table1[[#This Row], [WEAPON]],Sheet1!$A$27:$A$29,Sheet1!$B$27:$B$29)*Table1[[#This Row], [NUM OF MEM]]*(1+_xlfn.XLOOKUP(Table1[[#This Row], [WEAPON]],Sheet1!$A$27:$A$29,Sheet1!$C$27:$C$29))</f>
        <v>91000</v>
      </c>
      <c r="J1822" t="s">
        <v>60</v>
      </c>
      <c r="K1822" s="9">
        <f>Table1[[#This Row], [NUM OF MEM]]*Table1[[#This Row], [TOTAL TIME TAKEN]]*_xlfn.XLOOKUP(Table1[[#This Row], [EXIT]],Sheet1!$A$70:$A$71,Sheet1!$B$70:$B$71)*(1+_xlfn.XLOOKUP(Table1[[#This Row], [EXIT]],Sheet1!$A$70:$A$71,Sheet1!$C$70:$C$71))</f>
        <v>1743840.5062499996</v>
      </c>
      <c r="L1822" s="13" t="s">
        <v>61</v>
      </c>
      <c r="M1822" s="4">
        <f>IF(Table1[[#This Row], [EQUIPMENT]]="YES",Sheet1!$C$44*(1+Sheet1!$D$44),0)</f>
        <v>0</v>
      </c>
      <c r="N1822" s="4">
        <f>_xlfn.XLOOKUP(Table1[[#This Row], [ROOM]],Sheet1!$A$47:$A$66,Sheet1!$F$47:$F$66)</f>
        <v>17450000</v>
      </c>
      <c r="O1822" s="9">
        <f>_xlfn.XLOOKUP(_xlfn.CONCAT(Table1[[#This Row], [TEAM]],Table1[[#This Row], [ROOM]]),'ROOM TIME'!$H$2:$H$121,'ROOM TIME'!$J$2:$J$121)</f>
        <v>61.621249999999989</v>
      </c>
      <c r="P1822" s="9">
        <f>(INDEX(Sheet1!$X$48:$Z$67,MATCH(Table1[[#This Row], [ROOM]],Sheet1!$P$48:$P$67,0),MATCH(Table1[[#This Row], [WEAPON]],Sheet1!$X$47:$Z$47,0)))/Table1[[#This Row], [NUM OF MEM]]</f>
        <v>6.3249999999999993</v>
      </c>
      <c r="Q1822" s="9">
        <f>Table1[[#This Row], [ROOM TIME]]+Table1[[#This Row], [GUARD TIME]]</f>
        <v>67.946249999999992</v>
      </c>
      <c r="R1822" s="4">
        <f>Sheet1!$K$3*_xlfn.XLOOKUP(Table1[[#This Row], [DISGUISE]],Sheet1!$A$21:$A$23,Sheet1!$D$21:$D$23)</f>
        <v>66</v>
      </c>
      <c r="S1822" s="9">
        <f>Table1[[#This Row], [TOTAL TIME]]-Table1[[#This Row], [TOTAL TIME TAKEN]]</f>
        <v>-1.946249999999992</v>
      </c>
      <c r="T1822" t="str">
        <f>IF(Table1[[#This Row], [TIME DIFFERENCE]]&gt;=0,"PASS","FAIL")</f>
        <v>FAIL</v>
      </c>
      <c r="U1822" s="9">
        <f>Table1[[#This Row], [TRC]]+Table1[[#This Row], [DRC]]+Table1[[#This Row], [WRC]]+Table1[[#This Row], [ERC]]+Table1[[#This Row], [EQRC]]</f>
        <v>7928040.5062499996</v>
      </c>
      <c r="V1822" s="9">
        <f>Table1[[#This Row], [TOTAL COST]]+_xlfn.XLOOKUP(Table1[[#This Row], [TEAM]],Sheet1!$A$12:$A$17,Sheet1!$I$12:$I$17)</f>
        <v>8232180.5062499996</v>
      </c>
      <c r="W1822" s="9">
        <f>Table1[[#This Row], [LOOT]]-Table1[[#This Row], [TOTAL COST]]</f>
        <v>9521959.4937500004</v>
      </c>
      <c r="X1822" s="4">
        <f>IF(Table1[[#This Row], [PASS/FAIL]]="FAIL",0,Table1[[#This Row], [PROFIT]])</f>
        <v>0</v>
      </c>
    </row>
    <row r="1823" spans="1:24" ht="19.5" customHeight="1" x14ac:dyDescent="0.45">
      <c r="A1823" t="s">
        <v>16</v>
      </c>
      <c r="B1823" s="14">
        <f>_xlfn.XLOOKUP(Table1[[#This Row], [TEAM]],Sheet1!$A$12:$A$17,Sheet1!$F$12:$F$17)</f>
        <v>2</v>
      </c>
      <c r="C1823" s="14">
        <f>_xlfn.XLOOKUP(Table1[[#This Row], [TEAM]],Sheet1!$A$12:$A$17,Sheet1!$G$12:$G$17)</f>
        <v>6082800</v>
      </c>
      <c r="D1823" t="s">
        <v>11</v>
      </c>
      <c r="E1823" s="4">
        <f>_xlfn.XLOOKUP(Table1[[#This Row], [ROOM]],Sheet1!$A$47:$A$66,Sheet1!$B$47:$B$66)</f>
        <v>124</v>
      </c>
      <c r="F1823" t="s">
        <v>62</v>
      </c>
      <c r="G182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3" s="13" t="s">
        <v>59</v>
      </c>
      <c r="I1823" s="4">
        <f>_xlfn.XLOOKUP(Table1[[#This Row], [WEAPON]],Sheet1!$A$27:$A$29,Sheet1!$B$27:$B$29)*Table1[[#This Row], [NUM OF MEM]]*(1+_xlfn.XLOOKUP(Table1[[#This Row], [WEAPON]],Sheet1!$A$27:$A$29,Sheet1!$C$27:$C$29))</f>
        <v>91000</v>
      </c>
      <c r="J1823" t="s">
        <v>64</v>
      </c>
      <c r="K1823" s="9">
        <f>Table1[[#This Row], [NUM OF MEM]]*Table1[[#This Row], [TOTAL TIME TAKEN]]*_xlfn.XLOOKUP(Table1[[#This Row], [EXIT]],Sheet1!$A$70:$A$71,Sheet1!$B$70:$B$71)*(1+_xlfn.XLOOKUP(Table1[[#This Row], [EXIT]],Sheet1!$A$70:$A$71,Sheet1!$C$70:$C$71))</f>
        <v>1761166.7999999996</v>
      </c>
      <c r="L1823" s="13" t="s">
        <v>61</v>
      </c>
      <c r="M1823" s="4">
        <f>IF(Table1[[#This Row], [EQUIPMENT]]="YES",Sheet1!$C$44*(1+Sheet1!$D$44),0)</f>
        <v>0</v>
      </c>
      <c r="N1823" s="4">
        <f>_xlfn.XLOOKUP(Table1[[#This Row], [ROOM]],Sheet1!$A$47:$A$66,Sheet1!$F$47:$F$66)</f>
        <v>17450000</v>
      </c>
      <c r="O1823" s="9">
        <f>_xlfn.XLOOKUP(_xlfn.CONCAT(Table1[[#This Row], [TEAM]],Table1[[#This Row], [ROOM]]),'ROOM TIME'!$H$2:$H$121,'ROOM TIME'!$J$2:$J$121)</f>
        <v>61.621249999999989</v>
      </c>
      <c r="P1823" s="9">
        <f>(INDEX(Sheet1!$X$48:$Z$67,MATCH(Table1[[#This Row], [ROOM]],Sheet1!$P$48:$P$67,0),MATCH(Table1[[#This Row], [WEAPON]],Sheet1!$X$47:$Z$47,0)))/Table1[[#This Row], [NUM OF MEM]]</f>
        <v>6.3249999999999993</v>
      </c>
      <c r="Q1823" s="9">
        <f>Table1[[#This Row], [ROOM TIME]]+Table1[[#This Row], [GUARD TIME]]</f>
        <v>67.946249999999992</v>
      </c>
      <c r="R1823" s="4">
        <f>Sheet1!$K$3*_xlfn.XLOOKUP(Table1[[#This Row], [DISGUISE]],Sheet1!$A$21:$A$23,Sheet1!$D$21:$D$23)</f>
        <v>66</v>
      </c>
      <c r="S1823" s="9">
        <f>Table1[[#This Row], [TOTAL TIME]]-Table1[[#This Row], [TOTAL TIME TAKEN]]</f>
        <v>-1.946249999999992</v>
      </c>
      <c r="T1823" t="str">
        <f>IF(Table1[[#This Row], [TIME DIFFERENCE]]&gt;=0,"PASS","FAIL")</f>
        <v>FAIL</v>
      </c>
      <c r="U1823" s="9">
        <f>Table1[[#This Row], [TRC]]+Table1[[#This Row], [DRC]]+Table1[[#This Row], [WRC]]+Table1[[#This Row], [ERC]]+Table1[[#This Row], [EQRC]]</f>
        <v>7945366.7999999998</v>
      </c>
      <c r="V1823" s="9">
        <f>Table1[[#This Row], [TOTAL COST]]+_xlfn.XLOOKUP(Table1[[#This Row], [TEAM]],Sheet1!$A$12:$A$17,Sheet1!$I$12:$I$17)</f>
        <v>8249506.7999999998</v>
      </c>
      <c r="W1823" s="9">
        <f>Table1[[#This Row], [LOOT]]-Table1[[#This Row], [TOTAL COST]]</f>
        <v>9504633.1999999993</v>
      </c>
      <c r="X1823" s="4">
        <f>IF(Table1[[#This Row], [PASS/FAIL]]="FAIL",0,Table1[[#This Row], [PROFIT]])</f>
        <v>0</v>
      </c>
    </row>
    <row r="1824" spans="1:24" ht="19.5" customHeight="1" x14ac:dyDescent="0.45">
      <c r="A1824" t="s">
        <v>16</v>
      </c>
      <c r="B1824" s="14">
        <f>_xlfn.XLOOKUP(Table1[[#This Row], [TEAM]],Sheet1!$A$12:$A$17,Sheet1!$F$12:$F$17)</f>
        <v>2</v>
      </c>
      <c r="C1824" s="14">
        <f>_xlfn.XLOOKUP(Table1[[#This Row], [TEAM]],Sheet1!$A$12:$A$17,Sheet1!$G$12:$G$17)</f>
        <v>6082800</v>
      </c>
      <c r="D1824" t="s">
        <v>11</v>
      </c>
      <c r="E1824" s="4">
        <f>_xlfn.XLOOKUP(Table1[[#This Row], [ROOM]],Sheet1!$A$47:$A$66,Sheet1!$B$47:$B$66)</f>
        <v>124</v>
      </c>
      <c r="F1824" t="s">
        <v>62</v>
      </c>
      <c r="G182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4" s="13" t="s">
        <v>59</v>
      </c>
      <c r="I1824" s="4">
        <f>_xlfn.XLOOKUP(Table1[[#This Row], [WEAPON]],Sheet1!$A$27:$A$29,Sheet1!$B$27:$B$29)*Table1[[#This Row], [NUM OF MEM]]*(1+_xlfn.XLOOKUP(Table1[[#This Row], [WEAPON]],Sheet1!$A$27:$A$29,Sheet1!$C$27:$C$29))</f>
        <v>91000</v>
      </c>
      <c r="J1824" t="s">
        <v>60</v>
      </c>
      <c r="K1824" s="9">
        <f>Table1[[#This Row], [NUM OF MEM]]*Table1[[#This Row], [TOTAL TIME TAKEN]]*_xlfn.XLOOKUP(Table1[[#This Row], [EXIT]],Sheet1!$A$70:$A$71,Sheet1!$B$70:$B$71)*(1+_xlfn.XLOOKUP(Table1[[#This Row], [EXIT]],Sheet1!$A$70:$A$71,Sheet1!$C$70:$C$71))</f>
        <v>1743840.5062499996</v>
      </c>
      <c r="L1824" s="13" t="s">
        <v>65</v>
      </c>
      <c r="M1824" s="4">
        <f>IF(Table1[[#This Row], [EQUIPMENT]]="YES",Sheet1!$C$44*(1+Sheet1!$D$44),0)</f>
        <v>307500</v>
      </c>
      <c r="N1824" s="4">
        <f>_xlfn.XLOOKUP(Table1[[#This Row], [ROOM]],Sheet1!$A$47:$A$66,Sheet1!$F$47:$F$66)</f>
        <v>17450000</v>
      </c>
      <c r="O1824" s="9">
        <f>_xlfn.XLOOKUP(_xlfn.CONCAT(Table1[[#This Row], [TEAM]],Table1[[#This Row], [ROOM]]),'ROOM TIME'!$H$2:$H$121,'ROOM TIME'!$J$2:$J$121)</f>
        <v>61.621249999999989</v>
      </c>
      <c r="P1824" s="9">
        <f>(INDEX(Sheet1!$X$48:$Z$67,MATCH(Table1[[#This Row], [ROOM]],Sheet1!$P$48:$P$67,0),MATCH(Table1[[#This Row], [WEAPON]],Sheet1!$X$47:$Z$47,0)))/Table1[[#This Row], [NUM OF MEM]]</f>
        <v>6.3249999999999993</v>
      </c>
      <c r="Q1824" s="9">
        <f>Table1[[#This Row], [ROOM TIME]]+Table1[[#This Row], [GUARD TIME]]</f>
        <v>67.946249999999992</v>
      </c>
      <c r="R1824" s="4">
        <f>Sheet1!$K$3*_xlfn.XLOOKUP(Table1[[#This Row], [DISGUISE]],Sheet1!$A$21:$A$23,Sheet1!$D$21:$D$23)</f>
        <v>66</v>
      </c>
      <c r="S1824" s="9">
        <f>Table1[[#This Row], [TOTAL TIME]]-Table1[[#This Row], [TOTAL TIME TAKEN]]</f>
        <v>-1.946249999999992</v>
      </c>
      <c r="T1824" t="str">
        <f>IF(Table1[[#This Row], [TIME DIFFERENCE]]&gt;=0,"PASS","FAIL")</f>
        <v>FAIL</v>
      </c>
      <c r="U1824" s="9">
        <f>Table1[[#This Row], [TRC]]+Table1[[#This Row], [DRC]]+Table1[[#This Row], [WRC]]+Table1[[#This Row], [ERC]]+Table1[[#This Row], [EQRC]]</f>
        <v>8235540.5062499996</v>
      </c>
      <c r="V1824" s="9">
        <f>Table1[[#This Row], [TOTAL COST]]+_xlfn.XLOOKUP(Table1[[#This Row], [TEAM]],Sheet1!$A$12:$A$17,Sheet1!$I$12:$I$17)</f>
        <v>8539680.5062499996</v>
      </c>
      <c r="W1824" s="9">
        <f>Table1[[#This Row], [LOOT]]-Table1[[#This Row], [TOTAL COST]]</f>
        <v>9214459.4937500004</v>
      </c>
      <c r="X1824" s="4">
        <f>IF(Table1[[#This Row], [PASS/FAIL]]="FAIL",0,Table1[[#This Row], [PROFIT]])</f>
        <v>0</v>
      </c>
    </row>
    <row r="1825" spans="1:24" ht="19.5" customHeight="1" x14ac:dyDescent="0.45">
      <c r="A1825" t="s">
        <v>16</v>
      </c>
      <c r="B1825" s="14">
        <f>_xlfn.XLOOKUP(Table1[[#This Row], [TEAM]],Sheet1!$A$12:$A$17,Sheet1!$F$12:$F$17)</f>
        <v>2</v>
      </c>
      <c r="C1825" s="14">
        <f>_xlfn.XLOOKUP(Table1[[#This Row], [TEAM]],Sheet1!$A$12:$A$17,Sheet1!$G$12:$G$17)</f>
        <v>6082800</v>
      </c>
      <c r="D1825" t="s">
        <v>11</v>
      </c>
      <c r="E1825" s="4">
        <f>_xlfn.XLOOKUP(Table1[[#This Row], [ROOM]],Sheet1!$A$47:$A$66,Sheet1!$B$47:$B$66)</f>
        <v>124</v>
      </c>
      <c r="F1825" t="s">
        <v>58</v>
      </c>
      <c r="G1825" s="4">
        <f>_xlfn.XLOOKUP(Table1[[#This Row], [DISGUISE]],Sheet1!$A$21:$A$23,Sheet1!$B$21:$B$23)*Table1[[#This Row], [NUM OF MEM]]*(1+_xlfn.XLOOKUP(Table1[[#This Row], [DISGUISE]],Sheet1!$A$21:$A$23,Sheet1!$C$21:$C$23))</f>
        <v>25600</v>
      </c>
      <c r="H1825" s="13" t="s">
        <v>63</v>
      </c>
      <c r="I1825" s="4">
        <f>_xlfn.XLOOKUP(Table1[[#This Row], [WEAPON]],Sheet1!$A$27:$A$29,Sheet1!$B$27:$B$29)*Table1[[#This Row], [NUM OF MEM]]*(1+_xlfn.XLOOKUP(Table1[[#This Row], [WEAPON]],Sheet1!$A$27:$A$29,Sheet1!$C$27:$C$29))</f>
        <v>46000</v>
      </c>
      <c r="J1825" t="s">
        <v>60</v>
      </c>
      <c r="K1825" s="9">
        <f>Table1[[#This Row], [NUM OF MEM]]*Table1[[#This Row], [TOTAL TIME TAKEN]]*_xlfn.XLOOKUP(Table1[[#This Row], [EXIT]],Sheet1!$A$70:$A$71,Sheet1!$B$70:$B$71)*(1+_xlfn.XLOOKUP(Table1[[#This Row], [EXIT]],Sheet1!$A$70:$A$71,Sheet1!$C$70:$C$71))</f>
        <v>1772072.0062499996</v>
      </c>
      <c r="L1825" s="13" t="s">
        <v>61</v>
      </c>
      <c r="M1825" s="4">
        <f>IF(Table1[[#This Row], [EQUIPMENT]]="YES",Sheet1!$C$44*(1+Sheet1!$D$44),0)</f>
        <v>0</v>
      </c>
      <c r="N1825" s="4">
        <f>_xlfn.XLOOKUP(Table1[[#This Row], [ROOM]],Sheet1!$A$47:$A$66,Sheet1!$F$47:$F$66)</f>
        <v>17450000</v>
      </c>
      <c r="O1825" s="9">
        <f>_xlfn.XLOOKUP(_xlfn.CONCAT(Table1[[#This Row], [TEAM]],Table1[[#This Row], [ROOM]]),'ROOM TIME'!$H$2:$H$121,'ROOM TIME'!$J$2:$J$121)</f>
        <v>61.621249999999989</v>
      </c>
      <c r="P1825" s="9">
        <f>(INDEX(Sheet1!$X$48:$Z$67,MATCH(Table1[[#This Row], [ROOM]],Sheet1!$P$48:$P$67,0),MATCH(Table1[[#This Row], [WEAPON]],Sheet1!$X$47:$Z$47,0)))/Table1[[#This Row], [NUM OF MEM]]</f>
        <v>7.4250000000000007</v>
      </c>
      <c r="Q1825" s="9">
        <f>Table1[[#This Row], [ROOM TIME]]+Table1[[#This Row], [GUARD TIME]]</f>
        <v>69.046249999999986</v>
      </c>
      <c r="R1825" s="4">
        <f>Sheet1!$K$3*_xlfn.XLOOKUP(Table1[[#This Row], [DISGUISE]],Sheet1!$A$21:$A$23,Sheet1!$D$21:$D$23)</f>
        <v>69</v>
      </c>
      <c r="S1825" s="9">
        <f>Table1[[#This Row], [TOTAL TIME]]-Table1[[#This Row], [TOTAL TIME TAKEN]]</f>
        <v>-4.6249999999986358E-2</v>
      </c>
      <c r="T1825" t="str">
        <f>IF(Table1[[#This Row], [TIME DIFFERENCE]]&gt;=0,"PASS","FAIL")</f>
        <v>FAIL</v>
      </c>
      <c r="U1825" s="9">
        <f>Table1[[#This Row], [TRC]]+Table1[[#This Row], [DRC]]+Table1[[#This Row], [WRC]]+Table1[[#This Row], [ERC]]+Table1[[#This Row], [EQRC]]</f>
        <v>7926472.0062499996</v>
      </c>
      <c r="V1825" s="9">
        <f>Table1[[#This Row], [TOTAL COST]]+_xlfn.XLOOKUP(Table1[[#This Row], [TEAM]],Sheet1!$A$12:$A$17,Sheet1!$I$12:$I$17)</f>
        <v>8230612.0062499996</v>
      </c>
      <c r="W1825" s="9">
        <f>Table1[[#This Row], [LOOT]]-Table1[[#This Row], [TOTAL COST]]</f>
        <v>9523527.9937500004</v>
      </c>
      <c r="X1825" s="4">
        <f>IF(Table1[[#This Row], [PASS/FAIL]]="FAIL",0,Table1[[#This Row], [PROFIT]])</f>
        <v>0</v>
      </c>
    </row>
    <row r="1826" spans="1:24" ht="19.5" customHeight="1" x14ac:dyDescent="0.45">
      <c r="A1826" t="s">
        <v>16</v>
      </c>
      <c r="B1826" s="14">
        <f>_xlfn.XLOOKUP(Table1[[#This Row], [TEAM]],Sheet1!$A$12:$A$17,Sheet1!$F$12:$F$17)</f>
        <v>2</v>
      </c>
      <c r="C1826" s="14">
        <f>_xlfn.XLOOKUP(Table1[[#This Row], [TEAM]],Sheet1!$A$12:$A$17,Sheet1!$G$12:$G$17)</f>
        <v>6082800</v>
      </c>
      <c r="D1826" t="s">
        <v>11</v>
      </c>
      <c r="E1826" s="4">
        <f>_xlfn.XLOOKUP(Table1[[#This Row], [ROOM]],Sheet1!$A$47:$A$66,Sheet1!$B$47:$B$66)</f>
        <v>124</v>
      </c>
      <c r="F1826" t="s">
        <v>62</v>
      </c>
      <c r="G182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26" s="13" t="s">
        <v>59</v>
      </c>
      <c r="I1826" s="4">
        <f>_xlfn.XLOOKUP(Table1[[#This Row], [WEAPON]],Sheet1!$A$27:$A$29,Sheet1!$B$27:$B$29)*Table1[[#This Row], [NUM OF MEM]]*(1+_xlfn.XLOOKUP(Table1[[#This Row], [WEAPON]],Sheet1!$A$27:$A$29,Sheet1!$C$27:$C$29))</f>
        <v>91000</v>
      </c>
      <c r="J1826" t="s">
        <v>64</v>
      </c>
      <c r="K1826" s="9">
        <f>Table1[[#This Row], [NUM OF MEM]]*Table1[[#This Row], [TOTAL TIME TAKEN]]*_xlfn.XLOOKUP(Table1[[#This Row], [EXIT]],Sheet1!$A$70:$A$71,Sheet1!$B$70:$B$71)*(1+_xlfn.XLOOKUP(Table1[[#This Row], [EXIT]],Sheet1!$A$70:$A$71,Sheet1!$C$70:$C$71))</f>
        <v>1761166.7999999996</v>
      </c>
      <c r="L1826" s="13" t="s">
        <v>65</v>
      </c>
      <c r="M1826" s="4">
        <f>IF(Table1[[#This Row], [EQUIPMENT]]="YES",Sheet1!$C$44*(1+Sheet1!$D$44),0)</f>
        <v>307500</v>
      </c>
      <c r="N1826" s="4">
        <f>_xlfn.XLOOKUP(Table1[[#This Row], [ROOM]],Sheet1!$A$47:$A$66,Sheet1!$F$47:$F$66)</f>
        <v>17450000</v>
      </c>
      <c r="O1826" s="9">
        <f>_xlfn.XLOOKUP(_xlfn.CONCAT(Table1[[#This Row], [TEAM]],Table1[[#This Row], [ROOM]]),'ROOM TIME'!$H$2:$H$121,'ROOM TIME'!$J$2:$J$121)</f>
        <v>61.621249999999989</v>
      </c>
      <c r="P1826" s="9">
        <f>(INDEX(Sheet1!$X$48:$Z$67,MATCH(Table1[[#This Row], [ROOM]],Sheet1!$P$48:$P$67,0),MATCH(Table1[[#This Row], [WEAPON]],Sheet1!$X$47:$Z$47,0)))/Table1[[#This Row], [NUM OF MEM]]</f>
        <v>6.3249999999999993</v>
      </c>
      <c r="Q1826" s="9">
        <f>Table1[[#This Row], [ROOM TIME]]+Table1[[#This Row], [GUARD TIME]]</f>
        <v>67.946249999999992</v>
      </c>
      <c r="R1826" s="4">
        <f>Sheet1!$K$3*_xlfn.XLOOKUP(Table1[[#This Row], [DISGUISE]],Sheet1!$A$21:$A$23,Sheet1!$D$21:$D$23)</f>
        <v>66</v>
      </c>
      <c r="S1826" s="9">
        <f>Table1[[#This Row], [TOTAL TIME]]-Table1[[#This Row], [TOTAL TIME TAKEN]]</f>
        <v>-1.946249999999992</v>
      </c>
      <c r="T1826" t="str">
        <f>IF(Table1[[#This Row], [TIME DIFFERENCE]]&gt;=0,"PASS","FAIL")</f>
        <v>FAIL</v>
      </c>
      <c r="U1826" s="9">
        <f>Table1[[#This Row], [TRC]]+Table1[[#This Row], [DRC]]+Table1[[#This Row], [WRC]]+Table1[[#This Row], [ERC]]+Table1[[#This Row], [EQRC]]</f>
        <v>8252866.7999999998</v>
      </c>
      <c r="V1826" s="9">
        <f>Table1[[#This Row], [TOTAL COST]]+_xlfn.XLOOKUP(Table1[[#This Row], [TEAM]],Sheet1!$A$12:$A$17,Sheet1!$I$12:$I$17)</f>
        <v>8557006.8000000007</v>
      </c>
      <c r="W1826" s="9">
        <f>Table1[[#This Row], [LOOT]]-Table1[[#This Row], [TOTAL COST]]</f>
        <v>9197133.1999999993</v>
      </c>
      <c r="X1826" s="4">
        <f>IF(Table1[[#This Row], [PASS/FAIL]]="FAIL",0,Table1[[#This Row], [PROFIT]])</f>
        <v>0</v>
      </c>
    </row>
    <row r="1827" spans="1:24" ht="19.5" customHeight="1" x14ac:dyDescent="0.45">
      <c r="A1827" t="s">
        <v>16</v>
      </c>
      <c r="B1827" s="14">
        <f>_xlfn.XLOOKUP(Table1[[#This Row], [TEAM]],Sheet1!$A$12:$A$17,Sheet1!$F$12:$F$17)</f>
        <v>2</v>
      </c>
      <c r="C1827" s="14">
        <f>_xlfn.XLOOKUP(Table1[[#This Row], [TEAM]],Sheet1!$A$12:$A$17,Sheet1!$G$12:$G$17)</f>
        <v>6082800</v>
      </c>
      <c r="D1827" t="s">
        <v>11</v>
      </c>
      <c r="E1827" s="4">
        <f>_xlfn.XLOOKUP(Table1[[#This Row], [ROOM]],Sheet1!$A$47:$A$66,Sheet1!$B$47:$B$66)</f>
        <v>124</v>
      </c>
      <c r="F1827" t="s">
        <v>58</v>
      </c>
      <c r="G1827" s="4">
        <f>_xlfn.XLOOKUP(Table1[[#This Row], [DISGUISE]],Sheet1!$A$21:$A$23,Sheet1!$B$21:$B$23)*Table1[[#This Row], [NUM OF MEM]]*(1+_xlfn.XLOOKUP(Table1[[#This Row], [DISGUISE]],Sheet1!$A$21:$A$23,Sheet1!$C$21:$C$23))</f>
        <v>25600</v>
      </c>
      <c r="H1827" s="13" t="s">
        <v>63</v>
      </c>
      <c r="I1827" s="4">
        <f>_xlfn.XLOOKUP(Table1[[#This Row], [WEAPON]],Sheet1!$A$27:$A$29,Sheet1!$B$27:$B$29)*Table1[[#This Row], [NUM OF MEM]]*(1+_xlfn.XLOOKUP(Table1[[#This Row], [WEAPON]],Sheet1!$A$27:$A$29,Sheet1!$C$27:$C$29))</f>
        <v>46000</v>
      </c>
      <c r="J1827" t="s">
        <v>64</v>
      </c>
      <c r="K1827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1789678.7999999996</v>
      </c>
      <c r="L1827" s="13" t="s">
        <v>61</v>
      </c>
      <c r="M1827" s="4">
        <f>IF(Table1[[#This Row], [EQUIPMENT]]="YES",Sheet1!$C$44*(1+Sheet1!$D$44),0)</f>
        <v>0</v>
      </c>
      <c r="N1827" s="4">
        <f>_xlfn.XLOOKUP(Table1[[#This Row], [ROOM]],Sheet1!$A$47:$A$66,Sheet1!$F$47:$F$66)</f>
        <v>17450000</v>
      </c>
      <c r="O1827" s="9">
        <f>_xlfn.XLOOKUP(_xlfn.CONCAT(Table1[[#This Row], [TEAM]],Table1[[#This Row], [ROOM]]),'ROOM TIME'!$H$2:$H$121,'ROOM TIME'!$J$2:$J$121)</f>
        <v>61.621249999999989</v>
      </c>
      <c r="P1827" s="9">
        <f>(INDEX(Sheet1!$X$48:$Z$67,MATCH(Table1[[#This Row], [ROOM]],Sheet1!$P$48:$P$67,0),MATCH(Table1[[#This Row], [WEAPON]],Sheet1!$X$47:$Z$47,0)))/Table1[[#This Row], [NUM OF MEM]]</f>
        <v>7.4250000000000007</v>
      </c>
      <c r="Q1827" s="9">
        <f>Table1[[#This Row], [ROOM TIME]]+Table1[[#This Row], [GUARD TIME]]</f>
        <v>69.046249999999986</v>
      </c>
      <c r="R1827" s="4">
        <f>Sheet1!$K$3*_xlfn.XLOOKUP(Table1[[#This Row], [DISGUISE]],Sheet1!$A$21:$A$23,Sheet1!$D$21:$D$23)</f>
        <v>69</v>
      </c>
      <c r="S1827" s="9">
        <f>Table1[[#This Row], [TOTAL TIME]]-Table1[[#This Row], [TOTAL TIME TAKEN]]</f>
        <v>-4.6249999999986358E-2</v>
      </c>
      <c r="T1827" t="str">
        <f>IF(Table1[[#This Row], [TIME DIFFERENCE]]&gt;=0,"PASS","FAIL")</f>
        <v>FAIL</v>
      </c>
      <c r="U1827" s="9">
        <f>Table1[[#This Row], [TRC]]+Table1[[#This Row], [DRC]]+Table1[[#This Row], [WRC]]+Table1[[#This Row], [ERC]]+Table1[[#This Row], [EQRC]]</f>
        <v>7944078.7999999998</v>
      </c>
      <c r="V1827" s="9">
        <f>Table1[[#This Row], [TOTAL COST]]+_xlfn.XLOOKUP(Table1[[#This Row], [TEAM]],Sheet1!$A$12:$A$17,Sheet1!$I$12:$I$17)</f>
        <v>8248218.7999999998</v>
      </c>
      <c r="W1827" s="9">
        <f>Table1[[#This Row], [LOOT]]-Table1[[#This Row], [TOTAL COST]]</f>
        <v>9505921.1999999993</v>
      </c>
      <c r="X1827" s="4">
        <f>IF(Table1[[#This Row], [PASS/FAIL]]="FAIL",0,Table1[[#This Row], [PROFIT]])</f>
        <v>0</v>
      </c>
    </row>
    <row r="1828" spans="1:24" ht="19.5" customHeight="1" x14ac:dyDescent="0.45">
      <c r="A1828" t="s">
        <v>16</v>
      </c>
      <c r="B1828" s="14">
        <f>_xlfn.XLOOKUP(Table1[[#This Row], [TEAM]],Sheet1!$A$12:$A$17,Sheet1!$F$12:$F$17)</f>
        <v>2</v>
      </c>
      <c r="C1828" s="14">
        <f>_xlfn.XLOOKUP(Table1[[#This Row], [TEAM]],Sheet1!$A$12:$A$17,Sheet1!$G$12:$G$17)</f>
        <v>6082800</v>
      </c>
      <c r="D1828" t="s">
        <v>11</v>
      </c>
      <c r="E1828" s="4">
        <f>_xlfn.XLOOKUP(Table1[[#This Row], [ROOM]],Sheet1!$A$47:$A$66,Sheet1!$B$47:$B$66)</f>
        <v>124</v>
      </c>
      <c r="F1828" t="s">
        <v>58</v>
      </c>
      <c r="G1828" s="4">
        <f>_xlfn.XLOOKUP(Table1[[#This Row], [DISGUISE]],Sheet1!$A$21:$A$23,Sheet1!$B$21:$B$23)*Table1[[#This Row], [NUM OF MEM]]*(1+_xlfn.XLOOKUP(Table1[[#This Row], [DISGUISE]],Sheet1!$A$21:$A$23,Sheet1!$C$21:$C$23))</f>
        <v>25600</v>
      </c>
      <c r="H1828" s="13" t="s">
        <v>63</v>
      </c>
      <c r="I1828" s="4">
        <f>_xlfn.XLOOKUP(Table1[[#This Row], [WEAPON]],Sheet1!$A$27:$A$29,Sheet1!$B$27:$B$29)*Table1[[#This Row], [NUM OF MEM]]*(1+_xlfn.XLOOKUP(Table1[[#This Row], [WEAPON]],Sheet1!$A$27:$A$29,Sheet1!$C$27:$C$29))</f>
        <v>46000</v>
      </c>
      <c r="J1828" t="s">
        <v>60</v>
      </c>
      <c r="K1828" s="9">
        <f>Table1[[#This Row], [NUM OF MEM]]*Table1[[#This Row], [TOTAL TIME TAKEN]]*_xlfn.XLOOKUP(Table1[[#This Row], [EXIT]],Sheet1!$A$70:$A$71,Sheet1!$B$70:$B$71)*(1+_xlfn.XLOOKUP(Table1[[#This Row], [EXIT]],Sheet1!$A$70:$A$71,Sheet1!$C$70:$C$71))</f>
        <v>1772072.0062499996</v>
      </c>
      <c r="L1828" s="13" t="s">
        <v>65</v>
      </c>
      <c r="M1828" s="4">
        <f>IF(Table1[[#This Row], [EQUIPMENT]]="YES",Sheet1!$C$44*(1+Sheet1!$D$44),0)</f>
        <v>307500</v>
      </c>
      <c r="N1828" s="4">
        <f>_xlfn.XLOOKUP(Table1[[#This Row], [ROOM]],Sheet1!$A$47:$A$66,Sheet1!$F$47:$F$66)</f>
        <v>17450000</v>
      </c>
      <c r="O1828" s="9">
        <f>_xlfn.XLOOKUP(_xlfn.CONCAT(Table1[[#This Row], [TEAM]],Table1[[#This Row], [ROOM]]),'ROOM TIME'!$H$2:$H$121,'ROOM TIME'!$J$2:$J$121)</f>
        <v>61.621249999999989</v>
      </c>
      <c r="P1828" s="9">
        <f>(INDEX(Sheet1!$X$48:$Z$67,MATCH(Table1[[#This Row], [ROOM]],Sheet1!$P$48:$P$67,0),MATCH(Table1[[#This Row], [WEAPON]],Sheet1!$X$47:$Z$47,0)))/Table1[[#This Row], [NUM OF MEM]]</f>
        <v>7.4250000000000007</v>
      </c>
      <c r="Q1828" s="9">
        <f>Table1[[#This Row], [ROOM TIME]]+Table1[[#This Row], [GUARD TIME]]</f>
        <v>69.046249999999986</v>
      </c>
      <c r="R1828" s="4">
        <f>Sheet1!$K$3*_xlfn.XLOOKUP(Table1[[#This Row], [DISGUISE]],Sheet1!$A$21:$A$23,Sheet1!$D$21:$D$23)</f>
        <v>69</v>
      </c>
      <c r="S1828" s="9">
        <f>Table1[[#This Row], [TOTAL TIME]]-Table1[[#This Row], [TOTAL TIME TAKEN]]</f>
        <v>-4.6249999999986358E-2</v>
      </c>
      <c r="T1828" t="str">
        <f>IF(Table1[[#This Row], [TIME DIFFERENCE]]&gt;=0,"PASS","FAIL")</f>
        <v>FAIL</v>
      </c>
      <c r="U1828" s="9">
        <f>Table1[[#This Row], [TRC]]+Table1[[#This Row], [DRC]]+Table1[[#This Row], [WRC]]+Table1[[#This Row], [ERC]]+Table1[[#This Row], [EQRC]]</f>
        <v>8233972.0062499996</v>
      </c>
      <c r="V1828" s="9">
        <f>Table1[[#This Row], [TOTAL COST]]+_xlfn.XLOOKUP(Table1[[#This Row], [TEAM]],Sheet1!$A$12:$A$17,Sheet1!$I$12:$I$17)</f>
        <v>8538112.0062499996</v>
      </c>
      <c r="W1828" s="9">
        <f>Table1[[#This Row], [LOOT]]-Table1[[#This Row], [TOTAL COST]]</f>
        <v>9216027.9937500004</v>
      </c>
      <c r="X1828" s="4">
        <f>IF(Table1[[#This Row], [PASS/FAIL]]="FAIL",0,Table1[[#This Row], [PROFIT]])</f>
        <v>0</v>
      </c>
    </row>
    <row r="1829" spans="1:24" ht="19.5" customHeight="1" x14ac:dyDescent="0.45">
      <c r="A1829" t="s">
        <v>16</v>
      </c>
      <c r="B1829" s="14">
        <f>_xlfn.XLOOKUP(Table1[[#This Row], [TEAM]],Sheet1!$A$12:$A$17,Sheet1!$F$12:$F$17)</f>
        <v>2</v>
      </c>
      <c r="C1829" s="14">
        <f>_xlfn.XLOOKUP(Table1[[#This Row], [TEAM]],Sheet1!$A$12:$A$17,Sheet1!$G$12:$G$17)</f>
        <v>6082800</v>
      </c>
      <c r="D1829" t="s">
        <v>11</v>
      </c>
      <c r="E1829" s="4">
        <f>_xlfn.XLOOKUP(Table1[[#This Row], [ROOM]],Sheet1!$A$47:$A$66,Sheet1!$B$47:$B$66)</f>
        <v>124</v>
      </c>
      <c r="F1829" t="s">
        <v>58</v>
      </c>
      <c r="G18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829" s="13" t="s">
        <v>63</v>
      </c>
      <c r="I1829" s="4">
        <f>_xlfn.XLOOKUP(Table1[[#This Row], [WEAPON]],Sheet1!$A$27:$A$29,Sheet1!$B$27:$B$29)*Table1[[#This Row], [NUM OF MEM]]*(1+_xlfn.XLOOKUP(Table1[[#This Row], [WEAPON]],Sheet1!$A$27:$A$29,Sheet1!$C$27:$C$29))</f>
        <v>46000</v>
      </c>
      <c r="J1829" t="s">
        <v>64</v>
      </c>
      <c r="K1829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1789678.7999999996</v>
      </c>
      <c r="L1829" s="13" t="s">
        <v>65</v>
      </c>
      <c r="M1829" s="4">
        <f>IF(Table1[[#This Row], [EQUIPMENT]]="YES",Sheet1!$C$44*(1+Sheet1!$D$44),0)</f>
        <v>307500</v>
      </c>
      <c r="N1829" s="4">
        <f>_xlfn.XLOOKUP(Table1[[#This Row], [ROOM]],Sheet1!$A$47:$A$66,Sheet1!$F$47:$F$66)</f>
        <v>17450000</v>
      </c>
      <c r="O1829" s="9">
        <f>_xlfn.XLOOKUP(_xlfn.CONCAT(Table1[[#This Row], [TEAM]],Table1[[#This Row], [ROOM]]),'ROOM TIME'!$H$2:$H$121,'ROOM TIME'!$J$2:$J$121)</f>
        <v>61.621249999999989</v>
      </c>
      <c r="P1829" s="9">
        <f>(INDEX(Sheet1!$X$48:$Z$67,MATCH(Table1[[#This Row], [ROOM]],Sheet1!$P$48:$P$67,0),MATCH(Table1[[#This Row], [WEAPON]],Sheet1!$X$47:$Z$47,0)))/Table1[[#This Row], [NUM OF MEM]]</f>
        <v>7.4250000000000007</v>
      </c>
      <c r="Q1829" s="9">
        <f>Table1[[#This Row], [ROOM TIME]]+Table1[[#This Row], [GUARD TIME]]</f>
        <v>69.046249999999986</v>
      </c>
      <c r="R1829" s="4">
        <f>Sheet1!$K$3*_xlfn.XLOOKUP(Table1[[#This Row], [DISGUISE]],Sheet1!$A$21:$A$23,Sheet1!$D$21:$D$23)</f>
        <v>69</v>
      </c>
      <c r="S1829" s="9">
        <f>Table1[[#This Row], [TOTAL TIME]]-Table1[[#This Row], [TOTAL TIME TAKEN]]</f>
        <v>-4.6249999999986358E-2</v>
      </c>
      <c r="T1829" t="str">
        <f>IF(Table1[[#This Row], [TIME DIFFERENCE]]&gt;=0,"PASS","FAIL")</f>
        <v>FAIL</v>
      </c>
      <c r="U1829" s="9">
        <f>Table1[[#This Row], [TRC]]+Table1[[#This Row], [DRC]]+Table1[[#This Row], [WRC]]+Table1[[#This Row], [ERC]]+Table1[[#This Row], [EQRC]]</f>
        <v>8251578.7999999998</v>
      </c>
      <c r="V1829" s="9">
        <f>Table1[[#This Row], [TOTAL COST]]+_xlfn.XLOOKUP(Table1[[#This Row], [TEAM]],Sheet1!$A$12:$A$17,Sheet1!$I$12:$I$17)</f>
        <v>8555718.8000000007</v>
      </c>
      <c r="W1829" s="9">
        <f>Table1[[#This Row], [LOOT]]-Table1[[#This Row], [TOTAL COST]]</f>
        <v>9198421.1999999993</v>
      </c>
      <c r="X1829" s="4">
        <f>IF(Table1[[#This Row], [PASS/FAIL]]="FAIL",0,Table1[[#This Row], [PROFIT]])</f>
        <v>0</v>
      </c>
    </row>
    <row r="1830" spans="1:24" ht="19.5" customHeight="1" x14ac:dyDescent="0.45">
      <c r="A1830" t="s">
        <v>16</v>
      </c>
      <c r="B1830" s="14">
        <f>_xlfn.XLOOKUP(Table1[[#This Row], [TEAM]],Sheet1!$A$12:$A$17,Sheet1!$F$12:$F$17)</f>
        <v>2</v>
      </c>
      <c r="C1830" s="14">
        <f>_xlfn.XLOOKUP(Table1[[#This Row], [TEAM]],Sheet1!$A$12:$A$17,Sheet1!$G$12:$G$17)</f>
        <v>6082800</v>
      </c>
      <c r="D1830" t="s">
        <v>11</v>
      </c>
      <c r="E1830" s="4">
        <f>_xlfn.XLOOKUP(Table1[[#This Row], [ROOM]],Sheet1!$A$47:$A$66,Sheet1!$B$47:$B$66)</f>
        <v>124</v>
      </c>
      <c r="F1830" t="s">
        <v>62</v>
      </c>
      <c r="G183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0" s="13" t="s">
        <v>63</v>
      </c>
      <c r="I1830" s="4">
        <f>_xlfn.XLOOKUP(Table1[[#This Row], [WEAPON]],Sheet1!$A$27:$A$29,Sheet1!$B$27:$B$29)*Table1[[#This Row], [NUM OF MEM]]*(1+_xlfn.XLOOKUP(Table1[[#This Row], [WEAPON]],Sheet1!$A$27:$A$29,Sheet1!$C$27:$C$29))</f>
        <v>46000</v>
      </c>
      <c r="J1830" t="s">
        <v>60</v>
      </c>
      <c r="K1830" s="9">
        <f>Table1[[#This Row], [NUM OF MEM]]*Table1[[#This Row], [TOTAL TIME TAKEN]]*_xlfn.XLOOKUP(Table1[[#This Row], [EXIT]],Sheet1!$A$70:$A$71,Sheet1!$B$70:$B$71)*(1+_xlfn.XLOOKUP(Table1[[#This Row], [EXIT]],Sheet1!$A$70:$A$71,Sheet1!$C$70:$C$71))</f>
        <v>1772072.0062499996</v>
      </c>
      <c r="L1830" s="13" t="s">
        <v>61</v>
      </c>
      <c r="M1830" s="4">
        <f>IF(Table1[[#This Row], [EQUIPMENT]]="YES",Sheet1!$C$44*(1+Sheet1!$D$44),0)</f>
        <v>0</v>
      </c>
      <c r="N1830" s="4">
        <f>_xlfn.XLOOKUP(Table1[[#This Row], [ROOM]],Sheet1!$A$47:$A$66,Sheet1!$F$47:$F$66)</f>
        <v>17450000</v>
      </c>
      <c r="O1830" s="9">
        <f>_xlfn.XLOOKUP(_xlfn.CONCAT(Table1[[#This Row], [TEAM]],Table1[[#This Row], [ROOM]]),'ROOM TIME'!$H$2:$H$121,'ROOM TIME'!$J$2:$J$121)</f>
        <v>61.621249999999989</v>
      </c>
      <c r="P1830" s="9">
        <f>(INDEX(Sheet1!$X$48:$Z$67,MATCH(Table1[[#This Row], [ROOM]],Sheet1!$P$48:$P$67,0),MATCH(Table1[[#This Row], [WEAPON]],Sheet1!$X$47:$Z$47,0)))/Table1[[#This Row], [NUM OF MEM]]</f>
        <v>7.4250000000000007</v>
      </c>
      <c r="Q1830" s="9">
        <f>Table1[[#This Row], [ROOM TIME]]+Table1[[#This Row], [GUARD TIME]]</f>
        <v>69.046249999999986</v>
      </c>
      <c r="R1830" s="4">
        <f>Sheet1!$K$3*_xlfn.XLOOKUP(Table1[[#This Row], [DISGUISE]],Sheet1!$A$21:$A$23,Sheet1!$D$21:$D$23)</f>
        <v>66</v>
      </c>
      <c r="S1830" s="9">
        <f>Table1[[#This Row], [TOTAL TIME]]-Table1[[#This Row], [TOTAL TIME TAKEN]]</f>
        <v>-3.0462499999999864</v>
      </c>
      <c r="T1830" t="str">
        <f>IF(Table1[[#This Row], [TIME DIFFERENCE]]&gt;=0,"PASS","FAIL")</f>
        <v>FAIL</v>
      </c>
      <c r="U1830" s="9">
        <f>Table1[[#This Row], [TRC]]+Table1[[#This Row], [DRC]]+Table1[[#This Row], [WRC]]+Table1[[#This Row], [ERC]]+Table1[[#This Row], [EQRC]]</f>
        <v>7911272.0062499996</v>
      </c>
      <c r="V1830" s="9">
        <f>Table1[[#This Row], [TOTAL COST]]+_xlfn.XLOOKUP(Table1[[#This Row], [TEAM]],Sheet1!$A$12:$A$17,Sheet1!$I$12:$I$17)</f>
        <v>8215412.0062499996</v>
      </c>
      <c r="W1830" s="9">
        <f>Table1[[#This Row], [LOOT]]-Table1[[#This Row], [TOTAL COST]]</f>
        <v>9538727.9937500004</v>
      </c>
      <c r="X1830" s="4">
        <f>IF(Table1[[#This Row], [PASS/FAIL]]="FAIL",0,Table1[[#This Row], [PROFIT]])</f>
        <v>0</v>
      </c>
    </row>
    <row r="1831" spans="1:24" ht="19.5" customHeight="1" x14ac:dyDescent="0.45">
      <c r="A1831" t="s">
        <v>16</v>
      </c>
      <c r="B1831" s="14">
        <f>_xlfn.XLOOKUP(Table1[[#This Row], [TEAM]],Sheet1!$A$12:$A$17,Sheet1!$F$12:$F$17)</f>
        <v>2</v>
      </c>
      <c r="C1831" s="14">
        <f>_xlfn.XLOOKUP(Table1[[#This Row], [TEAM]],Sheet1!$A$12:$A$17,Sheet1!$G$12:$G$17)</f>
        <v>6082800</v>
      </c>
      <c r="D1831" t="s">
        <v>11</v>
      </c>
      <c r="E1831" s="4">
        <f>_xlfn.XLOOKUP(Table1[[#This Row], [ROOM]],Sheet1!$A$47:$A$66,Sheet1!$B$47:$B$66)</f>
        <v>124</v>
      </c>
      <c r="F1831" t="s">
        <v>62</v>
      </c>
      <c r="G183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1" s="13" t="s">
        <v>66</v>
      </c>
      <c r="I1831" s="4">
        <f>_xlfn.XLOOKUP(Table1[[#This Row], [WEAPON]],Sheet1!$A$27:$A$29,Sheet1!$B$27:$B$29)*Table1[[#This Row], [NUM OF MEM]]*(1+_xlfn.XLOOKUP(Table1[[#This Row], [WEAPON]],Sheet1!$A$27:$A$29,Sheet1!$C$27:$C$29))</f>
        <v>72000</v>
      </c>
      <c r="J1831" t="s">
        <v>60</v>
      </c>
      <c r="K1831" s="9">
        <f>Table1[[#This Row], [NUM OF MEM]]*Table1[[#This Row], [TOTAL TIME TAKEN]]*_xlfn.XLOOKUP(Table1[[#This Row], [EXIT]],Sheet1!$A$70:$A$71,Sheet1!$B$70:$B$71)*(1+_xlfn.XLOOKUP(Table1[[#This Row], [EXIT]],Sheet1!$A$70:$A$71,Sheet1!$C$70:$C$71))</f>
        <v>1757956.2562499996</v>
      </c>
      <c r="L1831" s="13" t="s">
        <v>61</v>
      </c>
      <c r="M1831" s="4">
        <f>IF(Table1[[#This Row], [EQUIPMENT]]="YES",Sheet1!$C$44*(1+Sheet1!$D$44),0)</f>
        <v>0</v>
      </c>
      <c r="N1831" s="4">
        <f>_xlfn.XLOOKUP(Table1[[#This Row], [ROOM]],Sheet1!$A$47:$A$66,Sheet1!$F$47:$F$66)</f>
        <v>17450000</v>
      </c>
      <c r="O1831" s="9">
        <f>_xlfn.XLOOKUP(_xlfn.CONCAT(Table1[[#This Row], [TEAM]],Table1[[#This Row], [ROOM]]),'ROOM TIME'!$H$2:$H$121,'ROOM TIME'!$J$2:$J$121)</f>
        <v>61.621249999999989</v>
      </c>
      <c r="P1831" s="9">
        <f>(INDEX(Sheet1!$X$48:$Z$67,MATCH(Table1[[#This Row], [ROOM]],Sheet1!$P$48:$P$67,0),MATCH(Table1[[#This Row], [WEAPON]],Sheet1!$X$47:$Z$47,0)))/Table1[[#This Row], [NUM OF MEM]]</f>
        <v>6.875</v>
      </c>
      <c r="Q1831" s="9">
        <f>Table1[[#This Row], [ROOM TIME]]+Table1[[#This Row], [GUARD TIME]]</f>
        <v>68.496249999999989</v>
      </c>
      <c r="R1831" s="4">
        <f>Sheet1!$K$3*_xlfn.XLOOKUP(Table1[[#This Row], [DISGUISE]],Sheet1!$A$21:$A$23,Sheet1!$D$21:$D$23)</f>
        <v>66</v>
      </c>
      <c r="S1831" s="9">
        <f>Table1[[#This Row], [TOTAL TIME]]-Table1[[#This Row], [TOTAL TIME TAKEN]]</f>
        <v>-2.4962499999999892</v>
      </c>
      <c r="T1831" t="str">
        <f>IF(Table1[[#This Row], [TIME DIFFERENCE]]&gt;=0,"PASS","FAIL")</f>
        <v>FAIL</v>
      </c>
      <c r="U1831" s="9">
        <f>Table1[[#This Row], [TRC]]+Table1[[#This Row], [DRC]]+Table1[[#This Row], [WRC]]+Table1[[#This Row], [ERC]]+Table1[[#This Row], [EQRC]]</f>
        <v>7923156.2562499996</v>
      </c>
      <c r="V1831" s="9">
        <f>Table1[[#This Row], [TOTAL COST]]+_xlfn.XLOOKUP(Table1[[#This Row], [TEAM]],Sheet1!$A$12:$A$17,Sheet1!$I$12:$I$17)</f>
        <v>8227296.2562499996</v>
      </c>
      <c r="W1831" s="9">
        <f>Table1[[#This Row], [LOOT]]-Table1[[#This Row], [TOTAL COST]]</f>
        <v>9526843.7437500004</v>
      </c>
      <c r="X1831" s="4">
        <f>IF(Table1[[#This Row], [PASS/FAIL]]="FAIL",0,Table1[[#This Row], [PROFIT]])</f>
        <v>0</v>
      </c>
    </row>
    <row r="1832" spans="1:24" ht="19.5" customHeight="1" x14ac:dyDescent="0.45">
      <c r="A1832" t="s">
        <v>16</v>
      </c>
      <c r="B1832" s="14">
        <f>_xlfn.XLOOKUP(Table1[[#This Row], [TEAM]],Sheet1!$A$12:$A$17,Sheet1!$F$12:$F$17)</f>
        <v>2</v>
      </c>
      <c r="C1832" s="14">
        <f>_xlfn.XLOOKUP(Table1[[#This Row], [TEAM]],Sheet1!$A$12:$A$17,Sheet1!$G$12:$G$17)</f>
        <v>6082800</v>
      </c>
      <c r="D1832" t="s">
        <v>11</v>
      </c>
      <c r="E1832" s="4">
        <f>_xlfn.XLOOKUP(Table1[[#This Row], [ROOM]],Sheet1!$A$47:$A$66,Sheet1!$B$47:$B$66)</f>
        <v>124</v>
      </c>
      <c r="F1832" t="s">
        <v>62</v>
      </c>
      <c r="G183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2" s="13" t="s">
        <v>63</v>
      </c>
      <c r="I1832" s="4">
        <f>_xlfn.XLOOKUP(Table1[[#This Row], [WEAPON]],Sheet1!$A$27:$A$29,Sheet1!$B$27:$B$29)*Table1[[#This Row], [NUM OF MEM]]*(1+_xlfn.XLOOKUP(Table1[[#This Row], [WEAPON]],Sheet1!$A$27:$A$29,Sheet1!$C$27:$C$29))</f>
        <v>46000</v>
      </c>
      <c r="J1832" t="s">
        <v>64</v>
      </c>
      <c r="K1832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1789678.7999999996</v>
      </c>
      <c r="L1832" s="13" t="s">
        <v>61</v>
      </c>
      <c r="M1832" s="4">
        <f>IF(Table1[[#This Row], [EQUIPMENT]]="YES",Sheet1!$C$44*(1+Sheet1!$D$44),0)</f>
        <v>0</v>
      </c>
      <c r="N1832" s="4">
        <f>_xlfn.XLOOKUP(Table1[[#This Row], [ROOM]],Sheet1!$A$47:$A$66,Sheet1!$F$47:$F$66)</f>
        <v>17450000</v>
      </c>
      <c r="O1832" s="9">
        <f>_xlfn.XLOOKUP(_xlfn.CONCAT(Table1[[#This Row], [TEAM]],Table1[[#This Row], [ROOM]]),'ROOM TIME'!$H$2:$H$121,'ROOM TIME'!$J$2:$J$121)</f>
        <v>61.621249999999989</v>
      </c>
      <c r="P1832" s="9">
        <f>(INDEX(Sheet1!$X$48:$Z$67,MATCH(Table1[[#This Row], [ROOM]],Sheet1!$P$48:$P$67,0),MATCH(Table1[[#This Row], [WEAPON]],Sheet1!$X$47:$Z$47,0)))/Table1[[#This Row], [NUM OF MEM]]</f>
        <v>7.4250000000000007</v>
      </c>
      <c r="Q1832" s="9">
        <f>Table1[[#This Row], [ROOM TIME]]+Table1[[#This Row], [GUARD TIME]]</f>
        <v>69.046249999999986</v>
      </c>
      <c r="R1832" s="4">
        <f>Sheet1!$K$3*_xlfn.XLOOKUP(Table1[[#This Row], [DISGUISE]],Sheet1!$A$21:$A$23,Sheet1!$D$21:$D$23)</f>
        <v>66</v>
      </c>
      <c r="S1832" s="9">
        <f>Table1[[#This Row], [TOTAL TIME]]-Table1[[#This Row], [TOTAL TIME TAKEN]]</f>
        <v>-3.0462499999999864</v>
      </c>
      <c r="T1832" t="str">
        <f>IF(Table1[[#This Row], [TIME DIFFERENCE]]&gt;=0,"PASS","FAIL")</f>
        <v>FAIL</v>
      </c>
      <c r="U1832" s="9">
        <f>Table1[[#This Row], [TRC]]+Table1[[#This Row], [DRC]]+Table1[[#This Row], [WRC]]+Table1[[#This Row], [ERC]]+Table1[[#This Row], [EQRC]]</f>
        <v>7928878.7999999998</v>
      </c>
      <c r="V1832" s="9">
        <f>Table1[[#This Row], [TOTAL COST]]+_xlfn.XLOOKUP(Table1[[#This Row], [TEAM]],Sheet1!$A$12:$A$17,Sheet1!$I$12:$I$17)</f>
        <v>8233018.7999999998</v>
      </c>
      <c r="W1832" s="9">
        <f>Table1[[#This Row], [LOOT]]-Table1[[#This Row], [TOTAL COST]]</f>
        <v>9521121.1999999993</v>
      </c>
      <c r="X1832" s="4">
        <f>IF(Table1[[#This Row], [PASS/FAIL]]="FAIL",0,Table1[[#This Row], [PROFIT]])</f>
        <v>0</v>
      </c>
    </row>
    <row r="1833" spans="1:24" ht="19.5" customHeight="1" x14ac:dyDescent="0.45">
      <c r="A1833" t="s">
        <v>16</v>
      </c>
      <c r="B1833" s="14">
        <f>_xlfn.XLOOKUP(Table1[[#This Row], [TEAM]],Sheet1!$A$12:$A$17,Sheet1!$F$12:$F$17)</f>
        <v>2</v>
      </c>
      <c r="C1833" s="14">
        <f>_xlfn.XLOOKUP(Table1[[#This Row], [TEAM]],Sheet1!$A$12:$A$17,Sheet1!$G$12:$G$17)</f>
        <v>6082800</v>
      </c>
      <c r="D1833" t="s">
        <v>11</v>
      </c>
      <c r="E1833" s="4">
        <f>_xlfn.XLOOKUP(Table1[[#This Row], [ROOM]],Sheet1!$A$47:$A$66,Sheet1!$B$47:$B$66)</f>
        <v>124</v>
      </c>
      <c r="F1833" t="s">
        <v>62</v>
      </c>
      <c r="G183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3" s="13" t="s">
        <v>66</v>
      </c>
      <c r="I1833" s="4">
        <f>_xlfn.XLOOKUP(Table1[[#This Row], [WEAPON]],Sheet1!$A$27:$A$29,Sheet1!$B$27:$B$29)*Table1[[#This Row], [NUM OF MEM]]*(1+_xlfn.XLOOKUP(Table1[[#This Row], [WEAPON]],Sheet1!$A$27:$A$29,Sheet1!$C$27:$C$29))</f>
        <v>72000</v>
      </c>
      <c r="J1833" t="s">
        <v>64</v>
      </c>
      <c r="K1833" s="9">
        <f>Table1[[#This Row], [NUM OF MEM]]*Table1[[#This Row], [TOTAL TIME TAKEN]]*_xlfn.XLOOKUP(Table1[[#This Row], [EXIT]],Sheet1!$A$70:$A$71,Sheet1!$B$70:$B$71)*(1+_xlfn.XLOOKUP(Table1[[#This Row], [EXIT]],Sheet1!$A$70:$A$71,Sheet1!$C$70:$C$71))</f>
        <v>1775422.7999999996</v>
      </c>
      <c r="L1833" s="13" t="s">
        <v>61</v>
      </c>
      <c r="M1833" s="4">
        <f>IF(Table1[[#This Row], [EQUIPMENT]]="YES",Sheet1!$C$44*(1+Sheet1!$D$44),0)</f>
        <v>0</v>
      </c>
      <c r="N1833" s="4">
        <f>_xlfn.XLOOKUP(Table1[[#This Row], [ROOM]],Sheet1!$A$47:$A$66,Sheet1!$F$47:$F$66)</f>
        <v>17450000</v>
      </c>
      <c r="O1833" s="9">
        <f>_xlfn.XLOOKUP(_xlfn.CONCAT(Table1[[#This Row], [TEAM]],Table1[[#This Row], [ROOM]]),'ROOM TIME'!$H$2:$H$121,'ROOM TIME'!$J$2:$J$121)</f>
        <v>61.621249999999989</v>
      </c>
      <c r="P1833" s="9">
        <f>(INDEX(Sheet1!$X$48:$Z$67,MATCH(Table1[[#This Row], [ROOM]],Sheet1!$P$48:$P$67,0),MATCH(Table1[[#This Row], [WEAPON]],Sheet1!$X$47:$Z$47,0)))/Table1[[#This Row], [NUM OF MEM]]</f>
        <v>6.875</v>
      </c>
      <c r="Q1833" s="9">
        <f>Table1[[#This Row], [ROOM TIME]]+Table1[[#This Row], [GUARD TIME]]</f>
        <v>68.496249999999989</v>
      </c>
      <c r="R1833" s="4">
        <f>Sheet1!$K$3*_xlfn.XLOOKUP(Table1[[#This Row], [DISGUISE]],Sheet1!$A$21:$A$23,Sheet1!$D$21:$D$23)</f>
        <v>66</v>
      </c>
      <c r="S1833" s="9">
        <f>Table1[[#This Row], [TOTAL TIME]]-Table1[[#This Row], [TOTAL TIME TAKEN]]</f>
        <v>-2.4962499999999892</v>
      </c>
      <c r="T1833" t="str">
        <f>IF(Table1[[#This Row], [TIME DIFFERENCE]]&gt;=0,"PASS","FAIL")</f>
        <v>FAIL</v>
      </c>
      <c r="U1833" s="9">
        <f>Table1[[#This Row], [TRC]]+Table1[[#This Row], [DRC]]+Table1[[#This Row], [WRC]]+Table1[[#This Row], [ERC]]+Table1[[#This Row], [EQRC]]</f>
        <v>7940622.7999999998</v>
      </c>
      <c r="V1833" s="9">
        <f>Table1[[#This Row], [TOTAL COST]]+_xlfn.XLOOKUP(Table1[[#This Row], [TEAM]],Sheet1!$A$12:$A$17,Sheet1!$I$12:$I$17)</f>
        <v>8244762.7999999998</v>
      </c>
      <c r="W1833" s="9">
        <f>Table1[[#This Row], [LOOT]]-Table1[[#This Row], [TOTAL COST]]</f>
        <v>9509377.1999999993</v>
      </c>
      <c r="X1833" s="4">
        <f>IF(Table1[[#This Row], [PASS/FAIL]]="FAIL",0,Table1[[#This Row], [PROFIT]])</f>
        <v>0</v>
      </c>
    </row>
    <row r="1834" spans="1:24" ht="19.5" customHeight="1" x14ac:dyDescent="0.45">
      <c r="A1834" t="s">
        <v>16</v>
      </c>
      <c r="B1834" s="14">
        <f>_xlfn.XLOOKUP(Table1[[#This Row], [TEAM]],Sheet1!$A$12:$A$17,Sheet1!$F$12:$F$17)</f>
        <v>2</v>
      </c>
      <c r="C1834" s="14">
        <f>_xlfn.XLOOKUP(Table1[[#This Row], [TEAM]],Sheet1!$A$12:$A$17,Sheet1!$G$12:$G$17)</f>
        <v>6082800</v>
      </c>
      <c r="D1834" t="s">
        <v>11</v>
      </c>
      <c r="E1834" s="4">
        <f>_xlfn.XLOOKUP(Table1[[#This Row], [ROOM]],Sheet1!$A$47:$A$66,Sheet1!$B$47:$B$66)</f>
        <v>124</v>
      </c>
      <c r="F1834" t="s">
        <v>62</v>
      </c>
      <c r="G183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4" s="13" t="s">
        <v>63</v>
      </c>
      <c r="I1834" s="4">
        <f>_xlfn.XLOOKUP(Table1[[#This Row], [WEAPON]],Sheet1!$A$27:$A$29,Sheet1!$B$27:$B$29)*Table1[[#This Row], [NUM OF MEM]]*(1+_xlfn.XLOOKUP(Table1[[#This Row], [WEAPON]],Sheet1!$A$27:$A$29,Sheet1!$C$27:$C$29))</f>
        <v>46000</v>
      </c>
      <c r="J1834" t="s">
        <v>60</v>
      </c>
      <c r="K1834" s="9">
        <f>Table1[[#This Row], [NUM OF MEM]]*Table1[[#This Row], [TOTAL TIME TAKEN]]*_xlfn.XLOOKUP(Table1[[#This Row], [EXIT]],Sheet1!$A$70:$A$71,Sheet1!$B$70:$B$71)*(1+_xlfn.XLOOKUP(Table1[[#This Row], [EXIT]],Sheet1!$A$70:$A$71,Sheet1!$C$70:$C$71))</f>
        <v>1772072.0062499996</v>
      </c>
      <c r="L1834" s="13" t="s">
        <v>65</v>
      </c>
      <c r="M1834" s="4">
        <f>IF(Table1[[#This Row], [EQUIPMENT]]="YES",Sheet1!$C$44*(1+Sheet1!$D$44),0)</f>
        <v>307500</v>
      </c>
      <c r="N1834" s="4">
        <f>_xlfn.XLOOKUP(Table1[[#This Row], [ROOM]],Sheet1!$A$47:$A$66,Sheet1!$F$47:$F$66)</f>
        <v>17450000</v>
      </c>
      <c r="O1834" s="9">
        <f>_xlfn.XLOOKUP(_xlfn.CONCAT(Table1[[#This Row], [TEAM]],Table1[[#This Row], [ROOM]]),'ROOM TIME'!$H$2:$H$121,'ROOM TIME'!$J$2:$J$121)</f>
        <v>61.621249999999989</v>
      </c>
      <c r="P1834" s="9">
        <f>(INDEX(Sheet1!$X$48:$Z$67,MATCH(Table1[[#This Row], [ROOM]],Sheet1!$P$48:$P$67,0),MATCH(Table1[[#This Row], [WEAPON]],Sheet1!$X$47:$Z$47,0)))/Table1[[#This Row], [NUM OF MEM]]</f>
        <v>7.4250000000000007</v>
      </c>
      <c r="Q1834" s="9">
        <f>Table1[[#This Row], [ROOM TIME]]+Table1[[#This Row], [GUARD TIME]]</f>
        <v>69.046249999999986</v>
      </c>
      <c r="R1834" s="4">
        <f>Sheet1!$K$3*_xlfn.XLOOKUP(Table1[[#This Row], [DISGUISE]],Sheet1!$A$21:$A$23,Sheet1!$D$21:$D$23)</f>
        <v>66</v>
      </c>
      <c r="S1834" s="9">
        <f>Table1[[#This Row], [TOTAL TIME]]-Table1[[#This Row], [TOTAL TIME TAKEN]]</f>
        <v>-3.0462499999999864</v>
      </c>
      <c r="T1834" t="str">
        <f>IF(Table1[[#This Row], [TIME DIFFERENCE]]&gt;=0,"PASS","FAIL")</f>
        <v>FAIL</v>
      </c>
      <c r="U1834" s="9">
        <f>Table1[[#This Row], [TRC]]+Table1[[#This Row], [DRC]]+Table1[[#This Row], [WRC]]+Table1[[#This Row], [ERC]]+Table1[[#This Row], [EQRC]]</f>
        <v>8218772.0062499996</v>
      </c>
      <c r="V1834" s="9">
        <f>Table1[[#This Row], [TOTAL COST]]+_xlfn.XLOOKUP(Table1[[#This Row], [TEAM]],Sheet1!$A$12:$A$17,Sheet1!$I$12:$I$17)</f>
        <v>8522912.0062499996</v>
      </c>
      <c r="W1834" s="9">
        <f>Table1[[#This Row], [LOOT]]-Table1[[#This Row], [TOTAL COST]]</f>
        <v>9231227.9937500004</v>
      </c>
      <c r="X1834" s="4">
        <f>IF(Table1[[#This Row], [PASS/FAIL]]="FAIL",0,Table1[[#This Row], [PROFIT]])</f>
        <v>0</v>
      </c>
    </row>
    <row r="1835" spans="1:24" ht="19.5" customHeight="1" x14ac:dyDescent="0.45">
      <c r="A1835" t="s">
        <v>16</v>
      </c>
      <c r="B1835" s="14">
        <f>_xlfn.XLOOKUP(Table1[[#This Row], [TEAM]],Sheet1!$A$12:$A$17,Sheet1!$F$12:$F$17)</f>
        <v>2</v>
      </c>
      <c r="C1835" s="14">
        <f>_xlfn.XLOOKUP(Table1[[#This Row], [TEAM]],Sheet1!$A$12:$A$17,Sheet1!$G$12:$G$17)</f>
        <v>6082800</v>
      </c>
      <c r="D1835" t="s">
        <v>11</v>
      </c>
      <c r="E1835" s="4">
        <f>_xlfn.XLOOKUP(Table1[[#This Row], [ROOM]],Sheet1!$A$47:$A$66,Sheet1!$B$47:$B$66)</f>
        <v>124</v>
      </c>
      <c r="F1835" t="s">
        <v>62</v>
      </c>
      <c r="G183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5" s="13" t="s">
        <v>66</v>
      </c>
      <c r="I1835" s="4">
        <f>_xlfn.XLOOKUP(Table1[[#This Row], [WEAPON]],Sheet1!$A$27:$A$29,Sheet1!$B$27:$B$29)*Table1[[#This Row], [NUM OF MEM]]*(1+_xlfn.XLOOKUP(Table1[[#This Row], [WEAPON]],Sheet1!$A$27:$A$29,Sheet1!$C$27:$C$29))</f>
        <v>72000</v>
      </c>
      <c r="J1835" t="s">
        <v>60</v>
      </c>
      <c r="K1835" s="9">
        <f>Table1[[#This Row], [NUM OF MEM]]*Table1[[#This Row], [TOTAL TIME TAKEN]]*_xlfn.XLOOKUP(Table1[[#This Row], [EXIT]],Sheet1!$A$70:$A$71,Sheet1!$B$70:$B$71)*(1+_xlfn.XLOOKUP(Table1[[#This Row], [EXIT]],Sheet1!$A$70:$A$71,Sheet1!$C$70:$C$71))</f>
        <v>1757956.2562499996</v>
      </c>
      <c r="L1835" s="13" t="s">
        <v>65</v>
      </c>
      <c r="M1835" s="4">
        <f>IF(Table1[[#This Row], [EQUIPMENT]]="YES",Sheet1!$C$44*(1+Sheet1!$D$44),0)</f>
        <v>307500</v>
      </c>
      <c r="N1835" s="4">
        <f>_xlfn.XLOOKUP(Table1[[#This Row], [ROOM]],Sheet1!$A$47:$A$66,Sheet1!$F$47:$F$66)</f>
        <v>17450000</v>
      </c>
      <c r="O1835" s="9">
        <f>_xlfn.XLOOKUP(_xlfn.CONCAT(Table1[[#This Row], [TEAM]],Table1[[#This Row], [ROOM]]),'ROOM TIME'!$H$2:$H$121,'ROOM TIME'!$J$2:$J$121)</f>
        <v>61.621249999999989</v>
      </c>
      <c r="P1835" s="9">
        <f>(INDEX(Sheet1!$X$48:$Z$67,MATCH(Table1[[#This Row], [ROOM]],Sheet1!$P$48:$P$67,0),MATCH(Table1[[#This Row], [WEAPON]],Sheet1!$X$47:$Z$47,0)))/Table1[[#This Row], [NUM OF MEM]]</f>
        <v>6.875</v>
      </c>
      <c r="Q1835" s="9">
        <f>Table1[[#This Row], [ROOM TIME]]+Table1[[#This Row], [GUARD TIME]]</f>
        <v>68.496249999999989</v>
      </c>
      <c r="R1835" s="4">
        <f>Sheet1!$K$3*_xlfn.XLOOKUP(Table1[[#This Row], [DISGUISE]],Sheet1!$A$21:$A$23,Sheet1!$D$21:$D$23)</f>
        <v>66</v>
      </c>
      <c r="S1835" s="9">
        <f>Table1[[#This Row], [TOTAL TIME]]-Table1[[#This Row], [TOTAL TIME TAKEN]]</f>
        <v>-2.4962499999999892</v>
      </c>
      <c r="T1835" t="str">
        <f>IF(Table1[[#This Row], [TIME DIFFERENCE]]&gt;=0,"PASS","FAIL")</f>
        <v>FAIL</v>
      </c>
      <c r="U1835" s="9">
        <f>Table1[[#This Row], [TRC]]+Table1[[#This Row], [DRC]]+Table1[[#This Row], [WRC]]+Table1[[#This Row], [ERC]]+Table1[[#This Row], [EQRC]]</f>
        <v>8230656.2562499996</v>
      </c>
      <c r="V1835" s="9">
        <f>Table1[[#This Row], [TOTAL COST]]+_xlfn.XLOOKUP(Table1[[#This Row], [TEAM]],Sheet1!$A$12:$A$17,Sheet1!$I$12:$I$17)</f>
        <v>8534796.2562499996</v>
      </c>
      <c r="W1835" s="9">
        <f>Table1[[#This Row], [LOOT]]-Table1[[#This Row], [TOTAL COST]]</f>
        <v>9219343.7437500004</v>
      </c>
      <c r="X1835" s="4">
        <f>IF(Table1[[#This Row], [PASS/FAIL]]="FAIL",0,Table1[[#This Row], [PROFIT]])</f>
        <v>0</v>
      </c>
    </row>
    <row r="1836" spans="1:24" ht="19.5" customHeight="1" x14ac:dyDescent="0.45">
      <c r="A1836" t="s">
        <v>16</v>
      </c>
      <c r="B1836" s="14">
        <f>_xlfn.XLOOKUP(Table1[[#This Row], [TEAM]],Sheet1!$A$12:$A$17,Sheet1!$F$12:$F$17)</f>
        <v>2</v>
      </c>
      <c r="C1836" s="14">
        <f>_xlfn.XLOOKUP(Table1[[#This Row], [TEAM]],Sheet1!$A$12:$A$17,Sheet1!$G$12:$G$17)</f>
        <v>6082800</v>
      </c>
      <c r="D1836" t="s">
        <v>11</v>
      </c>
      <c r="E1836" s="4">
        <f>_xlfn.XLOOKUP(Table1[[#This Row], [ROOM]],Sheet1!$A$47:$A$66,Sheet1!$B$47:$B$66)</f>
        <v>124</v>
      </c>
      <c r="F1836" t="s">
        <v>62</v>
      </c>
      <c r="G183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6" s="13" t="s">
        <v>63</v>
      </c>
      <c r="I1836" s="4">
        <f>_xlfn.XLOOKUP(Table1[[#This Row], [WEAPON]],Sheet1!$A$27:$A$29,Sheet1!$B$27:$B$29)*Table1[[#This Row], [NUM OF MEM]]*(1+_xlfn.XLOOKUP(Table1[[#This Row], [WEAPON]],Sheet1!$A$27:$A$29,Sheet1!$C$27:$C$29))</f>
        <v>46000</v>
      </c>
      <c r="J1836" t="s">
        <v>64</v>
      </c>
      <c r="K1836" s="9">
        <f>Table1[[#This Row], [NUM OF MEM]]*Table1[[#This Row], [TOTAL TIME TAKEN]]*_xlfn.XLOOKUP(Table1[[#This Row], [EXIT]],Sheet1!$A$70:$A$71,Sheet1!$B$70:$B$71)*(1+_xlfn.XLOOKUP(Table1[[#This Row], [EXIT]],Sheet1!$A$70:$A$71,Sheet1!$C$70:$C$71))</f>
        <v>1789678.7999999996</v>
      </c>
      <c r="L1836" s="13" t="s">
        <v>65</v>
      </c>
      <c r="M1836" s="4">
        <f>IF(Table1[[#This Row], [EQUIPMENT]]="YES",Sheet1!$C$44*(1+Sheet1!$D$44),0)</f>
        <v>307500</v>
      </c>
      <c r="N1836" s="4">
        <f>_xlfn.XLOOKUP(Table1[[#This Row], [ROOM]],Sheet1!$A$47:$A$66,Sheet1!$F$47:$F$66)</f>
        <v>17450000</v>
      </c>
      <c r="O1836" s="9">
        <f>_xlfn.XLOOKUP(_xlfn.CONCAT(Table1[[#This Row], [TEAM]],Table1[[#This Row], [ROOM]]),'ROOM TIME'!$H$2:$H$121,'ROOM TIME'!$J$2:$J$121)</f>
        <v>61.621249999999989</v>
      </c>
      <c r="P1836" s="9">
        <f>(INDEX(Sheet1!$X$48:$Z$67,MATCH(Table1[[#This Row], [ROOM]],Sheet1!$P$48:$P$67,0),MATCH(Table1[[#This Row], [WEAPON]],Sheet1!$X$47:$Z$47,0)))/Table1[[#This Row], [NUM OF MEM]]</f>
        <v>7.4250000000000007</v>
      </c>
      <c r="Q1836" s="9">
        <f>Table1[[#This Row], [ROOM TIME]]+Table1[[#This Row], [GUARD TIME]]</f>
        <v>69.046249999999986</v>
      </c>
      <c r="R1836" s="4">
        <f>Sheet1!$K$3*_xlfn.XLOOKUP(Table1[[#This Row], [DISGUISE]],Sheet1!$A$21:$A$23,Sheet1!$D$21:$D$23)</f>
        <v>66</v>
      </c>
      <c r="S1836" s="9">
        <f>Table1[[#This Row], [TOTAL TIME]]-Table1[[#This Row], [TOTAL TIME TAKEN]]</f>
        <v>-3.0462499999999864</v>
      </c>
      <c r="T1836" t="str">
        <f>IF(Table1[[#This Row], [TIME DIFFERENCE]]&gt;=0,"PASS","FAIL")</f>
        <v>FAIL</v>
      </c>
      <c r="U1836" s="9">
        <f>Table1[[#This Row], [TRC]]+Table1[[#This Row], [DRC]]+Table1[[#This Row], [WRC]]+Table1[[#This Row], [ERC]]+Table1[[#This Row], [EQRC]]</f>
        <v>8236378.7999999998</v>
      </c>
      <c r="V1836" s="9">
        <f>Table1[[#This Row], [TOTAL COST]]+_xlfn.XLOOKUP(Table1[[#This Row], [TEAM]],Sheet1!$A$12:$A$17,Sheet1!$I$12:$I$17)</f>
        <v>8540518.8000000007</v>
      </c>
      <c r="W1836" s="9">
        <f>Table1[[#This Row], [LOOT]]-Table1[[#This Row], [TOTAL COST]]</f>
        <v>9213621.1999999993</v>
      </c>
      <c r="X1836" s="4">
        <f>IF(Table1[[#This Row], [PASS/FAIL]]="FAIL",0,Table1[[#This Row], [PROFIT]])</f>
        <v>0</v>
      </c>
    </row>
    <row r="1837" spans="1:24" ht="19.5" customHeight="1" x14ac:dyDescent="0.45">
      <c r="A1837" t="s">
        <v>16</v>
      </c>
      <c r="B1837" s="14">
        <f>_xlfn.XLOOKUP(Table1[[#This Row], [TEAM]],Sheet1!$A$12:$A$17,Sheet1!$F$12:$F$17)</f>
        <v>2</v>
      </c>
      <c r="C1837" s="14">
        <f>_xlfn.XLOOKUP(Table1[[#This Row], [TEAM]],Sheet1!$A$12:$A$17,Sheet1!$G$12:$G$17)</f>
        <v>6082800</v>
      </c>
      <c r="D1837" t="s">
        <v>11</v>
      </c>
      <c r="E1837" s="4">
        <f>_xlfn.XLOOKUP(Table1[[#This Row], [ROOM]],Sheet1!$A$47:$A$66,Sheet1!$B$47:$B$66)</f>
        <v>124</v>
      </c>
      <c r="F1837" t="s">
        <v>62</v>
      </c>
      <c r="G183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7" s="13" t="s">
        <v>66</v>
      </c>
      <c r="I1837" s="4">
        <f>_xlfn.XLOOKUP(Table1[[#This Row], [WEAPON]],Sheet1!$A$27:$A$29,Sheet1!$B$27:$B$29)*Table1[[#This Row], [NUM OF MEM]]*(1+_xlfn.XLOOKUP(Table1[[#This Row], [WEAPON]],Sheet1!$A$27:$A$29,Sheet1!$C$27:$C$29))</f>
        <v>72000</v>
      </c>
      <c r="J1837" t="s">
        <v>64</v>
      </c>
      <c r="K1837" s="9">
        <f>Table1[[#This Row], [NUM OF MEM]]*Table1[[#This Row], [TOTAL TIME TAKEN]]*_xlfn.XLOOKUP(Table1[[#This Row], [EXIT]],Sheet1!$A$70:$A$71,Sheet1!$B$70:$B$71)*(1+_xlfn.XLOOKUP(Table1[[#This Row], [EXIT]],Sheet1!$A$70:$A$71,Sheet1!$C$70:$C$71))</f>
        <v>1775422.7999999996</v>
      </c>
      <c r="L1837" s="13" t="s">
        <v>65</v>
      </c>
      <c r="M1837" s="4">
        <f>IF(Table1[[#This Row], [EQUIPMENT]]="YES",Sheet1!$C$44*(1+Sheet1!$D$44),0)</f>
        <v>307500</v>
      </c>
      <c r="N1837" s="4">
        <f>_xlfn.XLOOKUP(Table1[[#This Row], [ROOM]],Sheet1!$A$47:$A$66,Sheet1!$F$47:$F$66)</f>
        <v>17450000</v>
      </c>
      <c r="O1837" s="9">
        <f>_xlfn.XLOOKUP(_xlfn.CONCAT(Table1[[#This Row], [TEAM]],Table1[[#This Row], [ROOM]]),'ROOM TIME'!$H$2:$H$121,'ROOM TIME'!$J$2:$J$121)</f>
        <v>61.621249999999989</v>
      </c>
      <c r="P1837" s="9">
        <f>(INDEX(Sheet1!$X$48:$Z$67,MATCH(Table1[[#This Row], [ROOM]],Sheet1!$P$48:$P$67,0),MATCH(Table1[[#This Row], [WEAPON]],Sheet1!$X$47:$Z$47,0)))/Table1[[#This Row], [NUM OF MEM]]</f>
        <v>6.875</v>
      </c>
      <c r="Q1837" s="9">
        <f>Table1[[#This Row], [ROOM TIME]]+Table1[[#This Row], [GUARD TIME]]</f>
        <v>68.496249999999989</v>
      </c>
      <c r="R1837" s="4">
        <f>Sheet1!$K$3*_xlfn.XLOOKUP(Table1[[#This Row], [DISGUISE]],Sheet1!$A$21:$A$23,Sheet1!$D$21:$D$23)</f>
        <v>66</v>
      </c>
      <c r="S1837" s="9">
        <f>Table1[[#This Row], [TOTAL TIME]]-Table1[[#This Row], [TOTAL TIME TAKEN]]</f>
        <v>-2.4962499999999892</v>
      </c>
      <c r="T1837" t="str">
        <f>IF(Table1[[#This Row], [TIME DIFFERENCE]]&gt;=0,"PASS","FAIL")</f>
        <v>FAIL</v>
      </c>
      <c r="U1837" s="9">
        <f>Table1[[#This Row], [TRC]]+Table1[[#This Row], [DRC]]+Table1[[#This Row], [WRC]]+Table1[[#This Row], [ERC]]+Table1[[#This Row], [EQRC]]</f>
        <v>8248122.7999999998</v>
      </c>
      <c r="V1837" s="9">
        <f>Table1[[#This Row], [TOTAL COST]]+_xlfn.XLOOKUP(Table1[[#This Row], [TEAM]],Sheet1!$A$12:$A$17,Sheet1!$I$12:$I$17)</f>
        <v>8552262.8000000007</v>
      </c>
      <c r="W1837" s="9">
        <f>Table1[[#This Row], [LOOT]]-Table1[[#This Row], [TOTAL COST]]</f>
        <v>9201877.1999999993</v>
      </c>
      <c r="X1837" s="4">
        <f>IF(Table1[[#This Row], [PASS/FAIL]]="FAIL",0,Table1[[#This Row], [PROFIT]])</f>
        <v>0</v>
      </c>
    </row>
    <row r="1838" spans="1:24" ht="19.5" customHeight="1" x14ac:dyDescent="0.45">
      <c r="A1838" t="s">
        <v>14</v>
      </c>
      <c r="B1838" s="14">
        <f>_xlfn.XLOOKUP(Table1[[#This Row], [TEAM]],Sheet1!$A$12:$A$17,Sheet1!$F$12:$F$17)</f>
        <v>2</v>
      </c>
      <c r="C1838" s="14">
        <f>_xlfn.XLOOKUP(Table1[[#This Row], [TEAM]],Sheet1!$A$12:$A$17,Sheet1!$G$12:$G$17)</f>
        <v>5949600</v>
      </c>
      <c r="D1838" t="s">
        <v>17</v>
      </c>
      <c r="E1838" s="4">
        <f>_xlfn.XLOOKUP(Table1[[#This Row], [ROOM]],Sheet1!$A$47:$A$66,Sheet1!$B$47:$B$66)</f>
        <v>125</v>
      </c>
      <c r="F1838" t="s">
        <v>62</v>
      </c>
      <c r="G183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8" s="13" t="s">
        <v>59</v>
      </c>
      <c r="I1838" s="4">
        <f>_xlfn.XLOOKUP(Table1[[#This Row], [WEAPON]],Sheet1!$A$27:$A$29,Sheet1!$B$27:$B$29)*Table1[[#This Row], [NUM OF MEM]]*(1+_xlfn.XLOOKUP(Table1[[#This Row], [WEAPON]],Sheet1!$A$27:$A$29,Sheet1!$C$27:$C$29))</f>
        <v>91000</v>
      </c>
      <c r="J1838" t="s">
        <v>60</v>
      </c>
      <c r="K1838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1704220.1624999996</v>
      </c>
      <c r="L1838" s="13" t="s">
        <v>61</v>
      </c>
      <c r="M1838" s="4">
        <f>IF(Table1[[#This Row], [EQUIPMENT]]="YES",Sheet1!$C$44*(1+Sheet1!$D$44),0)</f>
        <v>0</v>
      </c>
      <c r="N1838" s="4">
        <f>_xlfn.XLOOKUP(Table1[[#This Row], [ROOM]],Sheet1!$A$47:$A$66,Sheet1!$F$47:$F$66)</f>
        <v>17350000</v>
      </c>
      <c r="O1838" s="9">
        <f>_xlfn.XLOOKUP(_xlfn.CONCAT(Table1[[#This Row], [TEAM]],Table1[[#This Row], [ROOM]]),'ROOM TIME'!$H$2:$H$121,'ROOM TIME'!$J$2:$J$121)</f>
        <v>60.652499999999989</v>
      </c>
      <c r="P1838" s="9">
        <f>(INDEX(Sheet1!$X$48:$Z$67,MATCH(Table1[[#This Row], [ROOM]],Sheet1!$P$48:$P$67,0),MATCH(Table1[[#This Row], [WEAPON]],Sheet1!$X$47:$Z$47,0)))/Table1[[#This Row], [NUM OF MEM]]</f>
        <v>5.75</v>
      </c>
      <c r="Q1838" s="9">
        <f>Table1[[#This Row], [ROOM TIME]]+Table1[[#This Row], [GUARD TIME]]</f>
        <v>66.402499999999989</v>
      </c>
      <c r="R1838" s="4">
        <f>Sheet1!$K$3*_xlfn.XLOOKUP(Table1[[#This Row], [DISGUISE]],Sheet1!$A$21:$A$23,Sheet1!$D$21:$D$23)</f>
        <v>66</v>
      </c>
      <c r="S1838" s="9">
        <f>Table1[[#This Row], [TOTAL TIME]]-Table1[[#This Row], [TOTAL TIME TAKEN]]</f>
        <v>-0.4024999999999892</v>
      </c>
      <c r="T1838" t="str">
        <f>IF(Table1[[#This Row], [TIME DIFFERENCE]]&gt;=0,"PASS","FAIL")</f>
        <v>FAIL</v>
      </c>
      <c r="U1838" s="9">
        <f>Table1[[#This Row], [TRC]]+Table1[[#This Row], [DRC]]+Table1[[#This Row], [WRC]]+Table1[[#This Row], [ERC]]+Table1[[#This Row], [EQRC]]</f>
        <v>7755220.1624999996</v>
      </c>
      <c r="V1838" s="9">
        <f>Table1[[#This Row], [TOTAL COST]]+_xlfn.XLOOKUP(Table1[[#This Row], [TEAM]],Sheet1!$A$12:$A$17,Sheet1!$I$12:$I$17)</f>
        <v>8052700.1624999996</v>
      </c>
      <c r="W1838" s="9">
        <f>Table1[[#This Row], [LOOT]]-Table1[[#This Row], [TOTAL COST]]</f>
        <v>9594779.8375000004</v>
      </c>
      <c r="X1838" s="4">
        <f>IF(Table1[[#This Row], [PASS/FAIL]]="FAIL",0,Table1[[#This Row], [PROFIT]])</f>
        <v>0</v>
      </c>
    </row>
    <row r="1839" spans="1:24" ht="19.5" customHeight="1" x14ac:dyDescent="0.45">
      <c r="A1839" t="s">
        <v>14</v>
      </c>
      <c r="B1839" s="14">
        <f>_xlfn.XLOOKUP(Table1[[#This Row], [TEAM]],Sheet1!$A$12:$A$17,Sheet1!$F$12:$F$17)</f>
        <v>2</v>
      </c>
      <c r="C1839" s="14">
        <f>_xlfn.XLOOKUP(Table1[[#This Row], [TEAM]],Sheet1!$A$12:$A$17,Sheet1!$G$12:$G$17)</f>
        <v>5949600</v>
      </c>
      <c r="D1839" t="s">
        <v>17</v>
      </c>
      <c r="E1839" s="4">
        <f>_xlfn.XLOOKUP(Table1[[#This Row], [ROOM]],Sheet1!$A$47:$A$66,Sheet1!$B$47:$B$66)</f>
        <v>125</v>
      </c>
      <c r="F1839" t="s">
        <v>62</v>
      </c>
      <c r="G183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39" s="13" t="s">
        <v>59</v>
      </c>
      <c r="I1839" s="4">
        <f>_xlfn.XLOOKUP(Table1[[#This Row], [WEAPON]],Sheet1!$A$27:$A$29,Sheet1!$B$27:$B$29)*Table1[[#This Row], [NUM OF MEM]]*(1+_xlfn.XLOOKUP(Table1[[#This Row], [WEAPON]],Sheet1!$A$27:$A$29,Sheet1!$C$27:$C$29))</f>
        <v>91000</v>
      </c>
      <c r="J1839" t="s">
        <v>64</v>
      </c>
      <c r="K1839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1721152.7999999996</v>
      </c>
      <c r="L1839" s="13" t="s">
        <v>61</v>
      </c>
      <c r="M1839" s="4">
        <f>IF(Table1[[#This Row], [EQUIPMENT]]="YES",Sheet1!$C$44*(1+Sheet1!$D$44),0)</f>
        <v>0</v>
      </c>
      <c r="N1839" s="4">
        <f>_xlfn.XLOOKUP(Table1[[#This Row], [ROOM]],Sheet1!$A$47:$A$66,Sheet1!$F$47:$F$66)</f>
        <v>17350000</v>
      </c>
      <c r="O1839" s="9">
        <f>_xlfn.XLOOKUP(_xlfn.CONCAT(Table1[[#This Row], [TEAM]],Table1[[#This Row], [ROOM]]),'ROOM TIME'!$H$2:$H$121,'ROOM TIME'!$J$2:$J$121)</f>
        <v>60.652499999999989</v>
      </c>
      <c r="P1839" s="9">
        <f>(INDEX(Sheet1!$X$48:$Z$67,MATCH(Table1[[#This Row], [ROOM]],Sheet1!$P$48:$P$67,0),MATCH(Table1[[#This Row], [WEAPON]],Sheet1!$X$47:$Z$47,0)))/Table1[[#This Row], [NUM OF MEM]]</f>
        <v>5.75</v>
      </c>
      <c r="Q1839" s="9">
        <f>Table1[[#This Row], [ROOM TIME]]+Table1[[#This Row], [GUARD TIME]]</f>
        <v>66.402499999999989</v>
      </c>
      <c r="R1839" s="4">
        <f>Sheet1!$K$3*_xlfn.XLOOKUP(Table1[[#This Row], [DISGUISE]],Sheet1!$A$21:$A$23,Sheet1!$D$21:$D$23)</f>
        <v>66</v>
      </c>
      <c r="S1839" s="9">
        <f>Table1[[#This Row], [TOTAL TIME]]-Table1[[#This Row], [TOTAL TIME TAKEN]]</f>
        <v>-0.4024999999999892</v>
      </c>
      <c r="T1839" t="str">
        <f>IF(Table1[[#This Row], [TIME DIFFERENCE]]&gt;=0,"PASS","FAIL")</f>
        <v>FAIL</v>
      </c>
      <c r="U1839" s="9">
        <f>Table1[[#This Row], [TRC]]+Table1[[#This Row], [DRC]]+Table1[[#This Row], [WRC]]+Table1[[#This Row], [ERC]]+Table1[[#This Row], [EQRC]]</f>
        <v>7772152.7999999998</v>
      </c>
      <c r="V1839" s="9">
        <f>Table1[[#This Row], [TOTAL COST]]+_xlfn.XLOOKUP(Table1[[#This Row], [TEAM]],Sheet1!$A$12:$A$17,Sheet1!$I$12:$I$17)</f>
        <v>8069632.7999999998</v>
      </c>
      <c r="W1839" s="9">
        <f>Table1[[#This Row], [LOOT]]-Table1[[#This Row], [TOTAL COST]]</f>
        <v>9577847.1999999993</v>
      </c>
      <c r="X1839" s="4">
        <f>IF(Table1[[#This Row], [PASS/FAIL]]="FAIL",0,Table1[[#This Row], [PROFIT]])</f>
        <v>0</v>
      </c>
    </row>
    <row r="1840" spans="1:24" ht="19.5" customHeight="1" x14ac:dyDescent="0.45">
      <c r="A1840" t="s">
        <v>14</v>
      </c>
      <c r="B1840" s="14">
        <f>_xlfn.XLOOKUP(Table1[[#This Row], [TEAM]],Sheet1!$A$12:$A$17,Sheet1!$F$12:$F$17)</f>
        <v>2</v>
      </c>
      <c r="C1840" s="14">
        <f>_xlfn.XLOOKUP(Table1[[#This Row], [TEAM]],Sheet1!$A$12:$A$17,Sheet1!$G$12:$G$17)</f>
        <v>5949600</v>
      </c>
      <c r="D1840" t="s">
        <v>17</v>
      </c>
      <c r="E1840" s="4">
        <f>_xlfn.XLOOKUP(Table1[[#This Row], [ROOM]],Sheet1!$A$47:$A$66,Sheet1!$B$47:$B$66)</f>
        <v>125</v>
      </c>
      <c r="F1840" t="s">
        <v>62</v>
      </c>
      <c r="G184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0" s="13" t="s">
        <v>59</v>
      </c>
      <c r="I1840" s="4">
        <f>_xlfn.XLOOKUP(Table1[[#This Row], [WEAPON]],Sheet1!$A$27:$A$29,Sheet1!$B$27:$B$29)*Table1[[#This Row], [NUM OF MEM]]*(1+_xlfn.XLOOKUP(Table1[[#This Row], [WEAPON]],Sheet1!$A$27:$A$29,Sheet1!$C$27:$C$29))</f>
        <v>91000</v>
      </c>
      <c r="J1840" t="s">
        <v>60</v>
      </c>
      <c r="K1840" s="9">
        <f>Table1[[#This Row], [NUM OF MEM]]*Table1[[#This Row], [TOTAL TIME TAKEN]]*_xlfn.XLOOKUP(Table1[[#This Row], [EXIT]],Sheet1!$A$70:$A$71,Sheet1!$B$70:$B$71)*(1+_xlfn.XLOOKUP(Table1[[#This Row], [EXIT]],Sheet1!$A$70:$A$71,Sheet1!$C$70:$C$71))</f>
        <v>1704220.1624999996</v>
      </c>
      <c r="L1840" s="13" t="s">
        <v>65</v>
      </c>
      <c r="M1840" s="4">
        <f>IF(Table1[[#This Row], [EQUIPMENT]]="YES",Sheet1!$C$44*(1+Sheet1!$D$44),0)</f>
        <v>307500</v>
      </c>
      <c r="N1840" s="4">
        <f>_xlfn.XLOOKUP(Table1[[#This Row], [ROOM]],Sheet1!$A$47:$A$66,Sheet1!$F$47:$F$66)</f>
        <v>17350000</v>
      </c>
      <c r="O1840" s="9">
        <f>_xlfn.XLOOKUP(_xlfn.CONCAT(Table1[[#This Row], [TEAM]],Table1[[#This Row], [ROOM]]),'ROOM TIME'!$H$2:$H$121,'ROOM TIME'!$J$2:$J$121)</f>
        <v>60.652499999999989</v>
      </c>
      <c r="P1840" s="9">
        <f>(INDEX(Sheet1!$X$48:$Z$67,MATCH(Table1[[#This Row], [ROOM]],Sheet1!$P$48:$P$67,0),MATCH(Table1[[#This Row], [WEAPON]],Sheet1!$X$47:$Z$47,0)))/Table1[[#This Row], [NUM OF MEM]]</f>
        <v>5.75</v>
      </c>
      <c r="Q1840" s="9">
        <f>Table1[[#This Row], [ROOM TIME]]+Table1[[#This Row], [GUARD TIME]]</f>
        <v>66.402499999999989</v>
      </c>
      <c r="R1840" s="4">
        <f>Sheet1!$K$3*_xlfn.XLOOKUP(Table1[[#This Row], [DISGUISE]],Sheet1!$A$21:$A$23,Sheet1!$D$21:$D$23)</f>
        <v>66</v>
      </c>
      <c r="S1840" s="9">
        <f>Table1[[#This Row], [TOTAL TIME]]-Table1[[#This Row], [TOTAL TIME TAKEN]]</f>
        <v>-0.4024999999999892</v>
      </c>
      <c r="T1840" t="str">
        <f>IF(Table1[[#This Row], [TIME DIFFERENCE]]&gt;=0,"PASS","FAIL")</f>
        <v>FAIL</v>
      </c>
      <c r="U1840" s="9">
        <f>Table1[[#This Row], [TRC]]+Table1[[#This Row], [DRC]]+Table1[[#This Row], [WRC]]+Table1[[#This Row], [ERC]]+Table1[[#This Row], [EQRC]]</f>
        <v>8062720.1624999996</v>
      </c>
      <c r="V1840" s="9">
        <f>Table1[[#This Row], [TOTAL COST]]+_xlfn.XLOOKUP(Table1[[#This Row], [TEAM]],Sheet1!$A$12:$A$17,Sheet1!$I$12:$I$17)</f>
        <v>8360200.1624999996</v>
      </c>
      <c r="W1840" s="9">
        <f>Table1[[#This Row], [LOOT]]-Table1[[#This Row], [TOTAL COST]]</f>
        <v>9287279.8375000004</v>
      </c>
      <c r="X1840" s="4">
        <f>IF(Table1[[#This Row], [PASS/FAIL]]="FAIL",0,Table1[[#This Row], [PROFIT]])</f>
        <v>0</v>
      </c>
    </row>
    <row r="1841" spans="1:24" ht="19.5" customHeight="1" x14ac:dyDescent="0.45">
      <c r="A1841" t="s">
        <v>14</v>
      </c>
      <c r="B1841" s="14">
        <f>_xlfn.XLOOKUP(Table1[[#This Row], [TEAM]],Sheet1!$A$12:$A$17,Sheet1!$F$12:$F$17)</f>
        <v>2</v>
      </c>
      <c r="C1841" s="14">
        <f>_xlfn.XLOOKUP(Table1[[#This Row], [TEAM]],Sheet1!$A$12:$A$17,Sheet1!$G$12:$G$17)</f>
        <v>5949600</v>
      </c>
      <c r="D1841" t="s">
        <v>17</v>
      </c>
      <c r="E1841" s="4">
        <f>_xlfn.XLOOKUP(Table1[[#This Row], [ROOM]],Sheet1!$A$47:$A$66,Sheet1!$B$47:$B$66)</f>
        <v>125</v>
      </c>
      <c r="F1841" t="s">
        <v>62</v>
      </c>
      <c r="G184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1" s="13" t="s">
        <v>63</v>
      </c>
      <c r="I1841" s="4">
        <f>_xlfn.XLOOKUP(Table1[[#This Row], [WEAPON]],Sheet1!$A$27:$A$29,Sheet1!$B$27:$B$29)*Table1[[#This Row], [NUM OF MEM]]*(1+_xlfn.XLOOKUP(Table1[[#This Row], [WEAPON]],Sheet1!$A$27:$A$29,Sheet1!$C$27:$C$29))</f>
        <v>46000</v>
      </c>
      <c r="J1841" t="s">
        <v>60</v>
      </c>
      <c r="K1841" s="9">
        <f>Table1[[#This Row], [NUM OF MEM]]*Table1[[#This Row], [TOTAL TIME TAKEN]]*_xlfn.XLOOKUP(Table1[[#This Row], [EXIT]],Sheet1!$A$70:$A$71,Sheet1!$B$70:$B$71)*(1+_xlfn.XLOOKUP(Table1[[#This Row], [EXIT]],Sheet1!$A$70:$A$71,Sheet1!$C$70:$C$71))</f>
        <v>1729885.1624999996</v>
      </c>
      <c r="L1841" s="13" t="s">
        <v>61</v>
      </c>
      <c r="M1841" s="4">
        <f>IF(Table1[[#This Row], [EQUIPMENT]]="YES",Sheet1!$C$44*(1+Sheet1!$D$44),0)</f>
        <v>0</v>
      </c>
      <c r="N1841" s="4">
        <f>_xlfn.XLOOKUP(Table1[[#This Row], [ROOM]],Sheet1!$A$47:$A$66,Sheet1!$F$47:$F$66)</f>
        <v>17350000</v>
      </c>
      <c r="O1841" s="9">
        <f>_xlfn.XLOOKUP(_xlfn.CONCAT(Table1[[#This Row], [TEAM]],Table1[[#This Row], [ROOM]]),'ROOM TIME'!$H$2:$H$121,'ROOM TIME'!$J$2:$J$121)</f>
        <v>60.652499999999989</v>
      </c>
      <c r="P1841" s="9">
        <f>(INDEX(Sheet1!$X$48:$Z$67,MATCH(Table1[[#This Row], [ROOM]],Sheet1!$P$48:$P$67,0),MATCH(Table1[[#This Row], [WEAPON]],Sheet1!$X$47:$Z$47,0)))/Table1[[#This Row], [NUM OF MEM]]</f>
        <v>6.75</v>
      </c>
      <c r="Q1841" s="9">
        <f>Table1[[#This Row], [ROOM TIME]]+Table1[[#This Row], [GUARD TIME]]</f>
        <v>67.402499999999989</v>
      </c>
      <c r="R1841" s="4">
        <f>Sheet1!$K$3*_xlfn.XLOOKUP(Table1[[#This Row], [DISGUISE]],Sheet1!$A$21:$A$23,Sheet1!$D$21:$D$23)</f>
        <v>66</v>
      </c>
      <c r="S1841" s="9">
        <f>Table1[[#This Row], [TOTAL TIME]]-Table1[[#This Row], [TOTAL TIME TAKEN]]</f>
        <v>-1.4024999999999892</v>
      </c>
      <c r="T1841" t="str">
        <f>IF(Table1[[#This Row], [TIME DIFFERENCE]]&gt;=0,"PASS","FAIL")</f>
        <v>FAIL</v>
      </c>
      <c r="U1841" s="9">
        <f>Table1[[#This Row], [TRC]]+Table1[[#This Row], [DRC]]+Table1[[#This Row], [WRC]]+Table1[[#This Row], [ERC]]+Table1[[#This Row], [EQRC]]</f>
        <v>7735885.1624999996</v>
      </c>
      <c r="V1841" s="9">
        <f>Table1[[#This Row], [TOTAL COST]]+_xlfn.XLOOKUP(Table1[[#This Row], [TEAM]],Sheet1!$A$12:$A$17,Sheet1!$I$12:$I$17)</f>
        <v>8033365.1624999996</v>
      </c>
      <c r="W1841" s="9">
        <f>Table1[[#This Row], [LOOT]]-Table1[[#This Row], [TOTAL COST]]</f>
        <v>9614114.8375000004</v>
      </c>
      <c r="X1841" s="4">
        <f>IF(Table1[[#This Row], [PASS/FAIL]]="FAIL",0,Table1[[#This Row], [PROFIT]])</f>
        <v>0</v>
      </c>
    </row>
    <row r="1842" spans="1:24" ht="19.5" customHeight="1" x14ac:dyDescent="0.45">
      <c r="A1842" t="s">
        <v>14</v>
      </c>
      <c r="B1842" s="14">
        <f>_xlfn.XLOOKUP(Table1[[#This Row], [TEAM]],Sheet1!$A$12:$A$17,Sheet1!$F$12:$F$17)</f>
        <v>2</v>
      </c>
      <c r="C1842" s="14">
        <f>_xlfn.XLOOKUP(Table1[[#This Row], [TEAM]],Sheet1!$A$12:$A$17,Sheet1!$G$12:$G$17)</f>
        <v>5949600</v>
      </c>
      <c r="D1842" t="s">
        <v>17</v>
      </c>
      <c r="E1842" s="4">
        <f>_xlfn.XLOOKUP(Table1[[#This Row], [ROOM]],Sheet1!$A$47:$A$66,Sheet1!$B$47:$B$66)</f>
        <v>125</v>
      </c>
      <c r="F1842" t="s">
        <v>62</v>
      </c>
      <c r="G184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2" s="13" t="s">
        <v>59</v>
      </c>
      <c r="I1842" s="4">
        <f>_xlfn.XLOOKUP(Table1[[#This Row], [WEAPON]],Sheet1!$A$27:$A$29,Sheet1!$B$27:$B$29)*Table1[[#This Row], [NUM OF MEM]]*(1+_xlfn.XLOOKUP(Table1[[#This Row], [WEAPON]],Sheet1!$A$27:$A$29,Sheet1!$C$27:$C$29))</f>
        <v>91000</v>
      </c>
      <c r="J1842" t="s">
        <v>64</v>
      </c>
      <c r="K1842" s="9">
        <f>Table1[[#This Row], [NUM OF MEM]]*Table1[[#This Row], [TOTAL TIME TAKEN]]*_xlfn.XLOOKUP(Table1[[#This Row], [EXIT]],Sheet1!$A$70:$A$71,Sheet1!$B$70:$B$71)*(1+_xlfn.XLOOKUP(Table1[[#This Row], [EXIT]],Sheet1!$A$70:$A$71,Sheet1!$C$70:$C$71))</f>
        <v>1721152.7999999996</v>
      </c>
      <c r="L1842" s="13" t="s">
        <v>65</v>
      </c>
      <c r="M1842" s="4">
        <f>IF(Table1[[#This Row], [EQUIPMENT]]="YES",Sheet1!$C$44*(1+Sheet1!$D$44),0)</f>
        <v>307500</v>
      </c>
      <c r="N1842" s="4">
        <f>_xlfn.XLOOKUP(Table1[[#This Row], [ROOM]],Sheet1!$A$47:$A$66,Sheet1!$F$47:$F$66)</f>
        <v>17350000</v>
      </c>
      <c r="O1842" s="9">
        <f>_xlfn.XLOOKUP(_xlfn.CONCAT(Table1[[#This Row], [TEAM]],Table1[[#This Row], [ROOM]]),'ROOM TIME'!$H$2:$H$121,'ROOM TIME'!$J$2:$J$121)</f>
        <v>60.652499999999989</v>
      </c>
      <c r="P1842" s="9">
        <f>(INDEX(Sheet1!$X$48:$Z$67,MATCH(Table1[[#This Row], [ROOM]],Sheet1!$P$48:$P$67,0),MATCH(Table1[[#This Row], [WEAPON]],Sheet1!$X$47:$Z$47,0)))/Table1[[#This Row], [NUM OF MEM]]</f>
        <v>5.75</v>
      </c>
      <c r="Q1842" s="9">
        <f>Table1[[#This Row], [ROOM TIME]]+Table1[[#This Row], [GUARD TIME]]</f>
        <v>66.402499999999989</v>
      </c>
      <c r="R1842" s="4">
        <f>Sheet1!$K$3*_xlfn.XLOOKUP(Table1[[#This Row], [DISGUISE]],Sheet1!$A$21:$A$23,Sheet1!$D$21:$D$23)</f>
        <v>66</v>
      </c>
      <c r="S1842" s="9">
        <f>Table1[[#This Row], [TOTAL TIME]]-Table1[[#This Row], [TOTAL TIME TAKEN]]</f>
        <v>-0.4024999999999892</v>
      </c>
      <c r="T1842" t="str">
        <f>IF(Table1[[#This Row], [TIME DIFFERENCE]]&gt;=0,"PASS","FAIL")</f>
        <v>FAIL</v>
      </c>
      <c r="U1842" s="9">
        <f>Table1[[#This Row], [TRC]]+Table1[[#This Row], [DRC]]+Table1[[#This Row], [WRC]]+Table1[[#This Row], [ERC]]+Table1[[#This Row], [EQRC]]</f>
        <v>8079652.7999999998</v>
      </c>
      <c r="V1842" s="9">
        <f>Table1[[#This Row], [TOTAL COST]]+_xlfn.XLOOKUP(Table1[[#This Row], [TEAM]],Sheet1!$A$12:$A$17,Sheet1!$I$12:$I$17)</f>
        <v>8377132.7999999998</v>
      </c>
      <c r="W1842" s="9">
        <f>Table1[[#This Row], [LOOT]]-Table1[[#This Row], [TOTAL COST]]</f>
        <v>9270347.1999999993</v>
      </c>
      <c r="X1842" s="4">
        <f>IF(Table1[[#This Row], [PASS/FAIL]]="FAIL",0,Table1[[#This Row], [PROFIT]])</f>
        <v>0</v>
      </c>
    </row>
    <row r="1843" spans="1:24" ht="19.5" customHeight="1" x14ac:dyDescent="0.45">
      <c r="A1843" t="s">
        <v>14</v>
      </c>
      <c r="B1843" s="14">
        <f>_xlfn.XLOOKUP(Table1[[#This Row], [TEAM]],Sheet1!$A$12:$A$17,Sheet1!$F$12:$F$17)</f>
        <v>2</v>
      </c>
      <c r="C1843" s="14">
        <f>_xlfn.XLOOKUP(Table1[[#This Row], [TEAM]],Sheet1!$A$12:$A$17,Sheet1!$G$12:$G$17)</f>
        <v>5949600</v>
      </c>
      <c r="D1843" t="s">
        <v>17</v>
      </c>
      <c r="E1843" s="4">
        <f>_xlfn.XLOOKUP(Table1[[#This Row], [ROOM]],Sheet1!$A$47:$A$66,Sheet1!$B$47:$B$66)</f>
        <v>125</v>
      </c>
      <c r="F1843" t="s">
        <v>62</v>
      </c>
      <c r="G184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3" s="13" t="s">
        <v>63</v>
      </c>
      <c r="I1843" s="4">
        <f>_xlfn.XLOOKUP(Table1[[#This Row], [WEAPON]],Sheet1!$A$27:$A$29,Sheet1!$B$27:$B$29)*Table1[[#This Row], [NUM OF MEM]]*(1+_xlfn.XLOOKUP(Table1[[#This Row], [WEAPON]],Sheet1!$A$27:$A$29,Sheet1!$C$27:$C$29))</f>
        <v>46000</v>
      </c>
      <c r="J1843" t="s">
        <v>64</v>
      </c>
      <c r="K1843" s="9">
        <f>Table1[[#This Row], [NUM OF MEM]]*Table1[[#This Row], [TOTAL TIME TAKEN]]*_xlfn.XLOOKUP(Table1[[#This Row], [EXIT]],Sheet1!$A$70:$A$71,Sheet1!$B$70:$B$71)*(1+_xlfn.XLOOKUP(Table1[[#This Row], [EXIT]],Sheet1!$A$70:$A$71,Sheet1!$C$70:$C$71))</f>
        <v>1747072.7999999996</v>
      </c>
      <c r="L1843" s="13" t="s">
        <v>61</v>
      </c>
      <c r="M1843" s="4">
        <f>IF(Table1[[#This Row], [EQUIPMENT]]="YES",Sheet1!$C$44*(1+Sheet1!$D$44),0)</f>
        <v>0</v>
      </c>
      <c r="N1843" s="4">
        <f>_xlfn.XLOOKUP(Table1[[#This Row], [ROOM]],Sheet1!$A$47:$A$66,Sheet1!$F$47:$F$66)</f>
        <v>17350000</v>
      </c>
      <c r="O1843" s="9">
        <f>_xlfn.XLOOKUP(_xlfn.CONCAT(Table1[[#This Row], [TEAM]],Table1[[#This Row], [ROOM]]),'ROOM TIME'!$H$2:$H$121,'ROOM TIME'!$J$2:$J$121)</f>
        <v>60.652499999999989</v>
      </c>
      <c r="P1843" s="9">
        <f>(INDEX(Sheet1!$X$48:$Z$67,MATCH(Table1[[#This Row], [ROOM]],Sheet1!$P$48:$P$67,0),MATCH(Table1[[#This Row], [WEAPON]],Sheet1!$X$47:$Z$47,0)))/Table1[[#This Row], [NUM OF MEM]]</f>
        <v>6.75</v>
      </c>
      <c r="Q1843" s="9">
        <f>Table1[[#This Row], [ROOM TIME]]+Table1[[#This Row], [GUARD TIME]]</f>
        <v>67.402499999999989</v>
      </c>
      <c r="R1843" s="4">
        <f>Sheet1!$K$3*_xlfn.XLOOKUP(Table1[[#This Row], [DISGUISE]],Sheet1!$A$21:$A$23,Sheet1!$D$21:$D$23)</f>
        <v>66</v>
      </c>
      <c r="S1843" s="9">
        <f>Table1[[#This Row], [TOTAL TIME]]-Table1[[#This Row], [TOTAL TIME TAKEN]]</f>
        <v>-1.4024999999999892</v>
      </c>
      <c r="T1843" t="str">
        <f>IF(Table1[[#This Row], [TIME DIFFERENCE]]&gt;=0,"PASS","FAIL")</f>
        <v>FAIL</v>
      </c>
      <c r="U1843" s="9">
        <f>Table1[[#This Row], [TRC]]+Table1[[#This Row], [DRC]]+Table1[[#This Row], [WRC]]+Table1[[#This Row], [ERC]]+Table1[[#This Row], [EQRC]]</f>
        <v>7753072.7999999998</v>
      </c>
      <c r="V1843" s="9">
        <f>Table1[[#This Row], [TOTAL COST]]+_xlfn.XLOOKUP(Table1[[#This Row], [TEAM]],Sheet1!$A$12:$A$17,Sheet1!$I$12:$I$17)</f>
        <v>8050552.7999999998</v>
      </c>
      <c r="W1843" s="9">
        <f>Table1[[#This Row], [LOOT]]-Table1[[#This Row], [TOTAL COST]]</f>
        <v>9596927.1999999993</v>
      </c>
      <c r="X1843" s="4">
        <f>IF(Table1[[#This Row], [PASS/FAIL]]="FAIL",0,Table1[[#This Row], [PROFIT]])</f>
        <v>0</v>
      </c>
    </row>
    <row r="1844" spans="1:24" ht="19.5" customHeight="1" x14ac:dyDescent="0.45">
      <c r="A1844" t="s">
        <v>14</v>
      </c>
      <c r="B1844" s="14">
        <f>_xlfn.XLOOKUP(Table1[[#This Row], [TEAM]],Sheet1!$A$12:$A$17,Sheet1!$F$12:$F$17)</f>
        <v>2</v>
      </c>
      <c r="C1844" s="14">
        <f>_xlfn.XLOOKUP(Table1[[#This Row], [TEAM]],Sheet1!$A$12:$A$17,Sheet1!$G$12:$G$17)</f>
        <v>5949600</v>
      </c>
      <c r="D1844" t="s">
        <v>17</v>
      </c>
      <c r="E1844" s="4">
        <f>_xlfn.XLOOKUP(Table1[[#This Row], [ROOM]],Sheet1!$A$47:$A$66,Sheet1!$B$47:$B$66)</f>
        <v>125</v>
      </c>
      <c r="F1844" t="s">
        <v>62</v>
      </c>
      <c r="G184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4" s="13" t="s">
        <v>63</v>
      </c>
      <c r="I1844" s="4">
        <f>_xlfn.XLOOKUP(Table1[[#This Row], [WEAPON]],Sheet1!$A$27:$A$29,Sheet1!$B$27:$B$29)*Table1[[#This Row], [NUM OF MEM]]*(1+_xlfn.XLOOKUP(Table1[[#This Row], [WEAPON]],Sheet1!$A$27:$A$29,Sheet1!$C$27:$C$29))</f>
        <v>46000</v>
      </c>
      <c r="J1844" t="s">
        <v>60</v>
      </c>
      <c r="K1844" s="9">
        <f>Table1[[#This Row], [NUM OF MEM]]*Table1[[#This Row], [TOTAL TIME TAKEN]]*_xlfn.XLOOKUP(Table1[[#This Row], [EXIT]],Sheet1!$A$70:$A$71,Sheet1!$B$70:$B$71)*(1+_xlfn.XLOOKUP(Table1[[#This Row], [EXIT]],Sheet1!$A$70:$A$71,Sheet1!$C$70:$C$71))</f>
        <v>1729885.1624999996</v>
      </c>
      <c r="L1844" s="13" t="s">
        <v>65</v>
      </c>
      <c r="M1844" s="4">
        <f>IF(Table1[[#This Row], [EQUIPMENT]]="YES",Sheet1!$C$44*(1+Sheet1!$D$44),0)</f>
        <v>307500</v>
      </c>
      <c r="N1844" s="4">
        <f>_xlfn.XLOOKUP(Table1[[#This Row], [ROOM]],Sheet1!$A$47:$A$66,Sheet1!$F$47:$F$66)</f>
        <v>17350000</v>
      </c>
      <c r="O1844" s="9">
        <f>_xlfn.XLOOKUP(_xlfn.CONCAT(Table1[[#This Row], [TEAM]],Table1[[#This Row], [ROOM]]),'ROOM TIME'!$H$2:$H$121,'ROOM TIME'!$J$2:$J$121)</f>
        <v>60.652499999999989</v>
      </c>
      <c r="P1844" s="9">
        <f>(INDEX(Sheet1!$X$48:$Z$67,MATCH(Table1[[#This Row], [ROOM]],Sheet1!$P$48:$P$67,0),MATCH(Table1[[#This Row], [WEAPON]],Sheet1!$X$47:$Z$47,0)))/Table1[[#This Row], [NUM OF MEM]]</f>
        <v>6.75</v>
      </c>
      <c r="Q1844" s="9">
        <f>Table1[[#This Row], [ROOM TIME]]+Table1[[#This Row], [GUARD TIME]]</f>
        <v>67.402499999999989</v>
      </c>
      <c r="R1844" s="4">
        <f>Sheet1!$K$3*_xlfn.XLOOKUP(Table1[[#This Row], [DISGUISE]],Sheet1!$A$21:$A$23,Sheet1!$D$21:$D$23)</f>
        <v>66</v>
      </c>
      <c r="S1844" s="9">
        <f>Table1[[#This Row], [TOTAL TIME]]-Table1[[#This Row], [TOTAL TIME TAKEN]]</f>
        <v>-1.4024999999999892</v>
      </c>
      <c r="T1844" t="str">
        <f>IF(Table1[[#This Row], [TIME DIFFERENCE]]&gt;=0,"PASS","FAIL")</f>
        <v>FAIL</v>
      </c>
      <c r="U1844" s="9">
        <f>Table1[[#This Row], [TRC]]+Table1[[#This Row], [DRC]]+Table1[[#This Row], [WRC]]+Table1[[#This Row], [ERC]]+Table1[[#This Row], [EQRC]]</f>
        <v>8043385.1624999996</v>
      </c>
      <c r="V1844" s="9">
        <f>Table1[[#This Row], [TOTAL COST]]+_xlfn.XLOOKUP(Table1[[#This Row], [TEAM]],Sheet1!$A$12:$A$17,Sheet1!$I$12:$I$17)</f>
        <v>8340865.1624999996</v>
      </c>
      <c r="W1844" s="9">
        <f>Table1[[#This Row], [LOOT]]-Table1[[#This Row], [TOTAL COST]]</f>
        <v>9306614.8375000004</v>
      </c>
      <c r="X1844" s="4">
        <f>IF(Table1[[#This Row], [PASS/FAIL]]="FAIL",0,Table1[[#This Row], [PROFIT]])</f>
        <v>0</v>
      </c>
    </row>
    <row r="1845" spans="1:24" ht="19.5" customHeight="1" x14ac:dyDescent="0.45">
      <c r="A1845" t="s">
        <v>14</v>
      </c>
      <c r="B1845" s="14">
        <f>_xlfn.XLOOKUP(Table1[[#This Row], [TEAM]],Sheet1!$A$12:$A$17,Sheet1!$F$12:$F$17)</f>
        <v>2</v>
      </c>
      <c r="C1845" s="14">
        <f>_xlfn.XLOOKUP(Table1[[#This Row], [TEAM]],Sheet1!$A$12:$A$17,Sheet1!$G$12:$G$17)</f>
        <v>5949600</v>
      </c>
      <c r="D1845" t="s">
        <v>17</v>
      </c>
      <c r="E1845" s="4">
        <f>_xlfn.XLOOKUP(Table1[[#This Row], [ROOM]],Sheet1!$A$47:$A$66,Sheet1!$B$47:$B$66)</f>
        <v>125</v>
      </c>
      <c r="F1845" t="s">
        <v>62</v>
      </c>
      <c r="G184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5" s="13" t="s">
        <v>63</v>
      </c>
      <c r="I1845" s="4">
        <f>_xlfn.XLOOKUP(Table1[[#This Row], [WEAPON]],Sheet1!$A$27:$A$29,Sheet1!$B$27:$B$29)*Table1[[#This Row], [NUM OF MEM]]*(1+_xlfn.XLOOKUP(Table1[[#This Row], [WEAPON]],Sheet1!$A$27:$A$29,Sheet1!$C$27:$C$29))</f>
        <v>46000</v>
      </c>
      <c r="J1845" t="s">
        <v>64</v>
      </c>
      <c r="K1845" s="9">
        <f>Table1[[#This Row], [NUM OF MEM]]*Table1[[#This Row], [TOTAL TIME TAKEN]]*_xlfn.XLOOKUP(Table1[[#This Row], [EXIT]],Sheet1!$A$70:$A$71,Sheet1!$B$70:$B$71)*(1+_xlfn.XLOOKUP(Table1[[#This Row], [EXIT]],Sheet1!$A$70:$A$71,Sheet1!$C$70:$C$71))</f>
        <v>1747072.7999999996</v>
      </c>
      <c r="L1845" s="13" t="s">
        <v>65</v>
      </c>
      <c r="M1845" s="4">
        <f>IF(Table1[[#This Row], [EQUIPMENT]]="YES",Sheet1!$C$44*(1+Sheet1!$D$44),0)</f>
        <v>307500</v>
      </c>
      <c r="N1845" s="4">
        <f>_xlfn.XLOOKUP(Table1[[#This Row], [ROOM]],Sheet1!$A$47:$A$66,Sheet1!$F$47:$F$66)</f>
        <v>17350000</v>
      </c>
      <c r="O1845" s="9">
        <f>_xlfn.XLOOKUP(_xlfn.CONCAT(Table1[[#This Row], [TEAM]],Table1[[#This Row], [ROOM]]),'ROOM TIME'!$H$2:$H$121,'ROOM TIME'!$J$2:$J$121)</f>
        <v>60.652499999999989</v>
      </c>
      <c r="P1845" s="9">
        <f>(INDEX(Sheet1!$X$48:$Z$67,MATCH(Table1[[#This Row], [ROOM]],Sheet1!$P$48:$P$67,0),MATCH(Table1[[#This Row], [WEAPON]],Sheet1!$X$47:$Z$47,0)))/Table1[[#This Row], [NUM OF MEM]]</f>
        <v>6.75</v>
      </c>
      <c r="Q1845" s="9">
        <f>Table1[[#This Row], [ROOM TIME]]+Table1[[#This Row], [GUARD TIME]]</f>
        <v>67.402499999999989</v>
      </c>
      <c r="R1845" s="4">
        <f>Sheet1!$K$3*_xlfn.XLOOKUP(Table1[[#This Row], [DISGUISE]],Sheet1!$A$21:$A$23,Sheet1!$D$21:$D$23)</f>
        <v>66</v>
      </c>
      <c r="S1845" s="9">
        <f>Table1[[#This Row], [TOTAL TIME]]-Table1[[#This Row], [TOTAL TIME TAKEN]]</f>
        <v>-1.4024999999999892</v>
      </c>
      <c r="T1845" t="str">
        <f>IF(Table1[[#This Row], [TIME DIFFERENCE]]&gt;=0,"PASS","FAIL")</f>
        <v>FAIL</v>
      </c>
      <c r="U1845" s="9">
        <f>Table1[[#This Row], [TRC]]+Table1[[#This Row], [DRC]]+Table1[[#This Row], [WRC]]+Table1[[#This Row], [ERC]]+Table1[[#This Row], [EQRC]]</f>
        <v>8060572.7999999998</v>
      </c>
      <c r="V1845" s="9">
        <f>Table1[[#This Row], [TOTAL COST]]+_xlfn.XLOOKUP(Table1[[#This Row], [TEAM]],Sheet1!$A$12:$A$17,Sheet1!$I$12:$I$17)</f>
        <v>8358052.7999999998</v>
      </c>
      <c r="W1845" s="9">
        <f>Table1[[#This Row], [LOOT]]-Table1[[#This Row], [TOTAL COST]]</f>
        <v>9289427.1999999993</v>
      </c>
      <c r="X1845" s="4">
        <f>IF(Table1[[#This Row], [PASS/FAIL]]="FAIL",0,Table1[[#This Row], [PROFIT]])</f>
        <v>0</v>
      </c>
    </row>
    <row r="1846" spans="1:24" ht="19.5" customHeight="1" x14ac:dyDescent="0.45">
      <c r="A1846" t="s">
        <v>14</v>
      </c>
      <c r="B1846" s="14">
        <f>_xlfn.XLOOKUP(Table1[[#This Row], [TEAM]],Sheet1!$A$12:$A$17,Sheet1!$F$12:$F$17)</f>
        <v>2</v>
      </c>
      <c r="C1846" s="14">
        <f>_xlfn.XLOOKUP(Table1[[#This Row], [TEAM]],Sheet1!$A$12:$A$17,Sheet1!$G$12:$G$17)</f>
        <v>5949600</v>
      </c>
      <c r="D1846" t="s">
        <v>17</v>
      </c>
      <c r="E1846" s="4">
        <f>_xlfn.XLOOKUP(Table1[[#This Row], [ROOM]],Sheet1!$A$47:$A$66,Sheet1!$B$47:$B$66)</f>
        <v>125</v>
      </c>
      <c r="F1846" t="s">
        <v>62</v>
      </c>
      <c r="G184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6" s="13" t="s">
        <v>66</v>
      </c>
      <c r="I1846" s="4">
        <f>_xlfn.XLOOKUP(Table1[[#This Row], [WEAPON]],Sheet1!$A$27:$A$29,Sheet1!$B$27:$B$29)*Table1[[#This Row], [NUM OF MEM]]*(1+_xlfn.XLOOKUP(Table1[[#This Row], [WEAPON]],Sheet1!$A$27:$A$29,Sheet1!$C$27:$C$29))</f>
        <v>72000</v>
      </c>
      <c r="J1846" t="s">
        <v>60</v>
      </c>
      <c r="K1846" s="9">
        <f>Table1[[#This Row], [NUM OF MEM]]*Table1[[#This Row], [TOTAL TIME TAKEN]]*_xlfn.XLOOKUP(Table1[[#This Row], [EXIT]],Sheet1!$A$70:$A$71,Sheet1!$B$70:$B$71)*(1+_xlfn.XLOOKUP(Table1[[#This Row], [EXIT]],Sheet1!$A$70:$A$71,Sheet1!$C$70:$C$71))</f>
        <v>1717052.6624999996</v>
      </c>
      <c r="L1846" s="13" t="s">
        <v>61</v>
      </c>
      <c r="M1846" s="4">
        <f>IF(Table1[[#This Row], [EQUIPMENT]]="YES",Sheet1!$C$44*(1+Sheet1!$D$44),0)</f>
        <v>0</v>
      </c>
      <c r="N1846" s="4">
        <f>_xlfn.XLOOKUP(Table1[[#This Row], [ROOM]],Sheet1!$A$47:$A$66,Sheet1!$F$47:$F$66)</f>
        <v>17350000</v>
      </c>
      <c r="O1846" s="9">
        <f>_xlfn.XLOOKUP(_xlfn.CONCAT(Table1[[#This Row], [TEAM]],Table1[[#This Row], [ROOM]]),'ROOM TIME'!$H$2:$H$121,'ROOM TIME'!$J$2:$J$121)</f>
        <v>60.652499999999989</v>
      </c>
      <c r="P1846" s="9">
        <f>(INDEX(Sheet1!$X$48:$Z$67,MATCH(Table1[[#This Row], [ROOM]],Sheet1!$P$48:$P$67,0),MATCH(Table1[[#This Row], [WEAPON]],Sheet1!$X$47:$Z$47,0)))/Table1[[#This Row], [NUM OF MEM]]</f>
        <v>6.25</v>
      </c>
      <c r="Q1846" s="9">
        <f>Table1[[#This Row], [ROOM TIME]]+Table1[[#This Row], [GUARD TIME]]</f>
        <v>66.902499999999989</v>
      </c>
      <c r="R1846" s="4">
        <f>Sheet1!$K$3*_xlfn.XLOOKUP(Table1[[#This Row], [DISGUISE]],Sheet1!$A$21:$A$23,Sheet1!$D$21:$D$23)</f>
        <v>66</v>
      </c>
      <c r="S1846" s="9">
        <f>Table1[[#This Row], [TOTAL TIME]]-Table1[[#This Row], [TOTAL TIME TAKEN]]</f>
        <v>-0.9024999999999892</v>
      </c>
      <c r="T1846" t="str">
        <f>IF(Table1[[#This Row], [TIME DIFFERENCE]]&gt;=0,"PASS","FAIL")</f>
        <v>FAIL</v>
      </c>
      <c r="U1846" s="9">
        <f>Table1[[#This Row], [TRC]]+Table1[[#This Row], [DRC]]+Table1[[#This Row], [WRC]]+Table1[[#This Row], [ERC]]+Table1[[#This Row], [EQRC]]</f>
        <v>7749052.6624999996</v>
      </c>
      <c r="V1846" s="9">
        <f>Table1[[#This Row], [TOTAL COST]]+_xlfn.XLOOKUP(Table1[[#This Row], [TEAM]],Sheet1!$A$12:$A$17,Sheet1!$I$12:$I$17)</f>
        <v>8046532.6624999996</v>
      </c>
      <c r="W1846" s="9">
        <f>Table1[[#This Row], [LOOT]]-Table1[[#This Row], [TOTAL COST]]</f>
        <v>9600947.3375000004</v>
      </c>
      <c r="X1846" s="4">
        <f>IF(Table1[[#This Row], [PASS/FAIL]]="FAIL",0,Table1[[#This Row], [PROFIT]])</f>
        <v>0</v>
      </c>
    </row>
    <row r="1847" spans="1:24" ht="19.5" customHeight="1" x14ac:dyDescent="0.45">
      <c r="A1847" t="s">
        <v>14</v>
      </c>
      <c r="B1847" s="14">
        <f>_xlfn.XLOOKUP(Table1[[#This Row], [TEAM]],Sheet1!$A$12:$A$17,Sheet1!$F$12:$F$17)</f>
        <v>2</v>
      </c>
      <c r="C1847" s="14">
        <f>_xlfn.XLOOKUP(Table1[[#This Row], [TEAM]],Sheet1!$A$12:$A$17,Sheet1!$G$12:$G$17)</f>
        <v>5949600</v>
      </c>
      <c r="D1847" t="s">
        <v>17</v>
      </c>
      <c r="E1847" s="4">
        <f>_xlfn.XLOOKUP(Table1[[#This Row], [ROOM]],Sheet1!$A$47:$A$66,Sheet1!$B$47:$B$66)</f>
        <v>125</v>
      </c>
      <c r="F1847" t="s">
        <v>62</v>
      </c>
      <c r="G184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7" s="13" t="s">
        <v>66</v>
      </c>
      <c r="I1847" s="4">
        <f>_xlfn.XLOOKUP(Table1[[#This Row], [WEAPON]],Sheet1!$A$27:$A$29,Sheet1!$B$27:$B$29)*Table1[[#This Row], [NUM OF MEM]]*(1+_xlfn.XLOOKUP(Table1[[#This Row], [WEAPON]],Sheet1!$A$27:$A$29,Sheet1!$C$27:$C$29))</f>
        <v>72000</v>
      </c>
      <c r="J1847" t="s">
        <v>64</v>
      </c>
      <c r="K1847" s="9">
        <f>Table1[[#This Row], [NUM OF MEM]]*Table1[[#This Row], [TOTAL TIME TAKEN]]*_xlfn.XLOOKUP(Table1[[#This Row], [EXIT]],Sheet1!$A$70:$A$71,Sheet1!$B$70:$B$71)*(1+_xlfn.XLOOKUP(Table1[[#This Row], [EXIT]],Sheet1!$A$70:$A$71,Sheet1!$C$70:$C$71))</f>
        <v>1734112.7999999996</v>
      </c>
      <c r="L1847" s="13" t="s">
        <v>61</v>
      </c>
      <c r="M1847" s="4">
        <f>IF(Table1[[#This Row], [EQUIPMENT]]="YES",Sheet1!$C$44*(1+Sheet1!$D$44),0)</f>
        <v>0</v>
      </c>
      <c r="N1847" s="4">
        <f>_xlfn.XLOOKUP(Table1[[#This Row], [ROOM]],Sheet1!$A$47:$A$66,Sheet1!$F$47:$F$66)</f>
        <v>17350000</v>
      </c>
      <c r="O1847" s="9">
        <f>_xlfn.XLOOKUP(_xlfn.CONCAT(Table1[[#This Row], [TEAM]],Table1[[#This Row], [ROOM]]),'ROOM TIME'!$H$2:$H$121,'ROOM TIME'!$J$2:$J$121)</f>
        <v>60.652499999999989</v>
      </c>
      <c r="P1847" s="9">
        <f>(INDEX(Sheet1!$X$48:$Z$67,MATCH(Table1[[#This Row], [ROOM]],Sheet1!$P$48:$P$67,0),MATCH(Table1[[#This Row], [WEAPON]],Sheet1!$X$47:$Z$47,0)))/Table1[[#This Row], [NUM OF MEM]]</f>
        <v>6.25</v>
      </c>
      <c r="Q1847" s="9">
        <f>Table1[[#This Row], [ROOM TIME]]+Table1[[#This Row], [GUARD TIME]]</f>
        <v>66.902499999999989</v>
      </c>
      <c r="R1847" s="4">
        <f>Sheet1!$K$3*_xlfn.XLOOKUP(Table1[[#This Row], [DISGUISE]],Sheet1!$A$21:$A$23,Sheet1!$D$21:$D$23)</f>
        <v>66</v>
      </c>
      <c r="S1847" s="9">
        <f>Table1[[#This Row], [TOTAL TIME]]-Table1[[#This Row], [TOTAL TIME TAKEN]]</f>
        <v>-0.9024999999999892</v>
      </c>
      <c r="T1847" t="str">
        <f>IF(Table1[[#This Row], [TIME DIFFERENCE]]&gt;=0,"PASS","FAIL")</f>
        <v>FAIL</v>
      </c>
      <c r="U1847" s="9">
        <f>Table1[[#This Row], [TRC]]+Table1[[#This Row], [DRC]]+Table1[[#This Row], [WRC]]+Table1[[#This Row], [ERC]]+Table1[[#This Row], [EQRC]]</f>
        <v>7766112.7999999998</v>
      </c>
      <c r="V1847" s="9">
        <f>Table1[[#This Row], [TOTAL COST]]+_xlfn.XLOOKUP(Table1[[#This Row], [TEAM]],Sheet1!$A$12:$A$17,Sheet1!$I$12:$I$17)</f>
        <v>8063592.7999999998</v>
      </c>
      <c r="W1847" s="9">
        <f>Table1[[#This Row], [LOOT]]-Table1[[#This Row], [TOTAL COST]]</f>
        <v>9583887.1999999993</v>
      </c>
      <c r="X1847" s="4">
        <f>IF(Table1[[#This Row], [PASS/FAIL]]="FAIL",0,Table1[[#This Row], [PROFIT]])</f>
        <v>0</v>
      </c>
    </row>
    <row r="1848" spans="1:24" ht="19.5" customHeight="1" x14ac:dyDescent="0.45">
      <c r="A1848" t="s">
        <v>14</v>
      </c>
      <c r="B1848" s="14">
        <f>_xlfn.XLOOKUP(Table1[[#This Row], [TEAM]],Sheet1!$A$12:$A$17,Sheet1!$F$12:$F$17)</f>
        <v>2</v>
      </c>
      <c r="C1848" s="14">
        <f>_xlfn.XLOOKUP(Table1[[#This Row], [TEAM]],Sheet1!$A$12:$A$17,Sheet1!$G$12:$G$17)</f>
        <v>5949600</v>
      </c>
      <c r="D1848" t="s">
        <v>17</v>
      </c>
      <c r="E1848" s="4">
        <f>_xlfn.XLOOKUP(Table1[[#This Row], [ROOM]],Sheet1!$A$47:$A$66,Sheet1!$B$47:$B$66)</f>
        <v>125</v>
      </c>
      <c r="F1848" t="s">
        <v>62</v>
      </c>
      <c r="G184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8" s="13" t="s">
        <v>66</v>
      </c>
      <c r="I1848" s="4">
        <f>_xlfn.XLOOKUP(Table1[[#This Row], [WEAPON]],Sheet1!$A$27:$A$29,Sheet1!$B$27:$B$29)*Table1[[#This Row], [NUM OF MEM]]*(1+_xlfn.XLOOKUP(Table1[[#This Row], [WEAPON]],Sheet1!$A$27:$A$29,Sheet1!$C$27:$C$29))</f>
        <v>72000</v>
      </c>
      <c r="J1848" t="s">
        <v>60</v>
      </c>
      <c r="K1848" s="9">
        <f>Table1[[#This Row], [NUM OF MEM]]*Table1[[#This Row], [TOTAL TIME TAKEN]]*_xlfn.XLOOKUP(Table1[[#This Row], [EXIT]],Sheet1!$A$70:$A$71,Sheet1!$B$70:$B$71)*(1+_xlfn.XLOOKUP(Table1[[#This Row], [EXIT]],Sheet1!$A$70:$A$71,Sheet1!$C$70:$C$71))</f>
        <v>1717052.6624999996</v>
      </c>
      <c r="L1848" s="13" t="s">
        <v>65</v>
      </c>
      <c r="M1848" s="4">
        <f>IF(Table1[[#This Row], [EQUIPMENT]]="YES",Sheet1!$C$44*(1+Sheet1!$D$44),0)</f>
        <v>307500</v>
      </c>
      <c r="N1848" s="4">
        <f>_xlfn.XLOOKUP(Table1[[#This Row], [ROOM]],Sheet1!$A$47:$A$66,Sheet1!$F$47:$F$66)</f>
        <v>17350000</v>
      </c>
      <c r="O1848" s="9">
        <f>_xlfn.XLOOKUP(_xlfn.CONCAT(Table1[[#This Row], [TEAM]],Table1[[#This Row], [ROOM]]),'ROOM TIME'!$H$2:$H$121,'ROOM TIME'!$J$2:$J$121)</f>
        <v>60.652499999999989</v>
      </c>
      <c r="P1848" s="9">
        <f>(INDEX(Sheet1!$X$48:$Z$67,MATCH(Table1[[#This Row], [ROOM]],Sheet1!$P$48:$P$67,0),MATCH(Table1[[#This Row], [WEAPON]],Sheet1!$X$47:$Z$47,0)))/Table1[[#This Row], [NUM OF MEM]]</f>
        <v>6.25</v>
      </c>
      <c r="Q1848" s="9">
        <f>Table1[[#This Row], [ROOM TIME]]+Table1[[#This Row], [GUARD TIME]]</f>
        <v>66.902499999999989</v>
      </c>
      <c r="R1848" s="4">
        <f>Sheet1!$K$3*_xlfn.XLOOKUP(Table1[[#This Row], [DISGUISE]],Sheet1!$A$21:$A$23,Sheet1!$D$21:$D$23)</f>
        <v>66</v>
      </c>
      <c r="S1848" s="9">
        <f>Table1[[#This Row], [TOTAL TIME]]-Table1[[#This Row], [TOTAL TIME TAKEN]]</f>
        <v>-0.9024999999999892</v>
      </c>
      <c r="T1848" t="str">
        <f>IF(Table1[[#This Row], [TIME DIFFERENCE]]&gt;=0,"PASS","FAIL")</f>
        <v>FAIL</v>
      </c>
      <c r="U1848" s="9">
        <f>Table1[[#This Row], [TRC]]+Table1[[#This Row], [DRC]]+Table1[[#This Row], [WRC]]+Table1[[#This Row], [ERC]]+Table1[[#This Row], [EQRC]]</f>
        <v>8056552.6624999996</v>
      </c>
      <c r="V1848" s="9">
        <f>Table1[[#This Row], [TOTAL COST]]+_xlfn.XLOOKUP(Table1[[#This Row], [TEAM]],Sheet1!$A$12:$A$17,Sheet1!$I$12:$I$17)</f>
        <v>8354032.6624999996</v>
      </c>
      <c r="W1848" s="9">
        <f>Table1[[#This Row], [LOOT]]-Table1[[#This Row], [TOTAL COST]]</f>
        <v>9293447.3375000004</v>
      </c>
      <c r="X1848" s="4">
        <f>IF(Table1[[#This Row], [PASS/FAIL]]="FAIL",0,Table1[[#This Row], [PROFIT]])</f>
        <v>0</v>
      </c>
    </row>
    <row r="1849" spans="1:24" ht="19.5" customHeight="1" x14ac:dyDescent="0.45">
      <c r="A1849" t="s">
        <v>14</v>
      </c>
      <c r="B1849" s="14">
        <f>_xlfn.XLOOKUP(Table1[[#This Row], [TEAM]],Sheet1!$A$12:$A$17,Sheet1!$F$12:$F$17)</f>
        <v>2</v>
      </c>
      <c r="C1849" s="14">
        <f>_xlfn.XLOOKUP(Table1[[#This Row], [TEAM]],Sheet1!$A$12:$A$17,Sheet1!$G$12:$G$17)</f>
        <v>5949600</v>
      </c>
      <c r="D1849" t="s">
        <v>17</v>
      </c>
      <c r="E1849" s="4">
        <f>_xlfn.XLOOKUP(Table1[[#This Row], [ROOM]],Sheet1!$A$47:$A$66,Sheet1!$B$47:$B$66)</f>
        <v>125</v>
      </c>
      <c r="F1849" t="s">
        <v>62</v>
      </c>
      <c r="G184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49" s="13" t="s">
        <v>66</v>
      </c>
      <c r="I1849" s="4">
        <f>_xlfn.XLOOKUP(Table1[[#This Row], [WEAPON]],Sheet1!$A$27:$A$29,Sheet1!$B$27:$B$29)*Table1[[#This Row], [NUM OF MEM]]*(1+_xlfn.XLOOKUP(Table1[[#This Row], [WEAPON]],Sheet1!$A$27:$A$29,Sheet1!$C$27:$C$29))</f>
        <v>72000</v>
      </c>
      <c r="J1849" t="s">
        <v>64</v>
      </c>
      <c r="K1849" s="9">
        <f>Table1[[#This Row], [NUM OF MEM]]*Table1[[#This Row], [TOTAL TIME TAKEN]]*_xlfn.XLOOKUP(Table1[[#This Row], [EXIT]],Sheet1!$A$70:$A$71,Sheet1!$B$70:$B$71)*(1+_xlfn.XLOOKUP(Table1[[#This Row], [EXIT]],Sheet1!$A$70:$A$71,Sheet1!$C$70:$C$71))</f>
        <v>1734112.7999999996</v>
      </c>
      <c r="L1849" s="13" t="s">
        <v>65</v>
      </c>
      <c r="M1849" s="4">
        <f>IF(Table1[[#This Row], [EQUIPMENT]]="YES",Sheet1!$C$44*(1+Sheet1!$D$44),0)</f>
        <v>307500</v>
      </c>
      <c r="N1849" s="4">
        <f>_xlfn.XLOOKUP(Table1[[#This Row], [ROOM]],Sheet1!$A$47:$A$66,Sheet1!$F$47:$F$66)</f>
        <v>17350000</v>
      </c>
      <c r="O1849" s="9">
        <f>_xlfn.XLOOKUP(_xlfn.CONCAT(Table1[[#This Row], [TEAM]],Table1[[#This Row], [ROOM]]),'ROOM TIME'!$H$2:$H$121,'ROOM TIME'!$J$2:$J$121)</f>
        <v>60.652499999999989</v>
      </c>
      <c r="P1849" s="9">
        <f>(INDEX(Sheet1!$X$48:$Z$67,MATCH(Table1[[#This Row], [ROOM]],Sheet1!$P$48:$P$67,0),MATCH(Table1[[#This Row], [WEAPON]],Sheet1!$X$47:$Z$47,0)))/Table1[[#This Row], [NUM OF MEM]]</f>
        <v>6.25</v>
      </c>
      <c r="Q1849" s="9">
        <f>Table1[[#This Row], [ROOM TIME]]+Table1[[#This Row], [GUARD TIME]]</f>
        <v>66.902499999999989</v>
      </c>
      <c r="R1849" s="4">
        <f>Sheet1!$K$3*_xlfn.XLOOKUP(Table1[[#This Row], [DISGUISE]],Sheet1!$A$21:$A$23,Sheet1!$D$21:$D$23)</f>
        <v>66</v>
      </c>
      <c r="S1849" s="9">
        <f>Table1[[#This Row], [TOTAL TIME]]-Table1[[#This Row], [TOTAL TIME TAKEN]]</f>
        <v>-0.9024999999999892</v>
      </c>
      <c r="T1849" t="str">
        <f>IF(Table1[[#This Row], [TIME DIFFERENCE]]&gt;=0,"PASS","FAIL")</f>
        <v>FAIL</v>
      </c>
      <c r="U1849" s="9">
        <f>Table1[[#This Row], [TRC]]+Table1[[#This Row], [DRC]]+Table1[[#This Row], [WRC]]+Table1[[#This Row], [ERC]]+Table1[[#This Row], [EQRC]]</f>
        <v>8073612.7999999998</v>
      </c>
      <c r="V1849" s="9">
        <f>Table1[[#This Row], [TOTAL COST]]+_xlfn.XLOOKUP(Table1[[#This Row], [TEAM]],Sheet1!$A$12:$A$17,Sheet1!$I$12:$I$17)</f>
        <v>8371092.7999999998</v>
      </c>
      <c r="W1849" s="9">
        <f>Table1[[#This Row], [LOOT]]-Table1[[#This Row], [TOTAL COST]]</f>
        <v>9276387.1999999993</v>
      </c>
      <c r="X1849" s="4">
        <f>IF(Table1[[#This Row], [PASS/FAIL]]="FAIL",0,Table1[[#This Row], [PROFIT]])</f>
        <v>0</v>
      </c>
    </row>
    <row r="1850" spans="1:24" ht="19.5" customHeight="1" x14ac:dyDescent="0.45">
      <c r="A1850" t="s">
        <v>15</v>
      </c>
      <c r="B1850" s="14">
        <f>_xlfn.XLOOKUP(Table1[[#This Row], [TEAM]],Sheet1!$A$12:$A$17,Sheet1!$F$12:$F$17)</f>
        <v>2</v>
      </c>
      <c r="C1850" s="14">
        <f>_xlfn.XLOOKUP(Table1[[#This Row], [TEAM]],Sheet1!$A$12:$A$17,Sheet1!$G$12:$G$17)</f>
        <v>5932950</v>
      </c>
      <c r="D1850" t="s">
        <v>17</v>
      </c>
      <c r="E1850" s="4">
        <f>_xlfn.XLOOKUP(Table1[[#This Row], [ROOM]],Sheet1!$A$47:$A$66,Sheet1!$B$47:$B$66)</f>
        <v>125</v>
      </c>
      <c r="F1850" t="s">
        <v>62</v>
      </c>
      <c r="G185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0" s="13" t="s">
        <v>59</v>
      </c>
      <c r="I1850" s="4">
        <f>_xlfn.XLOOKUP(Table1[[#This Row], [WEAPON]],Sheet1!$A$27:$A$29,Sheet1!$B$27:$B$29)*Table1[[#This Row], [NUM OF MEM]]*(1+_xlfn.XLOOKUP(Table1[[#This Row], [WEAPON]],Sheet1!$A$27:$A$29,Sheet1!$C$27:$C$29))</f>
        <v>91000</v>
      </c>
      <c r="J1850" t="s">
        <v>60</v>
      </c>
      <c r="K1850" s="9">
        <f>Table1[[#This Row], [NUM OF MEM]]*Table1[[#This Row], [TOTAL TIME TAKEN]]*_xlfn.XLOOKUP(Table1[[#This Row], [EXIT]],Sheet1!$A$70:$A$71,Sheet1!$B$70:$B$71)*(1+_xlfn.XLOOKUP(Table1[[#This Row], [EXIT]],Sheet1!$A$70:$A$71,Sheet1!$C$70:$C$71))</f>
        <v>1696520.6624999996</v>
      </c>
      <c r="L1850" s="13" t="s">
        <v>61</v>
      </c>
      <c r="M1850" s="4">
        <f>IF(Table1[[#This Row], [EQUIPMENT]]="YES",Sheet1!$C$44*(1+Sheet1!$D$44),0)</f>
        <v>0</v>
      </c>
      <c r="N1850" s="4">
        <f>_xlfn.XLOOKUP(Table1[[#This Row], [ROOM]],Sheet1!$A$47:$A$66,Sheet1!$F$47:$F$66)</f>
        <v>17350000</v>
      </c>
      <c r="O1850" s="9">
        <f>_xlfn.XLOOKUP(_xlfn.CONCAT(Table1[[#This Row], [TEAM]],Table1[[#This Row], [ROOM]]),'ROOM TIME'!$H$2:$H$121,'ROOM TIME'!$J$2:$J$121)</f>
        <v>60.352499999999985</v>
      </c>
      <c r="P1850" s="9">
        <f>(INDEX(Sheet1!$X$48:$Z$67,MATCH(Table1[[#This Row], [ROOM]],Sheet1!$P$48:$P$67,0),MATCH(Table1[[#This Row], [WEAPON]],Sheet1!$X$47:$Z$47,0)))/Table1[[#This Row], [NUM OF MEM]]</f>
        <v>5.75</v>
      </c>
      <c r="Q1850" s="9">
        <f>Table1[[#This Row], [ROOM TIME]]+Table1[[#This Row], [GUARD TIME]]</f>
        <v>66.102499999999992</v>
      </c>
      <c r="R1850" s="4">
        <f>Sheet1!$K$3*_xlfn.XLOOKUP(Table1[[#This Row], [DISGUISE]],Sheet1!$A$21:$A$23,Sheet1!$D$21:$D$23)</f>
        <v>66</v>
      </c>
      <c r="S1850" s="9">
        <f>Table1[[#This Row], [TOTAL TIME]]-Table1[[#This Row], [TOTAL TIME TAKEN]]</f>
        <v>-0.10249999999999204</v>
      </c>
      <c r="T1850" t="str">
        <f>IF(Table1[[#This Row], [TIME DIFFERENCE]]&gt;=0,"PASS","FAIL")</f>
        <v>FAIL</v>
      </c>
      <c r="U1850" s="9">
        <f>Table1[[#This Row], [TRC]]+Table1[[#This Row], [DRC]]+Table1[[#This Row], [WRC]]+Table1[[#This Row], [ERC]]+Table1[[#This Row], [EQRC]]</f>
        <v>7730870.6624999996</v>
      </c>
      <c r="V1850" s="9">
        <f>Table1[[#This Row], [TOTAL COST]]+_xlfn.XLOOKUP(Table1[[#This Row], [TEAM]],Sheet1!$A$12:$A$17,Sheet1!$I$12:$I$17)</f>
        <v>8027518.1624999996</v>
      </c>
      <c r="W1850" s="9">
        <f>Table1[[#This Row], [LOOT]]-Table1[[#This Row], [TOTAL COST]]</f>
        <v>9619129.3375000004</v>
      </c>
      <c r="X1850" s="4">
        <f>IF(Table1[[#This Row], [PASS/FAIL]]="FAIL",0,Table1[[#This Row], [PROFIT]])</f>
        <v>0</v>
      </c>
    </row>
    <row r="1851" spans="1:24" ht="19.5" customHeight="1" x14ac:dyDescent="0.45">
      <c r="A1851" t="s">
        <v>15</v>
      </c>
      <c r="B1851" s="14">
        <f>_xlfn.XLOOKUP(Table1[[#This Row], [TEAM]],Sheet1!$A$12:$A$17,Sheet1!$F$12:$F$17)</f>
        <v>2</v>
      </c>
      <c r="C1851" s="14">
        <f>_xlfn.XLOOKUP(Table1[[#This Row], [TEAM]],Sheet1!$A$12:$A$17,Sheet1!$G$12:$G$17)</f>
        <v>5932950</v>
      </c>
      <c r="D1851" t="s">
        <v>17</v>
      </c>
      <c r="E1851" s="4">
        <f>_xlfn.XLOOKUP(Table1[[#This Row], [ROOM]],Sheet1!$A$47:$A$66,Sheet1!$B$47:$B$66)</f>
        <v>125</v>
      </c>
      <c r="F1851" t="s">
        <v>62</v>
      </c>
      <c r="G185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1" s="13" t="s">
        <v>59</v>
      </c>
      <c r="I1851" s="4">
        <f>_xlfn.XLOOKUP(Table1[[#This Row], [WEAPON]],Sheet1!$A$27:$A$29,Sheet1!$B$27:$B$29)*Table1[[#This Row], [NUM OF MEM]]*(1+_xlfn.XLOOKUP(Table1[[#This Row], [WEAPON]],Sheet1!$A$27:$A$29,Sheet1!$C$27:$C$29))</f>
        <v>91000</v>
      </c>
      <c r="J1851" t="s">
        <v>64</v>
      </c>
      <c r="K1851" s="9">
        <f>Table1[[#This Row], [NUM OF MEM]]*Table1[[#This Row], [TOTAL TIME TAKEN]]*_xlfn.XLOOKUP(Table1[[#This Row], [EXIT]],Sheet1!$A$70:$A$71,Sheet1!$B$70:$B$71)*(1+_xlfn.XLOOKUP(Table1[[#This Row], [EXIT]],Sheet1!$A$70:$A$71,Sheet1!$C$70:$C$71))</f>
        <v>1713376.7999999996</v>
      </c>
      <c r="L1851" s="13" t="s">
        <v>61</v>
      </c>
      <c r="M1851" s="4">
        <f>IF(Table1[[#This Row], [EQUIPMENT]]="YES",Sheet1!$C$44*(1+Sheet1!$D$44),0)</f>
        <v>0</v>
      </c>
      <c r="N1851" s="4">
        <f>_xlfn.XLOOKUP(Table1[[#This Row], [ROOM]],Sheet1!$A$47:$A$66,Sheet1!$F$47:$F$66)</f>
        <v>17350000</v>
      </c>
      <c r="O1851" s="9">
        <f>_xlfn.XLOOKUP(_xlfn.CONCAT(Table1[[#This Row], [TEAM]],Table1[[#This Row], [ROOM]]),'ROOM TIME'!$H$2:$H$121,'ROOM TIME'!$J$2:$J$121)</f>
        <v>60.352499999999985</v>
      </c>
      <c r="P1851" s="9">
        <f>(INDEX(Sheet1!$X$48:$Z$67,MATCH(Table1[[#This Row], [ROOM]],Sheet1!$P$48:$P$67,0),MATCH(Table1[[#This Row], [WEAPON]],Sheet1!$X$47:$Z$47,0)))/Table1[[#This Row], [NUM OF MEM]]</f>
        <v>5.75</v>
      </c>
      <c r="Q1851" s="9">
        <f>Table1[[#This Row], [ROOM TIME]]+Table1[[#This Row], [GUARD TIME]]</f>
        <v>66.102499999999992</v>
      </c>
      <c r="R1851" s="4">
        <f>Sheet1!$K$3*_xlfn.XLOOKUP(Table1[[#This Row], [DISGUISE]],Sheet1!$A$21:$A$23,Sheet1!$D$21:$D$23)</f>
        <v>66</v>
      </c>
      <c r="S1851" s="9">
        <f>Table1[[#This Row], [TOTAL TIME]]-Table1[[#This Row], [TOTAL TIME TAKEN]]</f>
        <v>-0.10249999999999204</v>
      </c>
      <c r="T1851" t="str">
        <f>IF(Table1[[#This Row], [TIME DIFFERENCE]]&gt;=0,"PASS","FAIL")</f>
        <v>FAIL</v>
      </c>
      <c r="U1851" s="9">
        <f>Table1[[#This Row], [TRC]]+Table1[[#This Row], [DRC]]+Table1[[#This Row], [WRC]]+Table1[[#This Row], [ERC]]+Table1[[#This Row], [EQRC]]</f>
        <v>7747726.7999999998</v>
      </c>
      <c r="V1851" s="9">
        <f>Table1[[#This Row], [TOTAL COST]]+_xlfn.XLOOKUP(Table1[[#This Row], [TEAM]],Sheet1!$A$12:$A$17,Sheet1!$I$12:$I$17)</f>
        <v>8044374.2999999998</v>
      </c>
      <c r="W1851" s="9">
        <f>Table1[[#This Row], [LOOT]]-Table1[[#This Row], [TOTAL COST]]</f>
        <v>9602273.1999999993</v>
      </c>
      <c r="X1851" s="4">
        <f>IF(Table1[[#This Row], [PASS/FAIL]]="FAIL",0,Table1[[#This Row], [PROFIT]])</f>
        <v>0</v>
      </c>
    </row>
    <row r="1852" spans="1:24" ht="19.5" customHeight="1" x14ac:dyDescent="0.45">
      <c r="A1852" t="s">
        <v>15</v>
      </c>
      <c r="B1852" s="14">
        <f>_xlfn.XLOOKUP(Table1[[#This Row], [TEAM]],Sheet1!$A$12:$A$17,Sheet1!$F$12:$F$17)</f>
        <v>2</v>
      </c>
      <c r="C1852" s="14">
        <f>_xlfn.XLOOKUP(Table1[[#This Row], [TEAM]],Sheet1!$A$12:$A$17,Sheet1!$G$12:$G$17)</f>
        <v>5932950</v>
      </c>
      <c r="D1852" t="s">
        <v>17</v>
      </c>
      <c r="E1852" s="4">
        <f>_xlfn.XLOOKUP(Table1[[#This Row], [ROOM]],Sheet1!$A$47:$A$66,Sheet1!$B$47:$B$66)</f>
        <v>125</v>
      </c>
      <c r="F1852" t="s">
        <v>62</v>
      </c>
      <c r="G185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2" s="13" t="s">
        <v>59</v>
      </c>
      <c r="I1852" s="4">
        <f>_xlfn.XLOOKUP(Table1[[#This Row], [WEAPON]],Sheet1!$A$27:$A$29,Sheet1!$B$27:$B$29)*Table1[[#This Row], [NUM OF MEM]]*(1+_xlfn.XLOOKUP(Table1[[#This Row], [WEAPON]],Sheet1!$A$27:$A$29,Sheet1!$C$27:$C$29))</f>
        <v>91000</v>
      </c>
      <c r="J1852" t="s">
        <v>60</v>
      </c>
      <c r="K1852" s="9">
        <f>Table1[[#This Row], [NUM OF MEM]]*Table1[[#This Row], [TOTAL TIME TAKEN]]*_xlfn.XLOOKUP(Table1[[#This Row], [EXIT]],Sheet1!$A$70:$A$71,Sheet1!$B$70:$B$71)*(1+_xlfn.XLOOKUP(Table1[[#This Row], [EXIT]],Sheet1!$A$70:$A$71,Sheet1!$C$70:$C$71))</f>
        <v>1696520.6624999996</v>
      </c>
      <c r="L1852" s="13" t="s">
        <v>65</v>
      </c>
      <c r="M1852" s="4">
        <f>IF(Table1[[#This Row], [EQUIPMENT]]="YES",Sheet1!$C$44*(1+Sheet1!$D$44),0)</f>
        <v>307500</v>
      </c>
      <c r="N1852" s="4">
        <f>_xlfn.XLOOKUP(Table1[[#This Row], [ROOM]],Sheet1!$A$47:$A$66,Sheet1!$F$47:$F$66)</f>
        <v>17350000</v>
      </c>
      <c r="O1852" s="9">
        <f>_xlfn.XLOOKUP(_xlfn.CONCAT(Table1[[#This Row], [TEAM]],Table1[[#This Row], [ROOM]]),'ROOM TIME'!$H$2:$H$121,'ROOM TIME'!$J$2:$J$121)</f>
        <v>60.352499999999985</v>
      </c>
      <c r="P1852" s="9">
        <f>(INDEX(Sheet1!$X$48:$Z$67,MATCH(Table1[[#This Row], [ROOM]],Sheet1!$P$48:$P$67,0),MATCH(Table1[[#This Row], [WEAPON]],Sheet1!$X$47:$Z$47,0)))/Table1[[#This Row], [NUM OF MEM]]</f>
        <v>5.75</v>
      </c>
      <c r="Q1852" s="9">
        <f>Table1[[#This Row], [ROOM TIME]]+Table1[[#This Row], [GUARD TIME]]</f>
        <v>66.102499999999992</v>
      </c>
      <c r="R1852" s="4">
        <f>Sheet1!$K$3*_xlfn.XLOOKUP(Table1[[#This Row], [DISGUISE]],Sheet1!$A$21:$A$23,Sheet1!$D$21:$D$23)</f>
        <v>66</v>
      </c>
      <c r="S1852" s="9">
        <f>Table1[[#This Row], [TOTAL TIME]]-Table1[[#This Row], [TOTAL TIME TAKEN]]</f>
        <v>-0.10249999999999204</v>
      </c>
      <c r="T1852" t="str">
        <f>IF(Table1[[#This Row], [TIME DIFFERENCE]]&gt;=0,"PASS","FAIL")</f>
        <v>FAIL</v>
      </c>
      <c r="U1852" s="9">
        <f>Table1[[#This Row], [TRC]]+Table1[[#This Row], [DRC]]+Table1[[#This Row], [WRC]]+Table1[[#This Row], [ERC]]+Table1[[#This Row], [EQRC]]</f>
        <v>8038370.6624999996</v>
      </c>
      <c r="V1852" s="9">
        <f>Table1[[#This Row], [TOTAL COST]]+_xlfn.XLOOKUP(Table1[[#This Row], [TEAM]],Sheet1!$A$12:$A$17,Sheet1!$I$12:$I$17)</f>
        <v>8335018.1624999996</v>
      </c>
      <c r="W1852" s="9">
        <f>Table1[[#This Row], [LOOT]]-Table1[[#This Row], [TOTAL COST]]</f>
        <v>9311629.3375000004</v>
      </c>
      <c r="X1852" s="4">
        <f>IF(Table1[[#This Row], [PASS/FAIL]]="FAIL",0,Table1[[#This Row], [PROFIT]])</f>
        <v>0</v>
      </c>
    </row>
    <row r="1853" spans="1:24" ht="19.5" customHeight="1" x14ac:dyDescent="0.45">
      <c r="A1853" t="s">
        <v>15</v>
      </c>
      <c r="B1853" s="14">
        <f>_xlfn.XLOOKUP(Table1[[#This Row], [TEAM]],Sheet1!$A$12:$A$17,Sheet1!$F$12:$F$17)</f>
        <v>2</v>
      </c>
      <c r="C1853" s="14">
        <f>_xlfn.XLOOKUP(Table1[[#This Row], [TEAM]],Sheet1!$A$12:$A$17,Sheet1!$G$12:$G$17)</f>
        <v>5932950</v>
      </c>
      <c r="D1853" t="s">
        <v>17</v>
      </c>
      <c r="E1853" s="4">
        <f>_xlfn.XLOOKUP(Table1[[#This Row], [ROOM]],Sheet1!$A$47:$A$66,Sheet1!$B$47:$B$66)</f>
        <v>125</v>
      </c>
      <c r="F1853" t="s">
        <v>62</v>
      </c>
      <c r="G185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3" s="13" t="s">
        <v>59</v>
      </c>
      <c r="I1853" s="4">
        <f>_xlfn.XLOOKUP(Table1[[#This Row], [WEAPON]],Sheet1!$A$27:$A$29,Sheet1!$B$27:$B$29)*Table1[[#This Row], [NUM OF MEM]]*(1+_xlfn.XLOOKUP(Table1[[#This Row], [WEAPON]],Sheet1!$A$27:$A$29,Sheet1!$C$27:$C$29))</f>
        <v>91000</v>
      </c>
      <c r="J1853" t="s">
        <v>64</v>
      </c>
      <c r="K1853" s="9">
        <f>Table1[[#This Row], [NUM OF MEM]]*Table1[[#This Row], [TOTAL TIME TAKEN]]*_xlfn.XLOOKUP(Table1[[#This Row], [EXIT]],Sheet1!$A$70:$A$71,Sheet1!$B$70:$B$71)*(1+_xlfn.XLOOKUP(Table1[[#This Row], [EXIT]],Sheet1!$A$70:$A$71,Sheet1!$C$70:$C$71))</f>
        <v>1713376.7999999996</v>
      </c>
      <c r="L1853" s="13" t="s">
        <v>65</v>
      </c>
      <c r="M1853" s="4">
        <f>IF(Table1[[#This Row], [EQUIPMENT]]="YES",Sheet1!$C$44*(1+Sheet1!$D$44),0)</f>
        <v>307500</v>
      </c>
      <c r="N1853" s="4">
        <f>_xlfn.XLOOKUP(Table1[[#This Row], [ROOM]],Sheet1!$A$47:$A$66,Sheet1!$F$47:$F$66)</f>
        <v>17350000</v>
      </c>
      <c r="O1853" s="9">
        <f>_xlfn.XLOOKUP(_xlfn.CONCAT(Table1[[#This Row], [TEAM]],Table1[[#This Row], [ROOM]]),'ROOM TIME'!$H$2:$H$121,'ROOM TIME'!$J$2:$J$121)</f>
        <v>60.352499999999985</v>
      </c>
      <c r="P1853" s="9">
        <f>(INDEX(Sheet1!$X$48:$Z$67,MATCH(Table1[[#This Row], [ROOM]],Sheet1!$P$48:$P$67,0),MATCH(Table1[[#This Row], [WEAPON]],Sheet1!$X$47:$Z$47,0)))/Table1[[#This Row], [NUM OF MEM]]</f>
        <v>5.75</v>
      </c>
      <c r="Q1853" s="9">
        <f>Table1[[#This Row], [ROOM TIME]]+Table1[[#This Row], [GUARD TIME]]</f>
        <v>66.102499999999992</v>
      </c>
      <c r="R1853" s="4">
        <f>Sheet1!$K$3*_xlfn.XLOOKUP(Table1[[#This Row], [DISGUISE]],Sheet1!$A$21:$A$23,Sheet1!$D$21:$D$23)</f>
        <v>66</v>
      </c>
      <c r="S1853" s="9">
        <f>Table1[[#This Row], [TOTAL TIME]]-Table1[[#This Row], [TOTAL TIME TAKEN]]</f>
        <v>-0.10249999999999204</v>
      </c>
      <c r="T1853" t="str">
        <f>IF(Table1[[#This Row], [TIME DIFFERENCE]]&gt;=0,"PASS","FAIL")</f>
        <v>FAIL</v>
      </c>
      <c r="U1853" s="9">
        <f>Table1[[#This Row], [TRC]]+Table1[[#This Row], [DRC]]+Table1[[#This Row], [WRC]]+Table1[[#This Row], [ERC]]+Table1[[#This Row], [EQRC]]</f>
        <v>8055226.7999999998</v>
      </c>
      <c r="V1853" s="9">
        <f>Table1[[#This Row], [TOTAL COST]]+_xlfn.XLOOKUP(Table1[[#This Row], [TEAM]],Sheet1!$A$12:$A$17,Sheet1!$I$12:$I$17)</f>
        <v>8351874.2999999998</v>
      </c>
      <c r="W1853" s="9">
        <f>Table1[[#This Row], [LOOT]]-Table1[[#This Row], [TOTAL COST]]</f>
        <v>9294773.1999999993</v>
      </c>
      <c r="X1853" s="4">
        <f>IF(Table1[[#This Row], [PASS/FAIL]]="FAIL",0,Table1[[#This Row], [PROFIT]])</f>
        <v>0</v>
      </c>
    </row>
    <row r="1854" spans="1:24" ht="19.5" customHeight="1" x14ac:dyDescent="0.45">
      <c r="A1854" t="s">
        <v>15</v>
      </c>
      <c r="B1854" s="14">
        <f>_xlfn.XLOOKUP(Table1[[#This Row], [TEAM]],Sheet1!$A$12:$A$17,Sheet1!$F$12:$F$17)</f>
        <v>2</v>
      </c>
      <c r="C1854" s="14">
        <f>_xlfn.XLOOKUP(Table1[[#This Row], [TEAM]],Sheet1!$A$12:$A$17,Sheet1!$G$12:$G$17)</f>
        <v>5932950</v>
      </c>
      <c r="D1854" t="s">
        <v>17</v>
      </c>
      <c r="E1854" s="4">
        <f>_xlfn.XLOOKUP(Table1[[#This Row], [ROOM]],Sheet1!$A$47:$A$66,Sheet1!$B$47:$B$66)</f>
        <v>125</v>
      </c>
      <c r="F1854" t="s">
        <v>62</v>
      </c>
      <c r="G185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4" s="13" t="s">
        <v>63</v>
      </c>
      <c r="I1854" s="4">
        <f>_xlfn.XLOOKUP(Table1[[#This Row], [WEAPON]],Sheet1!$A$27:$A$29,Sheet1!$B$27:$B$29)*Table1[[#This Row], [NUM OF MEM]]*(1+_xlfn.XLOOKUP(Table1[[#This Row], [WEAPON]],Sheet1!$A$27:$A$29,Sheet1!$C$27:$C$29))</f>
        <v>46000</v>
      </c>
      <c r="J1854" t="s">
        <v>60</v>
      </c>
      <c r="K1854" s="9">
        <f>Table1[[#This Row], [NUM OF MEM]]*Table1[[#This Row], [TOTAL TIME TAKEN]]*_xlfn.XLOOKUP(Table1[[#This Row], [EXIT]],Sheet1!$A$70:$A$71,Sheet1!$B$70:$B$71)*(1+_xlfn.XLOOKUP(Table1[[#This Row], [EXIT]],Sheet1!$A$70:$A$71,Sheet1!$C$70:$C$71))</f>
        <v>1722185.6624999996</v>
      </c>
      <c r="L1854" s="13" t="s">
        <v>61</v>
      </c>
      <c r="M1854" s="4">
        <f>IF(Table1[[#This Row], [EQUIPMENT]]="YES",Sheet1!$C$44*(1+Sheet1!$D$44),0)</f>
        <v>0</v>
      </c>
      <c r="N1854" s="4">
        <f>_xlfn.XLOOKUP(Table1[[#This Row], [ROOM]],Sheet1!$A$47:$A$66,Sheet1!$F$47:$F$66)</f>
        <v>17350000</v>
      </c>
      <c r="O1854" s="9">
        <f>_xlfn.XLOOKUP(_xlfn.CONCAT(Table1[[#This Row], [TEAM]],Table1[[#This Row], [ROOM]]),'ROOM TIME'!$H$2:$H$121,'ROOM TIME'!$J$2:$J$121)</f>
        <v>60.352499999999985</v>
      </c>
      <c r="P1854" s="9">
        <f>(INDEX(Sheet1!$X$48:$Z$67,MATCH(Table1[[#This Row], [ROOM]],Sheet1!$P$48:$P$67,0),MATCH(Table1[[#This Row], [WEAPON]],Sheet1!$X$47:$Z$47,0)))/Table1[[#This Row], [NUM OF MEM]]</f>
        <v>6.75</v>
      </c>
      <c r="Q1854" s="9">
        <f>Table1[[#This Row], [ROOM TIME]]+Table1[[#This Row], [GUARD TIME]]</f>
        <v>67.102499999999992</v>
      </c>
      <c r="R1854" s="4">
        <f>Sheet1!$K$3*_xlfn.XLOOKUP(Table1[[#This Row], [DISGUISE]],Sheet1!$A$21:$A$23,Sheet1!$D$21:$D$23)</f>
        <v>66</v>
      </c>
      <c r="S1854" s="9">
        <f>Table1[[#This Row], [TOTAL TIME]]-Table1[[#This Row], [TOTAL TIME TAKEN]]</f>
        <v>-1.102499999999992</v>
      </c>
      <c r="T1854" t="str">
        <f>IF(Table1[[#This Row], [TIME DIFFERENCE]]&gt;=0,"PASS","FAIL")</f>
        <v>FAIL</v>
      </c>
      <c r="U1854" s="9">
        <f>Table1[[#This Row], [TRC]]+Table1[[#This Row], [DRC]]+Table1[[#This Row], [WRC]]+Table1[[#This Row], [ERC]]+Table1[[#This Row], [EQRC]]</f>
        <v>7711535.6624999996</v>
      </c>
      <c r="V1854" s="9">
        <f>Table1[[#This Row], [TOTAL COST]]+_xlfn.XLOOKUP(Table1[[#This Row], [TEAM]],Sheet1!$A$12:$A$17,Sheet1!$I$12:$I$17)</f>
        <v>8008183.1624999996</v>
      </c>
      <c r="W1854" s="9">
        <f>Table1[[#This Row], [LOOT]]-Table1[[#This Row], [TOTAL COST]]</f>
        <v>9638464.3375000004</v>
      </c>
      <c r="X1854" s="4">
        <f>IF(Table1[[#This Row], [PASS/FAIL]]="FAIL",0,Table1[[#This Row], [PROFIT]])</f>
        <v>0</v>
      </c>
    </row>
    <row r="1855" spans="1:24" ht="19.5" customHeight="1" x14ac:dyDescent="0.45">
      <c r="A1855" t="s">
        <v>15</v>
      </c>
      <c r="B1855" s="14">
        <f>_xlfn.XLOOKUP(Table1[[#This Row], [TEAM]],Sheet1!$A$12:$A$17,Sheet1!$F$12:$F$17)</f>
        <v>2</v>
      </c>
      <c r="C1855" s="14">
        <f>_xlfn.XLOOKUP(Table1[[#This Row], [TEAM]],Sheet1!$A$12:$A$17,Sheet1!$G$12:$G$17)</f>
        <v>5932950</v>
      </c>
      <c r="D1855" t="s">
        <v>17</v>
      </c>
      <c r="E1855" s="4">
        <f>_xlfn.XLOOKUP(Table1[[#This Row], [ROOM]],Sheet1!$A$47:$A$66,Sheet1!$B$47:$B$66)</f>
        <v>125</v>
      </c>
      <c r="F1855" t="s">
        <v>62</v>
      </c>
      <c r="G185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5" s="13" t="s">
        <v>66</v>
      </c>
      <c r="I1855" s="4">
        <f>_xlfn.XLOOKUP(Table1[[#This Row], [WEAPON]],Sheet1!$A$27:$A$29,Sheet1!$B$27:$B$29)*Table1[[#This Row], [NUM OF MEM]]*(1+_xlfn.XLOOKUP(Table1[[#This Row], [WEAPON]],Sheet1!$A$27:$A$29,Sheet1!$C$27:$C$29))</f>
        <v>72000</v>
      </c>
      <c r="J1855" t="s">
        <v>60</v>
      </c>
      <c r="K1855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1709353.1624999996</v>
      </c>
      <c r="L1855" s="13" t="s">
        <v>61</v>
      </c>
      <c r="M1855" s="4">
        <f>IF(Table1[[#This Row], [EQUIPMENT]]="YES",Sheet1!$C$44*(1+Sheet1!$D$44),0)</f>
        <v>0</v>
      </c>
      <c r="N1855" s="4">
        <f>_xlfn.XLOOKUP(Table1[[#This Row], [ROOM]],Sheet1!$A$47:$A$66,Sheet1!$F$47:$F$66)</f>
        <v>17350000</v>
      </c>
      <c r="O1855" s="9">
        <f>_xlfn.XLOOKUP(_xlfn.CONCAT(Table1[[#This Row], [TEAM]],Table1[[#This Row], [ROOM]]),'ROOM TIME'!$H$2:$H$121,'ROOM TIME'!$J$2:$J$121)</f>
        <v>60.352499999999985</v>
      </c>
      <c r="P1855" s="9">
        <f>(INDEX(Sheet1!$X$48:$Z$67,MATCH(Table1[[#This Row], [ROOM]],Sheet1!$P$48:$P$67,0),MATCH(Table1[[#This Row], [WEAPON]],Sheet1!$X$47:$Z$47,0)))/Table1[[#This Row], [NUM OF MEM]]</f>
        <v>6.25</v>
      </c>
      <c r="Q1855" s="9">
        <f>Table1[[#This Row], [ROOM TIME]]+Table1[[#This Row], [GUARD TIME]]</f>
        <v>66.602499999999992</v>
      </c>
      <c r="R1855" s="4">
        <f>Sheet1!$K$3*_xlfn.XLOOKUP(Table1[[#This Row], [DISGUISE]],Sheet1!$A$21:$A$23,Sheet1!$D$21:$D$23)</f>
        <v>66</v>
      </c>
      <c r="S1855" s="9">
        <f>Table1[[#This Row], [TOTAL TIME]]-Table1[[#This Row], [TOTAL TIME TAKEN]]</f>
        <v>-0.60249999999999204</v>
      </c>
      <c r="T1855" t="str">
        <f>IF(Table1[[#This Row], [TIME DIFFERENCE]]&gt;=0,"PASS","FAIL")</f>
        <v>FAIL</v>
      </c>
      <c r="U1855" s="9">
        <f>Table1[[#This Row], [TRC]]+Table1[[#This Row], [DRC]]+Table1[[#This Row], [WRC]]+Table1[[#This Row], [ERC]]+Table1[[#This Row], [EQRC]]</f>
        <v>7724703.1624999996</v>
      </c>
      <c r="V1855" s="9">
        <f>Table1[[#This Row], [TOTAL COST]]+_xlfn.XLOOKUP(Table1[[#This Row], [TEAM]],Sheet1!$A$12:$A$17,Sheet1!$I$12:$I$17)</f>
        <v>8021350.6624999996</v>
      </c>
      <c r="W1855" s="9">
        <f>Table1[[#This Row], [LOOT]]-Table1[[#This Row], [TOTAL COST]]</f>
        <v>9625296.8375000004</v>
      </c>
      <c r="X1855" s="4">
        <f>IF(Table1[[#This Row], [PASS/FAIL]]="FAIL",0,Table1[[#This Row], [PROFIT]])</f>
        <v>0</v>
      </c>
    </row>
    <row r="1856" spans="1:24" ht="19.5" customHeight="1" x14ac:dyDescent="0.45">
      <c r="A1856" t="s">
        <v>15</v>
      </c>
      <c r="B1856" s="14">
        <f>_xlfn.XLOOKUP(Table1[[#This Row], [TEAM]],Sheet1!$A$12:$A$17,Sheet1!$F$12:$F$17)</f>
        <v>2</v>
      </c>
      <c r="C1856" s="14">
        <f>_xlfn.XLOOKUP(Table1[[#This Row], [TEAM]],Sheet1!$A$12:$A$17,Sheet1!$G$12:$G$17)</f>
        <v>5932950</v>
      </c>
      <c r="D1856" t="s">
        <v>17</v>
      </c>
      <c r="E1856" s="4">
        <f>_xlfn.XLOOKUP(Table1[[#This Row], [ROOM]],Sheet1!$A$47:$A$66,Sheet1!$B$47:$B$66)</f>
        <v>125</v>
      </c>
      <c r="F1856" t="s">
        <v>62</v>
      </c>
      <c r="G185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6" s="13" t="s">
        <v>63</v>
      </c>
      <c r="I1856" s="4">
        <f>_xlfn.XLOOKUP(Table1[[#This Row], [WEAPON]],Sheet1!$A$27:$A$29,Sheet1!$B$27:$B$29)*Table1[[#This Row], [NUM OF MEM]]*(1+_xlfn.XLOOKUP(Table1[[#This Row], [WEAPON]],Sheet1!$A$27:$A$29,Sheet1!$C$27:$C$29))</f>
        <v>46000</v>
      </c>
      <c r="J1856" t="s">
        <v>64</v>
      </c>
      <c r="K1856" s="9">
        <f>Table1[[#This Row], [NUM OF MEM]]*Table1[[#This Row], [TOTAL TIME TAKEN]]*_xlfn.XLOOKUP(Table1[[#This Row], [EXIT]],Sheet1!$A$70:$A$71,Sheet1!$B$70:$B$71)*(1+_xlfn.XLOOKUP(Table1[[#This Row], [EXIT]],Sheet1!$A$70:$A$71,Sheet1!$C$70:$C$71))</f>
        <v>1739296.7999999996</v>
      </c>
      <c r="L1856" s="13" t="s">
        <v>61</v>
      </c>
      <c r="M1856" s="4">
        <f>IF(Table1[[#This Row], [EQUIPMENT]]="YES",Sheet1!$C$44*(1+Sheet1!$D$44),0)</f>
        <v>0</v>
      </c>
      <c r="N1856" s="4">
        <f>_xlfn.XLOOKUP(Table1[[#This Row], [ROOM]],Sheet1!$A$47:$A$66,Sheet1!$F$47:$F$66)</f>
        <v>17350000</v>
      </c>
      <c r="O1856" s="9">
        <f>_xlfn.XLOOKUP(_xlfn.CONCAT(Table1[[#This Row], [TEAM]],Table1[[#This Row], [ROOM]]),'ROOM TIME'!$H$2:$H$121,'ROOM TIME'!$J$2:$J$121)</f>
        <v>60.352499999999985</v>
      </c>
      <c r="P1856" s="9">
        <f>(INDEX(Sheet1!$X$48:$Z$67,MATCH(Table1[[#This Row], [ROOM]],Sheet1!$P$48:$P$67,0),MATCH(Table1[[#This Row], [WEAPON]],Sheet1!$X$47:$Z$47,0)))/Table1[[#This Row], [NUM OF MEM]]</f>
        <v>6.75</v>
      </c>
      <c r="Q1856" s="9">
        <f>Table1[[#This Row], [ROOM TIME]]+Table1[[#This Row], [GUARD TIME]]</f>
        <v>67.102499999999992</v>
      </c>
      <c r="R1856" s="4">
        <f>Sheet1!$K$3*_xlfn.XLOOKUP(Table1[[#This Row], [DISGUISE]],Sheet1!$A$21:$A$23,Sheet1!$D$21:$D$23)</f>
        <v>66</v>
      </c>
      <c r="S1856" s="9">
        <f>Table1[[#This Row], [TOTAL TIME]]-Table1[[#This Row], [TOTAL TIME TAKEN]]</f>
        <v>-1.102499999999992</v>
      </c>
      <c r="T1856" t="str">
        <f>IF(Table1[[#This Row], [TIME DIFFERENCE]]&gt;=0,"PASS","FAIL")</f>
        <v>FAIL</v>
      </c>
      <c r="U1856" s="9">
        <f>Table1[[#This Row], [TRC]]+Table1[[#This Row], [DRC]]+Table1[[#This Row], [WRC]]+Table1[[#This Row], [ERC]]+Table1[[#This Row], [EQRC]]</f>
        <v>7728646.7999999998</v>
      </c>
      <c r="V1856" s="9">
        <f>Table1[[#This Row], [TOTAL COST]]+_xlfn.XLOOKUP(Table1[[#This Row], [TEAM]],Sheet1!$A$12:$A$17,Sheet1!$I$12:$I$17)</f>
        <v>8025294.2999999998</v>
      </c>
      <c r="W1856" s="9">
        <f>Table1[[#This Row], [LOOT]]-Table1[[#This Row], [TOTAL COST]]</f>
        <v>9621353.1999999993</v>
      </c>
      <c r="X1856" s="4">
        <f>IF(Table1[[#This Row], [PASS/FAIL]]="FAIL",0,Table1[[#This Row], [PROFIT]])</f>
        <v>0</v>
      </c>
    </row>
    <row r="1857" spans="1:24" ht="19.5" customHeight="1" x14ac:dyDescent="0.45">
      <c r="A1857" t="s">
        <v>15</v>
      </c>
      <c r="B1857" s="14">
        <f>_xlfn.XLOOKUP(Table1[[#This Row], [TEAM]],Sheet1!$A$12:$A$17,Sheet1!$F$12:$F$17)</f>
        <v>2</v>
      </c>
      <c r="C1857" s="14">
        <f>_xlfn.XLOOKUP(Table1[[#This Row], [TEAM]],Sheet1!$A$12:$A$17,Sheet1!$G$12:$G$17)</f>
        <v>5932950</v>
      </c>
      <c r="D1857" t="s">
        <v>17</v>
      </c>
      <c r="E1857" s="4">
        <f>_xlfn.XLOOKUP(Table1[[#This Row], [ROOM]],Sheet1!$A$47:$A$66,Sheet1!$B$47:$B$66)</f>
        <v>125</v>
      </c>
      <c r="F1857" t="s">
        <v>62</v>
      </c>
      <c r="G185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7" s="13" t="s">
        <v>66</v>
      </c>
      <c r="I1857" s="4">
        <f>_xlfn.XLOOKUP(Table1[[#This Row], [WEAPON]],Sheet1!$A$27:$A$29,Sheet1!$B$27:$B$29)*Table1[[#This Row], [NUM OF MEM]]*(1+_xlfn.XLOOKUP(Table1[[#This Row], [WEAPON]],Sheet1!$A$27:$A$29,Sheet1!$C$27:$C$29))</f>
        <v>72000</v>
      </c>
      <c r="J1857" t="s">
        <v>64</v>
      </c>
      <c r="K1857" s="9">
        <f>Table1[[#This Row], [NUM OF MEM]]*Table1[[#This Row], [TOTAL TIME TAKEN]]*_xlfn.XLOOKUP(Table1[[#This Row], [EXIT]],Sheet1!$A$70:$A$71,Sheet1!$B$70:$B$71)*(1+_xlfn.XLOOKUP(Table1[[#This Row], [EXIT]],Sheet1!$A$70:$A$71,Sheet1!$C$70:$C$71))</f>
        <v>1726336.7999999996</v>
      </c>
      <c r="L1857" s="13" t="s">
        <v>61</v>
      </c>
      <c r="M1857" s="4">
        <f>IF(Table1[[#This Row], [EQUIPMENT]]="YES",Sheet1!$C$44*(1+Sheet1!$D$44),0)</f>
        <v>0</v>
      </c>
      <c r="N1857" s="4">
        <f>_xlfn.XLOOKUP(Table1[[#This Row], [ROOM]],Sheet1!$A$47:$A$66,Sheet1!$F$47:$F$66)</f>
        <v>17350000</v>
      </c>
      <c r="O1857" s="9">
        <f>_xlfn.XLOOKUP(_xlfn.CONCAT(Table1[[#This Row], [TEAM]],Table1[[#This Row], [ROOM]]),'ROOM TIME'!$H$2:$H$121,'ROOM TIME'!$J$2:$J$121)</f>
        <v>60.352499999999985</v>
      </c>
      <c r="P1857" s="9">
        <f>(INDEX(Sheet1!$X$48:$Z$67,MATCH(Table1[[#This Row], [ROOM]],Sheet1!$P$48:$P$67,0),MATCH(Table1[[#This Row], [WEAPON]],Sheet1!$X$47:$Z$47,0)))/Table1[[#This Row], [NUM OF MEM]]</f>
        <v>6.25</v>
      </c>
      <c r="Q1857" s="9">
        <f>Table1[[#This Row], [ROOM TIME]]+Table1[[#This Row], [GUARD TIME]]</f>
        <v>66.602499999999992</v>
      </c>
      <c r="R1857" s="4">
        <f>Sheet1!$K$3*_xlfn.XLOOKUP(Table1[[#This Row], [DISGUISE]],Sheet1!$A$21:$A$23,Sheet1!$D$21:$D$23)</f>
        <v>66</v>
      </c>
      <c r="S1857" s="9">
        <f>Table1[[#This Row], [TOTAL TIME]]-Table1[[#This Row], [TOTAL TIME TAKEN]]</f>
        <v>-0.60249999999999204</v>
      </c>
      <c r="T1857" t="str">
        <f>IF(Table1[[#This Row], [TIME DIFFERENCE]]&gt;=0,"PASS","FAIL")</f>
        <v>FAIL</v>
      </c>
      <c r="U1857" s="9">
        <f>Table1[[#This Row], [TRC]]+Table1[[#This Row], [DRC]]+Table1[[#This Row], [WRC]]+Table1[[#This Row], [ERC]]+Table1[[#This Row], [EQRC]]</f>
        <v>7741686.7999999998</v>
      </c>
      <c r="V1857" s="9">
        <f>Table1[[#This Row], [TOTAL COST]]+_xlfn.XLOOKUP(Table1[[#This Row], [TEAM]],Sheet1!$A$12:$A$17,Sheet1!$I$12:$I$17)</f>
        <v>8038334.2999999998</v>
      </c>
      <c r="W1857" s="9">
        <f>Table1[[#This Row], [LOOT]]-Table1[[#This Row], [TOTAL COST]]</f>
        <v>9608313.1999999993</v>
      </c>
      <c r="X1857" s="4">
        <f>IF(Table1[[#This Row], [PASS/FAIL]]="FAIL",0,Table1[[#This Row], [PROFIT]])</f>
        <v>0</v>
      </c>
    </row>
    <row r="1858" spans="1:24" ht="19.5" customHeight="1" x14ac:dyDescent="0.45">
      <c r="A1858" t="s">
        <v>15</v>
      </c>
      <c r="B1858" s="14">
        <f>_xlfn.XLOOKUP(Table1[[#This Row], [TEAM]],Sheet1!$A$12:$A$17,Sheet1!$F$12:$F$17)</f>
        <v>2</v>
      </c>
      <c r="C1858" s="14">
        <f>_xlfn.XLOOKUP(Table1[[#This Row], [TEAM]],Sheet1!$A$12:$A$17,Sheet1!$G$12:$G$17)</f>
        <v>5932950</v>
      </c>
      <c r="D1858" t="s">
        <v>17</v>
      </c>
      <c r="E1858" s="4">
        <f>_xlfn.XLOOKUP(Table1[[#This Row], [ROOM]],Sheet1!$A$47:$A$66,Sheet1!$B$47:$B$66)</f>
        <v>125</v>
      </c>
      <c r="F1858" t="s">
        <v>62</v>
      </c>
      <c r="G185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8" s="13" t="s">
        <v>63</v>
      </c>
      <c r="I1858" s="4">
        <f>_xlfn.XLOOKUP(Table1[[#This Row], [WEAPON]],Sheet1!$A$27:$A$29,Sheet1!$B$27:$B$29)*Table1[[#This Row], [NUM OF MEM]]*(1+_xlfn.XLOOKUP(Table1[[#This Row], [WEAPON]],Sheet1!$A$27:$A$29,Sheet1!$C$27:$C$29))</f>
        <v>46000</v>
      </c>
      <c r="J1858" t="s">
        <v>60</v>
      </c>
      <c r="K1858" s="9">
        <f>Table1[[#This Row], [NUM OF MEM]]*Table1[[#This Row], [TOTAL TIME TAKEN]]*_xlfn.XLOOKUP(Table1[[#This Row], [EXIT]],Sheet1!$A$70:$A$71,Sheet1!$B$70:$B$71)*(1+_xlfn.XLOOKUP(Table1[[#This Row], [EXIT]],Sheet1!$A$70:$A$71,Sheet1!$C$70:$C$71))</f>
        <v>1722185.6624999996</v>
      </c>
      <c r="L1858" s="13" t="s">
        <v>65</v>
      </c>
      <c r="M1858" s="4">
        <f>IF(Table1[[#This Row], [EQUIPMENT]]="YES",Sheet1!$C$44*(1+Sheet1!$D$44),0)</f>
        <v>307500</v>
      </c>
      <c r="N1858" s="4">
        <f>_xlfn.XLOOKUP(Table1[[#This Row], [ROOM]],Sheet1!$A$47:$A$66,Sheet1!$F$47:$F$66)</f>
        <v>17350000</v>
      </c>
      <c r="O1858" s="9">
        <f>_xlfn.XLOOKUP(_xlfn.CONCAT(Table1[[#This Row], [TEAM]],Table1[[#This Row], [ROOM]]),'ROOM TIME'!$H$2:$H$121,'ROOM TIME'!$J$2:$J$121)</f>
        <v>60.352499999999985</v>
      </c>
      <c r="P1858" s="9">
        <f>(INDEX(Sheet1!$X$48:$Z$67,MATCH(Table1[[#This Row], [ROOM]],Sheet1!$P$48:$P$67,0),MATCH(Table1[[#This Row], [WEAPON]],Sheet1!$X$47:$Z$47,0)))/Table1[[#This Row], [NUM OF MEM]]</f>
        <v>6.75</v>
      </c>
      <c r="Q1858" s="9">
        <f>Table1[[#This Row], [ROOM TIME]]+Table1[[#This Row], [GUARD TIME]]</f>
        <v>67.102499999999992</v>
      </c>
      <c r="R1858" s="4">
        <f>Sheet1!$K$3*_xlfn.XLOOKUP(Table1[[#This Row], [DISGUISE]],Sheet1!$A$21:$A$23,Sheet1!$D$21:$D$23)</f>
        <v>66</v>
      </c>
      <c r="S1858" s="9">
        <f>Table1[[#This Row], [TOTAL TIME]]-Table1[[#This Row], [TOTAL TIME TAKEN]]</f>
        <v>-1.102499999999992</v>
      </c>
      <c r="T1858" t="str">
        <f>IF(Table1[[#This Row], [TIME DIFFERENCE]]&gt;=0,"PASS","FAIL")</f>
        <v>FAIL</v>
      </c>
      <c r="U1858" s="9">
        <f>Table1[[#This Row], [TRC]]+Table1[[#This Row], [DRC]]+Table1[[#This Row], [WRC]]+Table1[[#This Row], [ERC]]+Table1[[#This Row], [EQRC]]</f>
        <v>8019035.6624999996</v>
      </c>
      <c r="V1858" s="9">
        <f>Table1[[#This Row], [TOTAL COST]]+_xlfn.XLOOKUP(Table1[[#This Row], [TEAM]],Sheet1!$A$12:$A$17,Sheet1!$I$12:$I$17)</f>
        <v>8315683.1624999996</v>
      </c>
      <c r="W1858" s="9">
        <f>Table1[[#This Row], [LOOT]]-Table1[[#This Row], [TOTAL COST]]</f>
        <v>9330964.3375000004</v>
      </c>
      <c r="X1858" s="4">
        <f>IF(Table1[[#This Row], [PASS/FAIL]]="FAIL",0,Table1[[#This Row], [PROFIT]])</f>
        <v>0</v>
      </c>
    </row>
    <row r="1859" spans="1:24" ht="19.5" customHeight="1" x14ac:dyDescent="0.45">
      <c r="A1859" t="s">
        <v>15</v>
      </c>
      <c r="B1859" s="14">
        <f>_xlfn.XLOOKUP(Table1[[#This Row], [TEAM]],Sheet1!$A$12:$A$17,Sheet1!$F$12:$F$17)</f>
        <v>2</v>
      </c>
      <c r="C1859" s="14">
        <f>_xlfn.XLOOKUP(Table1[[#This Row], [TEAM]],Sheet1!$A$12:$A$17,Sheet1!$G$12:$G$17)</f>
        <v>5932950</v>
      </c>
      <c r="D1859" t="s">
        <v>17</v>
      </c>
      <c r="E1859" s="4">
        <f>_xlfn.XLOOKUP(Table1[[#This Row], [ROOM]],Sheet1!$A$47:$A$66,Sheet1!$B$47:$B$66)</f>
        <v>125</v>
      </c>
      <c r="F1859" t="s">
        <v>62</v>
      </c>
      <c r="G185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59" s="13" t="s">
        <v>66</v>
      </c>
      <c r="I1859" s="4">
        <f>_xlfn.XLOOKUP(Table1[[#This Row], [WEAPON]],Sheet1!$A$27:$A$29,Sheet1!$B$27:$B$29)*Table1[[#This Row], [NUM OF MEM]]*(1+_xlfn.XLOOKUP(Table1[[#This Row], [WEAPON]],Sheet1!$A$27:$A$29,Sheet1!$C$27:$C$29))</f>
        <v>72000</v>
      </c>
      <c r="J1859" t="s">
        <v>60</v>
      </c>
      <c r="K1859" s="9">
        <f>Table1[[#This Row], [NUM OF MEM]]*Table1[[#This Row], [TOTAL TIME TAKEN]]*_xlfn.XLOOKUP(Table1[[#This Row], [EXIT]],Sheet1!$A$70:$A$71,Sheet1!$B$70:$B$71)*(1+_xlfn.XLOOKUP(Table1[[#This Row], [EXIT]],Sheet1!$A$70:$A$71,Sheet1!$C$70:$C$71))</f>
        <v>1709353.1624999996</v>
      </c>
      <c r="L1859" s="13" t="s">
        <v>65</v>
      </c>
      <c r="M1859" s="4">
        <f>IF(Table1[[#This Row], [EQUIPMENT]]="YES",Sheet1!$C$44*(1+Sheet1!$D$44),0)</f>
        <v>307500</v>
      </c>
      <c r="N1859" s="4">
        <f>_xlfn.XLOOKUP(Table1[[#This Row], [ROOM]],Sheet1!$A$47:$A$66,Sheet1!$F$47:$F$66)</f>
        <v>17350000</v>
      </c>
      <c r="O1859" s="9">
        <f>_xlfn.XLOOKUP(_xlfn.CONCAT(Table1[[#This Row], [TEAM]],Table1[[#This Row], [ROOM]]),'ROOM TIME'!$H$2:$H$121,'ROOM TIME'!$J$2:$J$121)</f>
        <v>60.352499999999985</v>
      </c>
      <c r="P1859" s="9">
        <f>(INDEX(Sheet1!$X$48:$Z$67,MATCH(Table1[[#This Row], [ROOM]],Sheet1!$P$48:$P$67,0),MATCH(Table1[[#This Row], [WEAPON]],Sheet1!$X$47:$Z$47,0)))/Table1[[#This Row], [NUM OF MEM]]</f>
        <v>6.25</v>
      </c>
      <c r="Q1859" s="9">
        <f>Table1[[#This Row], [ROOM TIME]]+Table1[[#This Row], [GUARD TIME]]</f>
        <v>66.602499999999992</v>
      </c>
      <c r="R1859" s="4">
        <f>Sheet1!$K$3*_xlfn.XLOOKUP(Table1[[#This Row], [DISGUISE]],Sheet1!$A$21:$A$23,Sheet1!$D$21:$D$23)</f>
        <v>66</v>
      </c>
      <c r="S1859" s="9">
        <f>Table1[[#This Row], [TOTAL TIME]]-Table1[[#This Row], [TOTAL TIME TAKEN]]</f>
        <v>-0.60249999999999204</v>
      </c>
      <c r="T1859" t="str">
        <f>IF(Table1[[#This Row], [TIME DIFFERENCE]]&gt;=0,"PASS","FAIL")</f>
        <v>FAIL</v>
      </c>
      <c r="U1859" s="9">
        <f>Table1[[#This Row], [TRC]]+Table1[[#This Row], [DRC]]+Table1[[#This Row], [WRC]]+Table1[[#This Row], [ERC]]+Table1[[#This Row], [EQRC]]</f>
        <v>8032203.1624999996</v>
      </c>
      <c r="V1859" s="9">
        <f>Table1[[#This Row], [TOTAL COST]]+_xlfn.XLOOKUP(Table1[[#This Row], [TEAM]],Sheet1!$A$12:$A$17,Sheet1!$I$12:$I$17)</f>
        <v>8328850.6624999996</v>
      </c>
      <c r="W1859" s="9">
        <f>Table1[[#This Row], [LOOT]]-Table1[[#This Row], [TOTAL COST]]</f>
        <v>9317796.8375000004</v>
      </c>
      <c r="X1859" s="4">
        <f>IF(Table1[[#This Row], [PASS/FAIL]]="FAIL",0,Table1[[#This Row], [PROFIT]])</f>
        <v>0</v>
      </c>
    </row>
    <row r="1860" spans="1:24" ht="19.5" customHeight="1" x14ac:dyDescent="0.45">
      <c r="A1860" t="s">
        <v>15</v>
      </c>
      <c r="B1860" s="14">
        <f>_xlfn.XLOOKUP(Table1[[#This Row], [TEAM]],Sheet1!$A$12:$A$17,Sheet1!$F$12:$F$17)</f>
        <v>2</v>
      </c>
      <c r="C1860" s="14">
        <f>_xlfn.XLOOKUP(Table1[[#This Row], [TEAM]],Sheet1!$A$12:$A$17,Sheet1!$G$12:$G$17)</f>
        <v>5932950</v>
      </c>
      <c r="D1860" t="s">
        <v>17</v>
      </c>
      <c r="E1860" s="4">
        <f>_xlfn.XLOOKUP(Table1[[#This Row], [ROOM]],Sheet1!$A$47:$A$66,Sheet1!$B$47:$B$66)</f>
        <v>125</v>
      </c>
      <c r="F1860" t="s">
        <v>62</v>
      </c>
      <c r="G186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0" s="13" t="s">
        <v>63</v>
      </c>
      <c r="I1860" s="4">
        <f>_xlfn.XLOOKUP(Table1[[#This Row], [WEAPON]],Sheet1!$A$27:$A$29,Sheet1!$B$27:$B$29)*Table1[[#This Row], [NUM OF MEM]]*(1+_xlfn.XLOOKUP(Table1[[#This Row], [WEAPON]],Sheet1!$A$27:$A$29,Sheet1!$C$27:$C$29))</f>
        <v>46000</v>
      </c>
      <c r="J1860" t="s">
        <v>64</v>
      </c>
      <c r="K1860" s="9">
        <f>Table1[[#This Row], [NUM OF MEM]]*Table1[[#This Row], [TOTAL TIME TAKEN]]*_xlfn.XLOOKUP(Table1[[#This Row], [EXIT]],Sheet1!$A$70:$A$71,Sheet1!$B$70:$B$71)*(1+_xlfn.XLOOKUP(Table1[[#This Row], [EXIT]],Sheet1!$A$70:$A$71,Sheet1!$C$70:$C$71))</f>
        <v>1739296.7999999996</v>
      </c>
      <c r="L1860" s="13" t="s">
        <v>65</v>
      </c>
      <c r="M1860" s="4">
        <f>IF(Table1[[#This Row], [EQUIPMENT]]="YES",Sheet1!$C$44*(1+Sheet1!$D$44),0)</f>
        <v>307500</v>
      </c>
      <c r="N1860" s="4">
        <f>_xlfn.XLOOKUP(Table1[[#This Row], [ROOM]],Sheet1!$A$47:$A$66,Sheet1!$F$47:$F$66)</f>
        <v>17350000</v>
      </c>
      <c r="O1860" s="9">
        <f>_xlfn.XLOOKUP(_xlfn.CONCAT(Table1[[#This Row], [TEAM]],Table1[[#This Row], [ROOM]]),'ROOM TIME'!$H$2:$H$121,'ROOM TIME'!$J$2:$J$121)</f>
        <v>60.352499999999985</v>
      </c>
      <c r="P1860" s="9">
        <f>(INDEX(Sheet1!$X$48:$Z$67,MATCH(Table1[[#This Row], [ROOM]],Sheet1!$P$48:$P$67,0),MATCH(Table1[[#This Row], [WEAPON]],Sheet1!$X$47:$Z$47,0)))/Table1[[#This Row], [NUM OF MEM]]</f>
        <v>6.75</v>
      </c>
      <c r="Q1860" s="9">
        <f>Table1[[#This Row], [ROOM TIME]]+Table1[[#This Row], [GUARD TIME]]</f>
        <v>67.102499999999992</v>
      </c>
      <c r="R1860" s="4">
        <f>Sheet1!$K$3*_xlfn.XLOOKUP(Table1[[#This Row], [DISGUISE]],Sheet1!$A$21:$A$23,Sheet1!$D$21:$D$23)</f>
        <v>66</v>
      </c>
      <c r="S1860" s="9">
        <f>Table1[[#This Row], [TOTAL TIME]]-Table1[[#This Row], [TOTAL TIME TAKEN]]</f>
        <v>-1.102499999999992</v>
      </c>
      <c r="T1860" t="str">
        <f>IF(Table1[[#This Row], [TIME DIFFERENCE]]&gt;=0,"PASS","FAIL")</f>
        <v>FAIL</v>
      </c>
      <c r="U1860" s="9">
        <f>Table1[[#This Row], [TRC]]+Table1[[#This Row], [DRC]]+Table1[[#This Row], [WRC]]+Table1[[#This Row], [ERC]]+Table1[[#This Row], [EQRC]]</f>
        <v>8036146.7999999998</v>
      </c>
      <c r="V1860" s="9">
        <f>Table1[[#This Row], [TOTAL COST]]+_xlfn.XLOOKUP(Table1[[#This Row], [TEAM]],Sheet1!$A$12:$A$17,Sheet1!$I$12:$I$17)</f>
        <v>8332794.2999999998</v>
      </c>
      <c r="W1860" s="9">
        <f>Table1[[#This Row], [LOOT]]-Table1[[#This Row], [TOTAL COST]]</f>
        <v>9313853.1999999993</v>
      </c>
      <c r="X1860" s="4">
        <f>IF(Table1[[#This Row], [PASS/FAIL]]="FAIL",0,Table1[[#This Row], [PROFIT]])</f>
        <v>0</v>
      </c>
    </row>
    <row r="1861" spans="1:24" ht="19.5" customHeight="1" x14ac:dyDescent="0.45">
      <c r="A1861" t="s">
        <v>15</v>
      </c>
      <c r="B1861" s="14">
        <f>_xlfn.XLOOKUP(Table1[[#This Row], [TEAM]],Sheet1!$A$12:$A$17,Sheet1!$F$12:$F$17)</f>
        <v>2</v>
      </c>
      <c r="C1861" s="14">
        <f>_xlfn.XLOOKUP(Table1[[#This Row], [TEAM]],Sheet1!$A$12:$A$17,Sheet1!$G$12:$G$17)</f>
        <v>5932950</v>
      </c>
      <c r="D1861" t="s">
        <v>17</v>
      </c>
      <c r="E1861" s="4">
        <f>_xlfn.XLOOKUP(Table1[[#This Row], [ROOM]],Sheet1!$A$47:$A$66,Sheet1!$B$47:$B$66)</f>
        <v>125</v>
      </c>
      <c r="F1861" t="s">
        <v>62</v>
      </c>
      <c r="G186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1" s="13" t="s">
        <v>66</v>
      </c>
      <c r="I1861" s="4">
        <f>_xlfn.XLOOKUP(Table1[[#This Row], [WEAPON]],Sheet1!$A$27:$A$29,Sheet1!$B$27:$B$29)*Table1[[#This Row], [NUM OF MEM]]*(1+_xlfn.XLOOKUP(Table1[[#This Row], [WEAPON]],Sheet1!$A$27:$A$29,Sheet1!$C$27:$C$29))</f>
        <v>72000</v>
      </c>
      <c r="J1861" t="s">
        <v>64</v>
      </c>
      <c r="K1861" s="9">
        <f>Table1[[#This Row], [NUM OF MEM]]*Table1[[#This Row], [TOTAL TIME TAKEN]]*_xlfn.XLOOKUP(Table1[[#This Row], [EXIT]],Sheet1!$A$70:$A$71,Sheet1!$B$70:$B$71)*(1+_xlfn.XLOOKUP(Table1[[#This Row], [EXIT]],Sheet1!$A$70:$A$71,Sheet1!$C$70:$C$71))</f>
        <v>1726336.7999999996</v>
      </c>
      <c r="L1861" s="13" t="s">
        <v>65</v>
      </c>
      <c r="M1861" s="4">
        <f>IF(Table1[[#This Row], [EQUIPMENT]]="YES",Sheet1!$C$44*(1+Sheet1!$D$44),0)</f>
        <v>307500</v>
      </c>
      <c r="N1861" s="4">
        <f>_xlfn.XLOOKUP(Table1[[#This Row], [ROOM]],Sheet1!$A$47:$A$66,Sheet1!$F$47:$F$66)</f>
        <v>17350000</v>
      </c>
      <c r="O1861" s="9">
        <f>_xlfn.XLOOKUP(_xlfn.CONCAT(Table1[[#This Row], [TEAM]],Table1[[#This Row], [ROOM]]),'ROOM TIME'!$H$2:$H$121,'ROOM TIME'!$J$2:$J$121)</f>
        <v>60.352499999999985</v>
      </c>
      <c r="P1861" s="9">
        <f>(INDEX(Sheet1!$X$48:$Z$67,MATCH(Table1[[#This Row], [ROOM]],Sheet1!$P$48:$P$67,0),MATCH(Table1[[#This Row], [WEAPON]],Sheet1!$X$47:$Z$47,0)))/Table1[[#This Row], [NUM OF MEM]]</f>
        <v>6.25</v>
      </c>
      <c r="Q1861" s="9">
        <f>Table1[[#This Row], [ROOM TIME]]+Table1[[#This Row], [GUARD TIME]]</f>
        <v>66.602499999999992</v>
      </c>
      <c r="R1861" s="4">
        <f>Sheet1!$K$3*_xlfn.XLOOKUP(Table1[[#This Row], [DISGUISE]],Sheet1!$A$21:$A$23,Sheet1!$D$21:$D$23)</f>
        <v>66</v>
      </c>
      <c r="S1861" s="9">
        <f>Table1[[#This Row], [TOTAL TIME]]-Table1[[#This Row], [TOTAL TIME TAKEN]]</f>
        <v>-0.60249999999999204</v>
      </c>
      <c r="T1861" t="str">
        <f>IF(Table1[[#This Row], [TIME DIFFERENCE]]&gt;=0,"PASS","FAIL")</f>
        <v>FAIL</v>
      </c>
      <c r="U1861" s="9">
        <f>Table1[[#This Row], [TRC]]+Table1[[#This Row], [DRC]]+Table1[[#This Row], [WRC]]+Table1[[#This Row], [ERC]]+Table1[[#This Row], [EQRC]]</f>
        <v>8049186.7999999998</v>
      </c>
      <c r="V1861" s="9">
        <f>Table1[[#This Row], [TOTAL COST]]+_xlfn.XLOOKUP(Table1[[#This Row], [TEAM]],Sheet1!$A$12:$A$17,Sheet1!$I$12:$I$17)</f>
        <v>8345834.2999999998</v>
      </c>
      <c r="W1861" s="9">
        <f>Table1[[#This Row], [LOOT]]-Table1[[#This Row], [TOTAL COST]]</f>
        <v>9300813.1999999993</v>
      </c>
      <c r="X1861" s="4">
        <f>IF(Table1[[#This Row], [PASS/FAIL]]="FAIL",0,Table1[[#This Row], [PROFIT]])</f>
        <v>0</v>
      </c>
    </row>
    <row r="1862" spans="1:24" ht="19.5" customHeight="1" x14ac:dyDescent="0.45">
      <c r="A1862" t="s">
        <v>16</v>
      </c>
      <c r="B1862" s="14">
        <f>_xlfn.XLOOKUP(Table1[[#This Row], [TEAM]],Sheet1!$A$12:$A$17,Sheet1!$F$12:$F$17)</f>
        <v>2</v>
      </c>
      <c r="C1862" s="14">
        <f>_xlfn.XLOOKUP(Table1[[#This Row], [TEAM]],Sheet1!$A$12:$A$17,Sheet1!$G$12:$G$17)</f>
        <v>6082800</v>
      </c>
      <c r="D1862" t="s">
        <v>17</v>
      </c>
      <c r="E1862" s="4">
        <f>_xlfn.XLOOKUP(Table1[[#This Row], [ROOM]],Sheet1!$A$47:$A$66,Sheet1!$B$47:$B$66)</f>
        <v>125</v>
      </c>
      <c r="F1862" t="s">
        <v>62</v>
      </c>
      <c r="G186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2" s="13" t="s">
        <v>59</v>
      </c>
      <c r="I1862" s="4">
        <f>_xlfn.XLOOKUP(Table1[[#This Row], [WEAPON]],Sheet1!$A$27:$A$29,Sheet1!$B$27:$B$29)*Table1[[#This Row], [NUM OF MEM]]*(1+_xlfn.XLOOKUP(Table1[[#This Row], [WEAPON]],Sheet1!$A$27:$A$29,Sheet1!$C$27:$C$29))</f>
        <v>91000</v>
      </c>
      <c r="J1862" t="s">
        <v>60</v>
      </c>
      <c r="K1862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1709064.4312499997</v>
      </c>
      <c r="L1862" s="13" t="s">
        <v>61</v>
      </c>
      <c r="M1862" s="4">
        <f>IF(Table1[[#This Row], [EQUIPMENT]]="YES",Sheet1!$C$44*(1+Sheet1!$D$44),0)</f>
        <v>0</v>
      </c>
      <c r="N1862" s="4">
        <f>_xlfn.XLOOKUP(Table1[[#This Row], [ROOM]],Sheet1!$A$47:$A$66,Sheet1!$F$47:$F$66)</f>
        <v>17350000</v>
      </c>
      <c r="O1862" s="9">
        <f>_xlfn.XLOOKUP(_xlfn.CONCAT(Table1[[#This Row], [TEAM]],Table1[[#This Row], [ROOM]]),'ROOM TIME'!$H$2:$H$121,'ROOM TIME'!$J$2:$J$121)</f>
        <v>60.841249999999988</v>
      </c>
      <c r="P1862" s="9">
        <f>(INDEX(Sheet1!$X$48:$Z$67,MATCH(Table1[[#This Row], [ROOM]],Sheet1!$P$48:$P$67,0),MATCH(Table1[[#This Row], [WEAPON]],Sheet1!$X$47:$Z$47,0)))/Table1[[#This Row], [NUM OF MEM]]</f>
        <v>5.75</v>
      </c>
      <c r="Q1862" s="9">
        <f>Table1[[#This Row], [ROOM TIME]]+Table1[[#This Row], [GUARD TIME]]</f>
        <v>66.591249999999988</v>
      </c>
      <c r="R1862" s="4">
        <f>Sheet1!$K$3*_xlfn.XLOOKUP(Table1[[#This Row], [DISGUISE]],Sheet1!$A$21:$A$23,Sheet1!$D$21:$D$23)</f>
        <v>66</v>
      </c>
      <c r="S1862" s="9">
        <f>Table1[[#This Row], [TOTAL TIME]]-Table1[[#This Row], [TOTAL TIME TAKEN]]</f>
        <v>-0.59124999999998806</v>
      </c>
      <c r="T1862" t="str">
        <f>IF(Table1[[#This Row], [TIME DIFFERENCE]]&gt;=0,"PASS","FAIL")</f>
        <v>FAIL</v>
      </c>
      <c r="U1862" s="9">
        <f>Table1[[#This Row], [TRC]]+Table1[[#This Row], [DRC]]+Table1[[#This Row], [WRC]]+Table1[[#This Row], [ERC]]+Table1[[#This Row], [EQRC]]</f>
        <v>7893264.4312499994</v>
      </c>
      <c r="V1862" s="9">
        <f>Table1[[#This Row], [TOTAL COST]]+_xlfn.XLOOKUP(Table1[[#This Row], [TEAM]],Sheet1!$A$12:$A$17,Sheet1!$I$12:$I$17)</f>
        <v>8197404.4312499994</v>
      </c>
      <c r="W1862" s="9">
        <f>Table1[[#This Row], [LOOT]]-Table1[[#This Row], [TOTAL COST]]</f>
        <v>9456735.5687500015</v>
      </c>
      <c r="X1862" s="4">
        <f>IF(Table1[[#This Row], [PASS/FAIL]]="FAIL",0,Table1[[#This Row], [PROFIT]])</f>
        <v>0</v>
      </c>
    </row>
    <row r="1863" spans="1:24" ht="19.5" customHeight="1" x14ac:dyDescent="0.45">
      <c r="A1863" t="s">
        <v>16</v>
      </c>
      <c r="B1863" s="14">
        <f>_xlfn.XLOOKUP(Table1[[#This Row], [TEAM]],Sheet1!$A$12:$A$17,Sheet1!$F$12:$F$17)</f>
        <v>2</v>
      </c>
      <c r="C1863" s="14">
        <f>_xlfn.XLOOKUP(Table1[[#This Row], [TEAM]],Sheet1!$A$12:$A$17,Sheet1!$G$12:$G$17)</f>
        <v>6082800</v>
      </c>
      <c r="D1863" t="s">
        <v>17</v>
      </c>
      <c r="E1863" s="4">
        <f>_xlfn.XLOOKUP(Table1[[#This Row], [ROOM]],Sheet1!$A$47:$A$66,Sheet1!$B$47:$B$66)</f>
        <v>125</v>
      </c>
      <c r="F1863" t="s">
        <v>62</v>
      </c>
      <c r="G186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3" s="13" t="s">
        <v>59</v>
      </c>
      <c r="I1863" s="4">
        <f>_xlfn.XLOOKUP(Table1[[#This Row], [WEAPON]],Sheet1!$A$27:$A$29,Sheet1!$B$27:$B$29)*Table1[[#This Row], [NUM OF MEM]]*(1+_xlfn.XLOOKUP(Table1[[#This Row], [WEAPON]],Sheet1!$A$27:$A$29,Sheet1!$C$27:$C$29))</f>
        <v>91000</v>
      </c>
      <c r="J1863" t="s">
        <v>64</v>
      </c>
      <c r="K1863" s="9">
        <f>Table1[[#This Row], [NUM OF MEM]]*Table1[[#This Row], [TOTAL TIME TAKEN]]*_xlfn.XLOOKUP(Table1[[#This Row], [EXIT]],Sheet1!$A$70:$A$71,Sheet1!$B$70:$B$71)*(1+_xlfn.XLOOKUP(Table1[[#This Row], [EXIT]],Sheet1!$A$70:$A$71,Sheet1!$C$70:$C$71))</f>
        <v>1726045.1999999997</v>
      </c>
      <c r="L1863" s="13" t="s">
        <v>61</v>
      </c>
      <c r="M1863" s="4">
        <f>IF(Table1[[#This Row], [EQUIPMENT]]="YES",Sheet1!$C$44*(1+Sheet1!$D$44),0)</f>
        <v>0</v>
      </c>
      <c r="N1863" s="4">
        <f>_xlfn.XLOOKUP(Table1[[#This Row], [ROOM]],Sheet1!$A$47:$A$66,Sheet1!$F$47:$F$66)</f>
        <v>17350000</v>
      </c>
      <c r="O1863" s="9">
        <f>_xlfn.XLOOKUP(_xlfn.CONCAT(Table1[[#This Row], [TEAM]],Table1[[#This Row], [ROOM]]),'ROOM TIME'!$H$2:$H$121,'ROOM TIME'!$J$2:$J$121)</f>
        <v>60.841249999999988</v>
      </c>
      <c r="P1863" s="9">
        <f>(INDEX(Sheet1!$X$48:$Z$67,MATCH(Table1[[#This Row], [ROOM]],Sheet1!$P$48:$P$67,0),MATCH(Table1[[#This Row], [WEAPON]],Sheet1!$X$47:$Z$47,0)))/Table1[[#This Row], [NUM OF MEM]]</f>
        <v>5.75</v>
      </c>
      <c r="Q1863" s="9">
        <f>Table1[[#This Row], [ROOM TIME]]+Table1[[#This Row], [GUARD TIME]]</f>
        <v>66.591249999999988</v>
      </c>
      <c r="R1863" s="4">
        <f>Sheet1!$K$3*_xlfn.XLOOKUP(Table1[[#This Row], [DISGUISE]],Sheet1!$A$21:$A$23,Sheet1!$D$21:$D$23)</f>
        <v>66</v>
      </c>
      <c r="S1863" s="9">
        <f>Table1[[#This Row], [TOTAL TIME]]-Table1[[#This Row], [TOTAL TIME TAKEN]]</f>
        <v>-0.59124999999998806</v>
      </c>
      <c r="T1863" t="str">
        <f>IF(Table1[[#This Row], [TIME DIFFERENCE]]&gt;=0,"PASS","FAIL")</f>
        <v>FAIL</v>
      </c>
      <c r="U1863" s="9">
        <f>Table1[[#This Row], [TRC]]+Table1[[#This Row], [DRC]]+Table1[[#This Row], [WRC]]+Table1[[#This Row], [ERC]]+Table1[[#This Row], [EQRC]]</f>
        <v>7910245.1999999993</v>
      </c>
      <c r="V1863" s="9">
        <f>Table1[[#This Row], [TOTAL COST]]+_xlfn.XLOOKUP(Table1[[#This Row], [TEAM]],Sheet1!$A$12:$A$17,Sheet1!$I$12:$I$17)</f>
        <v>8214385.1999999993</v>
      </c>
      <c r="W1863" s="9">
        <f>Table1[[#This Row], [LOOT]]-Table1[[#This Row], [TOTAL COST]]</f>
        <v>9439754.8000000007</v>
      </c>
      <c r="X1863" s="4">
        <f>IF(Table1[[#This Row], [PASS/FAIL]]="FAIL",0,Table1[[#This Row], [PROFIT]])</f>
        <v>0</v>
      </c>
    </row>
    <row r="1864" spans="1:24" ht="19.5" customHeight="1" x14ac:dyDescent="0.45">
      <c r="A1864" t="s">
        <v>16</v>
      </c>
      <c r="B1864" s="14">
        <f>_xlfn.XLOOKUP(Table1[[#This Row], [TEAM]],Sheet1!$A$12:$A$17,Sheet1!$F$12:$F$17)</f>
        <v>2</v>
      </c>
      <c r="C1864" s="14">
        <f>_xlfn.XLOOKUP(Table1[[#This Row], [TEAM]],Sheet1!$A$12:$A$17,Sheet1!$G$12:$G$17)</f>
        <v>6082800</v>
      </c>
      <c r="D1864" t="s">
        <v>17</v>
      </c>
      <c r="E1864" s="4">
        <f>_xlfn.XLOOKUP(Table1[[#This Row], [ROOM]],Sheet1!$A$47:$A$66,Sheet1!$B$47:$B$66)</f>
        <v>125</v>
      </c>
      <c r="F1864" t="s">
        <v>62</v>
      </c>
      <c r="G186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4" s="13" t="s">
        <v>59</v>
      </c>
      <c r="I1864" s="4">
        <f>_xlfn.XLOOKUP(Table1[[#This Row], [WEAPON]],Sheet1!$A$27:$A$29,Sheet1!$B$27:$B$29)*Table1[[#This Row], [NUM OF MEM]]*(1+_xlfn.XLOOKUP(Table1[[#This Row], [WEAPON]],Sheet1!$A$27:$A$29,Sheet1!$C$27:$C$29))</f>
        <v>91000</v>
      </c>
      <c r="J1864" t="s">
        <v>60</v>
      </c>
      <c r="K1864" s="9">
        <f>Table1[[#This Row], [NUM OF MEM]]*Table1[[#This Row], [TOTAL TIME TAKEN]]*_xlfn.XLOOKUP(Table1[[#This Row], [EXIT]],Sheet1!$A$70:$A$71,Sheet1!$B$70:$B$71)*(1+_xlfn.XLOOKUP(Table1[[#This Row], [EXIT]],Sheet1!$A$70:$A$71,Sheet1!$C$70:$C$71))</f>
        <v>1709064.4312499997</v>
      </c>
      <c r="L1864" s="13" t="s">
        <v>65</v>
      </c>
      <c r="M1864" s="4">
        <f>IF(Table1[[#This Row], [EQUIPMENT]]="YES",Sheet1!$C$44*(1+Sheet1!$D$44),0)</f>
        <v>307500</v>
      </c>
      <c r="N1864" s="4">
        <f>_xlfn.XLOOKUP(Table1[[#This Row], [ROOM]],Sheet1!$A$47:$A$66,Sheet1!$F$47:$F$66)</f>
        <v>17350000</v>
      </c>
      <c r="O1864" s="9">
        <f>_xlfn.XLOOKUP(_xlfn.CONCAT(Table1[[#This Row], [TEAM]],Table1[[#This Row], [ROOM]]),'ROOM TIME'!$H$2:$H$121,'ROOM TIME'!$J$2:$J$121)</f>
        <v>60.841249999999988</v>
      </c>
      <c r="P1864" s="9">
        <f>(INDEX(Sheet1!$X$48:$Z$67,MATCH(Table1[[#This Row], [ROOM]],Sheet1!$P$48:$P$67,0),MATCH(Table1[[#This Row], [WEAPON]],Sheet1!$X$47:$Z$47,0)))/Table1[[#This Row], [NUM OF MEM]]</f>
        <v>5.75</v>
      </c>
      <c r="Q1864" s="9">
        <f>Table1[[#This Row], [ROOM TIME]]+Table1[[#This Row], [GUARD TIME]]</f>
        <v>66.591249999999988</v>
      </c>
      <c r="R1864" s="4">
        <f>Sheet1!$K$3*_xlfn.XLOOKUP(Table1[[#This Row], [DISGUISE]],Sheet1!$A$21:$A$23,Sheet1!$D$21:$D$23)</f>
        <v>66</v>
      </c>
      <c r="S1864" s="9">
        <f>Table1[[#This Row], [TOTAL TIME]]-Table1[[#This Row], [TOTAL TIME TAKEN]]</f>
        <v>-0.59124999999998806</v>
      </c>
      <c r="T1864" t="str">
        <f>IF(Table1[[#This Row], [TIME DIFFERENCE]]&gt;=0,"PASS","FAIL")</f>
        <v>FAIL</v>
      </c>
      <c r="U1864" s="9">
        <f>Table1[[#This Row], [TRC]]+Table1[[#This Row], [DRC]]+Table1[[#This Row], [WRC]]+Table1[[#This Row], [ERC]]+Table1[[#This Row], [EQRC]]</f>
        <v>8200764.4312499994</v>
      </c>
      <c r="V1864" s="9">
        <f>Table1[[#This Row], [TOTAL COST]]+_xlfn.XLOOKUP(Table1[[#This Row], [TEAM]],Sheet1!$A$12:$A$17,Sheet1!$I$12:$I$17)</f>
        <v>8504904.4312499985</v>
      </c>
      <c r="W1864" s="9">
        <f>Table1[[#This Row], [LOOT]]-Table1[[#This Row], [TOTAL COST]]</f>
        <v>9149235.5687500015</v>
      </c>
      <c r="X1864" s="4">
        <f>IF(Table1[[#This Row], [PASS/FAIL]]="FAIL",0,Table1[[#This Row], [PROFIT]])</f>
        <v>0</v>
      </c>
    </row>
    <row r="1865" spans="1:24" ht="19.5" customHeight="1" x14ac:dyDescent="0.45">
      <c r="A1865" t="s">
        <v>16</v>
      </c>
      <c r="B1865" s="14">
        <f>_xlfn.XLOOKUP(Table1[[#This Row], [TEAM]],Sheet1!$A$12:$A$17,Sheet1!$F$12:$F$17)</f>
        <v>2</v>
      </c>
      <c r="C1865" s="14">
        <f>_xlfn.XLOOKUP(Table1[[#This Row], [TEAM]],Sheet1!$A$12:$A$17,Sheet1!$G$12:$G$17)</f>
        <v>6082800</v>
      </c>
      <c r="D1865" t="s">
        <v>17</v>
      </c>
      <c r="E1865" s="4">
        <f>_xlfn.XLOOKUP(Table1[[#This Row], [ROOM]],Sheet1!$A$47:$A$66,Sheet1!$B$47:$B$66)</f>
        <v>125</v>
      </c>
      <c r="F1865" t="s">
        <v>62</v>
      </c>
      <c r="G186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5" s="13" t="s">
        <v>63</v>
      </c>
      <c r="I1865" s="4">
        <f>_xlfn.XLOOKUP(Table1[[#This Row], [WEAPON]],Sheet1!$A$27:$A$29,Sheet1!$B$27:$B$29)*Table1[[#This Row], [NUM OF MEM]]*(1+_xlfn.XLOOKUP(Table1[[#This Row], [WEAPON]],Sheet1!$A$27:$A$29,Sheet1!$C$27:$C$29))</f>
        <v>46000</v>
      </c>
      <c r="J1865" t="s">
        <v>60</v>
      </c>
      <c r="K1865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1734729.4312499997</v>
      </c>
      <c r="L1865" s="13" t="s">
        <v>61</v>
      </c>
      <c r="M1865" s="4">
        <f>IF(Table1[[#This Row], [EQUIPMENT]]="YES",Sheet1!$C$44*(1+Sheet1!$D$44),0)</f>
        <v>0</v>
      </c>
      <c r="N1865" s="4">
        <f>_xlfn.XLOOKUP(Table1[[#This Row], [ROOM]],Sheet1!$A$47:$A$66,Sheet1!$F$47:$F$66)</f>
        <v>17350000</v>
      </c>
      <c r="O1865" s="9">
        <f>_xlfn.XLOOKUP(_xlfn.CONCAT(Table1[[#This Row], [TEAM]],Table1[[#This Row], [ROOM]]),'ROOM TIME'!$H$2:$H$121,'ROOM TIME'!$J$2:$J$121)</f>
        <v>60.841249999999988</v>
      </c>
      <c r="P1865" s="9">
        <f>(INDEX(Sheet1!$X$48:$Z$67,MATCH(Table1[[#This Row], [ROOM]],Sheet1!$P$48:$P$67,0),MATCH(Table1[[#This Row], [WEAPON]],Sheet1!$X$47:$Z$47,0)))/Table1[[#This Row], [NUM OF MEM]]</f>
        <v>6.75</v>
      </c>
      <c r="Q1865" s="9">
        <f>Table1[[#This Row], [ROOM TIME]]+Table1[[#This Row], [GUARD TIME]]</f>
        <v>67.591249999999988</v>
      </c>
      <c r="R1865" s="4">
        <f>Sheet1!$K$3*_xlfn.XLOOKUP(Table1[[#This Row], [DISGUISE]],Sheet1!$A$21:$A$23,Sheet1!$D$21:$D$23)</f>
        <v>66</v>
      </c>
      <c r="S1865" s="9">
        <f>Table1[[#This Row], [TOTAL TIME]]-Table1[[#This Row], [TOTAL TIME TAKEN]]</f>
        <v>-1.5912499999999881</v>
      </c>
      <c r="T1865" t="str">
        <f>IF(Table1[[#This Row], [TIME DIFFERENCE]]&gt;=0,"PASS","FAIL")</f>
        <v>FAIL</v>
      </c>
      <c r="U1865" s="9">
        <f>Table1[[#This Row], [TRC]]+Table1[[#This Row], [DRC]]+Table1[[#This Row], [WRC]]+Table1[[#This Row], [ERC]]+Table1[[#This Row], [EQRC]]</f>
        <v>7873929.4312499994</v>
      </c>
      <c r="V1865" s="9">
        <f>Table1[[#This Row], [TOTAL COST]]+_xlfn.XLOOKUP(Table1[[#This Row], [TEAM]],Sheet1!$A$12:$A$17,Sheet1!$I$12:$I$17)</f>
        <v>8178069.4312499994</v>
      </c>
      <c r="W1865" s="9">
        <f>Table1[[#This Row], [LOOT]]-Table1[[#This Row], [TOTAL COST]]</f>
        <v>9476070.5687500015</v>
      </c>
      <c r="X1865" s="4">
        <f>IF(Table1[[#This Row], [PASS/FAIL]]="FAIL",0,Table1[[#This Row], [PROFIT]])</f>
        <v>0</v>
      </c>
    </row>
    <row r="1866" spans="1:24" ht="19.5" customHeight="1" x14ac:dyDescent="0.45">
      <c r="A1866" t="s">
        <v>16</v>
      </c>
      <c r="B1866" s="14">
        <f>_xlfn.XLOOKUP(Table1[[#This Row], [TEAM]],Sheet1!$A$12:$A$17,Sheet1!$F$12:$F$17)</f>
        <v>2</v>
      </c>
      <c r="C1866" s="14">
        <f>_xlfn.XLOOKUP(Table1[[#This Row], [TEAM]],Sheet1!$A$12:$A$17,Sheet1!$G$12:$G$17)</f>
        <v>6082800</v>
      </c>
      <c r="D1866" t="s">
        <v>17</v>
      </c>
      <c r="E1866" s="4">
        <f>_xlfn.XLOOKUP(Table1[[#This Row], [ROOM]],Sheet1!$A$47:$A$66,Sheet1!$B$47:$B$66)</f>
        <v>125</v>
      </c>
      <c r="F1866" t="s">
        <v>62</v>
      </c>
      <c r="G186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6" s="13" t="s">
        <v>59</v>
      </c>
      <c r="I1866" s="4">
        <f>_xlfn.XLOOKUP(Table1[[#This Row], [WEAPON]],Sheet1!$A$27:$A$29,Sheet1!$B$27:$B$29)*Table1[[#This Row], [NUM OF MEM]]*(1+_xlfn.XLOOKUP(Table1[[#This Row], [WEAPON]],Sheet1!$A$27:$A$29,Sheet1!$C$27:$C$29))</f>
        <v>91000</v>
      </c>
      <c r="J1866" t="s">
        <v>64</v>
      </c>
      <c r="K1866" s="9">
        <f>Table1[[#This Row], [NUM OF MEM]]*Table1[[#This Row], [TOTAL TIME TAKEN]]*_xlfn.XLOOKUP(Table1[[#This Row], [EXIT]],Sheet1!$A$70:$A$71,Sheet1!$B$70:$B$71)*(1+_xlfn.XLOOKUP(Table1[[#This Row], [EXIT]],Sheet1!$A$70:$A$71,Sheet1!$C$70:$C$71))</f>
        <v>1726045.1999999997</v>
      </c>
      <c r="L1866" s="13" t="s">
        <v>65</v>
      </c>
      <c r="M1866" s="4">
        <f>IF(Table1[[#This Row], [EQUIPMENT]]="YES",Sheet1!$C$44*(1+Sheet1!$D$44),0)</f>
        <v>307500</v>
      </c>
      <c r="N1866" s="4">
        <f>_xlfn.XLOOKUP(Table1[[#This Row], [ROOM]],Sheet1!$A$47:$A$66,Sheet1!$F$47:$F$66)</f>
        <v>17350000</v>
      </c>
      <c r="O1866" s="9">
        <f>_xlfn.XLOOKUP(_xlfn.CONCAT(Table1[[#This Row], [TEAM]],Table1[[#This Row], [ROOM]]),'ROOM TIME'!$H$2:$H$121,'ROOM TIME'!$J$2:$J$121)</f>
        <v>60.841249999999988</v>
      </c>
      <c r="P1866" s="9">
        <f>(INDEX(Sheet1!$X$48:$Z$67,MATCH(Table1[[#This Row], [ROOM]],Sheet1!$P$48:$P$67,0),MATCH(Table1[[#This Row], [WEAPON]],Sheet1!$X$47:$Z$47,0)))/Table1[[#This Row], [NUM OF MEM]]</f>
        <v>5.75</v>
      </c>
      <c r="Q1866" s="9">
        <f>Table1[[#This Row], [ROOM TIME]]+Table1[[#This Row], [GUARD TIME]]</f>
        <v>66.591249999999988</v>
      </c>
      <c r="R1866" s="4">
        <f>Sheet1!$K$3*_xlfn.XLOOKUP(Table1[[#This Row], [DISGUISE]],Sheet1!$A$21:$A$23,Sheet1!$D$21:$D$23)</f>
        <v>66</v>
      </c>
      <c r="S1866" s="9">
        <f>Table1[[#This Row], [TOTAL TIME]]-Table1[[#This Row], [TOTAL TIME TAKEN]]</f>
        <v>-0.59124999999998806</v>
      </c>
      <c r="T1866" t="str">
        <f>IF(Table1[[#This Row], [TIME DIFFERENCE]]&gt;=0,"PASS","FAIL")</f>
        <v>FAIL</v>
      </c>
      <c r="U1866" s="9">
        <f>Table1[[#This Row], [TRC]]+Table1[[#This Row], [DRC]]+Table1[[#This Row], [WRC]]+Table1[[#This Row], [ERC]]+Table1[[#This Row], [EQRC]]</f>
        <v>8217745.1999999993</v>
      </c>
      <c r="V1866" s="9">
        <f>Table1[[#This Row], [TOTAL COST]]+_xlfn.XLOOKUP(Table1[[#This Row], [TEAM]],Sheet1!$A$12:$A$17,Sheet1!$I$12:$I$17)</f>
        <v>8521885.1999999993</v>
      </c>
      <c r="W1866" s="9">
        <f>Table1[[#This Row], [LOOT]]-Table1[[#This Row], [TOTAL COST]]</f>
        <v>9132254.8000000007</v>
      </c>
      <c r="X1866" s="4">
        <f>IF(Table1[[#This Row], [PASS/FAIL]]="FAIL",0,Table1[[#This Row], [PROFIT]])</f>
        <v>0</v>
      </c>
    </row>
    <row r="1867" spans="1:24" ht="19.5" customHeight="1" x14ac:dyDescent="0.45">
      <c r="A1867" t="s">
        <v>16</v>
      </c>
      <c r="B1867" s="14">
        <f>_xlfn.XLOOKUP(Table1[[#This Row], [TEAM]],Sheet1!$A$12:$A$17,Sheet1!$F$12:$F$17)</f>
        <v>2</v>
      </c>
      <c r="C1867" s="14">
        <f>_xlfn.XLOOKUP(Table1[[#This Row], [TEAM]],Sheet1!$A$12:$A$17,Sheet1!$G$12:$G$17)</f>
        <v>6082800</v>
      </c>
      <c r="D1867" t="s">
        <v>17</v>
      </c>
      <c r="E1867" s="4">
        <f>_xlfn.XLOOKUP(Table1[[#This Row], [ROOM]],Sheet1!$A$47:$A$66,Sheet1!$B$47:$B$66)</f>
        <v>125</v>
      </c>
      <c r="F1867" t="s">
        <v>62</v>
      </c>
      <c r="G186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7" s="13" t="s">
        <v>63</v>
      </c>
      <c r="I1867" s="4">
        <f>_xlfn.XLOOKUP(Table1[[#This Row], [WEAPON]],Sheet1!$A$27:$A$29,Sheet1!$B$27:$B$29)*Table1[[#This Row], [NUM OF MEM]]*(1+_xlfn.XLOOKUP(Table1[[#This Row], [WEAPON]],Sheet1!$A$27:$A$29,Sheet1!$C$27:$C$29))</f>
        <v>46000</v>
      </c>
      <c r="J1867" t="s">
        <v>64</v>
      </c>
      <c r="K1867" s="9">
        <f>Table1[[#This Row], [NUM OF MEM]]*Table1[[#This Row], [TOTAL TIME TAKEN]]*_xlfn.XLOOKUP(Table1[[#This Row], [EXIT]],Sheet1!$A$70:$A$71,Sheet1!$B$70:$B$71)*(1+_xlfn.XLOOKUP(Table1[[#This Row], [EXIT]],Sheet1!$A$70:$A$71,Sheet1!$C$70:$C$71))</f>
        <v>1751965.1999999997</v>
      </c>
      <c r="L1867" s="13" t="s">
        <v>61</v>
      </c>
      <c r="M1867" s="4">
        <f>IF(Table1[[#This Row], [EQUIPMENT]]="YES",Sheet1!$C$44*(1+Sheet1!$D$44),0)</f>
        <v>0</v>
      </c>
      <c r="N1867" s="4">
        <f>_xlfn.XLOOKUP(Table1[[#This Row], [ROOM]],Sheet1!$A$47:$A$66,Sheet1!$F$47:$F$66)</f>
        <v>17350000</v>
      </c>
      <c r="O1867" s="9">
        <f>_xlfn.XLOOKUP(_xlfn.CONCAT(Table1[[#This Row], [TEAM]],Table1[[#This Row], [ROOM]]),'ROOM TIME'!$H$2:$H$121,'ROOM TIME'!$J$2:$J$121)</f>
        <v>60.841249999999988</v>
      </c>
      <c r="P1867" s="9">
        <f>(INDEX(Sheet1!$X$48:$Z$67,MATCH(Table1[[#This Row], [ROOM]],Sheet1!$P$48:$P$67,0),MATCH(Table1[[#This Row], [WEAPON]],Sheet1!$X$47:$Z$47,0)))/Table1[[#This Row], [NUM OF MEM]]</f>
        <v>6.75</v>
      </c>
      <c r="Q1867" s="9">
        <f>Table1[[#This Row], [ROOM TIME]]+Table1[[#This Row], [GUARD TIME]]</f>
        <v>67.591249999999988</v>
      </c>
      <c r="R1867" s="4">
        <f>Sheet1!$K$3*_xlfn.XLOOKUP(Table1[[#This Row], [DISGUISE]],Sheet1!$A$21:$A$23,Sheet1!$D$21:$D$23)</f>
        <v>66</v>
      </c>
      <c r="S1867" s="9">
        <f>Table1[[#This Row], [TOTAL TIME]]-Table1[[#This Row], [TOTAL TIME TAKEN]]</f>
        <v>-1.5912499999999881</v>
      </c>
      <c r="T1867" t="str">
        <f>IF(Table1[[#This Row], [TIME DIFFERENCE]]&gt;=0,"PASS","FAIL")</f>
        <v>FAIL</v>
      </c>
      <c r="U1867" s="9">
        <f>Table1[[#This Row], [TRC]]+Table1[[#This Row], [DRC]]+Table1[[#This Row], [WRC]]+Table1[[#This Row], [ERC]]+Table1[[#This Row], [EQRC]]</f>
        <v>7891165.1999999993</v>
      </c>
      <c r="V1867" s="9">
        <f>Table1[[#This Row], [TOTAL COST]]+_xlfn.XLOOKUP(Table1[[#This Row], [TEAM]],Sheet1!$A$12:$A$17,Sheet1!$I$12:$I$17)</f>
        <v>8195305.1999999993</v>
      </c>
      <c r="W1867" s="9">
        <f>Table1[[#This Row], [LOOT]]-Table1[[#This Row], [TOTAL COST]]</f>
        <v>9458834.8000000007</v>
      </c>
      <c r="X1867" s="4">
        <f>IF(Table1[[#This Row], [PASS/FAIL]]="FAIL",0,Table1[[#This Row], [PROFIT]])</f>
        <v>0</v>
      </c>
    </row>
    <row r="1868" spans="1:24" ht="19.5" customHeight="1" x14ac:dyDescent="0.45">
      <c r="A1868" t="s">
        <v>16</v>
      </c>
      <c r="B1868" s="14">
        <f>_xlfn.XLOOKUP(Table1[[#This Row], [TEAM]],Sheet1!$A$12:$A$17,Sheet1!$F$12:$F$17)</f>
        <v>2</v>
      </c>
      <c r="C1868" s="14">
        <f>_xlfn.XLOOKUP(Table1[[#This Row], [TEAM]],Sheet1!$A$12:$A$17,Sheet1!$G$12:$G$17)</f>
        <v>6082800</v>
      </c>
      <c r="D1868" t="s">
        <v>17</v>
      </c>
      <c r="E1868" s="4">
        <f>_xlfn.XLOOKUP(Table1[[#This Row], [ROOM]],Sheet1!$A$47:$A$66,Sheet1!$B$47:$B$66)</f>
        <v>125</v>
      </c>
      <c r="F1868" t="s">
        <v>62</v>
      </c>
      <c r="G186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8" s="13" t="s">
        <v>63</v>
      </c>
      <c r="I1868" s="4">
        <f>_xlfn.XLOOKUP(Table1[[#This Row], [WEAPON]],Sheet1!$A$27:$A$29,Sheet1!$B$27:$B$29)*Table1[[#This Row], [NUM OF MEM]]*(1+_xlfn.XLOOKUP(Table1[[#This Row], [WEAPON]],Sheet1!$A$27:$A$29,Sheet1!$C$27:$C$29))</f>
        <v>46000</v>
      </c>
      <c r="J1868" t="s">
        <v>60</v>
      </c>
      <c r="K1868" s="9">
        <f>Table1[[#This Row], [NUM OF MEM]]*Table1[[#This Row], [TOTAL TIME TAKEN]]*_xlfn.XLOOKUP(Table1[[#This Row], [EXIT]],Sheet1!$A$70:$A$71,Sheet1!$B$70:$B$71)*(1+_xlfn.XLOOKUP(Table1[[#This Row], [EXIT]],Sheet1!$A$70:$A$71,Sheet1!$C$70:$C$71))</f>
        <v>1734729.4312499997</v>
      </c>
      <c r="L1868" s="13" t="s">
        <v>65</v>
      </c>
      <c r="M1868" s="4">
        <f>IF(Table1[[#This Row], [EQUIPMENT]]="YES",Sheet1!$C$44*(1+Sheet1!$D$44),0)</f>
        <v>307500</v>
      </c>
      <c r="N1868" s="4">
        <f>_xlfn.XLOOKUP(Table1[[#This Row], [ROOM]],Sheet1!$A$47:$A$66,Sheet1!$F$47:$F$66)</f>
        <v>17350000</v>
      </c>
      <c r="O1868" s="9">
        <f>_xlfn.XLOOKUP(_xlfn.CONCAT(Table1[[#This Row], [TEAM]],Table1[[#This Row], [ROOM]]),'ROOM TIME'!$H$2:$H$121,'ROOM TIME'!$J$2:$J$121)</f>
        <v>60.841249999999988</v>
      </c>
      <c r="P1868" s="9">
        <f>(INDEX(Sheet1!$X$48:$Z$67,MATCH(Table1[[#This Row], [ROOM]],Sheet1!$P$48:$P$67,0),MATCH(Table1[[#This Row], [WEAPON]],Sheet1!$X$47:$Z$47,0)))/Table1[[#This Row], [NUM OF MEM]]</f>
        <v>6.75</v>
      </c>
      <c r="Q1868" s="9">
        <f>Table1[[#This Row], [ROOM TIME]]+Table1[[#This Row], [GUARD TIME]]</f>
        <v>67.591249999999988</v>
      </c>
      <c r="R1868" s="4">
        <f>Sheet1!$K$3*_xlfn.XLOOKUP(Table1[[#This Row], [DISGUISE]],Sheet1!$A$21:$A$23,Sheet1!$D$21:$D$23)</f>
        <v>66</v>
      </c>
      <c r="S1868" s="9">
        <f>Table1[[#This Row], [TOTAL TIME]]-Table1[[#This Row], [TOTAL TIME TAKEN]]</f>
        <v>-1.5912499999999881</v>
      </c>
      <c r="T1868" t="str">
        <f>IF(Table1[[#This Row], [TIME DIFFERENCE]]&gt;=0,"PASS","FAIL")</f>
        <v>FAIL</v>
      </c>
      <c r="U1868" s="9">
        <f>Table1[[#This Row], [TRC]]+Table1[[#This Row], [DRC]]+Table1[[#This Row], [WRC]]+Table1[[#This Row], [ERC]]+Table1[[#This Row], [EQRC]]</f>
        <v>8181429.4312499994</v>
      </c>
      <c r="V1868" s="9">
        <f>Table1[[#This Row], [TOTAL COST]]+_xlfn.XLOOKUP(Table1[[#This Row], [TEAM]],Sheet1!$A$12:$A$17,Sheet1!$I$12:$I$17)</f>
        <v>8485569.4312499985</v>
      </c>
      <c r="W1868" s="9">
        <f>Table1[[#This Row], [LOOT]]-Table1[[#This Row], [TOTAL COST]]</f>
        <v>9168570.5687500015</v>
      </c>
      <c r="X1868" s="4">
        <f>IF(Table1[[#This Row], [PASS/FAIL]]="FAIL",0,Table1[[#This Row], [PROFIT]])</f>
        <v>0</v>
      </c>
    </row>
    <row r="1869" spans="1:24" ht="19.5" customHeight="1" x14ac:dyDescent="0.45">
      <c r="A1869" t="s">
        <v>16</v>
      </c>
      <c r="B1869" s="14">
        <f>_xlfn.XLOOKUP(Table1[[#This Row], [TEAM]],Sheet1!$A$12:$A$17,Sheet1!$F$12:$F$17)</f>
        <v>2</v>
      </c>
      <c r="C1869" s="14">
        <f>_xlfn.XLOOKUP(Table1[[#This Row], [TEAM]],Sheet1!$A$12:$A$17,Sheet1!$G$12:$G$17)</f>
        <v>6082800</v>
      </c>
      <c r="D1869" t="s">
        <v>17</v>
      </c>
      <c r="E1869" s="4">
        <f>_xlfn.XLOOKUP(Table1[[#This Row], [ROOM]],Sheet1!$A$47:$A$66,Sheet1!$B$47:$B$66)</f>
        <v>125</v>
      </c>
      <c r="F1869" t="s">
        <v>62</v>
      </c>
      <c r="G186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69" s="13" t="s">
        <v>63</v>
      </c>
      <c r="I1869" s="4">
        <f>_xlfn.XLOOKUP(Table1[[#This Row], [WEAPON]],Sheet1!$A$27:$A$29,Sheet1!$B$27:$B$29)*Table1[[#This Row], [NUM OF MEM]]*(1+_xlfn.XLOOKUP(Table1[[#This Row], [WEAPON]],Sheet1!$A$27:$A$29,Sheet1!$C$27:$C$29))</f>
        <v>46000</v>
      </c>
      <c r="J1869" t="s">
        <v>64</v>
      </c>
      <c r="K1869" s="9">
        <f>Table1[[#This Row], [NUM OF MEM]]*Table1[[#This Row], [TOTAL TIME TAKEN]]*_xlfn.XLOOKUP(Table1[[#This Row], [EXIT]],Sheet1!$A$70:$A$71,Sheet1!$B$70:$B$71)*(1+_xlfn.XLOOKUP(Table1[[#This Row], [EXIT]],Sheet1!$A$70:$A$71,Sheet1!$C$70:$C$71))</f>
        <v>1751965.1999999997</v>
      </c>
      <c r="L1869" s="13" t="s">
        <v>65</v>
      </c>
      <c r="M1869" s="4">
        <f>IF(Table1[[#This Row], [EQUIPMENT]]="YES",Sheet1!$C$44*(1+Sheet1!$D$44),0)</f>
        <v>307500</v>
      </c>
      <c r="N1869" s="4">
        <f>_xlfn.XLOOKUP(Table1[[#This Row], [ROOM]],Sheet1!$A$47:$A$66,Sheet1!$F$47:$F$66)</f>
        <v>17350000</v>
      </c>
      <c r="O1869" s="9">
        <f>_xlfn.XLOOKUP(_xlfn.CONCAT(Table1[[#This Row], [TEAM]],Table1[[#This Row], [ROOM]]),'ROOM TIME'!$H$2:$H$121,'ROOM TIME'!$J$2:$J$121)</f>
        <v>60.841249999999988</v>
      </c>
      <c r="P1869" s="9">
        <f>(INDEX(Sheet1!$X$48:$Z$67,MATCH(Table1[[#This Row], [ROOM]],Sheet1!$P$48:$P$67,0),MATCH(Table1[[#This Row], [WEAPON]],Sheet1!$X$47:$Z$47,0)))/Table1[[#This Row], [NUM OF MEM]]</f>
        <v>6.75</v>
      </c>
      <c r="Q1869" s="9">
        <f>Table1[[#This Row], [ROOM TIME]]+Table1[[#This Row], [GUARD TIME]]</f>
        <v>67.591249999999988</v>
      </c>
      <c r="R1869" s="4">
        <f>Sheet1!$K$3*_xlfn.XLOOKUP(Table1[[#This Row], [DISGUISE]],Sheet1!$A$21:$A$23,Sheet1!$D$21:$D$23)</f>
        <v>66</v>
      </c>
      <c r="S1869" s="9">
        <f>Table1[[#This Row], [TOTAL TIME]]-Table1[[#This Row], [TOTAL TIME TAKEN]]</f>
        <v>-1.5912499999999881</v>
      </c>
      <c r="T1869" t="str">
        <f>IF(Table1[[#This Row], [TIME DIFFERENCE]]&gt;=0,"PASS","FAIL")</f>
        <v>FAIL</v>
      </c>
      <c r="U1869" s="9">
        <f>Table1[[#This Row], [TRC]]+Table1[[#This Row], [DRC]]+Table1[[#This Row], [WRC]]+Table1[[#This Row], [ERC]]+Table1[[#This Row], [EQRC]]</f>
        <v>8198665.1999999993</v>
      </c>
      <c r="V1869" s="9">
        <f>Table1[[#This Row], [TOTAL COST]]+_xlfn.XLOOKUP(Table1[[#This Row], [TEAM]],Sheet1!$A$12:$A$17,Sheet1!$I$12:$I$17)</f>
        <v>8502805.1999999993</v>
      </c>
      <c r="W1869" s="9">
        <f>Table1[[#This Row], [LOOT]]-Table1[[#This Row], [TOTAL COST]]</f>
        <v>9151334.8000000007</v>
      </c>
      <c r="X1869" s="4">
        <f>IF(Table1[[#This Row], [PASS/FAIL]]="FAIL",0,Table1[[#This Row], [PROFIT]])</f>
        <v>0</v>
      </c>
    </row>
    <row r="1870" spans="1:24" ht="19.5" customHeight="1" x14ac:dyDescent="0.45">
      <c r="A1870" t="s">
        <v>16</v>
      </c>
      <c r="B1870" s="14">
        <f>_xlfn.XLOOKUP(Table1[[#This Row], [TEAM]],Sheet1!$A$12:$A$17,Sheet1!$F$12:$F$17)</f>
        <v>2</v>
      </c>
      <c r="C1870" s="14">
        <f>_xlfn.XLOOKUP(Table1[[#This Row], [TEAM]],Sheet1!$A$12:$A$17,Sheet1!$G$12:$G$17)</f>
        <v>6082800</v>
      </c>
      <c r="D1870" t="s">
        <v>17</v>
      </c>
      <c r="E1870" s="4">
        <f>_xlfn.XLOOKUP(Table1[[#This Row], [ROOM]],Sheet1!$A$47:$A$66,Sheet1!$B$47:$B$66)</f>
        <v>125</v>
      </c>
      <c r="F1870" t="s">
        <v>62</v>
      </c>
      <c r="G187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0" s="13" t="s">
        <v>66</v>
      </c>
      <c r="I1870" s="4">
        <f>_xlfn.XLOOKUP(Table1[[#This Row], [WEAPON]],Sheet1!$A$27:$A$29,Sheet1!$B$27:$B$29)*Table1[[#This Row], [NUM OF MEM]]*(1+_xlfn.XLOOKUP(Table1[[#This Row], [WEAPON]],Sheet1!$A$27:$A$29,Sheet1!$C$27:$C$29))</f>
        <v>72000</v>
      </c>
      <c r="J1870" t="s">
        <v>60</v>
      </c>
      <c r="K1870" s="9">
        <f>Table1[[#This Row], [NUM OF MEM]]*Table1[[#This Row], [TOTAL TIME TAKEN]]*_xlfn.XLOOKUP(Table1[[#This Row], [EXIT]],Sheet1!$A$70:$A$71,Sheet1!$B$70:$B$71)*(1+_xlfn.XLOOKUP(Table1[[#This Row], [EXIT]],Sheet1!$A$70:$A$71,Sheet1!$C$70:$C$71))</f>
        <v>1721896.9312499997</v>
      </c>
      <c r="L1870" s="13" t="s">
        <v>61</v>
      </c>
      <c r="M1870" s="4">
        <f>IF(Table1[[#This Row], [EQUIPMENT]]="YES",Sheet1!$C$44*(1+Sheet1!$D$44),0)</f>
        <v>0</v>
      </c>
      <c r="N1870" s="4">
        <f>_xlfn.XLOOKUP(Table1[[#This Row], [ROOM]],Sheet1!$A$47:$A$66,Sheet1!$F$47:$F$66)</f>
        <v>17350000</v>
      </c>
      <c r="O1870" s="9">
        <f>_xlfn.XLOOKUP(_xlfn.CONCAT(Table1[[#This Row], [TEAM]],Table1[[#This Row], [ROOM]]),'ROOM TIME'!$H$2:$H$121,'ROOM TIME'!$J$2:$J$121)</f>
        <v>60.841249999999988</v>
      </c>
      <c r="P1870" s="9">
        <f>(INDEX(Sheet1!$X$48:$Z$67,MATCH(Table1[[#This Row], [ROOM]],Sheet1!$P$48:$P$67,0),MATCH(Table1[[#This Row], [WEAPON]],Sheet1!$X$47:$Z$47,0)))/Table1[[#This Row], [NUM OF MEM]]</f>
        <v>6.25</v>
      </c>
      <c r="Q1870" s="9">
        <f>Table1[[#This Row], [ROOM TIME]]+Table1[[#This Row], [GUARD TIME]]</f>
        <v>67.091249999999988</v>
      </c>
      <c r="R1870" s="4">
        <f>Sheet1!$K$3*_xlfn.XLOOKUP(Table1[[#This Row], [DISGUISE]],Sheet1!$A$21:$A$23,Sheet1!$D$21:$D$23)</f>
        <v>66</v>
      </c>
      <c r="S1870" s="9">
        <f>Table1[[#This Row], [TOTAL TIME]]-Table1[[#This Row], [TOTAL TIME TAKEN]]</f>
        <v>-1.0912499999999881</v>
      </c>
      <c r="T1870" t="str">
        <f>IF(Table1[[#This Row], [TIME DIFFERENCE]]&gt;=0,"PASS","FAIL")</f>
        <v>FAIL</v>
      </c>
      <c r="U1870" s="9">
        <f>Table1[[#This Row], [TRC]]+Table1[[#This Row], [DRC]]+Table1[[#This Row], [WRC]]+Table1[[#This Row], [ERC]]+Table1[[#This Row], [EQRC]]</f>
        <v>7887096.9312499994</v>
      </c>
      <c r="V1870" s="9">
        <f>Table1[[#This Row], [TOTAL COST]]+_xlfn.XLOOKUP(Table1[[#This Row], [TEAM]],Sheet1!$A$12:$A$17,Sheet1!$I$12:$I$17)</f>
        <v>8191236.9312499994</v>
      </c>
      <c r="W1870" s="9">
        <f>Table1[[#This Row], [LOOT]]-Table1[[#This Row], [TOTAL COST]]</f>
        <v>9462903.0687500015</v>
      </c>
      <c r="X1870" s="4">
        <f>IF(Table1[[#This Row], [PASS/FAIL]]="FAIL",0,Table1[[#This Row], [PROFIT]])</f>
        <v>0</v>
      </c>
    </row>
    <row r="1871" spans="1:24" ht="19.5" customHeight="1" x14ac:dyDescent="0.45">
      <c r="A1871" t="s">
        <v>16</v>
      </c>
      <c r="B1871" s="14">
        <f>_xlfn.XLOOKUP(Table1[[#This Row], [TEAM]],Sheet1!$A$12:$A$17,Sheet1!$F$12:$F$17)</f>
        <v>2</v>
      </c>
      <c r="C1871" s="14">
        <f>_xlfn.XLOOKUP(Table1[[#This Row], [TEAM]],Sheet1!$A$12:$A$17,Sheet1!$G$12:$G$17)</f>
        <v>6082800</v>
      </c>
      <c r="D1871" t="s">
        <v>17</v>
      </c>
      <c r="E1871" s="4">
        <f>_xlfn.XLOOKUP(Table1[[#This Row], [ROOM]],Sheet1!$A$47:$A$66,Sheet1!$B$47:$B$66)</f>
        <v>125</v>
      </c>
      <c r="F1871" t="s">
        <v>62</v>
      </c>
      <c r="G187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1" s="13" t="s">
        <v>66</v>
      </c>
      <c r="I1871" s="4">
        <f>_xlfn.XLOOKUP(Table1[[#This Row], [WEAPON]],Sheet1!$A$27:$A$29,Sheet1!$B$27:$B$29)*Table1[[#This Row], [NUM OF MEM]]*(1+_xlfn.XLOOKUP(Table1[[#This Row], [WEAPON]],Sheet1!$A$27:$A$29,Sheet1!$C$27:$C$29))</f>
        <v>72000</v>
      </c>
      <c r="J1871" t="s">
        <v>64</v>
      </c>
      <c r="K1871" s="9">
        <f>Table1[[#This Row], [NUM OF MEM]]*Table1[[#This Row], [TOTAL TIME TAKEN]]*_xlfn.XLOOKUP(Table1[[#This Row], [EXIT]],Sheet1!$A$70:$A$71,Sheet1!$B$70:$B$71)*(1+_xlfn.XLOOKUP(Table1[[#This Row], [EXIT]],Sheet1!$A$70:$A$71,Sheet1!$C$70:$C$71))</f>
        <v>1739005.1999999997</v>
      </c>
      <c r="L1871" s="13" t="s">
        <v>61</v>
      </c>
      <c r="M1871" s="4">
        <f>IF(Table1[[#This Row], [EQUIPMENT]]="YES",Sheet1!$C$44*(1+Sheet1!$D$44),0)</f>
        <v>0</v>
      </c>
      <c r="N1871" s="4">
        <f>_xlfn.XLOOKUP(Table1[[#This Row], [ROOM]],Sheet1!$A$47:$A$66,Sheet1!$F$47:$F$66)</f>
        <v>17350000</v>
      </c>
      <c r="O1871" s="9">
        <f>_xlfn.XLOOKUP(_xlfn.CONCAT(Table1[[#This Row], [TEAM]],Table1[[#This Row], [ROOM]]),'ROOM TIME'!$H$2:$H$121,'ROOM TIME'!$J$2:$J$121)</f>
        <v>60.841249999999988</v>
      </c>
      <c r="P1871" s="9">
        <f>(INDEX(Sheet1!$X$48:$Z$67,MATCH(Table1[[#This Row], [ROOM]],Sheet1!$P$48:$P$67,0),MATCH(Table1[[#This Row], [WEAPON]],Sheet1!$X$47:$Z$47,0)))/Table1[[#This Row], [NUM OF MEM]]</f>
        <v>6.25</v>
      </c>
      <c r="Q1871" s="9">
        <f>Table1[[#This Row], [ROOM TIME]]+Table1[[#This Row], [GUARD TIME]]</f>
        <v>67.091249999999988</v>
      </c>
      <c r="R1871" s="4">
        <f>Sheet1!$K$3*_xlfn.XLOOKUP(Table1[[#This Row], [DISGUISE]],Sheet1!$A$21:$A$23,Sheet1!$D$21:$D$23)</f>
        <v>66</v>
      </c>
      <c r="S1871" s="9">
        <f>Table1[[#This Row], [TOTAL TIME]]-Table1[[#This Row], [TOTAL TIME TAKEN]]</f>
        <v>-1.0912499999999881</v>
      </c>
      <c r="T1871" t="str">
        <f>IF(Table1[[#This Row], [TIME DIFFERENCE]]&gt;=0,"PASS","FAIL")</f>
        <v>FAIL</v>
      </c>
      <c r="U1871" s="9">
        <f>Table1[[#This Row], [TRC]]+Table1[[#This Row], [DRC]]+Table1[[#This Row], [WRC]]+Table1[[#This Row], [ERC]]+Table1[[#This Row], [EQRC]]</f>
        <v>7904205.1999999993</v>
      </c>
      <c r="V1871" s="9">
        <f>Table1[[#This Row], [TOTAL COST]]+_xlfn.XLOOKUP(Table1[[#This Row], [TEAM]],Sheet1!$A$12:$A$17,Sheet1!$I$12:$I$17)</f>
        <v>8208345.1999999993</v>
      </c>
      <c r="W1871" s="9">
        <f>Table1[[#This Row], [LOOT]]-Table1[[#This Row], [TOTAL COST]]</f>
        <v>9445794.8000000007</v>
      </c>
      <c r="X1871" s="4">
        <f>IF(Table1[[#This Row], [PASS/FAIL]]="FAIL",0,Table1[[#This Row], [PROFIT]])</f>
        <v>0</v>
      </c>
    </row>
    <row r="1872" spans="1:24" ht="19.5" customHeight="1" x14ac:dyDescent="0.45">
      <c r="A1872" t="s">
        <v>16</v>
      </c>
      <c r="B1872" s="14">
        <f>_xlfn.XLOOKUP(Table1[[#This Row], [TEAM]],Sheet1!$A$12:$A$17,Sheet1!$F$12:$F$17)</f>
        <v>2</v>
      </c>
      <c r="C1872" s="14">
        <f>_xlfn.XLOOKUP(Table1[[#This Row], [TEAM]],Sheet1!$A$12:$A$17,Sheet1!$G$12:$G$17)</f>
        <v>6082800</v>
      </c>
      <c r="D1872" t="s">
        <v>17</v>
      </c>
      <c r="E1872" s="4">
        <f>_xlfn.XLOOKUP(Table1[[#This Row], [ROOM]],Sheet1!$A$47:$A$66,Sheet1!$B$47:$B$66)</f>
        <v>125</v>
      </c>
      <c r="F1872" t="s">
        <v>62</v>
      </c>
      <c r="G187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2" s="13" t="s">
        <v>66</v>
      </c>
      <c r="I1872" s="4">
        <f>_xlfn.XLOOKUP(Table1[[#This Row], [WEAPON]],Sheet1!$A$27:$A$29,Sheet1!$B$27:$B$29)*Table1[[#This Row], [NUM OF MEM]]*(1+_xlfn.XLOOKUP(Table1[[#This Row], [WEAPON]],Sheet1!$A$27:$A$29,Sheet1!$C$27:$C$29))</f>
        <v>72000</v>
      </c>
      <c r="J1872" t="s">
        <v>60</v>
      </c>
      <c r="K1872" s="9">
        <f>Table1[[#This Row], [NUM OF MEM]]*Table1[[#This Row], [TOTAL TIME TAKEN]]*_xlfn.XLOOKUP(Table1[[#This Row], [EXIT]],Sheet1!$A$70:$A$71,Sheet1!$B$70:$B$71)*(1+_xlfn.XLOOKUP(Table1[[#This Row], [EXIT]],Sheet1!$A$70:$A$71,Sheet1!$C$70:$C$71))</f>
        <v>1721896.9312499997</v>
      </c>
      <c r="L1872" s="13" t="s">
        <v>65</v>
      </c>
      <c r="M1872" s="4">
        <f>IF(Table1[[#This Row], [EQUIPMENT]]="YES",Sheet1!$C$44*(1+Sheet1!$D$44),0)</f>
        <v>307500</v>
      </c>
      <c r="N1872" s="4">
        <f>_xlfn.XLOOKUP(Table1[[#This Row], [ROOM]],Sheet1!$A$47:$A$66,Sheet1!$F$47:$F$66)</f>
        <v>17350000</v>
      </c>
      <c r="O1872" s="9">
        <f>_xlfn.XLOOKUP(_xlfn.CONCAT(Table1[[#This Row], [TEAM]],Table1[[#This Row], [ROOM]]),'ROOM TIME'!$H$2:$H$121,'ROOM TIME'!$J$2:$J$121)</f>
        <v>60.841249999999988</v>
      </c>
      <c r="P1872" s="9">
        <f>(INDEX(Sheet1!$X$48:$Z$67,MATCH(Table1[[#This Row], [ROOM]],Sheet1!$P$48:$P$67,0),MATCH(Table1[[#This Row], [WEAPON]],Sheet1!$X$47:$Z$47,0)))/Table1[[#This Row], [NUM OF MEM]]</f>
        <v>6.25</v>
      </c>
      <c r="Q1872" s="9">
        <f>Table1[[#This Row], [ROOM TIME]]+Table1[[#This Row], [GUARD TIME]]</f>
        <v>67.091249999999988</v>
      </c>
      <c r="R1872" s="4">
        <f>Sheet1!$K$3*_xlfn.XLOOKUP(Table1[[#This Row], [DISGUISE]],Sheet1!$A$21:$A$23,Sheet1!$D$21:$D$23)</f>
        <v>66</v>
      </c>
      <c r="S1872" s="9">
        <f>Table1[[#This Row], [TOTAL TIME]]-Table1[[#This Row], [TOTAL TIME TAKEN]]</f>
        <v>-1.0912499999999881</v>
      </c>
      <c r="T1872" t="str">
        <f>IF(Table1[[#This Row], [TIME DIFFERENCE]]&gt;=0,"PASS","FAIL")</f>
        <v>FAIL</v>
      </c>
      <c r="U1872" s="9">
        <f>Table1[[#This Row], [TRC]]+Table1[[#This Row], [DRC]]+Table1[[#This Row], [WRC]]+Table1[[#This Row], [ERC]]+Table1[[#This Row], [EQRC]]</f>
        <v>8194596.9312499994</v>
      </c>
      <c r="V1872" s="9">
        <f>Table1[[#This Row], [TOTAL COST]]+_xlfn.XLOOKUP(Table1[[#This Row], [TEAM]],Sheet1!$A$12:$A$17,Sheet1!$I$12:$I$17)</f>
        <v>8498736.9312499985</v>
      </c>
      <c r="W1872" s="9">
        <f>Table1[[#This Row], [LOOT]]-Table1[[#This Row], [TOTAL COST]]</f>
        <v>9155403.0687500015</v>
      </c>
      <c r="X1872" s="4">
        <f>IF(Table1[[#This Row], [PASS/FAIL]]="FAIL",0,Table1[[#This Row], [PROFIT]])</f>
        <v>0</v>
      </c>
    </row>
    <row r="1873" spans="1:24" ht="19.5" customHeight="1" x14ac:dyDescent="0.45">
      <c r="A1873" t="s">
        <v>16</v>
      </c>
      <c r="B1873" s="14">
        <f>_xlfn.XLOOKUP(Table1[[#This Row], [TEAM]],Sheet1!$A$12:$A$17,Sheet1!$F$12:$F$17)</f>
        <v>2</v>
      </c>
      <c r="C1873" s="14">
        <f>_xlfn.XLOOKUP(Table1[[#This Row], [TEAM]],Sheet1!$A$12:$A$17,Sheet1!$G$12:$G$17)</f>
        <v>6082800</v>
      </c>
      <c r="D1873" t="s">
        <v>17</v>
      </c>
      <c r="E1873" s="4">
        <f>_xlfn.XLOOKUP(Table1[[#This Row], [ROOM]],Sheet1!$A$47:$A$66,Sheet1!$B$47:$B$66)</f>
        <v>125</v>
      </c>
      <c r="F1873" t="s">
        <v>62</v>
      </c>
      <c r="G187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3" s="13" t="s">
        <v>66</v>
      </c>
      <c r="I1873" s="4">
        <f>_xlfn.XLOOKUP(Table1[[#This Row], [WEAPON]],Sheet1!$A$27:$A$29,Sheet1!$B$27:$B$29)*Table1[[#This Row], [NUM OF MEM]]*(1+_xlfn.XLOOKUP(Table1[[#This Row], [WEAPON]],Sheet1!$A$27:$A$29,Sheet1!$C$27:$C$29))</f>
        <v>72000</v>
      </c>
      <c r="J1873" t="s">
        <v>64</v>
      </c>
      <c r="K1873" s="9">
        <f>Table1[[#This Row], [NUM OF MEM]]*Table1[[#This Row], [TOTAL TIME TAKEN]]*_xlfn.XLOOKUP(Table1[[#This Row], [EXIT]],Sheet1!$A$70:$A$71,Sheet1!$B$70:$B$71)*(1+_xlfn.XLOOKUP(Table1[[#This Row], [EXIT]],Sheet1!$A$70:$A$71,Sheet1!$C$70:$C$71))</f>
        <v>1739005.1999999997</v>
      </c>
      <c r="L1873" s="13" t="s">
        <v>65</v>
      </c>
      <c r="M1873" s="4">
        <f>IF(Table1[[#This Row], [EQUIPMENT]]="YES",Sheet1!$C$44*(1+Sheet1!$D$44),0)</f>
        <v>307500</v>
      </c>
      <c r="N1873" s="4">
        <f>_xlfn.XLOOKUP(Table1[[#This Row], [ROOM]],Sheet1!$A$47:$A$66,Sheet1!$F$47:$F$66)</f>
        <v>17350000</v>
      </c>
      <c r="O1873" s="9">
        <f>_xlfn.XLOOKUP(_xlfn.CONCAT(Table1[[#This Row], [TEAM]],Table1[[#This Row], [ROOM]]),'ROOM TIME'!$H$2:$H$121,'ROOM TIME'!$J$2:$J$121)</f>
        <v>60.841249999999988</v>
      </c>
      <c r="P1873" s="9">
        <f>(INDEX(Sheet1!$X$48:$Z$67,MATCH(Table1[[#This Row], [ROOM]],Sheet1!$P$48:$P$67,0),MATCH(Table1[[#This Row], [WEAPON]],Sheet1!$X$47:$Z$47,0)))/Table1[[#This Row], [NUM OF MEM]]</f>
        <v>6.25</v>
      </c>
      <c r="Q1873" s="9">
        <f>Table1[[#This Row], [ROOM TIME]]+Table1[[#This Row], [GUARD TIME]]</f>
        <v>67.091249999999988</v>
      </c>
      <c r="R1873" s="4">
        <f>Sheet1!$K$3*_xlfn.XLOOKUP(Table1[[#This Row], [DISGUISE]],Sheet1!$A$21:$A$23,Sheet1!$D$21:$D$23)</f>
        <v>66</v>
      </c>
      <c r="S1873" s="9">
        <f>Table1[[#This Row], [TOTAL TIME]]-Table1[[#This Row], [TOTAL TIME TAKEN]]</f>
        <v>-1.0912499999999881</v>
      </c>
      <c r="T1873" t="str">
        <f>IF(Table1[[#This Row], [TIME DIFFERENCE]]&gt;=0,"PASS","FAIL")</f>
        <v>FAIL</v>
      </c>
      <c r="U1873" s="9">
        <f>Table1[[#This Row], [TRC]]+Table1[[#This Row], [DRC]]+Table1[[#This Row], [WRC]]+Table1[[#This Row], [ERC]]+Table1[[#This Row], [EQRC]]</f>
        <v>8211705.1999999993</v>
      </c>
      <c r="V1873" s="9">
        <f>Table1[[#This Row], [TOTAL COST]]+_xlfn.XLOOKUP(Table1[[#This Row], [TEAM]],Sheet1!$A$12:$A$17,Sheet1!$I$12:$I$17)</f>
        <v>8515845.1999999993</v>
      </c>
      <c r="W1873" s="9">
        <f>Table1[[#This Row], [LOOT]]-Table1[[#This Row], [TOTAL COST]]</f>
        <v>9138294.8000000007</v>
      </c>
      <c r="X1873" s="4">
        <f>IF(Table1[[#This Row], [PASS/FAIL]]="FAIL",0,Table1[[#This Row], [PROFIT]])</f>
        <v>0</v>
      </c>
    </row>
    <row r="1874" spans="1:24" ht="19.5" customHeight="1" x14ac:dyDescent="0.45">
      <c r="A1874" t="s">
        <v>14</v>
      </c>
      <c r="B1874" s="14">
        <f>_xlfn.XLOOKUP(Table1[[#This Row], [TEAM]],Sheet1!$A$12:$A$17,Sheet1!$F$12:$F$17)</f>
        <v>2</v>
      </c>
      <c r="C1874" s="14">
        <f>_xlfn.XLOOKUP(Table1[[#This Row], [TEAM]],Sheet1!$A$12:$A$17,Sheet1!$G$12:$G$17)</f>
        <v>5949600</v>
      </c>
      <c r="D1874" t="s">
        <v>18</v>
      </c>
      <c r="E1874" s="4">
        <f>_xlfn.XLOOKUP(Table1[[#This Row], [ROOM]],Sheet1!$A$47:$A$66,Sheet1!$B$47:$B$66)</f>
        <v>134</v>
      </c>
      <c r="F1874" t="s">
        <v>62</v>
      </c>
      <c r="G187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4" s="13" t="s">
        <v>59</v>
      </c>
      <c r="I1874" s="4">
        <f>_xlfn.XLOOKUP(Table1[[#This Row], [WEAPON]],Sheet1!$A$27:$A$29,Sheet1!$B$27:$B$29)*Table1[[#This Row], [NUM OF MEM]]*(1+_xlfn.XLOOKUP(Table1[[#This Row], [WEAPON]],Sheet1!$A$27:$A$29,Sheet1!$C$27:$C$29))</f>
        <v>91000</v>
      </c>
      <c r="J1874" t="s">
        <v>60</v>
      </c>
      <c r="K1874" s="9">
        <f>Table1[[#This Row], [NUM OF MEM]]*Table1[[#This Row], [TOTAL TIME TAKEN]]*_xlfn.XLOOKUP(Table1[[#This Row], [EXIT]],Sheet1!$A$70:$A$71,Sheet1!$B$70:$B$71)*(1+_xlfn.XLOOKUP(Table1[[#This Row], [EXIT]],Sheet1!$A$70:$A$71,Sheet1!$C$70:$C$71))</f>
        <v>1776114.2437499999</v>
      </c>
      <c r="L1874" s="13" t="s">
        <v>61</v>
      </c>
      <c r="M1874" s="4">
        <f>IF(Table1[[#This Row], [EQUIPMENT]]="YES",Sheet1!$C$44*(1+Sheet1!$D$44),0)</f>
        <v>0</v>
      </c>
      <c r="N1874" s="4">
        <f>_xlfn.XLOOKUP(Table1[[#This Row], [ROOM]],Sheet1!$A$47:$A$66,Sheet1!$F$47:$F$66)</f>
        <v>18050000</v>
      </c>
      <c r="O1874" s="9">
        <f>_xlfn.XLOOKUP(_xlfn.CONCAT(Table1[[#This Row], [TEAM]],Table1[[#This Row], [ROOM]]),'ROOM TIME'!$H$2:$H$121,'ROOM TIME'!$J$2:$J$121)</f>
        <v>62.303749999999994</v>
      </c>
      <c r="P1874" s="9">
        <f>(INDEX(Sheet1!$X$48:$Z$67,MATCH(Table1[[#This Row], [ROOM]],Sheet1!$P$48:$P$67,0),MATCH(Table1[[#This Row], [WEAPON]],Sheet1!$X$47:$Z$47,0)))/Table1[[#This Row], [NUM OF MEM]]</f>
        <v>6.8999999999999995</v>
      </c>
      <c r="Q1874" s="9">
        <f>Table1[[#This Row], [ROOM TIME]]+Table1[[#This Row], [GUARD TIME]]</f>
        <v>69.203749999999999</v>
      </c>
      <c r="R1874" s="4">
        <f>Sheet1!$K$3*_xlfn.XLOOKUP(Table1[[#This Row], [DISGUISE]],Sheet1!$A$21:$A$23,Sheet1!$D$21:$D$23)</f>
        <v>66</v>
      </c>
      <c r="S1874" s="9">
        <f>Table1[[#This Row], [TOTAL TIME]]-Table1[[#This Row], [TOTAL TIME TAKEN]]</f>
        <v>-3.2037499999999994</v>
      </c>
      <c r="T1874" t="str">
        <f>IF(Table1[[#This Row], [TIME DIFFERENCE]]&gt;=0,"PASS","FAIL")</f>
        <v>FAIL</v>
      </c>
      <c r="U1874" s="9">
        <f>Table1[[#This Row], [TRC]]+Table1[[#This Row], [DRC]]+Table1[[#This Row], [WRC]]+Table1[[#This Row], [ERC]]+Table1[[#This Row], [EQRC]]</f>
        <v>7827114.2437500004</v>
      </c>
      <c r="V1874" s="9">
        <f>Table1[[#This Row], [TOTAL COST]]+_xlfn.XLOOKUP(Table1[[#This Row], [TEAM]],Sheet1!$A$12:$A$17,Sheet1!$I$12:$I$17)</f>
        <v>8124594.2437500004</v>
      </c>
      <c r="W1874" s="9">
        <f>Table1[[#This Row], [LOOT]]-Table1[[#This Row], [TOTAL COST]]</f>
        <v>10222885.75625</v>
      </c>
      <c r="X1874" s="4">
        <f>IF(Table1[[#This Row], [PASS/FAIL]]="FAIL",0,Table1[[#This Row], [PROFIT]])</f>
        <v>0</v>
      </c>
    </row>
    <row r="1875" spans="1:24" ht="19.5" customHeight="1" x14ac:dyDescent="0.45">
      <c r="A1875" t="s">
        <v>14</v>
      </c>
      <c r="B1875" s="14">
        <f>_xlfn.XLOOKUP(Table1[[#This Row], [TEAM]],Sheet1!$A$12:$A$17,Sheet1!$F$12:$F$17)</f>
        <v>2</v>
      </c>
      <c r="C1875" s="14">
        <f>_xlfn.XLOOKUP(Table1[[#This Row], [TEAM]],Sheet1!$A$12:$A$17,Sheet1!$G$12:$G$17)</f>
        <v>5949600</v>
      </c>
      <c r="D1875" t="s">
        <v>18</v>
      </c>
      <c r="E1875" s="4">
        <f>_xlfn.XLOOKUP(Table1[[#This Row], [ROOM]],Sheet1!$A$47:$A$66,Sheet1!$B$47:$B$66)</f>
        <v>134</v>
      </c>
      <c r="F1875" t="s">
        <v>62</v>
      </c>
      <c r="G1875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5" s="13" t="s">
        <v>59</v>
      </c>
      <c r="I1875" s="4">
        <f>_xlfn.XLOOKUP(Table1[[#This Row], [WEAPON]],Sheet1!$A$27:$A$29,Sheet1!$B$27:$B$29)*Table1[[#This Row], [NUM OF MEM]]*(1+_xlfn.XLOOKUP(Table1[[#This Row], [WEAPON]],Sheet1!$A$27:$A$29,Sheet1!$C$27:$C$29))</f>
        <v>91000</v>
      </c>
      <c r="J1875" t="s">
        <v>64</v>
      </c>
      <c r="K1875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1793761.2</v>
      </c>
      <c r="L1875" s="13" t="s">
        <v>61</v>
      </c>
      <c r="M1875" s="4">
        <f>IF(Table1[[#This Row], [EQUIPMENT]]="YES",Sheet1!$C$44*(1+Sheet1!$D$44),0)</f>
        <v>0</v>
      </c>
      <c r="N1875" s="4">
        <f>_xlfn.XLOOKUP(Table1[[#This Row], [ROOM]],Sheet1!$A$47:$A$66,Sheet1!$F$47:$F$66)</f>
        <v>18050000</v>
      </c>
      <c r="O1875" s="9">
        <f>_xlfn.XLOOKUP(_xlfn.CONCAT(Table1[[#This Row], [TEAM]],Table1[[#This Row], [ROOM]]),'ROOM TIME'!$H$2:$H$121,'ROOM TIME'!$J$2:$J$121)</f>
        <v>62.303749999999994</v>
      </c>
      <c r="P1875" s="9">
        <f>(INDEX(Sheet1!$X$48:$Z$67,MATCH(Table1[[#This Row], [ROOM]],Sheet1!$P$48:$P$67,0),MATCH(Table1[[#This Row], [WEAPON]],Sheet1!$X$47:$Z$47,0)))/Table1[[#This Row], [NUM OF MEM]]</f>
        <v>6.8999999999999995</v>
      </c>
      <c r="Q1875" s="9">
        <f>Table1[[#This Row], [ROOM TIME]]+Table1[[#This Row], [GUARD TIME]]</f>
        <v>69.203749999999999</v>
      </c>
      <c r="R1875" s="4">
        <f>Sheet1!$K$3*_xlfn.XLOOKUP(Table1[[#This Row], [DISGUISE]],Sheet1!$A$21:$A$23,Sheet1!$D$21:$D$23)</f>
        <v>66</v>
      </c>
      <c r="S1875" s="9">
        <f>Table1[[#This Row], [TOTAL TIME]]-Table1[[#This Row], [TOTAL TIME TAKEN]]</f>
        <v>-3.2037499999999994</v>
      </c>
      <c r="T1875" t="str">
        <f>IF(Table1[[#This Row], [TIME DIFFERENCE]]&gt;=0,"PASS","FAIL")</f>
        <v>FAIL</v>
      </c>
      <c r="U1875" s="9">
        <f>Table1[[#This Row], [TRC]]+Table1[[#This Row], [DRC]]+Table1[[#This Row], [WRC]]+Table1[[#This Row], [ERC]]+Table1[[#This Row], [EQRC]]</f>
        <v>7844761.2000000002</v>
      </c>
      <c r="V1875" s="9">
        <f>Table1[[#This Row], [TOTAL COST]]+_xlfn.XLOOKUP(Table1[[#This Row], [TEAM]],Sheet1!$A$12:$A$17,Sheet1!$I$12:$I$17)</f>
        <v>8142241.2000000002</v>
      </c>
      <c r="W1875" s="9">
        <f>Table1[[#This Row], [LOOT]]-Table1[[#This Row], [TOTAL COST]]</f>
        <v>10205238.800000001</v>
      </c>
      <c r="X1875" s="4">
        <f>IF(Table1[[#This Row], [PASS/FAIL]]="FAIL",0,Table1[[#This Row], [PROFIT]])</f>
        <v>0</v>
      </c>
    </row>
    <row r="1876" spans="1:24" ht="19.5" customHeight="1" x14ac:dyDescent="0.45">
      <c r="A1876" t="s">
        <v>14</v>
      </c>
      <c r="B1876" s="14">
        <f>_xlfn.XLOOKUP(Table1[[#This Row], [TEAM]],Sheet1!$A$12:$A$17,Sheet1!$F$12:$F$17)</f>
        <v>2</v>
      </c>
      <c r="C1876" s="14">
        <f>_xlfn.XLOOKUP(Table1[[#This Row], [TEAM]],Sheet1!$A$12:$A$17,Sheet1!$G$12:$G$17)</f>
        <v>5949600</v>
      </c>
      <c r="D1876" t="s">
        <v>18</v>
      </c>
      <c r="E1876" s="4">
        <f>_xlfn.XLOOKUP(Table1[[#This Row], [ROOM]],Sheet1!$A$47:$A$66,Sheet1!$B$47:$B$66)</f>
        <v>134</v>
      </c>
      <c r="F1876" t="s">
        <v>62</v>
      </c>
      <c r="G1876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6" s="13" t="s">
        <v>59</v>
      </c>
      <c r="I1876" s="4">
        <f>_xlfn.XLOOKUP(Table1[[#This Row], [WEAPON]],Sheet1!$A$27:$A$29,Sheet1!$B$27:$B$29)*Table1[[#This Row], [NUM OF MEM]]*(1+_xlfn.XLOOKUP(Table1[[#This Row], [WEAPON]],Sheet1!$A$27:$A$29,Sheet1!$C$27:$C$29))</f>
        <v>91000</v>
      </c>
      <c r="J1876" t="s">
        <v>60</v>
      </c>
      <c r="K1876" s="9">
        <f>Table1[[#This Row], [NUM OF MEM]]*Table1[[#This Row], [TOTAL TIME TAKEN]]*_xlfn.XLOOKUP(Table1[[#This Row], [EXIT]],Sheet1!$A$70:$A$71,Sheet1!$B$70:$B$71)*(1+_xlfn.XLOOKUP(Table1[[#This Row], [EXIT]],Sheet1!$A$70:$A$71,Sheet1!$C$70:$C$71))</f>
        <v>1776114.2437499999</v>
      </c>
      <c r="L1876" s="13" t="s">
        <v>65</v>
      </c>
      <c r="M1876" s="4">
        <f>IF(Table1[[#This Row], [EQUIPMENT]]="YES",Sheet1!$C$44*(1+Sheet1!$D$44),0)</f>
        <v>307500</v>
      </c>
      <c r="N1876" s="4">
        <f>_xlfn.XLOOKUP(Table1[[#This Row], [ROOM]],Sheet1!$A$47:$A$66,Sheet1!$F$47:$F$66)</f>
        <v>18050000</v>
      </c>
      <c r="O1876" s="9">
        <f>_xlfn.XLOOKUP(_xlfn.CONCAT(Table1[[#This Row], [TEAM]],Table1[[#This Row], [ROOM]]),'ROOM TIME'!$H$2:$H$121,'ROOM TIME'!$J$2:$J$121)</f>
        <v>62.303749999999994</v>
      </c>
      <c r="P1876" s="9">
        <f>(INDEX(Sheet1!$X$48:$Z$67,MATCH(Table1[[#This Row], [ROOM]],Sheet1!$P$48:$P$67,0),MATCH(Table1[[#This Row], [WEAPON]],Sheet1!$X$47:$Z$47,0)))/Table1[[#This Row], [NUM OF MEM]]</f>
        <v>6.8999999999999995</v>
      </c>
      <c r="Q1876" s="9">
        <f>Table1[[#This Row], [ROOM TIME]]+Table1[[#This Row], [GUARD TIME]]</f>
        <v>69.203749999999999</v>
      </c>
      <c r="R1876" s="4">
        <f>Sheet1!$K$3*_xlfn.XLOOKUP(Table1[[#This Row], [DISGUISE]],Sheet1!$A$21:$A$23,Sheet1!$D$21:$D$23)</f>
        <v>66</v>
      </c>
      <c r="S1876" s="9">
        <f>Table1[[#This Row], [TOTAL TIME]]-Table1[[#This Row], [TOTAL TIME TAKEN]]</f>
        <v>-3.2037499999999994</v>
      </c>
      <c r="T1876" t="str">
        <f>IF(Table1[[#This Row], [TIME DIFFERENCE]]&gt;=0,"PASS","FAIL")</f>
        <v>FAIL</v>
      </c>
      <c r="U1876" s="9">
        <f>Table1[[#This Row], [TRC]]+Table1[[#This Row], [DRC]]+Table1[[#This Row], [WRC]]+Table1[[#This Row], [ERC]]+Table1[[#This Row], [EQRC]]</f>
        <v>8134614.2437500004</v>
      </c>
      <c r="V1876" s="9">
        <f>Table1[[#This Row], [TOTAL COST]]+_xlfn.XLOOKUP(Table1[[#This Row], [TEAM]],Sheet1!$A$12:$A$17,Sheet1!$I$12:$I$17)</f>
        <v>8432094.2437500004</v>
      </c>
      <c r="W1876" s="9">
        <f>Table1[[#This Row], [LOOT]]-Table1[[#This Row], [TOTAL COST]]</f>
        <v>9915385.7562499996</v>
      </c>
      <c r="X1876" s="4">
        <f>IF(Table1[[#This Row], [PASS/FAIL]]="FAIL",0,Table1[[#This Row], [PROFIT]])</f>
        <v>0</v>
      </c>
    </row>
    <row r="1877" spans="1:24" ht="19.5" customHeight="1" x14ac:dyDescent="0.45">
      <c r="A1877" t="s">
        <v>14</v>
      </c>
      <c r="B1877" s="14">
        <f>_xlfn.XLOOKUP(Table1[[#This Row], [TEAM]],Sheet1!$A$12:$A$17,Sheet1!$F$12:$F$17)</f>
        <v>2</v>
      </c>
      <c r="C1877" s="14">
        <f>_xlfn.XLOOKUP(Table1[[#This Row], [TEAM]],Sheet1!$A$12:$A$17,Sheet1!$G$12:$G$17)</f>
        <v>5949600</v>
      </c>
      <c r="D1877" t="s">
        <v>18</v>
      </c>
      <c r="E1877" s="4">
        <f>_xlfn.XLOOKUP(Table1[[#This Row], [ROOM]],Sheet1!$A$47:$A$66,Sheet1!$B$47:$B$66)</f>
        <v>134</v>
      </c>
      <c r="F1877" t="s">
        <v>62</v>
      </c>
      <c r="G1877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7" s="13" t="s">
        <v>63</v>
      </c>
      <c r="I1877" s="4">
        <f>_xlfn.XLOOKUP(Table1[[#This Row], [WEAPON]],Sheet1!$A$27:$A$29,Sheet1!$B$27:$B$29)*Table1[[#This Row], [NUM OF MEM]]*(1+_xlfn.XLOOKUP(Table1[[#This Row], [WEAPON]],Sheet1!$A$27:$A$29,Sheet1!$C$27:$C$29))</f>
        <v>46000</v>
      </c>
      <c r="J1877" t="s">
        <v>60</v>
      </c>
      <c r="K1877" s="9">
        <f>Table1[[#This Row], [NUM OF MEM]]*Table1[[#This Row], [TOTAL TIME TAKEN]]*_xlfn.XLOOKUP(Table1[[#This Row], [EXIT]],Sheet1!$A$70:$A$71,Sheet1!$B$70:$B$71)*(1+_xlfn.XLOOKUP(Table1[[#This Row], [EXIT]],Sheet1!$A$70:$A$71,Sheet1!$C$70:$C$71))</f>
        <v>1806912.2437499999</v>
      </c>
      <c r="L1877" s="13" t="s">
        <v>61</v>
      </c>
      <c r="M1877" s="4">
        <f>IF(Table1[[#This Row], [EQUIPMENT]]="YES",Sheet1!$C$44*(1+Sheet1!$D$44),0)</f>
        <v>0</v>
      </c>
      <c r="N1877" s="4">
        <f>_xlfn.XLOOKUP(Table1[[#This Row], [ROOM]],Sheet1!$A$47:$A$66,Sheet1!$F$47:$F$66)</f>
        <v>18050000</v>
      </c>
      <c r="O1877" s="9">
        <f>_xlfn.XLOOKUP(_xlfn.CONCAT(Table1[[#This Row], [TEAM]],Table1[[#This Row], [ROOM]]),'ROOM TIME'!$H$2:$H$121,'ROOM TIME'!$J$2:$J$121)</f>
        <v>62.303749999999994</v>
      </c>
      <c r="P1877" s="9">
        <f>(INDEX(Sheet1!$X$48:$Z$67,MATCH(Table1[[#This Row], [ROOM]],Sheet1!$P$48:$P$67,0),MATCH(Table1[[#This Row], [WEAPON]],Sheet1!$X$47:$Z$47,0)))/Table1[[#This Row], [NUM OF MEM]]</f>
        <v>8.1000000000000014</v>
      </c>
      <c r="Q1877" s="9">
        <f>Table1[[#This Row], [ROOM TIME]]+Table1[[#This Row], [GUARD TIME]]</f>
        <v>70.403750000000002</v>
      </c>
      <c r="R1877" s="4">
        <f>Sheet1!$K$3*_xlfn.XLOOKUP(Table1[[#This Row], [DISGUISE]],Sheet1!$A$21:$A$23,Sheet1!$D$21:$D$23)</f>
        <v>66</v>
      </c>
      <c r="S1877" s="9">
        <f>Table1[[#This Row], [TOTAL TIME]]-Table1[[#This Row], [TOTAL TIME TAKEN]]</f>
        <v>-4.4037500000000023</v>
      </c>
      <c r="T1877" t="str">
        <f>IF(Table1[[#This Row], [TIME DIFFERENCE]]&gt;=0,"PASS","FAIL")</f>
        <v>FAIL</v>
      </c>
      <c r="U1877" s="9">
        <f>Table1[[#This Row], [TRC]]+Table1[[#This Row], [DRC]]+Table1[[#This Row], [WRC]]+Table1[[#This Row], [ERC]]+Table1[[#This Row], [EQRC]]</f>
        <v>7812912.2437500004</v>
      </c>
      <c r="V1877" s="9">
        <f>Table1[[#This Row], [TOTAL COST]]+_xlfn.XLOOKUP(Table1[[#This Row], [TEAM]],Sheet1!$A$12:$A$17,Sheet1!$I$12:$I$17)</f>
        <v>8110392.2437500004</v>
      </c>
      <c r="W1877" s="9">
        <f>Table1[[#This Row], [LOOT]]-Table1[[#This Row], [TOTAL COST]]</f>
        <v>10237087.75625</v>
      </c>
      <c r="X1877" s="4">
        <f>IF(Table1[[#This Row], [PASS/FAIL]]="FAIL",0,Table1[[#This Row], [PROFIT]])</f>
        <v>0</v>
      </c>
    </row>
    <row r="1878" spans="1:24" ht="19.5" customHeight="1" x14ac:dyDescent="0.45">
      <c r="A1878" t="s">
        <v>14</v>
      </c>
      <c r="B1878" s="14">
        <f>_xlfn.XLOOKUP(Table1[[#This Row], [TEAM]],Sheet1!$A$12:$A$17,Sheet1!$F$12:$F$17)</f>
        <v>2</v>
      </c>
      <c r="C1878" s="14">
        <f>_xlfn.XLOOKUP(Table1[[#This Row], [TEAM]],Sheet1!$A$12:$A$17,Sheet1!$G$12:$G$17)</f>
        <v>5949600</v>
      </c>
      <c r="D1878" t="s">
        <v>18</v>
      </c>
      <c r="E1878" s="4">
        <f>_xlfn.XLOOKUP(Table1[[#This Row], [ROOM]],Sheet1!$A$47:$A$66,Sheet1!$B$47:$B$66)</f>
        <v>134</v>
      </c>
      <c r="F1878" t="s">
        <v>58</v>
      </c>
      <c r="G1878" s="4">
        <f>_xlfn.XLOOKUP(Table1[[#This Row], [DISGUISE]],Sheet1!$A$21:$A$23,Sheet1!$B$21:$B$23)*Table1[[#This Row], [NUM OF MEM]]*(1+_xlfn.XLOOKUP(Table1[[#This Row], [DISGUISE]],Sheet1!$A$21:$A$23,Sheet1!$C$21:$C$23))</f>
        <v>25600</v>
      </c>
      <c r="H1878" s="13" t="s">
        <v>63</v>
      </c>
      <c r="I1878" s="4">
        <f>_xlfn.XLOOKUP(Table1[[#This Row], [WEAPON]],Sheet1!$A$27:$A$29,Sheet1!$B$27:$B$29)*Table1[[#This Row], [NUM OF MEM]]*(1+_xlfn.XLOOKUP(Table1[[#This Row], [WEAPON]],Sheet1!$A$27:$A$29,Sheet1!$C$27:$C$29))</f>
        <v>46000</v>
      </c>
      <c r="J1878" t="s">
        <v>60</v>
      </c>
      <c r="K1878" s="9">
        <f>Table1[[#This Row], [NUM OF MEM]]*Table1[[#This Row], [TOTAL TIME TAKEN]]*_xlfn.XLOOKUP(Table1[[#This Row], [EXIT]],Sheet1!$A$70:$A$71,Sheet1!$B$70:$B$71)*(1+_xlfn.XLOOKUP(Table1[[#This Row], [EXIT]],Sheet1!$A$70:$A$71,Sheet1!$C$70:$C$71))</f>
        <v>1806912.2437499999</v>
      </c>
      <c r="L1878" s="13" t="s">
        <v>61</v>
      </c>
      <c r="M1878" s="4">
        <f>IF(Table1[[#This Row], [EQUIPMENT]]="YES",Sheet1!$C$44*(1+Sheet1!$D$44),0)</f>
        <v>0</v>
      </c>
      <c r="N1878" s="4">
        <f>_xlfn.XLOOKUP(Table1[[#This Row], [ROOM]],Sheet1!$A$47:$A$66,Sheet1!$F$47:$F$66)</f>
        <v>18050000</v>
      </c>
      <c r="O1878" s="9">
        <f>_xlfn.XLOOKUP(_xlfn.CONCAT(Table1[[#This Row], [TEAM]],Table1[[#This Row], [ROOM]]),'ROOM TIME'!$H$2:$H$121,'ROOM TIME'!$J$2:$J$121)</f>
        <v>62.303749999999994</v>
      </c>
      <c r="P1878" s="9">
        <f>(INDEX(Sheet1!$X$48:$Z$67,MATCH(Table1[[#This Row], [ROOM]],Sheet1!$P$48:$P$67,0),MATCH(Table1[[#This Row], [WEAPON]],Sheet1!$X$47:$Z$47,0)))/Table1[[#This Row], [NUM OF MEM]]</f>
        <v>8.1000000000000014</v>
      </c>
      <c r="Q1878" s="9">
        <f>Table1[[#This Row], [ROOM TIME]]+Table1[[#This Row], [GUARD TIME]]</f>
        <v>70.403750000000002</v>
      </c>
      <c r="R1878" s="4">
        <f>Sheet1!$K$3*_xlfn.XLOOKUP(Table1[[#This Row], [DISGUISE]],Sheet1!$A$21:$A$23,Sheet1!$D$21:$D$23)</f>
        <v>69</v>
      </c>
      <c r="S1878" s="9">
        <f>Table1[[#This Row], [TOTAL TIME]]-Table1[[#This Row], [TOTAL TIME TAKEN]]</f>
        <v>-1.4037500000000023</v>
      </c>
      <c r="T1878" t="str">
        <f>IF(Table1[[#This Row], [TIME DIFFERENCE]]&gt;=0,"PASS","FAIL")</f>
        <v>FAIL</v>
      </c>
      <c r="U1878" s="9">
        <f>Table1[[#This Row], [TRC]]+Table1[[#This Row], [DRC]]+Table1[[#This Row], [WRC]]+Table1[[#This Row], [ERC]]+Table1[[#This Row], [EQRC]]</f>
        <v>7828112.2437500004</v>
      </c>
      <c r="V1878" s="9">
        <f>Table1[[#This Row], [TOTAL COST]]+_xlfn.XLOOKUP(Table1[[#This Row], [TEAM]],Sheet1!$A$12:$A$17,Sheet1!$I$12:$I$17)</f>
        <v>8125592.2437500004</v>
      </c>
      <c r="W1878" s="9">
        <f>Table1[[#This Row], [LOOT]]-Table1[[#This Row], [TOTAL COST]]</f>
        <v>10221887.75625</v>
      </c>
      <c r="X1878" s="4">
        <f>IF(Table1[[#This Row], [PASS/FAIL]]="FAIL",0,Table1[[#This Row], [PROFIT]])</f>
        <v>0</v>
      </c>
    </row>
    <row r="1879" spans="1:24" ht="19.5" customHeight="1" x14ac:dyDescent="0.45">
      <c r="A1879" t="s">
        <v>14</v>
      </c>
      <c r="B1879" s="14">
        <f>_xlfn.XLOOKUP(Table1[[#This Row], [TEAM]],Sheet1!$A$12:$A$17,Sheet1!$F$12:$F$17)</f>
        <v>2</v>
      </c>
      <c r="C1879" s="14">
        <f>_xlfn.XLOOKUP(Table1[[#This Row], [TEAM]],Sheet1!$A$12:$A$17,Sheet1!$G$12:$G$17)</f>
        <v>5949600</v>
      </c>
      <c r="D1879" t="s">
        <v>18</v>
      </c>
      <c r="E1879" s="4">
        <f>_xlfn.XLOOKUP(Table1[[#This Row], [ROOM]],Sheet1!$A$47:$A$66,Sheet1!$B$47:$B$66)</f>
        <v>134</v>
      </c>
      <c r="F1879" t="s">
        <v>62</v>
      </c>
      <c r="G187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79" s="13" t="s">
        <v>59</v>
      </c>
      <c r="I1879" s="4">
        <f>_xlfn.XLOOKUP(Table1[[#This Row], [WEAPON]],Sheet1!$A$27:$A$29,Sheet1!$B$27:$B$29)*Table1[[#This Row], [NUM OF MEM]]*(1+_xlfn.XLOOKUP(Table1[[#This Row], [WEAPON]],Sheet1!$A$27:$A$29,Sheet1!$C$27:$C$29))</f>
        <v>91000</v>
      </c>
      <c r="J1879" t="s">
        <v>64</v>
      </c>
      <c r="K1879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1793761.2</v>
      </c>
      <c r="L1879" s="13" t="s">
        <v>65</v>
      </c>
      <c r="M1879" s="4">
        <f>IF(Table1[[#This Row], [EQUIPMENT]]="YES",Sheet1!$C$44*(1+Sheet1!$D$44),0)</f>
        <v>307500</v>
      </c>
      <c r="N1879" s="4">
        <f>_xlfn.XLOOKUP(Table1[[#This Row], [ROOM]],Sheet1!$A$47:$A$66,Sheet1!$F$47:$F$66)</f>
        <v>18050000</v>
      </c>
      <c r="O1879" s="9">
        <f>_xlfn.XLOOKUP(_xlfn.CONCAT(Table1[[#This Row], [TEAM]],Table1[[#This Row], [ROOM]]),'ROOM TIME'!$H$2:$H$121,'ROOM TIME'!$J$2:$J$121)</f>
        <v>62.303749999999994</v>
      </c>
      <c r="P1879" s="9">
        <f>(INDEX(Sheet1!$X$48:$Z$67,MATCH(Table1[[#This Row], [ROOM]],Sheet1!$P$48:$P$67,0),MATCH(Table1[[#This Row], [WEAPON]],Sheet1!$X$47:$Z$47,0)))/Table1[[#This Row], [NUM OF MEM]]</f>
        <v>6.8999999999999995</v>
      </c>
      <c r="Q1879" s="9">
        <f>Table1[[#This Row], [ROOM TIME]]+Table1[[#This Row], [GUARD TIME]]</f>
        <v>69.203749999999999</v>
      </c>
      <c r="R1879" s="4">
        <f>Sheet1!$K$3*_xlfn.XLOOKUP(Table1[[#This Row], [DISGUISE]],Sheet1!$A$21:$A$23,Sheet1!$D$21:$D$23)</f>
        <v>66</v>
      </c>
      <c r="S1879" s="9">
        <f>Table1[[#This Row], [TOTAL TIME]]-Table1[[#This Row], [TOTAL TIME TAKEN]]</f>
        <v>-3.2037499999999994</v>
      </c>
      <c r="T1879" t="str">
        <f>IF(Table1[[#This Row], [TIME DIFFERENCE]]&gt;=0,"PASS","FAIL")</f>
        <v>FAIL</v>
      </c>
      <c r="U1879" s="9">
        <f>Table1[[#This Row], [TRC]]+Table1[[#This Row], [DRC]]+Table1[[#This Row], [WRC]]+Table1[[#This Row], [ERC]]+Table1[[#This Row], [EQRC]]</f>
        <v>8152261.2000000002</v>
      </c>
      <c r="V1879" s="9">
        <f>Table1[[#This Row], [TOTAL COST]]+_xlfn.XLOOKUP(Table1[[#This Row], [TEAM]],Sheet1!$A$12:$A$17,Sheet1!$I$12:$I$17)</f>
        <v>8449741.1999999993</v>
      </c>
      <c r="W1879" s="9">
        <f>Table1[[#This Row], [LOOT]]-Table1[[#This Row], [TOTAL COST]]</f>
        <v>9897738.8000000007</v>
      </c>
      <c r="X1879" s="4">
        <f>IF(Table1[[#This Row], [PASS/FAIL]]="FAIL",0,Table1[[#This Row], [PROFIT]])</f>
        <v>0</v>
      </c>
    </row>
    <row r="1880" spans="1:24" ht="19.5" customHeight="1" x14ac:dyDescent="0.45">
      <c r="A1880" t="s">
        <v>14</v>
      </c>
      <c r="B1880" s="14">
        <f>_xlfn.XLOOKUP(Table1[[#This Row], [TEAM]],Sheet1!$A$12:$A$17,Sheet1!$F$12:$F$17)</f>
        <v>2</v>
      </c>
      <c r="C1880" s="14">
        <f>_xlfn.XLOOKUP(Table1[[#This Row], [TEAM]],Sheet1!$A$12:$A$17,Sheet1!$G$12:$G$17)</f>
        <v>5949600</v>
      </c>
      <c r="D1880" t="s">
        <v>18</v>
      </c>
      <c r="E1880" s="4">
        <f>_xlfn.XLOOKUP(Table1[[#This Row], [ROOM]],Sheet1!$A$47:$A$66,Sheet1!$B$47:$B$66)</f>
        <v>134</v>
      </c>
      <c r="F1880" t="s">
        <v>62</v>
      </c>
      <c r="G188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80" s="13" t="s">
        <v>63</v>
      </c>
      <c r="I1880" s="4">
        <f>_xlfn.XLOOKUP(Table1[[#This Row], [WEAPON]],Sheet1!$A$27:$A$29,Sheet1!$B$27:$B$29)*Table1[[#This Row], [NUM OF MEM]]*(1+_xlfn.XLOOKUP(Table1[[#This Row], [WEAPON]],Sheet1!$A$27:$A$29,Sheet1!$C$27:$C$29))</f>
        <v>46000</v>
      </c>
      <c r="J1880" t="s">
        <v>64</v>
      </c>
      <c r="K1880" s="9">
        <f>Table1[[#This Row], [NUM OF MEM]]*Table1[[#This Row], [TOTAL TIME TAKEN]]*_xlfn.XLOOKUP(Table1[[#This Row], [EXIT]],Sheet1!$A$70:$A$71,Sheet1!$B$70:$B$71)*(1+_xlfn.XLOOKUP(Table1[[#This Row], [EXIT]],Sheet1!$A$70:$A$71,Sheet1!$C$70:$C$71))</f>
        <v>1824865.2</v>
      </c>
      <c r="L1880" s="13" t="s">
        <v>61</v>
      </c>
      <c r="M1880" s="4">
        <f>IF(Table1[[#This Row], [EQUIPMENT]]="YES",Sheet1!$C$44*(1+Sheet1!$D$44),0)</f>
        <v>0</v>
      </c>
      <c r="N1880" s="4">
        <f>_xlfn.XLOOKUP(Table1[[#This Row], [ROOM]],Sheet1!$A$47:$A$66,Sheet1!$F$47:$F$66)</f>
        <v>18050000</v>
      </c>
      <c r="O1880" s="9">
        <f>_xlfn.XLOOKUP(_xlfn.CONCAT(Table1[[#This Row], [TEAM]],Table1[[#This Row], [ROOM]]),'ROOM TIME'!$H$2:$H$121,'ROOM TIME'!$J$2:$J$121)</f>
        <v>62.303749999999994</v>
      </c>
      <c r="P1880" s="9">
        <f>(INDEX(Sheet1!$X$48:$Z$67,MATCH(Table1[[#This Row], [ROOM]],Sheet1!$P$48:$P$67,0),MATCH(Table1[[#This Row], [WEAPON]],Sheet1!$X$47:$Z$47,0)))/Table1[[#This Row], [NUM OF MEM]]</f>
        <v>8.1000000000000014</v>
      </c>
      <c r="Q1880" s="9">
        <f>Table1[[#This Row], [ROOM TIME]]+Table1[[#This Row], [GUARD TIME]]</f>
        <v>70.403750000000002</v>
      </c>
      <c r="R1880" s="4">
        <f>Sheet1!$K$3*_xlfn.XLOOKUP(Table1[[#This Row], [DISGUISE]],Sheet1!$A$21:$A$23,Sheet1!$D$21:$D$23)</f>
        <v>66</v>
      </c>
      <c r="S1880" s="9">
        <f>Table1[[#This Row], [TOTAL TIME]]-Table1[[#This Row], [TOTAL TIME TAKEN]]</f>
        <v>-4.4037500000000023</v>
      </c>
      <c r="T1880" t="str">
        <f>IF(Table1[[#This Row], [TIME DIFFERENCE]]&gt;=0,"PASS","FAIL")</f>
        <v>FAIL</v>
      </c>
      <c r="U1880" s="9">
        <f>Table1[[#This Row], [TRC]]+Table1[[#This Row], [DRC]]+Table1[[#This Row], [WRC]]+Table1[[#This Row], [ERC]]+Table1[[#This Row], [EQRC]]</f>
        <v>7830865.2000000002</v>
      </c>
      <c r="V1880" s="9">
        <f>Table1[[#This Row], [TOTAL COST]]+_xlfn.XLOOKUP(Table1[[#This Row], [TEAM]],Sheet1!$A$12:$A$17,Sheet1!$I$12:$I$17)</f>
        <v>8128345.2000000002</v>
      </c>
      <c r="W1880" s="9">
        <f>Table1[[#This Row], [LOOT]]-Table1[[#This Row], [TOTAL COST]]</f>
        <v>10219134.800000001</v>
      </c>
      <c r="X1880" s="4">
        <f>IF(Table1[[#This Row], [PASS/FAIL]]="FAIL",0,Table1[[#This Row], [PROFIT]])</f>
        <v>0</v>
      </c>
    </row>
    <row r="1881" spans="1:24" ht="19.5" customHeight="1" x14ac:dyDescent="0.45">
      <c r="A1881" t="s">
        <v>14</v>
      </c>
      <c r="B1881" s="14">
        <f>_xlfn.XLOOKUP(Table1[[#This Row], [TEAM]],Sheet1!$A$12:$A$17,Sheet1!$F$12:$F$17)</f>
        <v>2</v>
      </c>
      <c r="C1881" s="14">
        <f>_xlfn.XLOOKUP(Table1[[#This Row], [TEAM]],Sheet1!$A$12:$A$17,Sheet1!$G$12:$G$17)</f>
        <v>5949600</v>
      </c>
      <c r="D1881" t="s">
        <v>18</v>
      </c>
      <c r="E1881" s="4">
        <f>_xlfn.XLOOKUP(Table1[[#This Row], [ROOM]],Sheet1!$A$47:$A$66,Sheet1!$B$47:$B$66)</f>
        <v>134</v>
      </c>
      <c r="F1881" t="s">
        <v>58</v>
      </c>
      <c r="G1881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1" s="13" t="s">
        <v>63</v>
      </c>
      <c r="I1881" s="4">
        <f>_xlfn.XLOOKUP(Table1[[#This Row], [WEAPON]],Sheet1!$A$27:$A$29,Sheet1!$B$27:$B$29)*Table1[[#This Row], [NUM OF MEM]]*(1+_xlfn.XLOOKUP(Table1[[#This Row], [WEAPON]],Sheet1!$A$27:$A$29,Sheet1!$C$27:$C$29))</f>
        <v>46000</v>
      </c>
      <c r="J1881" t="s">
        <v>64</v>
      </c>
      <c r="K1881" s="9">
        <f>Table1[[#This Row], [NUM OF MEM]]*Table1[[#This Row], [TOTAL TIME TAKEN]]*_xlfn.XLOOKUP(Table1[[#This Row], [EXIT]],Sheet1!$A$70:$A$71,Sheet1!$B$70:$B$71)*(1+_xlfn.XLOOKUP(Table1[[#This Row], [EXIT]],Sheet1!$A$70:$A$71,Sheet1!$C$70:$C$71))</f>
        <v>1824865.2</v>
      </c>
      <c r="L1881" s="13" t="s">
        <v>61</v>
      </c>
      <c r="M1881" s="4">
        <f>IF(Table1[[#This Row], [EQUIPMENT]]="YES",Sheet1!$C$44*(1+Sheet1!$D$44),0)</f>
        <v>0</v>
      </c>
      <c r="N1881" s="4">
        <f>_xlfn.XLOOKUP(Table1[[#This Row], [ROOM]],Sheet1!$A$47:$A$66,Sheet1!$F$47:$F$66)</f>
        <v>18050000</v>
      </c>
      <c r="O1881" s="9">
        <f>_xlfn.XLOOKUP(_xlfn.CONCAT(Table1[[#This Row], [TEAM]],Table1[[#This Row], [ROOM]]),'ROOM TIME'!$H$2:$H$121,'ROOM TIME'!$J$2:$J$121)</f>
        <v>62.303749999999994</v>
      </c>
      <c r="P1881" s="9">
        <f>(INDEX(Sheet1!$X$48:$Z$67,MATCH(Table1[[#This Row], [ROOM]],Sheet1!$P$48:$P$67,0),MATCH(Table1[[#This Row], [WEAPON]],Sheet1!$X$47:$Z$47,0)))/Table1[[#This Row], [NUM OF MEM]]</f>
        <v>8.1000000000000014</v>
      </c>
      <c r="Q1881" s="9">
        <f>Table1[[#This Row], [ROOM TIME]]+Table1[[#This Row], [GUARD TIME]]</f>
        <v>70.403750000000002</v>
      </c>
      <c r="R1881" s="4">
        <f>Sheet1!$K$3*_xlfn.XLOOKUP(Table1[[#This Row], [DISGUISE]],Sheet1!$A$21:$A$23,Sheet1!$D$21:$D$23)</f>
        <v>69</v>
      </c>
      <c r="S1881" s="9">
        <f>Table1[[#This Row], [TOTAL TIME]]-Table1[[#This Row], [TOTAL TIME TAKEN]]</f>
        <v>-1.4037500000000023</v>
      </c>
      <c r="T1881" t="str">
        <f>IF(Table1[[#This Row], [TIME DIFFERENCE]]&gt;=0,"PASS","FAIL")</f>
        <v>FAIL</v>
      </c>
      <c r="U1881" s="9">
        <f>Table1[[#This Row], [TRC]]+Table1[[#This Row], [DRC]]+Table1[[#This Row], [WRC]]+Table1[[#This Row], [ERC]]+Table1[[#This Row], [EQRC]]</f>
        <v>7846065.2000000002</v>
      </c>
      <c r="V1881" s="9">
        <f>Table1[[#This Row], [TOTAL COST]]+_xlfn.XLOOKUP(Table1[[#This Row], [TEAM]],Sheet1!$A$12:$A$17,Sheet1!$I$12:$I$17)</f>
        <v>8143545.2000000002</v>
      </c>
      <c r="W1881" s="9">
        <f>Table1[[#This Row], [LOOT]]-Table1[[#This Row], [TOTAL COST]]</f>
        <v>10203934.800000001</v>
      </c>
      <c r="X1881" s="4">
        <f>IF(Table1[[#This Row], [PASS/FAIL]]="FAIL",0,Table1[[#This Row], [PROFIT]])</f>
        <v>0</v>
      </c>
    </row>
    <row r="1882" spans="1:24" ht="19.5" customHeight="1" x14ac:dyDescent="0.45">
      <c r="A1882" t="s">
        <v>14</v>
      </c>
      <c r="B1882" s="14">
        <f>_xlfn.XLOOKUP(Table1[[#This Row], [TEAM]],Sheet1!$A$12:$A$17,Sheet1!$F$12:$F$17)</f>
        <v>2</v>
      </c>
      <c r="C1882" s="14">
        <f>_xlfn.XLOOKUP(Table1[[#This Row], [TEAM]],Sheet1!$A$12:$A$17,Sheet1!$G$12:$G$17)</f>
        <v>5949600</v>
      </c>
      <c r="D1882" t="s">
        <v>18</v>
      </c>
      <c r="E1882" s="4">
        <f>_xlfn.XLOOKUP(Table1[[#This Row], [ROOM]],Sheet1!$A$47:$A$66,Sheet1!$B$47:$B$66)</f>
        <v>134</v>
      </c>
      <c r="F1882" t="s">
        <v>62</v>
      </c>
      <c r="G188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82" s="13" t="s">
        <v>63</v>
      </c>
      <c r="I1882" s="4">
        <f>_xlfn.XLOOKUP(Table1[[#This Row], [WEAPON]],Sheet1!$A$27:$A$29,Sheet1!$B$27:$B$29)*Table1[[#This Row], [NUM OF MEM]]*(1+_xlfn.XLOOKUP(Table1[[#This Row], [WEAPON]],Sheet1!$A$27:$A$29,Sheet1!$C$27:$C$29))</f>
        <v>46000</v>
      </c>
      <c r="J1882" t="s">
        <v>60</v>
      </c>
      <c r="K1882" s="9">
        <f>Table1[[#This Row], [NUM OF MEM]]*Table1[[#This Row], [TOTAL TIME TAKEN]]*_xlfn.XLOOKUP(Table1[[#This Row], [EXIT]],Sheet1!$A$70:$A$71,Sheet1!$B$70:$B$71)*(1+_xlfn.XLOOKUP(Table1[[#This Row], [EXIT]],Sheet1!$A$70:$A$71,Sheet1!$C$70:$C$71))</f>
        <v>1806912.2437499999</v>
      </c>
      <c r="L1882" s="13" t="s">
        <v>65</v>
      </c>
      <c r="M1882" s="4">
        <f>IF(Table1[[#This Row], [EQUIPMENT]]="YES",Sheet1!$C$44*(1+Sheet1!$D$44),0)</f>
        <v>307500</v>
      </c>
      <c r="N1882" s="4">
        <f>_xlfn.XLOOKUP(Table1[[#This Row], [ROOM]],Sheet1!$A$47:$A$66,Sheet1!$F$47:$F$66)</f>
        <v>18050000</v>
      </c>
      <c r="O1882" s="9">
        <f>_xlfn.XLOOKUP(_xlfn.CONCAT(Table1[[#This Row], [TEAM]],Table1[[#This Row], [ROOM]]),'ROOM TIME'!$H$2:$H$121,'ROOM TIME'!$J$2:$J$121)</f>
        <v>62.303749999999994</v>
      </c>
      <c r="P1882" s="9">
        <f>(INDEX(Sheet1!$X$48:$Z$67,MATCH(Table1[[#This Row], [ROOM]],Sheet1!$P$48:$P$67,0),MATCH(Table1[[#This Row], [WEAPON]],Sheet1!$X$47:$Z$47,0)))/Table1[[#This Row], [NUM OF MEM]]</f>
        <v>8.1000000000000014</v>
      </c>
      <c r="Q1882" s="9">
        <f>Table1[[#This Row], [ROOM TIME]]+Table1[[#This Row], [GUARD TIME]]</f>
        <v>70.403750000000002</v>
      </c>
      <c r="R1882" s="4">
        <f>Sheet1!$K$3*_xlfn.XLOOKUP(Table1[[#This Row], [DISGUISE]],Sheet1!$A$21:$A$23,Sheet1!$D$21:$D$23)</f>
        <v>66</v>
      </c>
      <c r="S1882" s="9">
        <f>Table1[[#This Row], [TOTAL TIME]]-Table1[[#This Row], [TOTAL TIME TAKEN]]</f>
        <v>-4.4037500000000023</v>
      </c>
      <c r="T1882" t="str">
        <f>IF(Table1[[#This Row], [TIME DIFFERENCE]]&gt;=0,"PASS","FAIL")</f>
        <v>FAIL</v>
      </c>
      <c r="U1882" s="9">
        <f>Table1[[#This Row], [TRC]]+Table1[[#This Row], [DRC]]+Table1[[#This Row], [WRC]]+Table1[[#This Row], [ERC]]+Table1[[#This Row], [EQRC]]</f>
        <v>8120412.2437500004</v>
      </c>
      <c r="V1882" s="9">
        <f>Table1[[#This Row], [TOTAL COST]]+_xlfn.XLOOKUP(Table1[[#This Row], [TEAM]],Sheet1!$A$12:$A$17,Sheet1!$I$12:$I$17)</f>
        <v>8417892.2437500004</v>
      </c>
      <c r="W1882" s="9">
        <f>Table1[[#This Row], [LOOT]]-Table1[[#This Row], [TOTAL COST]]</f>
        <v>9929587.7562499996</v>
      </c>
      <c r="X1882" s="4">
        <f>IF(Table1[[#This Row], [PASS/FAIL]]="FAIL",0,Table1[[#This Row], [PROFIT]])</f>
        <v>0</v>
      </c>
    </row>
    <row r="1883" spans="1:24" ht="19.5" customHeight="1" x14ac:dyDescent="0.45">
      <c r="A1883" t="s">
        <v>14</v>
      </c>
      <c r="B1883" s="14">
        <f>_xlfn.XLOOKUP(Table1[[#This Row], [TEAM]],Sheet1!$A$12:$A$17,Sheet1!$F$12:$F$17)</f>
        <v>2</v>
      </c>
      <c r="C1883" s="14">
        <f>_xlfn.XLOOKUP(Table1[[#This Row], [TEAM]],Sheet1!$A$12:$A$17,Sheet1!$G$12:$G$17)</f>
        <v>5949600</v>
      </c>
      <c r="D1883" t="s">
        <v>18</v>
      </c>
      <c r="E1883" s="4">
        <f>_xlfn.XLOOKUP(Table1[[#This Row], [ROOM]],Sheet1!$A$47:$A$66,Sheet1!$B$47:$B$66)</f>
        <v>134</v>
      </c>
      <c r="F1883" t="s">
        <v>58</v>
      </c>
      <c r="G1883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3" s="13" t="s">
        <v>63</v>
      </c>
      <c r="I1883" s="4">
        <f>_xlfn.XLOOKUP(Table1[[#This Row], [WEAPON]],Sheet1!$A$27:$A$29,Sheet1!$B$27:$B$29)*Table1[[#This Row], [NUM OF MEM]]*(1+_xlfn.XLOOKUP(Table1[[#This Row], [WEAPON]],Sheet1!$A$27:$A$29,Sheet1!$C$27:$C$29))</f>
        <v>46000</v>
      </c>
      <c r="J1883" t="s">
        <v>60</v>
      </c>
      <c r="K1883" s="9">
        <f>Table1[[#This Row], [NUM OF MEM]]*Table1[[#This Row], [TOTAL TIME TAKEN]]*_xlfn.XLOOKUP(Table1[[#This Row], [EXIT]],Sheet1!$A$70:$A$71,Sheet1!$B$70:$B$71)*(1+_xlfn.XLOOKUP(Table1[[#This Row], [EXIT]],Sheet1!$A$70:$A$71,Sheet1!$C$70:$C$71))</f>
        <v>1806912.2437499999</v>
      </c>
      <c r="L1883" s="13" t="s">
        <v>65</v>
      </c>
      <c r="M1883" s="4">
        <f>IF(Table1[[#This Row], [EQUIPMENT]]="YES",Sheet1!$C$44*(1+Sheet1!$D$44),0)</f>
        <v>307500</v>
      </c>
      <c r="N1883" s="4">
        <f>_xlfn.XLOOKUP(Table1[[#This Row], [ROOM]],Sheet1!$A$47:$A$66,Sheet1!$F$47:$F$66)</f>
        <v>18050000</v>
      </c>
      <c r="O1883" s="9">
        <f>_xlfn.XLOOKUP(_xlfn.CONCAT(Table1[[#This Row], [TEAM]],Table1[[#This Row], [ROOM]]),'ROOM TIME'!$H$2:$H$121,'ROOM TIME'!$J$2:$J$121)</f>
        <v>62.303749999999994</v>
      </c>
      <c r="P1883" s="9">
        <f>(INDEX(Sheet1!$X$48:$Z$67,MATCH(Table1[[#This Row], [ROOM]],Sheet1!$P$48:$P$67,0),MATCH(Table1[[#This Row], [WEAPON]],Sheet1!$X$47:$Z$47,0)))/Table1[[#This Row], [NUM OF MEM]]</f>
        <v>8.1000000000000014</v>
      </c>
      <c r="Q1883" s="9">
        <f>Table1[[#This Row], [ROOM TIME]]+Table1[[#This Row], [GUARD TIME]]</f>
        <v>70.403750000000002</v>
      </c>
      <c r="R1883" s="4">
        <f>Sheet1!$K$3*_xlfn.XLOOKUP(Table1[[#This Row], [DISGUISE]],Sheet1!$A$21:$A$23,Sheet1!$D$21:$D$23)</f>
        <v>69</v>
      </c>
      <c r="S1883" s="9">
        <f>Table1[[#This Row], [TOTAL TIME]]-Table1[[#This Row], [TOTAL TIME TAKEN]]</f>
        <v>-1.4037500000000023</v>
      </c>
      <c r="T1883" t="str">
        <f>IF(Table1[[#This Row], [TIME DIFFERENCE]]&gt;=0,"PASS","FAIL")</f>
        <v>FAIL</v>
      </c>
      <c r="U1883" s="9">
        <f>Table1[[#This Row], [TRC]]+Table1[[#This Row], [DRC]]+Table1[[#This Row], [WRC]]+Table1[[#This Row], [ERC]]+Table1[[#This Row], [EQRC]]</f>
        <v>8135612.2437500004</v>
      </c>
      <c r="V1883" s="9">
        <f>Table1[[#This Row], [TOTAL COST]]+_xlfn.XLOOKUP(Table1[[#This Row], [TEAM]],Sheet1!$A$12:$A$17,Sheet1!$I$12:$I$17)</f>
        <v>8433092.2437500004</v>
      </c>
      <c r="W1883" s="9">
        <f>Table1[[#This Row], [LOOT]]-Table1[[#This Row], [TOTAL COST]]</f>
        <v>9914387.7562499996</v>
      </c>
      <c r="X1883" s="4">
        <f>IF(Table1[[#This Row], [PASS/FAIL]]="FAIL",0,Table1[[#This Row], [PROFIT]])</f>
        <v>0</v>
      </c>
    </row>
    <row r="1884" spans="1:24" ht="19.5" customHeight="1" x14ac:dyDescent="0.45">
      <c r="A1884" t="s">
        <v>14</v>
      </c>
      <c r="B1884" s="14">
        <f>_xlfn.XLOOKUP(Table1[[#This Row], [TEAM]],Sheet1!$A$12:$A$17,Sheet1!$F$12:$F$17)</f>
        <v>2</v>
      </c>
      <c r="C1884" s="14">
        <f>_xlfn.XLOOKUP(Table1[[#This Row], [TEAM]],Sheet1!$A$12:$A$17,Sheet1!$G$12:$G$17)</f>
        <v>5949600</v>
      </c>
      <c r="D1884" t="s">
        <v>18</v>
      </c>
      <c r="E1884" s="4">
        <f>_xlfn.XLOOKUP(Table1[[#This Row], [ROOM]],Sheet1!$A$47:$A$66,Sheet1!$B$47:$B$66)</f>
        <v>134</v>
      </c>
      <c r="F1884" t="s">
        <v>62</v>
      </c>
      <c r="G1884" s="4">
        <f>_xlfn.XLOOKUP(Table1[[#This Row], [DISGUISE]],Sheet1!$A$21:$A$23,Sheet1!$B$21:$B$23)*Table1[[#This Row], [NUM OF MEM]]*(1+_xlfn.XLOOKUP(Table1[[#This Row], [DISGUISE]],Sheet1!$A$21:$A$23,Sheet1!$C$21:$C$23))</f>
        <v>10400</v>
      </c>
      <c r="H1884" s="13" t="s">
        <v>63</v>
      </c>
      <c r="I1884" s="4">
        <f>_xlfn.XLOOKUP(Table1[[#This Row], [WEAPON]],Sheet1!$A$27:$A$29,Sheet1!$B$27:$B$29)*Table1[[#This Row], [NUM OF MEM]]*(1+_xlfn.XLOOKUP(Table1[[#This Row], [WEAPON]],Sheet1!$A$27:$A$29,Sheet1!$C$27:$C$29))</f>
        <v>46000</v>
      </c>
      <c r="J1884" t="s">
        <v>64</v>
      </c>
      <c r="K1884" s="9">
        <f>Table1[[#This Row], [NUM OF MEM]]*Table1[[#This Row], [TOTAL TIME TAKEN]]*_xlfn.XLOOKUP(Table1[[#This Row], [EXIT]],Sheet1!$A$70:$A$71,Sheet1!$B$70:$B$71)*(1+_xlfn.XLOOKUP(Table1[[#This Row], [EXIT]],Sheet1!$A$70:$A$71,Sheet1!$C$70:$C$71))</f>
        <v>1824865.2</v>
      </c>
      <c r="L1884" s="13" t="s">
        <v>65</v>
      </c>
      <c r="M1884" s="4">
        <f>IF(Table1[[#This Row], [EQUIPMENT]]="YES",Sheet1!$C$44*(1+Sheet1!$D$44),0)</f>
        <v>307500</v>
      </c>
      <c r="N1884" s="4">
        <f>_xlfn.XLOOKUP(Table1[[#This Row], [ROOM]],Sheet1!$A$47:$A$66,Sheet1!$F$47:$F$66)</f>
        <v>18050000</v>
      </c>
      <c r="O1884" s="9">
        <f>_xlfn.XLOOKUP(_xlfn.CONCAT(Table1[[#This Row], [TEAM]],Table1[[#This Row], [ROOM]]),'ROOM TIME'!$H$2:$H$121,'ROOM TIME'!$J$2:$J$121)</f>
        <v>62.303749999999994</v>
      </c>
      <c r="P1884" s="9">
        <f>(INDEX(Sheet1!$X$48:$Z$67,MATCH(Table1[[#This Row], [ROOM]],Sheet1!$P$48:$P$67,0),MATCH(Table1[[#This Row], [WEAPON]],Sheet1!$X$47:$Z$47,0)))/Table1[[#This Row], [NUM OF MEM]]</f>
        <v>8.1000000000000014</v>
      </c>
      <c r="Q1884" s="9">
        <f>Table1[[#This Row], [ROOM TIME]]+Table1[[#This Row], [GUARD TIME]]</f>
        <v>70.403750000000002</v>
      </c>
      <c r="R1884" s="4">
        <f>Sheet1!$K$3*_xlfn.XLOOKUP(Table1[[#This Row], [DISGUISE]],Sheet1!$A$21:$A$23,Sheet1!$D$21:$D$23)</f>
        <v>66</v>
      </c>
      <c r="S1884" s="9">
        <f>Table1[[#This Row], [TOTAL TIME]]-Table1[[#This Row], [TOTAL TIME TAKEN]]</f>
        <v>-4.4037500000000023</v>
      </c>
      <c r="T1884" t="str">
        <f>IF(Table1[[#This Row], [TIME DIFFERENCE]]&gt;=0,"PASS","FAIL")</f>
        <v>FAIL</v>
      </c>
      <c r="U1884" s="9">
        <f>Table1[[#This Row], [TRC]]+Table1[[#This Row], [DRC]]+Table1[[#This Row], [WRC]]+Table1[[#This Row], [ERC]]+Table1[[#This Row], [EQRC]]</f>
        <v>8138365.2000000002</v>
      </c>
      <c r="V1884" s="9">
        <f>Table1[[#This Row], [TOTAL COST]]+_xlfn.XLOOKUP(Table1[[#This Row], [TEAM]],Sheet1!$A$12:$A$17,Sheet1!$I$12:$I$17)</f>
        <v>8435845.1999999993</v>
      </c>
      <c r="W1884" s="9">
        <f>Table1[[#This Row], [LOOT]]-Table1[[#This Row], [TOTAL COST]]</f>
        <v>9911634.8000000007</v>
      </c>
      <c r="X1884" s="4">
        <f>IF(Table1[[#This Row], [PASS/FAIL]]="FAIL",0,Table1[[#This Row], [PROFIT]])</f>
        <v>0</v>
      </c>
    </row>
    <row r="1885" spans="1:24" ht="19.5" customHeight="1" x14ac:dyDescent="0.45">
      <c r="A1885" t="s">
        <v>14</v>
      </c>
      <c r="B1885" s="14">
        <f>_xlfn.XLOOKUP(Table1[[#This Row], [TEAM]],Sheet1!$A$12:$A$17,Sheet1!$F$12:$F$17)</f>
        <v>2</v>
      </c>
      <c r="C1885" s="14">
        <f>_xlfn.XLOOKUP(Table1[[#This Row], [TEAM]],Sheet1!$A$12:$A$17,Sheet1!$G$12:$G$17)</f>
        <v>5949600</v>
      </c>
      <c r="D1885" t="s">
        <v>18</v>
      </c>
      <c r="E1885" s="4">
        <f>_xlfn.XLOOKUP(Table1[[#This Row], [ROOM]],Sheet1!$A$47:$A$66,Sheet1!$B$47:$B$66)</f>
        <v>134</v>
      </c>
      <c r="F1885" t="s">
        <v>58</v>
      </c>
      <c r="G1885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5" s="13" t="s">
        <v>63</v>
      </c>
      <c r="I1885" s="4">
        <f>_xlfn.XLOOKUP(Table1[[#This Row], [WEAPON]],Sheet1!$A$27:$A$29,Sheet1!$B$27:$B$29)*Table1[[#This Row], [NUM OF MEM]]*(1+_xlfn.XLOOKUP(Table1[[#This Row], [WEAPON]],Sheet1!$A$27:$A$29,Sheet1!$C$27:$C$29))</f>
        <v>46000</v>
      </c>
      <c r="J1885" t="s">
        <v>64</v>
      </c>
      <c r="K1885" s="9">
        <f>Table1[[#This Row], [NUM OF MEM]]*Table1[[#This Row], [TOTAL TIME TAKEN]]*_xlfn.XLOOKUP(Table1[[#This Row], [EXIT]],Sheet1!$A$70:$A$71,Sheet1!$B$70:$B$71)*(1+_xlfn.XLOOKUP(Table1[[#This Row], [EXIT]],Sheet1!$A$70:$A$71,Sheet1!$C$70:$C$71))</f>
        <v>1824865.2</v>
      </c>
      <c r="L1885" s="13" t="s">
        <v>65</v>
      </c>
      <c r="M1885" s="4">
        <f>IF(Table1[[#This Row], [EQUIPMENT]]="YES",Sheet1!$C$44*(1+Sheet1!$D$44),0)</f>
        <v>307500</v>
      </c>
      <c r="N1885" s="4">
        <f>_xlfn.XLOOKUP(Table1[[#This Row], [ROOM]],Sheet1!$A$47:$A$66,Sheet1!$F$47:$F$66)</f>
        <v>18050000</v>
      </c>
      <c r="O1885" s="9">
        <f>_xlfn.XLOOKUP(_xlfn.CONCAT(Table1[[#This Row], [TEAM]],Table1[[#This Row], [ROOM]]),'ROOM TIME'!$H$2:$H$121,'ROOM TIME'!$J$2:$J$121)</f>
        <v>62.303749999999994</v>
      </c>
      <c r="P1885" s="9">
        <f>(INDEX(Sheet1!$X$48:$Z$67,MATCH(Table1[[#This Row], [ROOM]],Sheet1!$P$48:$P$67,0),MATCH(Table1[[#This Row], [WEAPON]],Sheet1!$X$47:$Z$47,0)))/Table1[[#This Row], [NUM OF MEM]]</f>
        <v>8.1000000000000014</v>
      </c>
      <c r="Q1885" s="9">
        <f>Table1[[#This Row], [ROOM TIME]]+Table1[[#This Row], [GUARD TIME]]</f>
        <v>70.403750000000002</v>
      </c>
      <c r="R1885" s="4">
        <f>Sheet1!$K$3*_xlfn.XLOOKUP(Table1[[#This Row], [DISGUISE]],Sheet1!$A$21:$A$23,Sheet1!$D$21:$D$23)</f>
        <v>69</v>
      </c>
      <c r="S1885" s="9">
        <f>Table1[[#This Row], [TOTAL TIME]]-Table1[[#This Row], [TOTAL TIME TAKEN]]</f>
        <v>-1.4037500000000023</v>
      </c>
      <c r="T1885" t="str">
        <f>IF(Table1[[#This Row], [TIME DIFFERENCE]]&gt;=0,"PASS","FAIL")</f>
        <v>FAIL</v>
      </c>
      <c r="U1885" s="9">
        <f>Table1[[#This Row], [TRC]]+Table1[[#This Row], [DRC]]+Table1[[#This Row], [WRC]]+Table1[[#This Row], [ERC]]+Table1[[#This Row], [EQRC]]</f>
        <v>8153565.2000000002</v>
      </c>
      <c r="V1885" s="9">
        <f>Table1[[#This Row], [TOTAL COST]]+_xlfn.XLOOKUP(Table1[[#This Row], [TEAM]],Sheet1!$A$12:$A$17,Sheet1!$I$12:$I$17)</f>
        <v>8451045.1999999993</v>
      </c>
      <c r="W1885" s="9">
        <f>Table1[[#This Row], [LOOT]]-Table1[[#This Row], [TOTAL COST]]</f>
        <v>9896434.8000000007</v>
      </c>
      <c r="X1885" s="4">
        <f>IF(Table1[[#This Row], [PASS/FAIL]]="FAIL",0,Table1[[#This Row], [PROFIT]])</f>
        <v>0</v>
      </c>
    </row>
    <row r="1886" spans="1:24" ht="19.5" customHeight="1" x14ac:dyDescent="0.45">
      <c r="A1886" t="s">
        <v>14</v>
      </c>
      <c r="B1886" s="14">
        <f>_xlfn.XLOOKUP(Table1[[#This Row], [TEAM]],Sheet1!$A$12:$A$17,Sheet1!$F$12:$F$17)</f>
        <v>2</v>
      </c>
      <c r="C1886" s="14">
        <f>_xlfn.XLOOKUP(Table1[[#This Row], [TEAM]],Sheet1!$A$12:$A$17,Sheet1!$G$12:$G$17)</f>
        <v>5949600</v>
      </c>
      <c r="D1886" t="s">
        <v>18</v>
      </c>
      <c r="E1886" s="4">
        <f>_xlfn.XLOOKUP(Table1[[#This Row], [ROOM]],Sheet1!$A$47:$A$66,Sheet1!$B$47:$B$66)</f>
        <v>134</v>
      </c>
      <c r="F1886" t="s">
        <v>58</v>
      </c>
      <c r="G1886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6" s="13" t="s">
        <v>66</v>
      </c>
      <c r="I1886" s="4">
        <f>_xlfn.XLOOKUP(Table1[[#This Row], [WEAPON]],Sheet1!$A$27:$A$29,Sheet1!$B$27:$B$29)*Table1[[#This Row], [NUM OF MEM]]*(1+_xlfn.XLOOKUP(Table1[[#This Row], [WEAPON]],Sheet1!$A$27:$A$29,Sheet1!$C$27:$C$29))</f>
        <v>72000</v>
      </c>
      <c r="J1886" t="s">
        <v>60</v>
      </c>
      <c r="K1886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1791513.2437499999</v>
      </c>
      <c r="L1886" s="13" t="s">
        <v>61</v>
      </c>
      <c r="M1886" s="4">
        <f>IF(Table1[[#This Row], [EQUIPMENT]]="YES",Sheet1!$C$44*(1+Sheet1!$D$44),0)</f>
        <v>0</v>
      </c>
      <c r="N1886" s="4">
        <f>_xlfn.XLOOKUP(Table1[[#This Row], [ROOM]],Sheet1!$A$47:$A$66,Sheet1!$F$47:$F$66)</f>
        <v>18050000</v>
      </c>
      <c r="O1886" s="9">
        <f>_xlfn.XLOOKUP(_xlfn.CONCAT(Table1[[#This Row], [TEAM]],Table1[[#This Row], [ROOM]]),'ROOM TIME'!$H$2:$H$121,'ROOM TIME'!$J$2:$J$121)</f>
        <v>62.303749999999994</v>
      </c>
      <c r="P1886" s="9">
        <f>(INDEX(Sheet1!$X$48:$Z$67,MATCH(Table1[[#This Row], [ROOM]],Sheet1!$P$48:$P$67,0),MATCH(Table1[[#This Row], [WEAPON]],Sheet1!$X$47:$Z$47,0)))/Table1[[#This Row], [NUM OF MEM]]</f>
        <v>7.5</v>
      </c>
      <c r="Q1886" s="9">
        <f>Table1[[#This Row], [ROOM TIME]]+Table1[[#This Row], [GUARD TIME]]</f>
        <v>69.803749999999994</v>
      </c>
      <c r="R1886" s="4">
        <f>Sheet1!$K$3*_xlfn.XLOOKUP(Table1[[#This Row], [DISGUISE]],Sheet1!$A$21:$A$23,Sheet1!$D$21:$D$23)</f>
        <v>69</v>
      </c>
      <c r="S1886" s="9">
        <f>Table1[[#This Row], [TOTAL TIME]]-Table1[[#This Row], [TOTAL TIME TAKEN]]</f>
        <v>-0.80374999999999375</v>
      </c>
      <c r="T1886" t="str">
        <f>IF(Table1[[#This Row], [TIME DIFFERENCE]]&gt;=0,"PASS","FAIL")</f>
        <v>FAIL</v>
      </c>
      <c r="U1886" s="9">
        <f>Table1[[#This Row], [TRC]]+Table1[[#This Row], [DRC]]+Table1[[#This Row], [WRC]]+Table1[[#This Row], [ERC]]+Table1[[#This Row], [EQRC]]</f>
        <v>7838713.2437500004</v>
      </c>
      <c r="V1886" s="9">
        <f>Table1[[#This Row], [TOTAL COST]]+_xlfn.XLOOKUP(Table1[[#This Row], [TEAM]],Sheet1!$A$12:$A$17,Sheet1!$I$12:$I$17)</f>
        <v>8136193.2437500004</v>
      </c>
      <c r="W1886" s="9">
        <f>Table1[[#This Row], [LOOT]]-Table1[[#This Row], [TOTAL COST]]</f>
        <v>10211286.75625</v>
      </c>
      <c r="X1886" s="4">
        <f>IF(Table1[[#This Row], [PASS/FAIL]]="FAIL",0,Table1[[#This Row], [PROFIT]])</f>
        <v>0</v>
      </c>
    </row>
    <row r="1887" spans="1:24" ht="19.5" customHeight="1" x14ac:dyDescent="0.45">
      <c r="A1887" t="s">
        <v>14</v>
      </c>
      <c r="B1887" s="14">
        <f>_xlfn.XLOOKUP(Table1[[#This Row], [TEAM]],Sheet1!$A$12:$A$17,Sheet1!$F$12:$F$17)</f>
        <v>2</v>
      </c>
      <c r="C1887" s="14">
        <f>_xlfn.XLOOKUP(Table1[[#This Row], [TEAM]],Sheet1!$A$12:$A$17,Sheet1!$G$12:$G$17)</f>
        <v>5949600</v>
      </c>
      <c r="D1887" t="s">
        <v>18</v>
      </c>
      <c r="E1887" s="4">
        <f>_xlfn.XLOOKUP(Table1[[#This Row], [ROOM]],Sheet1!$A$47:$A$66,Sheet1!$B$47:$B$66)</f>
        <v>134</v>
      </c>
      <c r="F1887" t="s">
        <v>58</v>
      </c>
      <c r="G1887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7" s="13" t="s">
        <v>66</v>
      </c>
      <c r="I1887" s="4">
        <f>_xlfn.XLOOKUP(Table1[[#This Row], [WEAPON]],Sheet1!$A$27:$A$29,Sheet1!$B$27:$B$29)*Table1[[#This Row], [NUM OF MEM]]*(1+_xlfn.XLOOKUP(Table1[[#This Row], [WEAPON]],Sheet1!$A$27:$A$29,Sheet1!$C$27:$C$29))</f>
        <v>72000</v>
      </c>
      <c r="J1887" t="s">
        <v>64</v>
      </c>
      <c r="K1887" s="9">
        <f>Table1[[#This Row], [NUM OF MEM]]*Table1[[#This Row], [TOTAL TIME TAKEN]]*_xlfn.XLOOKUP(Table1[[#This Row], [EXIT]],Sheet1!$A$70:$A$71,Sheet1!$B$70:$B$71)*(1+_xlfn.XLOOKUP(Table1[[#This Row], [EXIT]],Sheet1!$A$70:$A$71,Sheet1!$C$70:$C$71))</f>
        <v>1809313.1999999997</v>
      </c>
      <c r="L1887" s="13" t="s">
        <v>61</v>
      </c>
      <c r="M1887" s="4">
        <f>IF(Table1[[#This Row], [EQUIPMENT]]="YES",Sheet1!$C$44*(1+Sheet1!$D$44),0)</f>
        <v>0</v>
      </c>
      <c r="N1887" s="4">
        <f>_xlfn.XLOOKUP(Table1[[#This Row], [ROOM]],Sheet1!$A$47:$A$66,Sheet1!$F$47:$F$66)</f>
        <v>18050000</v>
      </c>
      <c r="O1887" s="9">
        <f>_xlfn.XLOOKUP(_xlfn.CONCAT(Table1[[#This Row], [TEAM]],Table1[[#This Row], [ROOM]]),'ROOM TIME'!$H$2:$H$121,'ROOM TIME'!$J$2:$J$121)</f>
        <v>62.303749999999994</v>
      </c>
      <c r="P1887" s="9">
        <f>(INDEX(Sheet1!$X$48:$Z$67,MATCH(Table1[[#This Row], [ROOM]],Sheet1!$P$48:$P$67,0),MATCH(Table1[[#This Row], [WEAPON]],Sheet1!$X$47:$Z$47,0)))/Table1[[#This Row], [NUM OF MEM]]</f>
        <v>7.5</v>
      </c>
      <c r="Q1887" s="9">
        <f>Table1[[#This Row], [ROOM TIME]]+Table1[[#This Row], [GUARD TIME]]</f>
        <v>69.803749999999994</v>
      </c>
      <c r="R1887" s="4">
        <f>Sheet1!$K$3*_xlfn.XLOOKUP(Table1[[#This Row], [DISGUISE]],Sheet1!$A$21:$A$23,Sheet1!$D$21:$D$23)</f>
        <v>69</v>
      </c>
      <c r="S1887" s="9">
        <f>Table1[[#This Row], [TOTAL TIME]]-Table1[[#This Row], [TOTAL TIME TAKEN]]</f>
        <v>-0.80374999999999375</v>
      </c>
      <c r="T1887" t="str">
        <f>IF(Table1[[#This Row], [TIME DIFFERENCE]]&gt;=0,"PASS","FAIL")</f>
        <v>FAIL</v>
      </c>
      <c r="U1887" s="9">
        <f>Table1[[#This Row], [TRC]]+Table1[[#This Row], [DRC]]+Table1[[#This Row], [WRC]]+Table1[[#This Row], [ERC]]+Table1[[#This Row], [EQRC]]</f>
        <v>7856513.1999999993</v>
      </c>
      <c r="V1887" s="9">
        <f>Table1[[#This Row], [TOTAL COST]]+_xlfn.XLOOKUP(Table1[[#This Row], [TEAM]],Sheet1!$A$12:$A$17,Sheet1!$I$12:$I$17)</f>
        <v>8153993.1999999993</v>
      </c>
      <c r="W1887" s="9">
        <f>Table1[[#This Row], [LOOT]]-Table1[[#This Row], [TOTAL COST]]</f>
        <v>10193486.800000001</v>
      </c>
      <c r="X1887" s="4">
        <f>IF(Table1[[#This Row], [PASS/FAIL]]="FAIL",0,Table1[[#This Row], [PROFIT]])</f>
        <v>0</v>
      </c>
    </row>
    <row r="1888" spans="1:24" ht="19.5" customHeight="1" x14ac:dyDescent="0.45">
      <c r="A1888" t="s">
        <v>14</v>
      </c>
      <c r="B1888" s="14">
        <f>_xlfn.XLOOKUP(Table1[[#This Row], [TEAM]],Sheet1!$A$12:$A$17,Sheet1!$F$12:$F$17)</f>
        <v>2</v>
      </c>
      <c r="C1888" s="14">
        <f>_xlfn.XLOOKUP(Table1[[#This Row], [TEAM]],Sheet1!$A$12:$A$17,Sheet1!$G$12:$G$17)</f>
        <v>5949600</v>
      </c>
      <c r="D1888" t="s">
        <v>18</v>
      </c>
      <c r="E1888" s="4">
        <f>_xlfn.XLOOKUP(Table1[[#This Row], [ROOM]],Sheet1!$A$47:$A$66,Sheet1!$B$47:$B$66)</f>
        <v>134</v>
      </c>
      <c r="F1888" t="s">
        <v>58</v>
      </c>
      <c r="G1888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8" s="13" t="s">
        <v>66</v>
      </c>
      <c r="I1888" s="4">
        <f>_xlfn.XLOOKUP(Table1[[#This Row], [WEAPON]],Sheet1!$A$27:$A$29,Sheet1!$B$27:$B$29)*Table1[[#This Row], [NUM OF MEM]]*(1+_xlfn.XLOOKUP(Table1[[#This Row], [WEAPON]],Sheet1!$A$27:$A$29,Sheet1!$C$27:$C$29))</f>
        <v>72000</v>
      </c>
      <c r="J1888" t="s">
        <v>60</v>
      </c>
      <c r="K1888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1791513.2437499999</v>
      </c>
      <c r="L1888" s="13" t="s">
        <v>65</v>
      </c>
      <c r="M1888" s="4">
        <f>IF(Table1[[#This Row], [EQUIPMENT]]="YES",Sheet1!$C$44*(1+Sheet1!$D$44),0)</f>
        <v>307500</v>
      </c>
      <c r="N1888" s="4">
        <f>_xlfn.XLOOKUP(Table1[[#This Row], [ROOM]],Sheet1!$A$47:$A$66,Sheet1!$F$47:$F$66)</f>
        <v>18050000</v>
      </c>
      <c r="O1888" s="9">
        <f>_xlfn.XLOOKUP(_xlfn.CONCAT(Table1[[#This Row], [TEAM]],Table1[[#This Row], [ROOM]]),'ROOM TIME'!$H$2:$H$121,'ROOM TIME'!$J$2:$J$121)</f>
        <v>62.303749999999994</v>
      </c>
      <c r="P1888" s="9">
        <f>(INDEX(Sheet1!$X$48:$Z$67,MATCH(Table1[[#This Row], [ROOM]],Sheet1!$P$48:$P$67,0),MATCH(Table1[[#This Row], [WEAPON]],Sheet1!$X$47:$Z$47,0)))/Table1[[#This Row], [NUM OF MEM]]</f>
        <v>7.5</v>
      </c>
      <c r="Q1888" s="9">
        <f>Table1[[#This Row], [ROOM TIME]]+Table1[[#This Row], [GUARD TIME]]</f>
        <v>69.803749999999994</v>
      </c>
      <c r="R1888" s="4">
        <f>Sheet1!$K$3*_xlfn.XLOOKUP(Table1[[#This Row], [DISGUISE]],Sheet1!$A$21:$A$23,Sheet1!$D$21:$D$23)</f>
        <v>69</v>
      </c>
      <c r="S1888" s="9">
        <f>Table1[[#This Row], [TOTAL TIME]]-Table1[[#This Row], [TOTAL TIME TAKEN]]</f>
        <v>-0.80374999999999375</v>
      </c>
      <c r="T1888" t="str">
        <f>IF(Table1[[#This Row], [TIME DIFFERENCE]]&gt;=0,"PASS","FAIL")</f>
        <v>FAIL</v>
      </c>
      <c r="U1888" s="9">
        <f>Table1[[#This Row], [TRC]]+Table1[[#This Row], [DRC]]+Table1[[#This Row], [WRC]]+Table1[[#This Row], [ERC]]+Table1[[#This Row], [EQRC]]</f>
        <v>8146213.2437500004</v>
      </c>
      <c r="V1888" s="9">
        <f>Table1[[#This Row], [TOTAL COST]]+_xlfn.XLOOKUP(Table1[[#This Row], [TEAM]],Sheet1!$A$12:$A$17,Sheet1!$I$12:$I$17)</f>
        <v>8443693.2437500004</v>
      </c>
      <c r="W1888" s="9">
        <f>Table1[[#This Row], [LOOT]]-Table1[[#This Row], [TOTAL COST]]</f>
        <v>9903786.7562499996</v>
      </c>
      <c r="X1888" s="4">
        <f>IF(Table1[[#This Row], [PASS/FAIL]]="FAIL",0,Table1[[#This Row], [PROFIT]])</f>
        <v>0</v>
      </c>
    </row>
    <row r="1889" spans="1:24" ht="19.5" customHeight="1" x14ac:dyDescent="0.45">
      <c r="A1889" t="s">
        <v>14</v>
      </c>
      <c r="B1889" s="14">
        <f>_xlfn.XLOOKUP(Table1[[#This Row], [TEAM]],Sheet1!$A$12:$A$17,Sheet1!$F$12:$F$17)</f>
        <v>2</v>
      </c>
      <c r="C1889" s="14">
        <f>_xlfn.XLOOKUP(Table1[[#This Row], [TEAM]],Sheet1!$A$12:$A$17,Sheet1!$G$12:$G$17)</f>
        <v>5949600</v>
      </c>
      <c r="D1889" t="s">
        <v>18</v>
      </c>
      <c r="E1889" s="4">
        <f>_xlfn.XLOOKUP(Table1[[#This Row], [ROOM]],Sheet1!$A$47:$A$66,Sheet1!$B$47:$B$66)</f>
        <v>134</v>
      </c>
      <c r="F1889" t="s">
        <v>58</v>
      </c>
      <c r="G1889" s="4">
        <f>_xlfn.XLOOKUP(Table1[[#This Row], [DISGUISE]],Sheet1!$A$21:$A$23,Sheet1!$B$21:$B$23)*Table1[[#This Row], [NUM OF MEM]]*(1+_xlfn.XLOOKUP(Table1[[#This Row], [DISGUISE]],Sheet1!$A$21:$A$23,Sheet1!$C$21:$C$23))</f>
        <v>25600</v>
      </c>
      <c r="H1889" s="13" t="s">
        <v>66</v>
      </c>
      <c r="I1889" s="4">
        <f>_xlfn.XLOOKUP(Table1[[#This Row], [WEAPON]],Sheet1!$A$27:$A$29,Sheet1!$B$27:$B$29)*Table1[[#This Row], [NUM OF MEM]]*(1+_xlfn.XLOOKUP(Table1[[#This Row], [WEAPON]],Sheet1!$A$27:$A$29,Sheet1!$C$27:$C$29))</f>
        <v>72000</v>
      </c>
      <c r="J1889" t="s">
        <v>64</v>
      </c>
      <c r="K1889" s="9">
        <f>Table1[[#This Row], [NUM OF MEM]]*Table1[[#This Row], [TOTAL TIME TAKEN]]*_xlfn.XLOOKUP(Table1[[#This Row], [EXIT]],Sheet1!$A$70:$A$71,Sheet1!$B$70:$B$71)*(1+_xlfn.XLOOKUP(Table1[[#This Row], [EXIT]],Sheet1!$A$70:$A$71,Sheet1!$C$70:$C$71))</f>
        <v>1809313.1999999997</v>
      </c>
      <c r="L1889" s="13" t="s">
        <v>65</v>
      </c>
      <c r="M1889" s="4">
        <f>IF(Table1[[#This Row], [EQUIPMENT]]="YES",Sheet1!$C$44*(1+Sheet1!$D$44),0)</f>
        <v>307500</v>
      </c>
      <c r="N1889" s="4">
        <f>_xlfn.XLOOKUP(Table1[[#This Row], [ROOM]],Sheet1!$A$47:$A$66,Sheet1!$F$47:$F$66)</f>
        <v>18050000</v>
      </c>
      <c r="O1889" s="9">
        <f>_xlfn.XLOOKUP(_xlfn.CONCAT(Table1[[#This Row], [TEAM]],Table1[[#This Row], [ROOM]]),'ROOM TIME'!$H$2:$H$121,'ROOM TIME'!$J$2:$J$121)</f>
        <v>62.303749999999994</v>
      </c>
      <c r="P1889" s="9">
        <f>(INDEX(Sheet1!$X$48:$Z$67,MATCH(Table1[[#This Row], [ROOM]],Sheet1!$P$48:$P$67,0),MATCH(Table1[[#This Row], [WEAPON]],Sheet1!$X$47:$Z$47,0)))/Table1[[#This Row], [NUM OF MEM]]</f>
        <v>7.5</v>
      </c>
      <c r="Q1889" s="9">
        <f>Table1[[#This Row], [ROOM TIME]]+Table1[[#This Row], [GUARD TIME]]</f>
        <v>69.803749999999994</v>
      </c>
      <c r="R1889" s="4">
        <f>Sheet1!$K$3*_xlfn.XLOOKUP(Table1[[#This Row], [DISGUISE]],Sheet1!$A$21:$A$23,Sheet1!$D$21:$D$23)</f>
        <v>69</v>
      </c>
      <c r="S1889" s="9">
        <f>Table1[[#This Row], [TOTAL TIME]]-Table1[[#This Row], [TOTAL TIME TAKEN]]</f>
        <v>-0.80374999999999375</v>
      </c>
      <c r="T1889" t="str">
        <f>IF(Table1[[#This Row], [TIME DIFFERENCE]]&gt;=0,"PASS","FAIL")</f>
        <v>FAIL</v>
      </c>
      <c r="U1889" s="9">
        <f>Table1[[#This Row], [TRC]]+Table1[[#This Row], [DRC]]+Table1[[#This Row], [WRC]]+Table1[[#This Row], [ERC]]+Table1[[#This Row], [EQRC]]</f>
        <v>8164013.1999999993</v>
      </c>
      <c r="V1889" s="9">
        <f>Table1[[#This Row], [TOTAL COST]]+_xlfn.XLOOKUP(Table1[[#This Row], [TEAM]],Sheet1!$A$12:$A$17,Sheet1!$I$12:$I$17)</f>
        <v>8461493.1999999993</v>
      </c>
      <c r="W1889" s="9">
        <f>Table1[[#This Row], [LOOT]]-Table1[[#This Row], [TOTAL COST]]</f>
        <v>9885986.8000000007</v>
      </c>
      <c r="X1889" s="4">
        <f>IF(Table1[[#This Row], [PASS/FAIL]]="FAIL",0,Table1[[#This Row], [PROFIT]])</f>
        <v>0</v>
      </c>
    </row>
    <row r="1890" spans="1:24" ht="19.5" customHeight="1" x14ac:dyDescent="0.45">
      <c r="A1890" t="s">
        <v>14</v>
      </c>
      <c r="B1890" s="14">
        <f>_xlfn.XLOOKUP(Table1[[#This Row], [TEAM]],Sheet1!$A$12:$A$17,Sheet1!$F$12:$F$17)</f>
        <v>2</v>
      </c>
      <c r="C1890" s="14">
        <f>_xlfn.XLOOKUP(Table1[[#This Row], [TEAM]],Sheet1!$A$12:$A$17,Sheet1!$G$12:$G$17)</f>
        <v>5949600</v>
      </c>
      <c r="D1890" t="s">
        <v>18</v>
      </c>
      <c r="E1890" s="4">
        <f>_xlfn.XLOOKUP(Table1[[#This Row], [ROOM]],Sheet1!$A$47:$A$66,Sheet1!$B$47:$B$66)</f>
        <v>134</v>
      </c>
      <c r="F1890" t="s">
        <v>62</v>
      </c>
      <c r="G1890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0" s="13" t="s">
        <v>66</v>
      </c>
      <c r="I1890" s="4">
        <f>_xlfn.XLOOKUP(Table1[[#This Row], [WEAPON]],Sheet1!$A$27:$A$29,Sheet1!$B$27:$B$29)*Table1[[#This Row], [NUM OF MEM]]*(1+_xlfn.XLOOKUP(Table1[[#This Row], [WEAPON]],Sheet1!$A$27:$A$29,Sheet1!$C$27:$C$29))</f>
        <v>72000</v>
      </c>
      <c r="J1890" t="s">
        <v>60</v>
      </c>
      <c r="K1890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1791513.2437499999</v>
      </c>
      <c r="L1890" s="13" t="s">
        <v>61</v>
      </c>
      <c r="M1890" s="4">
        <f>IF(Table1[[#This Row], [EQUIPMENT]]="YES",Sheet1!$C$44*(1+Sheet1!$D$44),0)</f>
        <v>0</v>
      </c>
      <c r="N1890" s="4">
        <f>_xlfn.XLOOKUP(Table1[[#This Row], [ROOM]],Sheet1!$A$47:$A$66,Sheet1!$F$47:$F$66)</f>
        <v>18050000</v>
      </c>
      <c r="O1890" s="9">
        <f>_xlfn.XLOOKUP(_xlfn.CONCAT(Table1[[#This Row], [TEAM]],Table1[[#This Row], [ROOM]]),'ROOM TIME'!$H$2:$H$121,'ROOM TIME'!$J$2:$J$121)</f>
        <v>62.303749999999994</v>
      </c>
      <c r="P1890" s="9">
        <f>(INDEX(Sheet1!$X$48:$Z$67,MATCH(Table1[[#This Row], [ROOM]],Sheet1!$P$48:$P$67,0),MATCH(Table1[[#This Row], [WEAPON]],Sheet1!$X$47:$Z$47,0)))/Table1[[#This Row], [NUM OF MEM]]</f>
        <v>7.5</v>
      </c>
      <c r="Q1890" s="9">
        <f>Table1[[#This Row], [ROOM TIME]]+Table1[[#This Row], [GUARD TIME]]</f>
        <v>69.803749999999994</v>
      </c>
      <c r="R1890" s="4">
        <f>Sheet1!$K$3*_xlfn.XLOOKUP(Table1[[#This Row], [DISGUISE]],Sheet1!$A$21:$A$23,Sheet1!$D$21:$D$23)</f>
        <v>66</v>
      </c>
      <c r="S1890" s="9">
        <f>Table1[[#This Row], [TOTAL TIME]]-Table1[[#This Row], [TOTAL TIME TAKEN]]</f>
        <v>-3.8037499999999937</v>
      </c>
      <c r="T1890" t="str">
        <f>IF(Table1[[#This Row], [TIME DIFFERENCE]]&gt;=0,"PASS","FAIL")</f>
        <v>FAIL</v>
      </c>
      <c r="U1890" s="9">
        <f>Table1[[#This Row], [TRC]]+Table1[[#This Row], [DRC]]+Table1[[#This Row], [WRC]]+Table1[[#This Row], [ERC]]+Table1[[#This Row], [EQRC]]</f>
        <v>7823513.2437500004</v>
      </c>
      <c r="V1890" s="9">
        <f>Table1[[#This Row], [TOTAL COST]]+_xlfn.XLOOKUP(Table1[[#This Row], [TEAM]],Sheet1!$A$12:$A$17,Sheet1!$I$12:$I$17)</f>
        <v>8120993.2437500004</v>
      </c>
      <c r="W1890" s="9">
        <f>Table1[[#This Row], [LOOT]]-Table1[[#This Row], [TOTAL COST]]</f>
        <v>10226486.75625</v>
      </c>
      <c r="X1890" s="4">
        <f>IF(Table1[[#This Row], [PASS/FAIL]]="FAIL",0,Table1[[#This Row], [PROFIT]])</f>
        <v>0</v>
      </c>
    </row>
    <row r="1891" spans="1:24" ht="19.5" customHeight="1" x14ac:dyDescent="0.45">
      <c r="A1891" t="s">
        <v>14</v>
      </c>
      <c r="B1891" s="14">
        <f>_xlfn.XLOOKUP(Table1[[#This Row], [TEAM]],Sheet1!$A$12:$A$17,Sheet1!$F$12:$F$17)</f>
        <v>2</v>
      </c>
      <c r="C1891" s="14">
        <f>_xlfn.XLOOKUP(Table1[[#This Row], [TEAM]],Sheet1!$A$12:$A$17,Sheet1!$G$12:$G$17)</f>
        <v>5949600</v>
      </c>
      <c r="D1891" t="s">
        <v>18</v>
      </c>
      <c r="E1891" s="4">
        <f>_xlfn.XLOOKUP(Table1[[#This Row], [ROOM]],Sheet1!$A$47:$A$66,Sheet1!$B$47:$B$66)</f>
        <v>134</v>
      </c>
      <c r="F1891" t="s">
        <v>62</v>
      </c>
      <c r="G1891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1" s="13" t="s">
        <v>66</v>
      </c>
      <c r="I1891" s="4">
        <f>_xlfn.XLOOKUP(Table1[[#This Row], [WEAPON]],Sheet1!$A$27:$A$29,Sheet1!$B$27:$B$29)*Table1[[#This Row], [NUM OF MEM]]*(1+_xlfn.XLOOKUP(Table1[[#This Row], [WEAPON]],Sheet1!$A$27:$A$29,Sheet1!$C$27:$C$29))</f>
        <v>72000</v>
      </c>
      <c r="J1891" t="s">
        <v>64</v>
      </c>
      <c r="K1891" s="9">
        <f>Table1[[#This Row], [NUM OF MEM]]*Table1[[#This Row], [TOTAL TIME TAKEN]]*_xlfn.XLOOKUP(Table1[[#This Row], [EXIT]],Sheet1!$A$70:$A$71,Sheet1!$B$70:$B$71)*(1+_xlfn.XLOOKUP(Table1[[#This Row], [EXIT]],Sheet1!$A$70:$A$71,Sheet1!$C$70:$C$71))</f>
        <v>1809313.1999999997</v>
      </c>
      <c r="L1891" s="13" t="s">
        <v>61</v>
      </c>
      <c r="M1891" s="4">
        <f>IF(Table1[[#This Row], [EQUIPMENT]]="YES",Sheet1!$C$44*(1+Sheet1!$D$44),0)</f>
        <v>0</v>
      </c>
      <c r="N1891" s="4">
        <f>_xlfn.XLOOKUP(Table1[[#This Row], [ROOM]],Sheet1!$A$47:$A$66,Sheet1!$F$47:$F$66)</f>
        <v>18050000</v>
      </c>
      <c r="O1891" s="9">
        <f>_xlfn.XLOOKUP(_xlfn.CONCAT(Table1[[#This Row], [TEAM]],Table1[[#This Row], [ROOM]]),'ROOM TIME'!$H$2:$H$121,'ROOM TIME'!$J$2:$J$121)</f>
        <v>62.303749999999994</v>
      </c>
      <c r="P1891" s="9">
        <f>(INDEX(Sheet1!$X$48:$Z$67,MATCH(Table1[[#This Row], [ROOM]],Sheet1!$P$48:$P$67,0),MATCH(Table1[[#This Row], [WEAPON]],Sheet1!$X$47:$Z$47,0)))/Table1[[#This Row], [NUM OF MEM]]</f>
        <v>7.5</v>
      </c>
      <c r="Q1891" s="9">
        <f>Table1[[#This Row], [ROOM TIME]]+Table1[[#This Row], [GUARD TIME]]</f>
        <v>69.803749999999994</v>
      </c>
      <c r="R1891" s="4">
        <f>Sheet1!$K$3*_xlfn.XLOOKUP(Table1[[#This Row], [DISGUISE]],Sheet1!$A$21:$A$23,Sheet1!$D$21:$D$23)</f>
        <v>66</v>
      </c>
      <c r="S1891" s="9">
        <f>Table1[[#This Row], [TOTAL TIME]]-Table1[[#This Row], [TOTAL TIME TAKEN]]</f>
        <v>-3.8037499999999937</v>
      </c>
      <c r="T1891" t="str">
        <f>IF(Table1[[#This Row], [TIME DIFFERENCE]]&gt;=0,"PASS","FAIL")</f>
        <v>FAIL</v>
      </c>
      <c r="U1891" s="9">
        <f>Table1[[#This Row], [TRC]]+Table1[[#This Row], [DRC]]+Table1[[#This Row], [WRC]]+Table1[[#This Row], [ERC]]+Table1[[#This Row], [EQRC]]</f>
        <v>7841313.1999999993</v>
      </c>
      <c r="V1891" s="9">
        <f>Table1[[#This Row], [TOTAL COST]]+_xlfn.XLOOKUP(Table1[[#This Row], [TEAM]],Sheet1!$A$12:$A$17,Sheet1!$I$12:$I$17)</f>
        <v>8138793.1999999993</v>
      </c>
      <c r="W1891" s="9">
        <f>Table1[[#This Row], [LOOT]]-Table1[[#This Row], [TOTAL COST]]</f>
        <v>10208686.800000001</v>
      </c>
      <c r="X1891" s="4">
        <f>IF(Table1[[#This Row], [PASS/FAIL]]="FAIL",0,Table1[[#This Row], [PROFIT]])</f>
        <v>0</v>
      </c>
    </row>
    <row r="1892" spans="1:24" ht="19.5" customHeight="1" x14ac:dyDescent="0.45">
      <c r="A1892" t="s">
        <v>14</v>
      </c>
      <c r="B1892" s="14">
        <f>_xlfn.XLOOKUP(Table1[[#This Row], [TEAM]],Sheet1!$A$12:$A$17,Sheet1!$F$12:$F$17)</f>
        <v>2</v>
      </c>
      <c r="C1892" s="14">
        <f>_xlfn.XLOOKUP(Table1[[#This Row], [TEAM]],Sheet1!$A$12:$A$17,Sheet1!$G$12:$G$17)</f>
        <v>5949600</v>
      </c>
      <c r="D1892" t="s">
        <v>18</v>
      </c>
      <c r="E1892" s="4">
        <f>_xlfn.XLOOKUP(Table1[[#This Row], [ROOM]],Sheet1!$A$47:$A$66,Sheet1!$B$47:$B$66)</f>
        <v>134</v>
      </c>
      <c r="F1892" t="s">
        <v>62</v>
      </c>
      <c r="G1892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2" s="13" t="s">
        <v>66</v>
      </c>
      <c r="I1892" s="4">
        <f>_xlfn.XLOOKUP(Table1[[#This Row], [WEAPON]],Sheet1!$A$27:$A$29,Sheet1!$B$27:$B$29)*Table1[[#This Row], [NUM OF MEM]]*(1+_xlfn.XLOOKUP(Table1[[#This Row], [WEAPON]],Sheet1!$A$27:$A$29,Sheet1!$C$27:$C$29))</f>
        <v>72000</v>
      </c>
      <c r="J1892" t="s">
        <v>60</v>
      </c>
      <c r="K1892" s="9">
        <f>Table1[[#This Row], [NUM OF MEM]]*Table1[[#This Row], [TOTAL TIME TAKEN]]*_xlfn.XLOOKUP(Table1[[#This Row], [EXIT]],Sheet1!$A$70:$A$71,Sheet1!$B$70:$B$71)*(1+_xlfn.XLOOKUP(Table1[[#This Row], [EXIT]],Sheet1!$A$70:$A$71,Sheet1!$C$70:$C$71))</f>
        <v>1791513.2437499999</v>
      </c>
      <c r="L1892" s="13" t="s">
        <v>65</v>
      </c>
      <c r="M1892" s="4">
        <f>IF(Table1[[#This Row], [EQUIPMENT]]="YES",Sheet1!$C$44*(1+Sheet1!$D$44),0)</f>
        <v>307500</v>
      </c>
      <c r="N1892" s="4">
        <f>_xlfn.XLOOKUP(Table1[[#This Row], [ROOM]],Sheet1!$A$47:$A$66,Sheet1!$F$47:$F$66)</f>
        <v>18050000</v>
      </c>
      <c r="O1892" s="9">
        <f>_xlfn.XLOOKUP(_xlfn.CONCAT(Table1[[#This Row], [TEAM]],Table1[[#This Row], [ROOM]]),'ROOM TIME'!$H$2:$H$121,'ROOM TIME'!$J$2:$J$121)</f>
        <v>62.303749999999994</v>
      </c>
      <c r="P1892" s="9">
        <f>(INDEX(Sheet1!$X$48:$Z$67,MATCH(Table1[[#This Row], [ROOM]],Sheet1!$P$48:$P$67,0),MATCH(Table1[[#This Row], [WEAPON]],Sheet1!$X$47:$Z$47,0)))/Table1[[#This Row], [NUM OF MEM]]</f>
        <v>7.5</v>
      </c>
      <c r="Q1892" s="9">
        <f>Table1[[#This Row], [ROOM TIME]]+Table1[[#This Row], [GUARD TIME]]</f>
        <v>69.803749999999994</v>
      </c>
      <c r="R1892" s="4">
        <f>Sheet1!$K$3*_xlfn.XLOOKUP(Table1[[#This Row], [DISGUISE]],Sheet1!$A$21:$A$23,Sheet1!$D$21:$D$23)</f>
        <v>66</v>
      </c>
      <c r="S1892" s="9">
        <f>Table1[[#This Row], [TOTAL TIME]]-Table1[[#This Row], [TOTAL TIME TAKEN]]</f>
        <v>-3.8037499999999937</v>
      </c>
      <c r="T1892" t="str">
        <f>IF(Table1[[#This Row], [TIME DIFFERENCE]]&gt;=0,"PASS","FAIL")</f>
        <v>FAIL</v>
      </c>
      <c r="U1892" s="9">
        <f>Table1[[#This Row], [TRC]]+Table1[[#This Row], [DRC]]+Table1[[#This Row], [WRC]]+Table1[[#This Row], [ERC]]+Table1[[#This Row], [EQRC]]</f>
        <v>8131013.2437500004</v>
      </c>
      <c r="V1892" s="9">
        <f>Table1[[#This Row], [TOTAL COST]]+_xlfn.XLOOKUP(Table1[[#This Row], [TEAM]],Sheet1!$A$12:$A$17,Sheet1!$I$12:$I$17)</f>
        <v>8428493.2437500004</v>
      </c>
      <c r="W1892" s="9">
        <f>Table1[[#This Row], [LOOT]]-Table1[[#This Row], [TOTAL COST]]</f>
        <v>9918986.7562499996</v>
      </c>
      <c r="X1892" s="4">
        <f>IF(Table1[[#This Row], [PASS/FAIL]]="FAIL",0,Table1[[#This Row], [PROFIT]])</f>
        <v>0</v>
      </c>
    </row>
    <row r="1893" spans="1:24" ht="19.5" customHeight="1" x14ac:dyDescent="0.45">
      <c r="A1893" t="s">
        <v>14</v>
      </c>
      <c r="B1893" s="14">
        <f>_xlfn.XLOOKUP(Table1[[#This Row], [TEAM]],Sheet1!$A$12:$A$17,Sheet1!$F$12:$F$17)</f>
        <v>2</v>
      </c>
      <c r="C1893" s="14">
        <f>_xlfn.XLOOKUP(Table1[[#This Row], [TEAM]],Sheet1!$A$12:$A$17,Sheet1!$G$12:$G$17)</f>
        <v>5949600</v>
      </c>
      <c r="D1893" t="s">
        <v>18</v>
      </c>
      <c r="E1893" s="4">
        <f>_xlfn.XLOOKUP(Table1[[#This Row], [ROOM]],Sheet1!$A$47:$A$66,Sheet1!$B$47:$B$66)</f>
        <v>134</v>
      </c>
      <c r="F1893" t="s">
        <v>62</v>
      </c>
      <c r="G1893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3" s="13" t="s">
        <v>66</v>
      </c>
      <c r="I1893" s="4">
        <f>_xlfn.XLOOKUP(Table1[[#This Row], [WEAPON]],Sheet1!$A$27:$A$29,Sheet1!$B$27:$B$29)*Table1[[#This Row], [NUM OF MEM]]*(1+_xlfn.XLOOKUP(Table1[[#This Row], [WEAPON]],Sheet1!$A$27:$A$29,Sheet1!$C$27:$C$29))</f>
        <v>72000</v>
      </c>
      <c r="J1893" t="s">
        <v>64</v>
      </c>
      <c r="K1893" s="9">
        <f>Table1[[#This Row], [NUM OF MEM]]*Table1[[#This Row], [TOTAL TIME TAKEN]]*_xlfn.XLOOKUP(Table1[[#This Row], [EXIT]],Sheet1!$A$70:$A$71,Sheet1!$B$70:$B$71)*(1+_xlfn.XLOOKUP(Table1[[#This Row], [EXIT]],Sheet1!$A$70:$A$71,Sheet1!$C$70:$C$71))</f>
        <v>1809313.1999999997</v>
      </c>
      <c r="L1893" s="13" t="s">
        <v>65</v>
      </c>
      <c r="M1893" s="4">
        <f>IF(Table1[[#This Row], [EQUIPMENT]]="YES",Sheet1!$C$44*(1+Sheet1!$D$44),0)</f>
        <v>307500</v>
      </c>
      <c r="N1893" s="4">
        <f>_xlfn.XLOOKUP(Table1[[#This Row], [ROOM]],Sheet1!$A$47:$A$66,Sheet1!$F$47:$F$66)</f>
        <v>18050000</v>
      </c>
      <c r="O1893" s="9">
        <f>_xlfn.XLOOKUP(_xlfn.CONCAT(Table1[[#This Row], [TEAM]],Table1[[#This Row], [ROOM]]),'ROOM TIME'!$H$2:$H$121,'ROOM TIME'!$J$2:$J$121)</f>
        <v>62.303749999999994</v>
      </c>
      <c r="P1893" s="9">
        <f>(INDEX(Sheet1!$X$48:$Z$67,MATCH(Table1[[#This Row], [ROOM]],Sheet1!$P$48:$P$67,0),MATCH(Table1[[#This Row], [WEAPON]],Sheet1!$X$47:$Z$47,0)))/Table1[[#This Row], [NUM OF MEM]]</f>
        <v>7.5</v>
      </c>
      <c r="Q1893" s="9">
        <f>Table1[[#This Row], [ROOM TIME]]+Table1[[#This Row], [GUARD TIME]]</f>
        <v>69.803749999999994</v>
      </c>
      <c r="R1893" s="4">
        <f>Sheet1!$K$3*_xlfn.XLOOKUP(Table1[[#This Row], [DISGUISE]],Sheet1!$A$21:$A$23,Sheet1!$D$21:$D$23)</f>
        <v>66</v>
      </c>
      <c r="S1893" s="9">
        <f>Table1[[#This Row], [TOTAL TIME]]-Table1[[#This Row], [TOTAL TIME TAKEN]]</f>
        <v>-3.8037499999999937</v>
      </c>
      <c r="T1893" t="str">
        <f>IF(Table1[[#This Row], [TIME DIFFERENCE]]&gt;=0,"PASS","FAIL")</f>
        <v>FAIL</v>
      </c>
      <c r="U1893" s="9">
        <f>Table1[[#This Row], [TRC]]+Table1[[#This Row], [DRC]]+Table1[[#This Row], [WRC]]+Table1[[#This Row], [ERC]]+Table1[[#This Row], [EQRC]]</f>
        <v>8148813.1999999993</v>
      </c>
      <c r="V1893" s="9">
        <f>Table1[[#This Row], [TOTAL COST]]+_xlfn.XLOOKUP(Table1[[#This Row], [TEAM]],Sheet1!$A$12:$A$17,Sheet1!$I$12:$I$17)</f>
        <v>8446293.1999999993</v>
      </c>
      <c r="W1893" s="9">
        <f>Table1[[#This Row], [LOOT]]-Table1[[#This Row], [TOTAL COST]]</f>
        <v>9901186.8000000007</v>
      </c>
      <c r="X1893" s="4">
        <f>IF(Table1[[#This Row], [PASS/FAIL]]="FAIL",0,Table1[[#This Row], [PROFIT]])</f>
        <v>0</v>
      </c>
    </row>
    <row r="1894" spans="1:24" ht="19.5" customHeight="1" x14ac:dyDescent="0.45">
      <c r="A1894" t="s">
        <v>15</v>
      </c>
      <c r="B1894" s="14">
        <f>_xlfn.XLOOKUP(Table1[[#This Row], [TEAM]],Sheet1!$A$12:$A$17,Sheet1!$F$12:$F$17)</f>
        <v>2</v>
      </c>
      <c r="C1894" s="14">
        <f>_xlfn.XLOOKUP(Table1[[#This Row], [TEAM]],Sheet1!$A$12:$A$17,Sheet1!$G$12:$G$17)</f>
        <v>5932950</v>
      </c>
      <c r="D1894" t="s">
        <v>18</v>
      </c>
      <c r="E1894" s="4">
        <f>_xlfn.XLOOKUP(Table1[[#This Row], [ROOM]],Sheet1!$A$47:$A$66,Sheet1!$B$47:$B$66)</f>
        <v>134</v>
      </c>
      <c r="F1894" t="s">
        <v>58</v>
      </c>
      <c r="G1894" s="4">
        <f>_xlfn.XLOOKUP(Table1[[#This Row], [DISGUISE]],Sheet1!$A$21:$A$23,Sheet1!$B$21:$B$23)*Table1[[#This Row], [NUM OF MEM]]*(1+_xlfn.XLOOKUP(Table1[[#This Row], [DISGUISE]],Sheet1!$A$21:$A$23,Sheet1!$C$21:$C$23))</f>
        <v>25600</v>
      </c>
      <c r="H1894" s="13" t="s">
        <v>59</v>
      </c>
      <c r="I1894" s="4">
        <f>_xlfn.XLOOKUP(Table1[[#This Row], [WEAPON]],Sheet1!$A$27:$A$29,Sheet1!$B$27:$B$29)*Table1[[#This Row], [NUM OF MEM]]*(1+_xlfn.XLOOKUP(Table1[[#This Row], [WEAPON]],Sheet1!$A$27:$A$29,Sheet1!$C$27:$C$29))</f>
        <v>91000</v>
      </c>
      <c r="J1894" t="s">
        <v>60</v>
      </c>
      <c r="K1894" s="9">
        <f>Table1[[#This Row], [NUM OF MEM]]*Table1[[#This Row], [TOTAL TIME TAKEN]]*_xlfn.XLOOKUP(Table1[[#This Row], [EXIT]],Sheet1!$A$70:$A$71,Sheet1!$B$70:$B$71)*(1+_xlfn.XLOOKUP(Table1[[#This Row], [EXIT]],Sheet1!$A$70:$A$71,Sheet1!$C$70:$C$71))</f>
        <v>1786380.2437499992</v>
      </c>
      <c r="L1894" s="13" t="s">
        <v>61</v>
      </c>
      <c r="M1894" s="4">
        <f>IF(Table1[[#This Row], [EQUIPMENT]]="YES",Sheet1!$C$44*(1+Sheet1!$D$44),0)</f>
        <v>0</v>
      </c>
      <c r="N1894" s="4">
        <f>_xlfn.XLOOKUP(Table1[[#This Row], [ROOM]],Sheet1!$A$47:$A$66,Sheet1!$F$47:$F$66)</f>
        <v>18050000</v>
      </c>
      <c r="O1894" s="9">
        <f>_xlfn.XLOOKUP(_xlfn.CONCAT(Table1[[#This Row], [TEAM]],Table1[[#This Row], [ROOM]]),'ROOM TIME'!$H$2:$H$121,'ROOM TIME'!$J$2:$J$121)</f>
        <v>62.703749999999971</v>
      </c>
      <c r="P1894" s="9">
        <f>(INDEX(Sheet1!$X$48:$Z$67,MATCH(Table1[[#This Row], [ROOM]],Sheet1!$P$48:$P$67,0),MATCH(Table1[[#This Row], [WEAPON]],Sheet1!$X$47:$Z$47,0)))/Table1[[#This Row], [NUM OF MEM]]</f>
        <v>6.8999999999999995</v>
      </c>
      <c r="Q1894" s="9">
        <f>Table1[[#This Row], [ROOM TIME]]+Table1[[#This Row], [GUARD TIME]]</f>
        <v>69.603749999999977</v>
      </c>
      <c r="R1894" s="4">
        <f>Sheet1!$K$3*_xlfn.XLOOKUP(Table1[[#This Row], [DISGUISE]],Sheet1!$A$21:$A$23,Sheet1!$D$21:$D$23)</f>
        <v>69</v>
      </c>
      <c r="S1894" s="9">
        <f>Table1[[#This Row], [TOTAL TIME]]-Table1[[#This Row], [TOTAL TIME TAKEN]]</f>
        <v>-0.60374999999997669</v>
      </c>
      <c r="T1894" t="str">
        <f>IF(Table1[[#This Row], [TIME DIFFERENCE]]&gt;=0,"PASS","FAIL")</f>
        <v>FAIL</v>
      </c>
      <c r="U1894" s="9">
        <f>Table1[[#This Row], [TRC]]+Table1[[#This Row], [DRC]]+Table1[[#This Row], [WRC]]+Table1[[#This Row], [ERC]]+Table1[[#This Row], [EQRC]]</f>
        <v>7835930.2437499994</v>
      </c>
      <c r="V1894" s="9">
        <f>Table1[[#This Row], [TOTAL COST]]+_xlfn.XLOOKUP(Table1[[#This Row], [TEAM]],Sheet1!$A$12:$A$17,Sheet1!$I$12:$I$17)</f>
        <v>8132577.7437499994</v>
      </c>
      <c r="W1894" s="9">
        <f>Table1[[#This Row], [LOOT]]-Table1[[#This Row], [TOTAL COST]]</f>
        <v>10214069.756250001</v>
      </c>
      <c r="X1894" s="4">
        <f>IF(Table1[[#This Row], [PASS/FAIL]]="FAIL",0,Table1[[#This Row], [PROFIT]])</f>
        <v>0</v>
      </c>
    </row>
    <row r="1895" spans="1:24" ht="19.5" customHeight="1" x14ac:dyDescent="0.45">
      <c r="A1895" t="s">
        <v>15</v>
      </c>
      <c r="B1895" s="14">
        <f>_xlfn.XLOOKUP(Table1[[#This Row], [TEAM]],Sheet1!$A$12:$A$17,Sheet1!$F$12:$F$17)</f>
        <v>2</v>
      </c>
      <c r="C1895" s="14">
        <f>_xlfn.XLOOKUP(Table1[[#This Row], [TEAM]],Sheet1!$A$12:$A$17,Sheet1!$G$12:$G$17)</f>
        <v>5932950</v>
      </c>
      <c r="D1895" t="s">
        <v>18</v>
      </c>
      <c r="E1895" s="4">
        <f>_xlfn.XLOOKUP(Table1[[#This Row], [ROOM]],Sheet1!$A$47:$A$66,Sheet1!$B$47:$B$66)</f>
        <v>134</v>
      </c>
      <c r="F1895" t="s">
        <v>58</v>
      </c>
      <c r="G1895" s="4">
        <f>_xlfn.XLOOKUP(Table1[[#This Row], [DISGUISE]],Sheet1!$A$21:$A$23,Sheet1!$B$21:$B$23)*Table1[[#This Row], [NUM OF MEM]]*(1+_xlfn.XLOOKUP(Table1[[#This Row], [DISGUISE]],Sheet1!$A$21:$A$23,Sheet1!$C$21:$C$23))</f>
        <v>25600</v>
      </c>
      <c r="H1895" s="13" t="s">
        <v>59</v>
      </c>
      <c r="I1895" s="4">
        <f>_xlfn.XLOOKUP(Table1[[#This Row], [WEAPON]],Sheet1!$A$27:$A$29,Sheet1!$B$27:$B$29)*Table1[[#This Row], [NUM OF MEM]]*(1+_xlfn.XLOOKUP(Table1[[#This Row], [WEAPON]],Sheet1!$A$27:$A$29,Sheet1!$C$27:$C$29))</f>
        <v>91000</v>
      </c>
      <c r="J1895" t="s">
        <v>64</v>
      </c>
      <c r="K1895" s="9">
        <f>Table1[[#This Row], [NUM OF MEM]]*Table1[[#This Row], [TOTAL TIME TAKEN]]*_xlfn.XLOOKUP(Table1[[#This Row], [EXIT]],Sheet1!$A$70:$A$71,Sheet1!$B$70:$B$71)*(1+_xlfn.XLOOKUP(Table1[[#This Row], [EXIT]],Sheet1!$A$70:$A$71,Sheet1!$C$70:$C$71))</f>
        <v>1804129.1999999995</v>
      </c>
      <c r="L1895" s="13" t="s">
        <v>61</v>
      </c>
      <c r="M1895" s="4">
        <f>IF(Table1[[#This Row], [EQUIPMENT]]="YES",Sheet1!$C$44*(1+Sheet1!$D$44),0)</f>
        <v>0</v>
      </c>
      <c r="N1895" s="4">
        <f>_xlfn.XLOOKUP(Table1[[#This Row], [ROOM]],Sheet1!$A$47:$A$66,Sheet1!$F$47:$F$66)</f>
        <v>18050000</v>
      </c>
      <c r="O1895" s="9">
        <f>_xlfn.XLOOKUP(_xlfn.CONCAT(Table1[[#This Row], [TEAM]],Table1[[#This Row], [ROOM]]),'ROOM TIME'!$H$2:$H$121,'ROOM TIME'!$J$2:$J$121)</f>
        <v>62.703749999999971</v>
      </c>
      <c r="P1895" s="9">
        <f>(INDEX(Sheet1!$X$48:$Z$67,MATCH(Table1[[#This Row], [ROOM]],Sheet1!$P$48:$P$67,0),MATCH(Table1[[#This Row], [WEAPON]],Sheet1!$X$47:$Z$47,0)))/Table1[[#This Row], [NUM OF MEM]]</f>
        <v>6.8999999999999995</v>
      </c>
      <c r="Q1895" s="9">
        <f>Table1[[#This Row], [ROOM TIME]]+Table1[[#This Row], [GUARD TIME]]</f>
        <v>69.603749999999977</v>
      </c>
      <c r="R1895" s="4">
        <f>Sheet1!$K$3*_xlfn.XLOOKUP(Table1[[#This Row], [DISGUISE]],Sheet1!$A$21:$A$23,Sheet1!$D$21:$D$23)</f>
        <v>69</v>
      </c>
      <c r="S1895" s="9">
        <f>Table1[[#This Row], [TOTAL TIME]]-Table1[[#This Row], [TOTAL TIME TAKEN]]</f>
        <v>-0.60374999999997669</v>
      </c>
      <c r="T1895" t="str">
        <f>IF(Table1[[#This Row], [TIME DIFFERENCE]]&gt;=0,"PASS","FAIL")</f>
        <v>FAIL</v>
      </c>
      <c r="U1895" s="9">
        <f>Table1[[#This Row], [TRC]]+Table1[[#This Row], [DRC]]+Table1[[#This Row], [WRC]]+Table1[[#This Row], [ERC]]+Table1[[#This Row], [EQRC]]</f>
        <v>7853679.1999999993</v>
      </c>
      <c r="V1895" s="9">
        <f>Table1[[#This Row], [TOTAL COST]]+_xlfn.XLOOKUP(Table1[[#This Row], [TEAM]],Sheet1!$A$12:$A$17,Sheet1!$I$12:$I$17)</f>
        <v>8150326.6999999993</v>
      </c>
      <c r="W1895" s="9">
        <f>Table1[[#This Row], [LOOT]]-Table1[[#This Row], [TOTAL COST]]</f>
        <v>10196320.800000001</v>
      </c>
      <c r="X1895" s="4">
        <f>IF(Table1[[#This Row], [PASS/FAIL]]="FAIL",0,Table1[[#This Row], [PROFIT]])</f>
        <v>0</v>
      </c>
    </row>
    <row r="1896" spans="1:24" ht="19.5" customHeight="1" x14ac:dyDescent="0.45">
      <c r="A1896" t="s">
        <v>15</v>
      </c>
      <c r="B1896" s="14">
        <f>_xlfn.XLOOKUP(Table1[[#This Row], [TEAM]],Sheet1!$A$12:$A$17,Sheet1!$F$12:$F$17)</f>
        <v>2</v>
      </c>
      <c r="C1896" s="14">
        <f>_xlfn.XLOOKUP(Table1[[#This Row], [TEAM]],Sheet1!$A$12:$A$17,Sheet1!$G$12:$G$17)</f>
        <v>5932950</v>
      </c>
      <c r="D1896" t="s">
        <v>18</v>
      </c>
      <c r="E1896" s="4">
        <f>_xlfn.XLOOKUP(Table1[[#This Row], [ROOM]],Sheet1!$A$47:$A$66,Sheet1!$B$47:$B$66)</f>
        <v>134</v>
      </c>
      <c r="F1896" t="s">
        <v>58</v>
      </c>
      <c r="G1896" s="4">
        <f>_xlfn.XLOOKUP(Table1[[#This Row], [DISGUISE]],Sheet1!$A$21:$A$23,Sheet1!$B$21:$B$23)*Table1[[#This Row], [NUM OF MEM]]*(1+_xlfn.XLOOKUP(Table1[[#This Row], [DISGUISE]],Sheet1!$A$21:$A$23,Sheet1!$C$21:$C$23))</f>
        <v>25600</v>
      </c>
      <c r="H1896" s="13" t="s">
        <v>59</v>
      </c>
      <c r="I1896" s="4">
        <f>_xlfn.XLOOKUP(Table1[[#This Row], [WEAPON]],Sheet1!$A$27:$A$29,Sheet1!$B$27:$B$29)*Table1[[#This Row], [NUM OF MEM]]*(1+_xlfn.XLOOKUP(Table1[[#This Row], [WEAPON]],Sheet1!$A$27:$A$29,Sheet1!$C$27:$C$29))</f>
        <v>91000</v>
      </c>
      <c r="J1896" t="s">
        <v>60</v>
      </c>
      <c r="K1896" s="9">
        <f>Table1[[#This Row], [NUM OF MEM]]*Table1[[#This Row], [TOTAL TIME TAKEN]]*_xlfn.XLOOKUP(Table1[[#This Row], [EXIT]],Sheet1!$A$70:$A$71,Sheet1!$B$70:$B$71)*(1+_xlfn.XLOOKUP(Table1[[#This Row], [EXIT]],Sheet1!$A$70:$A$71,Sheet1!$C$70:$C$71))</f>
        <v>1786380.2437499992</v>
      </c>
      <c r="L1896" s="13" t="s">
        <v>65</v>
      </c>
      <c r="M1896" s="4">
        <f>IF(Table1[[#This Row], [EQUIPMENT]]="YES",Sheet1!$C$44*(1+Sheet1!$D$44),0)</f>
        <v>307500</v>
      </c>
      <c r="N1896" s="4">
        <f>_xlfn.XLOOKUP(Table1[[#This Row], [ROOM]],Sheet1!$A$47:$A$66,Sheet1!$F$47:$F$66)</f>
        <v>18050000</v>
      </c>
      <c r="O1896" s="9">
        <f>_xlfn.XLOOKUP(_xlfn.CONCAT(Table1[[#This Row], [TEAM]],Table1[[#This Row], [ROOM]]),'ROOM TIME'!$H$2:$H$121,'ROOM TIME'!$J$2:$J$121)</f>
        <v>62.703749999999971</v>
      </c>
      <c r="P1896" s="9">
        <f>(INDEX(Sheet1!$X$48:$Z$67,MATCH(Table1[[#This Row], [ROOM]],Sheet1!$P$48:$P$67,0),MATCH(Table1[[#This Row], [WEAPON]],Sheet1!$X$47:$Z$47,0)))/Table1[[#This Row], [NUM OF MEM]]</f>
        <v>6.8999999999999995</v>
      </c>
      <c r="Q1896" s="9">
        <f>Table1[[#This Row], [ROOM TIME]]+Table1[[#This Row], [GUARD TIME]]</f>
        <v>69.603749999999977</v>
      </c>
      <c r="R1896" s="4">
        <f>Sheet1!$K$3*_xlfn.XLOOKUP(Table1[[#This Row], [DISGUISE]],Sheet1!$A$21:$A$23,Sheet1!$D$21:$D$23)</f>
        <v>69</v>
      </c>
      <c r="S1896" s="9">
        <f>Table1[[#This Row], [TOTAL TIME]]-Table1[[#This Row], [TOTAL TIME TAKEN]]</f>
        <v>-0.60374999999997669</v>
      </c>
      <c r="T1896" t="str">
        <f>IF(Table1[[#This Row], [TIME DIFFERENCE]]&gt;=0,"PASS","FAIL")</f>
        <v>FAIL</v>
      </c>
      <c r="U1896" s="9">
        <f>Table1[[#This Row], [TRC]]+Table1[[#This Row], [DRC]]+Table1[[#This Row], [WRC]]+Table1[[#This Row], [ERC]]+Table1[[#This Row], [EQRC]]</f>
        <v>8143430.2437499994</v>
      </c>
      <c r="V1896" s="9">
        <f>Table1[[#This Row], [TOTAL COST]]+_xlfn.XLOOKUP(Table1[[#This Row], [TEAM]],Sheet1!$A$12:$A$17,Sheet1!$I$12:$I$17)</f>
        <v>8440077.7437499985</v>
      </c>
      <c r="W1896" s="9">
        <f>Table1[[#This Row], [LOOT]]-Table1[[#This Row], [TOTAL COST]]</f>
        <v>9906569.7562500015</v>
      </c>
      <c r="X1896" s="4">
        <f>IF(Table1[[#This Row], [PASS/FAIL]]="FAIL",0,Table1[[#This Row], [PROFIT]])</f>
        <v>0</v>
      </c>
    </row>
    <row r="1897" spans="1:24" ht="19.5" customHeight="1" x14ac:dyDescent="0.45">
      <c r="A1897" t="s">
        <v>15</v>
      </c>
      <c r="B1897" s="14">
        <f>_xlfn.XLOOKUP(Table1[[#This Row], [TEAM]],Sheet1!$A$12:$A$17,Sheet1!$F$12:$F$17)</f>
        <v>2</v>
      </c>
      <c r="C1897" s="14">
        <f>_xlfn.XLOOKUP(Table1[[#This Row], [TEAM]],Sheet1!$A$12:$A$17,Sheet1!$G$12:$G$17)</f>
        <v>5932950</v>
      </c>
      <c r="D1897" t="s">
        <v>18</v>
      </c>
      <c r="E1897" s="4">
        <f>_xlfn.XLOOKUP(Table1[[#This Row], [ROOM]],Sheet1!$A$47:$A$66,Sheet1!$B$47:$B$66)</f>
        <v>134</v>
      </c>
      <c r="F1897" t="s">
        <v>58</v>
      </c>
      <c r="G1897" s="4">
        <f>_xlfn.XLOOKUP(Table1[[#This Row], [DISGUISE]],Sheet1!$A$21:$A$23,Sheet1!$B$21:$B$23)*Table1[[#This Row], [NUM OF MEM]]*(1+_xlfn.XLOOKUP(Table1[[#This Row], [DISGUISE]],Sheet1!$A$21:$A$23,Sheet1!$C$21:$C$23))</f>
        <v>25600</v>
      </c>
      <c r="H1897" s="13" t="s">
        <v>59</v>
      </c>
      <c r="I1897" s="4">
        <f>_xlfn.XLOOKUP(Table1[[#This Row], [WEAPON]],Sheet1!$A$27:$A$29,Sheet1!$B$27:$B$29)*Table1[[#This Row], [NUM OF MEM]]*(1+_xlfn.XLOOKUP(Table1[[#This Row], [WEAPON]],Sheet1!$A$27:$A$29,Sheet1!$C$27:$C$29))</f>
        <v>91000</v>
      </c>
      <c r="J1897" t="s">
        <v>64</v>
      </c>
      <c r="K1897" s="9">
        <f>Table1[[#This Row], [NUM OF MEM]]*Table1[[#This Row], [TOTAL TIME TAKEN]]*_xlfn.XLOOKUP(Table1[[#This Row], [EXIT]],Sheet1!$A$70:$A$71,Sheet1!$B$70:$B$71)*(1+_xlfn.XLOOKUP(Table1[[#This Row], [EXIT]],Sheet1!$A$70:$A$71,Sheet1!$C$70:$C$71))</f>
        <v>1804129.1999999995</v>
      </c>
      <c r="L1897" s="13" t="s">
        <v>65</v>
      </c>
      <c r="M1897" s="4">
        <f>IF(Table1[[#This Row], [EQUIPMENT]]="YES",Sheet1!$C$44*(1+Sheet1!$D$44),0)</f>
        <v>307500</v>
      </c>
      <c r="N1897" s="4">
        <f>_xlfn.XLOOKUP(Table1[[#This Row], [ROOM]],Sheet1!$A$47:$A$66,Sheet1!$F$47:$F$66)</f>
        <v>18050000</v>
      </c>
      <c r="O1897" s="9">
        <f>_xlfn.XLOOKUP(_xlfn.CONCAT(Table1[[#This Row], [TEAM]],Table1[[#This Row], [ROOM]]),'ROOM TIME'!$H$2:$H$121,'ROOM TIME'!$J$2:$J$121)</f>
        <v>62.703749999999971</v>
      </c>
      <c r="P1897" s="9">
        <f>(INDEX(Sheet1!$X$48:$Z$67,MATCH(Table1[[#This Row], [ROOM]],Sheet1!$P$48:$P$67,0),MATCH(Table1[[#This Row], [WEAPON]],Sheet1!$X$47:$Z$47,0)))/Table1[[#This Row], [NUM OF MEM]]</f>
        <v>6.8999999999999995</v>
      </c>
      <c r="Q1897" s="9">
        <f>Table1[[#This Row], [ROOM TIME]]+Table1[[#This Row], [GUARD TIME]]</f>
        <v>69.603749999999977</v>
      </c>
      <c r="R1897" s="4">
        <f>Sheet1!$K$3*_xlfn.XLOOKUP(Table1[[#This Row], [DISGUISE]],Sheet1!$A$21:$A$23,Sheet1!$D$21:$D$23)</f>
        <v>69</v>
      </c>
      <c r="S1897" s="9">
        <f>Table1[[#This Row], [TOTAL TIME]]-Table1[[#This Row], [TOTAL TIME TAKEN]]</f>
        <v>-0.60374999999997669</v>
      </c>
      <c r="T1897" t="str">
        <f>IF(Table1[[#This Row], [TIME DIFFERENCE]]&gt;=0,"PASS","FAIL")</f>
        <v>FAIL</v>
      </c>
      <c r="U1897" s="9">
        <f>Table1[[#This Row], [TRC]]+Table1[[#This Row], [DRC]]+Table1[[#This Row], [WRC]]+Table1[[#This Row], [ERC]]+Table1[[#This Row], [EQRC]]</f>
        <v>8161179.1999999993</v>
      </c>
      <c r="V1897" s="9">
        <f>Table1[[#This Row], [TOTAL COST]]+_xlfn.XLOOKUP(Table1[[#This Row], [TEAM]],Sheet1!$A$12:$A$17,Sheet1!$I$12:$I$17)</f>
        <v>8457826.6999999993</v>
      </c>
      <c r="W1897" s="9">
        <f>Table1[[#This Row], [LOOT]]-Table1[[#This Row], [TOTAL COST]]</f>
        <v>9888820.8000000007</v>
      </c>
      <c r="X1897" s="4">
        <f>IF(Table1[[#This Row], [PASS/FAIL]]="FAIL",0,Table1[[#This Row], [PROFIT]])</f>
        <v>0</v>
      </c>
    </row>
    <row r="1898" spans="1:24" ht="19.5" customHeight="1" x14ac:dyDescent="0.45">
      <c r="A1898" t="s">
        <v>15</v>
      </c>
      <c r="B1898" s="14">
        <f>_xlfn.XLOOKUP(Table1[[#This Row], [TEAM]],Sheet1!$A$12:$A$17,Sheet1!$F$12:$F$17)</f>
        <v>2</v>
      </c>
      <c r="C1898" s="14">
        <f>_xlfn.XLOOKUP(Table1[[#This Row], [TEAM]],Sheet1!$A$12:$A$17,Sheet1!$G$12:$G$17)</f>
        <v>5932950</v>
      </c>
      <c r="D1898" t="s">
        <v>18</v>
      </c>
      <c r="E1898" s="4">
        <f>_xlfn.XLOOKUP(Table1[[#This Row], [ROOM]],Sheet1!$A$47:$A$66,Sheet1!$B$47:$B$66)</f>
        <v>134</v>
      </c>
      <c r="F1898" t="s">
        <v>62</v>
      </c>
      <c r="G1898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8" s="13" t="s">
        <v>59</v>
      </c>
      <c r="I1898" s="4">
        <f>_xlfn.XLOOKUP(Table1[[#This Row], [WEAPON]],Sheet1!$A$27:$A$29,Sheet1!$B$27:$B$29)*Table1[[#This Row], [NUM OF MEM]]*(1+_xlfn.XLOOKUP(Table1[[#This Row], [WEAPON]],Sheet1!$A$27:$A$29,Sheet1!$C$27:$C$29))</f>
        <v>91000</v>
      </c>
      <c r="J1898" t="s">
        <v>60</v>
      </c>
      <c r="K1898" s="9">
        <f>Table1[[#This Row], [NUM OF MEM]]*Table1[[#This Row], [TOTAL TIME TAKEN]]*_xlfn.XLOOKUP(Table1[[#This Row], [EXIT]],Sheet1!$A$70:$A$71,Sheet1!$B$70:$B$71)*(1+_xlfn.XLOOKUP(Table1[[#This Row], [EXIT]],Sheet1!$A$70:$A$71,Sheet1!$C$70:$C$71))</f>
        <v>1786380.2437499992</v>
      </c>
      <c r="L1898" s="13" t="s">
        <v>61</v>
      </c>
      <c r="M1898" s="4">
        <f>IF(Table1[[#This Row], [EQUIPMENT]]="YES",Sheet1!$C$44*(1+Sheet1!$D$44),0)</f>
        <v>0</v>
      </c>
      <c r="N1898" s="4">
        <f>_xlfn.XLOOKUP(Table1[[#This Row], [ROOM]],Sheet1!$A$47:$A$66,Sheet1!$F$47:$F$66)</f>
        <v>18050000</v>
      </c>
      <c r="O1898" s="9">
        <f>_xlfn.XLOOKUP(_xlfn.CONCAT(Table1[[#This Row], [TEAM]],Table1[[#This Row], [ROOM]]),'ROOM TIME'!$H$2:$H$121,'ROOM TIME'!$J$2:$J$121)</f>
        <v>62.703749999999971</v>
      </c>
      <c r="P1898" s="9">
        <f>(INDEX(Sheet1!$X$48:$Z$67,MATCH(Table1[[#This Row], [ROOM]],Sheet1!$P$48:$P$67,0),MATCH(Table1[[#This Row], [WEAPON]],Sheet1!$X$47:$Z$47,0)))/Table1[[#This Row], [NUM OF MEM]]</f>
        <v>6.8999999999999995</v>
      </c>
      <c r="Q1898" s="9">
        <f>Table1[[#This Row], [ROOM TIME]]+Table1[[#This Row], [GUARD TIME]]</f>
        <v>69.603749999999977</v>
      </c>
      <c r="R1898" s="4">
        <f>Sheet1!$K$3*_xlfn.XLOOKUP(Table1[[#This Row], [DISGUISE]],Sheet1!$A$21:$A$23,Sheet1!$D$21:$D$23)</f>
        <v>66</v>
      </c>
      <c r="S1898" s="9">
        <f>Table1[[#This Row], [TOTAL TIME]]-Table1[[#This Row], [TOTAL TIME TAKEN]]</f>
        <v>-3.6037499999999767</v>
      </c>
      <c r="T1898" t="str">
        <f>IF(Table1[[#This Row], [TIME DIFFERENCE]]&gt;=0,"PASS","FAIL")</f>
        <v>FAIL</v>
      </c>
      <c r="U1898" s="9">
        <f>Table1[[#This Row], [TRC]]+Table1[[#This Row], [DRC]]+Table1[[#This Row], [WRC]]+Table1[[#This Row], [ERC]]+Table1[[#This Row], [EQRC]]</f>
        <v>7820730.2437499994</v>
      </c>
      <c r="V1898" s="9">
        <f>Table1[[#This Row], [TOTAL COST]]+_xlfn.XLOOKUP(Table1[[#This Row], [TEAM]],Sheet1!$A$12:$A$17,Sheet1!$I$12:$I$17)</f>
        <v>8117377.7437499994</v>
      </c>
      <c r="W1898" s="9">
        <f>Table1[[#This Row], [LOOT]]-Table1[[#This Row], [TOTAL COST]]</f>
        <v>10229269.756250001</v>
      </c>
      <c r="X1898" s="4">
        <f>IF(Table1[[#This Row], [PASS/FAIL]]="FAIL",0,Table1[[#This Row], [PROFIT]])</f>
        <v>0</v>
      </c>
    </row>
    <row r="1899" spans="1:24" ht="19.5" customHeight="1" x14ac:dyDescent="0.45">
      <c r="A1899" t="s">
        <v>15</v>
      </c>
      <c r="B1899" s="14">
        <f>_xlfn.XLOOKUP(Table1[[#This Row], [TEAM]],Sheet1!$A$12:$A$17,Sheet1!$F$12:$F$17)</f>
        <v>2</v>
      </c>
      <c r="C1899" s="14">
        <f>_xlfn.XLOOKUP(Table1[[#This Row], [TEAM]],Sheet1!$A$12:$A$17,Sheet1!$G$12:$G$17)</f>
        <v>5932950</v>
      </c>
      <c r="D1899" t="s">
        <v>18</v>
      </c>
      <c r="E1899" s="4">
        <f>_xlfn.XLOOKUP(Table1[[#This Row], [ROOM]],Sheet1!$A$47:$A$66,Sheet1!$B$47:$B$66)</f>
        <v>134</v>
      </c>
      <c r="F1899" t="s">
        <v>62</v>
      </c>
      <c r="G1899" s="4">
        <f>_xlfn.XLOOKUP(Table1[[#This Row], [DISGUISE]],Sheet1!$A$21:$A$23,Sheet1!$B$21:$B$23)*Table1[[#This Row], [NUM OF MEM]]*(1+_xlfn.XLOOKUP(Table1[[#This Row], [DISGUISE]],Sheet1!$A$21:$A$23,Sheet1!$C$21:$C$23))</f>
        <v>10400</v>
      </c>
      <c r="H1899" s="13" t="s">
        <v>59</v>
      </c>
      <c r="I1899" s="4">
        <f>_xlfn.XLOOKUP(Table1[[#This Row], [WEAPON]],Sheet1!$A$27:$A$29,Sheet1!$B$27:$B$29)*Table1[[#This Row], [NUM OF MEM]]*(1+_xlfn.XLOOKUP(Table1[[#This Row], [WEAPON]],Sheet1!$A$27:$A$29,Sheet1!$C$27:$C$29))</f>
        <v>91000</v>
      </c>
      <c r="J1899" t="s">
        <v>64</v>
      </c>
      <c r="K1899" s="9">
        <f>Table1[[#This Row], [NUM OF MEM]]*Table1[[#This Row], [TOTAL TIME TAKEN]]*_xlfn.XLOOKUP(Table1[[#This Row], [EXIT]],Sheet1!$A$70:$A$71,Sheet1!$B$70:$B$71)*(1+_xlfn.XLOOKUP(Table1[[#This Row], [EXIT]],Sheet1!$A$70:$A$71,Sheet1!$C$70:$C$71))</f>
        <v>1804129.1999999995</v>
      </c>
      <c r="L1899" s="13" t="s">
        <v>61</v>
      </c>
      <c r="M1899" s="4">
        <f>IF(Table1[[#This Row], [EQUIPMENT]]="YES",Sheet1!$C$44*(1+Sheet1!$D$44),0)</f>
        <v>0</v>
      </c>
      <c r="N1899" s="4">
        <f>_xlfn.XLOOKUP(Table1[[#This Row], [ROOM]],Sheet1!$A$47:$A$66,Sheet1!$F$47:$F$66)</f>
        <v>18050000</v>
      </c>
      <c r="O1899" s="9">
        <f>_xlfn.XLOOKUP(_xlfn.CONCAT(Table1[[#This Row], [TEAM]],Table1[[#This Row], [ROOM]]),'ROOM TIME'!$H$2:$H$121,'ROOM TIME'!$J$2:$J$121)</f>
        <v>62.703749999999971</v>
      </c>
      <c r="P1899" s="9">
        <f>(INDEX(Sheet1!$X$48:$Z$67,MATCH(Table1[[#This Row], [ROOM]],Sheet1!$P$48:$P$67,0),MATCH(Table1[[#This Row], [WEAPON]],Sheet1!$X$47:$Z$47,0)))/Table1[[#This Row], [NUM OF MEM]]</f>
        <v>6.8999999999999995</v>
      </c>
      <c r="Q1899" s="9">
        <f>Table1[[#This Row], [ROOM TIME]]+Table1[[#This Row], [GUARD TIME]]</f>
        <v>69.603749999999977</v>
      </c>
      <c r="R1899" s="4">
        <f>Sheet1!$K$3*_xlfn.XLOOKUP(Table1[[#This Row], [DISGUISE]],Sheet1!$A$21:$A$23,Sheet1!$D$21:$D$23)</f>
        <v>66</v>
      </c>
      <c r="S1899" s="9">
        <f>Table1[[#This Row], [TOTAL TIME]]-Table1[[#This Row], [TOTAL TIME TAKEN]]</f>
        <v>-3.6037499999999767</v>
      </c>
      <c r="T1899" t="str">
        <f>IF(Table1[[#This Row], [TIME DIFFERENCE]]&gt;=0,"PASS","FAIL")</f>
        <v>FAIL</v>
      </c>
      <c r="U1899" s="9">
        <f>Table1[[#This Row], [TRC]]+Table1[[#This Row], [DRC]]+Table1[[#This Row], [WRC]]+Table1[[#This Row], [ERC]]+Table1[[#This Row], [EQRC]]</f>
        <v>7838479.1999999993</v>
      </c>
      <c r="V1899" s="9">
        <f>Table1[[#This Row], [TOTAL COST]]+_xlfn.XLOOKUP(Table1[[#This Row], [TEAM]],Sheet1!$A$12:$A$17,Sheet1!$I$12:$I$17)</f>
        <v>8135126.6999999993</v>
      </c>
      <c r="W1899" s="9">
        <f>Table1[[#This Row], [LOOT]]-Table1[[#This Row], [TOTAL COST]]</f>
        <v>10211520.800000001</v>
      </c>
      <c r="X1899" s="4">
        <f>IF(Table1[[#This Row], [PASS/FAIL]]="FAIL",0,Table1[[#This Row], [PROFIT]])</f>
        <v>0</v>
      </c>
    </row>
    <row r="1900" spans="1:24" ht="19.5" customHeight="1" x14ac:dyDescent="0.45">
      <c r="A1900" t="s">
        <v>15</v>
      </c>
      <c r="B1900" s="14">
        <f>_xlfn.XLOOKUP(Table1[[#This Row], [TEAM]],Sheet1!$A$12:$A$17,Sheet1!$F$12:$F$17)</f>
        <v>2</v>
      </c>
      <c r="C1900" s="14">
        <f>_xlfn.XLOOKUP(Table1[[#This Row], [TEAM]],Sheet1!$A$12:$A$17,Sheet1!$G$12:$G$17)</f>
        <v>5932950</v>
      </c>
      <c r="D1900" t="s">
        <v>18</v>
      </c>
      <c r="E1900" s="4">
        <f>_xlfn.XLOOKUP(Table1[[#This Row], [ROOM]],Sheet1!$A$47:$A$66,Sheet1!$B$47:$B$66)</f>
        <v>134</v>
      </c>
      <c r="F1900" t="s">
        <v>62</v>
      </c>
      <c r="G190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00" s="13" t="s">
        <v>59</v>
      </c>
      <c r="I1900" s="4">
        <f>_xlfn.XLOOKUP(Table1[[#This Row], [WEAPON]],Sheet1!$A$27:$A$29,Sheet1!$B$27:$B$29)*Table1[[#This Row], [NUM OF MEM]]*(1+_xlfn.XLOOKUP(Table1[[#This Row], [WEAPON]],Sheet1!$A$27:$A$29,Sheet1!$C$27:$C$29))</f>
        <v>91000</v>
      </c>
      <c r="J1900" t="s">
        <v>60</v>
      </c>
      <c r="K1900" s="9">
        <f>Table1[[#This Row], [NUM OF MEM]]*Table1[[#This Row], [TOTAL TIME TAKEN]]*_xlfn.XLOOKUP(Table1[[#This Row], [EXIT]],Sheet1!$A$70:$A$71,Sheet1!$B$70:$B$71)*(1+_xlfn.XLOOKUP(Table1[[#This Row], [EXIT]],Sheet1!$A$70:$A$71,Sheet1!$C$70:$C$71))</f>
        <v>1786380.2437499992</v>
      </c>
      <c r="L1900" s="13" t="s">
        <v>65</v>
      </c>
      <c r="M1900" s="4">
        <f>IF(Table1[[#This Row], [EQUIPMENT]]="YES",Sheet1!$C$44*(1+Sheet1!$D$44),0)</f>
        <v>307500</v>
      </c>
      <c r="N1900" s="4">
        <f>_xlfn.XLOOKUP(Table1[[#This Row], [ROOM]],Sheet1!$A$47:$A$66,Sheet1!$F$47:$F$66)</f>
        <v>18050000</v>
      </c>
      <c r="O1900" s="9">
        <f>_xlfn.XLOOKUP(_xlfn.CONCAT(Table1[[#This Row], [TEAM]],Table1[[#This Row], [ROOM]]),'ROOM TIME'!$H$2:$H$121,'ROOM TIME'!$J$2:$J$121)</f>
        <v>62.703749999999971</v>
      </c>
      <c r="P1900" s="9">
        <f>(INDEX(Sheet1!$X$48:$Z$67,MATCH(Table1[[#This Row], [ROOM]],Sheet1!$P$48:$P$67,0),MATCH(Table1[[#This Row], [WEAPON]],Sheet1!$X$47:$Z$47,0)))/Table1[[#This Row], [NUM OF MEM]]</f>
        <v>6.8999999999999995</v>
      </c>
      <c r="Q1900" s="9">
        <f>Table1[[#This Row], [ROOM TIME]]+Table1[[#This Row], [GUARD TIME]]</f>
        <v>69.603749999999977</v>
      </c>
      <c r="R1900" s="4">
        <f>Sheet1!$K$3*_xlfn.XLOOKUP(Table1[[#This Row], [DISGUISE]],Sheet1!$A$21:$A$23,Sheet1!$D$21:$D$23)</f>
        <v>66</v>
      </c>
      <c r="S1900" s="9">
        <f>Table1[[#This Row], [TOTAL TIME]]-Table1[[#This Row], [TOTAL TIME TAKEN]]</f>
        <v>-3.6037499999999767</v>
      </c>
      <c r="T1900" t="str">
        <f>IF(Table1[[#This Row], [TIME DIFFERENCE]]&gt;=0,"PASS","FAIL")</f>
        <v>FAIL</v>
      </c>
      <c r="U1900" s="9">
        <f>Table1[[#This Row], [TRC]]+Table1[[#This Row], [DRC]]+Table1[[#This Row], [WRC]]+Table1[[#This Row], [ERC]]+Table1[[#This Row], [EQRC]]</f>
        <v>8128230.2437499994</v>
      </c>
      <c r="V1900" s="9">
        <f>Table1[[#This Row], [TOTAL COST]]+_xlfn.XLOOKUP(Table1[[#This Row], [TEAM]],Sheet1!$A$12:$A$17,Sheet1!$I$12:$I$17)</f>
        <v>8424877.7437499985</v>
      </c>
      <c r="W1900" s="9">
        <f>Table1[[#This Row], [LOOT]]-Table1[[#This Row], [TOTAL COST]]</f>
        <v>9921769.7562500015</v>
      </c>
      <c r="X1900" s="4">
        <f>IF(Table1[[#This Row], [PASS/FAIL]]="FAIL",0,Table1[[#This Row], [PROFIT]])</f>
        <v>0</v>
      </c>
    </row>
    <row r="1901" spans="1:24" ht="19.5" customHeight="1" x14ac:dyDescent="0.45">
      <c r="A1901" t="s">
        <v>15</v>
      </c>
      <c r="B1901" s="14">
        <f>_xlfn.XLOOKUP(Table1[[#This Row], [TEAM]],Sheet1!$A$12:$A$17,Sheet1!$F$12:$F$17)</f>
        <v>2</v>
      </c>
      <c r="C1901" s="14">
        <f>_xlfn.XLOOKUP(Table1[[#This Row], [TEAM]],Sheet1!$A$12:$A$17,Sheet1!$G$12:$G$17)</f>
        <v>5932950</v>
      </c>
      <c r="D1901" t="s">
        <v>18</v>
      </c>
      <c r="E1901" s="4">
        <f>_xlfn.XLOOKUP(Table1[[#This Row], [ROOM]],Sheet1!$A$47:$A$66,Sheet1!$B$47:$B$66)</f>
        <v>134</v>
      </c>
      <c r="F1901" t="s">
        <v>58</v>
      </c>
      <c r="G1901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1" s="13" t="s">
        <v>63</v>
      </c>
      <c r="I1901" s="4">
        <f>_xlfn.XLOOKUP(Table1[[#This Row], [WEAPON]],Sheet1!$A$27:$A$29,Sheet1!$B$27:$B$29)*Table1[[#This Row], [NUM OF MEM]]*(1+_xlfn.XLOOKUP(Table1[[#This Row], [WEAPON]],Sheet1!$A$27:$A$29,Sheet1!$C$27:$C$29))</f>
        <v>46000</v>
      </c>
      <c r="J1901" t="s">
        <v>60</v>
      </c>
      <c r="K1901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1817178.2437499992</v>
      </c>
      <c r="L1901" s="13" t="s">
        <v>61</v>
      </c>
      <c r="M1901" s="4">
        <f>IF(Table1[[#This Row], [EQUIPMENT]]="YES",Sheet1!$C$44*(1+Sheet1!$D$44),0)</f>
        <v>0</v>
      </c>
      <c r="N1901" s="4">
        <f>_xlfn.XLOOKUP(Table1[[#This Row], [ROOM]],Sheet1!$A$47:$A$66,Sheet1!$F$47:$F$66)</f>
        <v>18050000</v>
      </c>
      <c r="O1901" s="9">
        <f>_xlfn.XLOOKUP(_xlfn.CONCAT(Table1[[#This Row], [TEAM]],Table1[[#This Row], [ROOM]]),'ROOM TIME'!$H$2:$H$121,'ROOM TIME'!$J$2:$J$121)</f>
        <v>62.703749999999971</v>
      </c>
      <c r="P1901" s="9">
        <f>(INDEX(Sheet1!$X$48:$Z$67,MATCH(Table1[[#This Row], [ROOM]],Sheet1!$P$48:$P$67,0),MATCH(Table1[[#This Row], [WEAPON]],Sheet1!$X$47:$Z$47,0)))/Table1[[#This Row], [NUM OF MEM]]</f>
        <v>8.1000000000000014</v>
      </c>
      <c r="Q1901" s="9">
        <f>Table1[[#This Row], [ROOM TIME]]+Table1[[#This Row], [GUARD TIME]]</f>
        <v>70.80374999999998</v>
      </c>
      <c r="R1901" s="4">
        <f>Sheet1!$K$3*_xlfn.XLOOKUP(Table1[[#This Row], [DISGUISE]],Sheet1!$A$21:$A$23,Sheet1!$D$21:$D$23)</f>
        <v>69</v>
      </c>
      <c r="S1901" s="9">
        <f>Table1[[#This Row], [TOTAL TIME]]-Table1[[#This Row], [TOTAL TIME TAKEN]]</f>
        <v>-1.8037499999999795</v>
      </c>
      <c r="T1901" t="str">
        <f>IF(Table1[[#This Row], [TIME DIFFERENCE]]&gt;=0,"PASS","FAIL")</f>
        <v>FAIL</v>
      </c>
      <c r="U1901" s="9">
        <f>Table1[[#This Row], [TRC]]+Table1[[#This Row], [DRC]]+Table1[[#This Row], [WRC]]+Table1[[#This Row], [ERC]]+Table1[[#This Row], [EQRC]]</f>
        <v>7821728.2437499994</v>
      </c>
      <c r="V1901" s="9">
        <f>Table1[[#This Row], [TOTAL COST]]+_xlfn.XLOOKUP(Table1[[#This Row], [TEAM]],Sheet1!$A$12:$A$17,Sheet1!$I$12:$I$17)</f>
        <v>8118375.7437499994</v>
      </c>
      <c r="W1901" s="9">
        <f>Table1[[#This Row], [LOOT]]-Table1[[#This Row], [TOTAL COST]]</f>
        <v>10228271.756250001</v>
      </c>
      <c r="X1901" s="4">
        <f>IF(Table1[[#This Row], [PASS/FAIL]]="FAIL",0,Table1[[#This Row], [PROFIT]])</f>
        <v>0</v>
      </c>
    </row>
    <row r="1902" spans="1:24" ht="19.5" customHeight="1" x14ac:dyDescent="0.45">
      <c r="A1902" t="s">
        <v>15</v>
      </c>
      <c r="B1902" s="14">
        <f>_xlfn.XLOOKUP(Table1[[#This Row], [TEAM]],Sheet1!$A$12:$A$17,Sheet1!$F$12:$F$17)</f>
        <v>2</v>
      </c>
      <c r="C1902" s="14">
        <f>_xlfn.XLOOKUP(Table1[[#This Row], [TEAM]],Sheet1!$A$12:$A$17,Sheet1!$G$12:$G$17)</f>
        <v>5932950</v>
      </c>
      <c r="D1902" t="s">
        <v>18</v>
      </c>
      <c r="E1902" s="4">
        <f>_xlfn.XLOOKUP(Table1[[#This Row], [ROOM]],Sheet1!$A$47:$A$66,Sheet1!$B$47:$B$66)</f>
        <v>134</v>
      </c>
      <c r="F1902" t="s">
        <v>62</v>
      </c>
      <c r="G190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02" s="13" t="s">
        <v>59</v>
      </c>
      <c r="I1902" s="4">
        <f>_xlfn.XLOOKUP(Table1[[#This Row], [WEAPON]],Sheet1!$A$27:$A$29,Sheet1!$B$27:$B$29)*Table1[[#This Row], [NUM OF MEM]]*(1+_xlfn.XLOOKUP(Table1[[#This Row], [WEAPON]],Sheet1!$A$27:$A$29,Sheet1!$C$27:$C$29))</f>
        <v>91000</v>
      </c>
      <c r="J1902" t="s">
        <v>64</v>
      </c>
      <c r="K1902" s="9">
        <f>Table1[[#This Row], [NUM OF MEM]]*Table1[[#This Row], [TOTAL TIME TAKEN]]*_xlfn.XLOOKUP(Table1[[#This Row], [EXIT]],Sheet1!$A$70:$A$71,Sheet1!$B$70:$B$71)*(1+_xlfn.XLOOKUP(Table1[[#This Row], [EXIT]],Sheet1!$A$70:$A$71,Sheet1!$C$70:$C$71))</f>
        <v>1804129.1999999995</v>
      </c>
      <c r="L1902" s="13" t="s">
        <v>65</v>
      </c>
      <c r="M1902" s="4">
        <f>IF(Table1[[#This Row], [EQUIPMENT]]="YES",Sheet1!$C$44*(1+Sheet1!$D$44),0)</f>
        <v>307500</v>
      </c>
      <c r="N1902" s="4">
        <f>_xlfn.XLOOKUP(Table1[[#This Row], [ROOM]],Sheet1!$A$47:$A$66,Sheet1!$F$47:$F$66)</f>
        <v>18050000</v>
      </c>
      <c r="O1902" s="9">
        <f>_xlfn.XLOOKUP(_xlfn.CONCAT(Table1[[#This Row], [TEAM]],Table1[[#This Row], [ROOM]]),'ROOM TIME'!$H$2:$H$121,'ROOM TIME'!$J$2:$J$121)</f>
        <v>62.703749999999971</v>
      </c>
      <c r="P1902" s="9">
        <f>(INDEX(Sheet1!$X$48:$Z$67,MATCH(Table1[[#This Row], [ROOM]],Sheet1!$P$48:$P$67,0),MATCH(Table1[[#This Row], [WEAPON]],Sheet1!$X$47:$Z$47,0)))/Table1[[#This Row], [NUM OF MEM]]</f>
        <v>6.8999999999999995</v>
      </c>
      <c r="Q1902" s="9">
        <f>Table1[[#This Row], [ROOM TIME]]+Table1[[#This Row], [GUARD TIME]]</f>
        <v>69.603749999999977</v>
      </c>
      <c r="R1902" s="4">
        <f>Sheet1!$K$3*_xlfn.XLOOKUP(Table1[[#This Row], [DISGUISE]],Sheet1!$A$21:$A$23,Sheet1!$D$21:$D$23)</f>
        <v>66</v>
      </c>
      <c r="S1902" s="9">
        <f>Table1[[#This Row], [TOTAL TIME]]-Table1[[#This Row], [TOTAL TIME TAKEN]]</f>
        <v>-3.6037499999999767</v>
      </c>
      <c r="T1902" t="str">
        <f>IF(Table1[[#This Row], [TIME DIFFERENCE]]&gt;=0,"PASS","FAIL")</f>
        <v>FAIL</v>
      </c>
      <c r="U1902" s="9">
        <f>Table1[[#This Row], [TRC]]+Table1[[#This Row], [DRC]]+Table1[[#This Row], [WRC]]+Table1[[#This Row], [ERC]]+Table1[[#This Row], [EQRC]]</f>
        <v>8145979.1999999993</v>
      </c>
      <c r="V1902" s="9">
        <f>Table1[[#This Row], [TOTAL COST]]+_xlfn.XLOOKUP(Table1[[#This Row], [TEAM]],Sheet1!$A$12:$A$17,Sheet1!$I$12:$I$17)</f>
        <v>8442626.6999999993</v>
      </c>
      <c r="W1902" s="9">
        <f>Table1[[#This Row], [LOOT]]-Table1[[#This Row], [TOTAL COST]]</f>
        <v>9904020.8000000007</v>
      </c>
      <c r="X1902" s="4">
        <f>IF(Table1[[#This Row], [PASS/FAIL]]="FAIL",0,Table1[[#This Row], [PROFIT]])</f>
        <v>0</v>
      </c>
    </row>
    <row r="1903" spans="1:24" ht="19.5" customHeight="1" x14ac:dyDescent="0.45">
      <c r="A1903" t="s">
        <v>15</v>
      </c>
      <c r="B1903" s="14">
        <f>_xlfn.XLOOKUP(Table1[[#This Row], [TEAM]],Sheet1!$A$12:$A$17,Sheet1!$F$12:$F$17)</f>
        <v>2</v>
      </c>
      <c r="C1903" s="14">
        <f>_xlfn.XLOOKUP(Table1[[#This Row], [TEAM]],Sheet1!$A$12:$A$17,Sheet1!$G$12:$G$17)</f>
        <v>5932950</v>
      </c>
      <c r="D1903" t="s">
        <v>18</v>
      </c>
      <c r="E1903" s="4">
        <f>_xlfn.XLOOKUP(Table1[[#This Row], [ROOM]],Sheet1!$A$47:$A$66,Sheet1!$B$47:$B$66)</f>
        <v>134</v>
      </c>
      <c r="F1903" t="s">
        <v>58</v>
      </c>
      <c r="G1903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3" s="13" t="s">
        <v>63</v>
      </c>
      <c r="I1903" s="4">
        <f>_xlfn.XLOOKUP(Table1[[#This Row], [WEAPON]],Sheet1!$A$27:$A$29,Sheet1!$B$27:$B$29)*Table1[[#This Row], [NUM OF MEM]]*(1+_xlfn.XLOOKUP(Table1[[#This Row], [WEAPON]],Sheet1!$A$27:$A$29,Sheet1!$C$27:$C$29))</f>
        <v>46000</v>
      </c>
      <c r="J1903" t="s">
        <v>64</v>
      </c>
      <c r="K1903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1835233.1999999995</v>
      </c>
      <c r="L1903" s="13" t="s">
        <v>61</v>
      </c>
      <c r="M1903" s="4">
        <f>IF(Table1[[#This Row], [EQUIPMENT]]="YES",Sheet1!$C$44*(1+Sheet1!$D$44),0)</f>
        <v>0</v>
      </c>
      <c r="N1903" s="4">
        <f>_xlfn.XLOOKUP(Table1[[#This Row], [ROOM]],Sheet1!$A$47:$A$66,Sheet1!$F$47:$F$66)</f>
        <v>18050000</v>
      </c>
      <c r="O1903" s="9">
        <f>_xlfn.XLOOKUP(_xlfn.CONCAT(Table1[[#This Row], [TEAM]],Table1[[#This Row], [ROOM]]),'ROOM TIME'!$H$2:$H$121,'ROOM TIME'!$J$2:$J$121)</f>
        <v>62.703749999999971</v>
      </c>
      <c r="P1903" s="9">
        <f>(INDEX(Sheet1!$X$48:$Z$67,MATCH(Table1[[#This Row], [ROOM]],Sheet1!$P$48:$P$67,0),MATCH(Table1[[#This Row], [WEAPON]],Sheet1!$X$47:$Z$47,0)))/Table1[[#This Row], [NUM OF MEM]]</f>
        <v>8.1000000000000014</v>
      </c>
      <c r="Q1903" s="9">
        <f>Table1[[#This Row], [ROOM TIME]]+Table1[[#This Row], [GUARD TIME]]</f>
        <v>70.80374999999998</v>
      </c>
      <c r="R1903" s="4">
        <f>Sheet1!$K$3*_xlfn.XLOOKUP(Table1[[#This Row], [DISGUISE]],Sheet1!$A$21:$A$23,Sheet1!$D$21:$D$23)</f>
        <v>69</v>
      </c>
      <c r="S1903" s="9">
        <f>Table1[[#This Row], [TOTAL TIME]]-Table1[[#This Row], [TOTAL TIME TAKEN]]</f>
        <v>-1.8037499999999795</v>
      </c>
      <c r="T1903" t="str">
        <f>IF(Table1[[#This Row], [TIME DIFFERENCE]]&gt;=0,"PASS","FAIL")</f>
        <v>FAIL</v>
      </c>
      <c r="U1903" s="9">
        <f>Table1[[#This Row], [TRC]]+Table1[[#This Row], [DRC]]+Table1[[#This Row], [WRC]]+Table1[[#This Row], [ERC]]+Table1[[#This Row], [EQRC]]</f>
        <v>7839783.1999999993</v>
      </c>
      <c r="V1903" s="9">
        <f>Table1[[#This Row], [TOTAL COST]]+_xlfn.XLOOKUP(Table1[[#This Row], [TEAM]],Sheet1!$A$12:$A$17,Sheet1!$I$12:$I$17)</f>
        <v>8136430.6999999993</v>
      </c>
      <c r="W1903" s="9">
        <f>Table1[[#This Row], [LOOT]]-Table1[[#This Row], [TOTAL COST]]</f>
        <v>10210216.800000001</v>
      </c>
      <c r="X1903" s="4">
        <f>IF(Table1[[#This Row], [PASS/FAIL]]="FAIL",0,Table1[[#This Row], [PROFIT]])</f>
        <v>0</v>
      </c>
    </row>
    <row r="1904" spans="1:24" ht="19.5" customHeight="1" x14ac:dyDescent="0.45">
      <c r="A1904" t="s">
        <v>15</v>
      </c>
      <c r="B1904" s="14">
        <f>_xlfn.XLOOKUP(Table1[[#This Row], [TEAM]],Sheet1!$A$12:$A$17,Sheet1!$F$12:$F$17)</f>
        <v>2</v>
      </c>
      <c r="C1904" s="14">
        <f>_xlfn.XLOOKUP(Table1[[#This Row], [TEAM]],Sheet1!$A$12:$A$17,Sheet1!$G$12:$G$17)</f>
        <v>5932950</v>
      </c>
      <c r="D1904" t="s">
        <v>18</v>
      </c>
      <c r="E1904" s="4">
        <f>_xlfn.XLOOKUP(Table1[[#This Row], [ROOM]],Sheet1!$A$47:$A$66,Sheet1!$B$47:$B$66)</f>
        <v>134</v>
      </c>
      <c r="F1904" t="s">
        <v>58</v>
      </c>
      <c r="G1904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4" s="13" t="s">
        <v>63</v>
      </c>
      <c r="I1904" s="4">
        <f>_xlfn.XLOOKUP(Table1[[#This Row], [WEAPON]],Sheet1!$A$27:$A$29,Sheet1!$B$27:$B$29)*Table1[[#This Row], [NUM OF MEM]]*(1+_xlfn.XLOOKUP(Table1[[#This Row], [WEAPON]],Sheet1!$A$27:$A$29,Sheet1!$C$27:$C$29))</f>
        <v>46000</v>
      </c>
      <c r="J1904" t="s">
        <v>60</v>
      </c>
      <c r="K1904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1817178.2437499992</v>
      </c>
      <c r="L1904" s="13" t="s">
        <v>65</v>
      </c>
      <c r="M1904" s="4">
        <f>IF(Table1[[#This Row], [EQUIPMENT]]="YES",Sheet1!$C$44*(1+Sheet1!$D$44),0)</f>
        <v>307500</v>
      </c>
      <c r="N1904" s="4">
        <f>_xlfn.XLOOKUP(Table1[[#This Row], [ROOM]],Sheet1!$A$47:$A$66,Sheet1!$F$47:$F$66)</f>
        <v>18050000</v>
      </c>
      <c r="O1904" s="9">
        <f>_xlfn.XLOOKUP(_xlfn.CONCAT(Table1[[#This Row], [TEAM]],Table1[[#This Row], [ROOM]]),'ROOM TIME'!$H$2:$H$121,'ROOM TIME'!$J$2:$J$121)</f>
        <v>62.703749999999971</v>
      </c>
      <c r="P1904" s="9">
        <f>(INDEX(Sheet1!$X$48:$Z$67,MATCH(Table1[[#This Row], [ROOM]],Sheet1!$P$48:$P$67,0),MATCH(Table1[[#This Row], [WEAPON]],Sheet1!$X$47:$Z$47,0)))/Table1[[#This Row], [NUM OF MEM]]</f>
        <v>8.1000000000000014</v>
      </c>
      <c r="Q1904" s="9">
        <f>Table1[[#This Row], [ROOM TIME]]+Table1[[#This Row], [GUARD TIME]]</f>
        <v>70.80374999999998</v>
      </c>
      <c r="R1904" s="4">
        <f>Sheet1!$K$3*_xlfn.XLOOKUP(Table1[[#This Row], [DISGUISE]],Sheet1!$A$21:$A$23,Sheet1!$D$21:$D$23)</f>
        <v>69</v>
      </c>
      <c r="S1904" s="9">
        <f>Table1[[#This Row], [TOTAL TIME]]-Table1[[#This Row], [TOTAL TIME TAKEN]]</f>
        <v>-1.8037499999999795</v>
      </c>
      <c r="T1904" t="str">
        <f>IF(Table1[[#This Row], [TIME DIFFERENCE]]&gt;=0,"PASS","FAIL")</f>
        <v>FAIL</v>
      </c>
      <c r="U1904" s="9">
        <f>Table1[[#This Row], [TRC]]+Table1[[#This Row], [DRC]]+Table1[[#This Row], [WRC]]+Table1[[#This Row], [ERC]]+Table1[[#This Row], [EQRC]]</f>
        <v>8129228.2437499994</v>
      </c>
      <c r="V1904" s="9">
        <f>Table1[[#This Row], [TOTAL COST]]+_xlfn.XLOOKUP(Table1[[#This Row], [TEAM]],Sheet1!$A$12:$A$17,Sheet1!$I$12:$I$17)</f>
        <v>8425875.7437499985</v>
      </c>
      <c r="W1904" s="9">
        <f>Table1[[#This Row], [LOOT]]-Table1[[#This Row], [TOTAL COST]]</f>
        <v>9920771.7562500015</v>
      </c>
      <c r="X1904" s="4">
        <f>IF(Table1[[#This Row], [PASS/FAIL]]="FAIL",0,Table1[[#This Row], [PROFIT]])</f>
        <v>0</v>
      </c>
    </row>
    <row r="1905" spans="1:24" ht="19.5" customHeight="1" x14ac:dyDescent="0.45">
      <c r="A1905" t="s">
        <v>15</v>
      </c>
      <c r="B1905" s="14">
        <f>_xlfn.XLOOKUP(Table1[[#This Row], [TEAM]],Sheet1!$A$12:$A$17,Sheet1!$F$12:$F$17)</f>
        <v>2</v>
      </c>
      <c r="C1905" s="14">
        <f>_xlfn.XLOOKUP(Table1[[#This Row], [TEAM]],Sheet1!$A$12:$A$17,Sheet1!$G$12:$G$17)</f>
        <v>5932950</v>
      </c>
      <c r="D1905" t="s">
        <v>18</v>
      </c>
      <c r="E1905" s="4">
        <f>_xlfn.XLOOKUP(Table1[[#This Row], [ROOM]],Sheet1!$A$47:$A$66,Sheet1!$B$47:$B$66)</f>
        <v>134</v>
      </c>
      <c r="F1905" t="s">
        <v>58</v>
      </c>
      <c r="G1905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5" s="13" t="s">
        <v>63</v>
      </c>
      <c r="I1905" s="4">
        <f>_xlfn.XLOOKUP(Table1[[#This Row], [WEAPON]],Sheet1!$A$27:$A$29,Sheet1!$B$27:$B$29)*Table1[[#This Row], [NUM OF MEM]]*(1+_xlfn.XLOOKUP(Table1[[#This Row], [WEAPON]],Sheet1!$A$27:$A$29,Sheet1!$C$27:$C$29))</f>
        <v>46000</v>
      </c>
      <c r="J1905" t="s">
        <v>64</v>
      </c>
      <c r="K1905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1835233.1999999995</v>
      </c>
      <c r="L1905" s="13" t="s">
        <v>65</v>
      </c>
      <c r="M1905" s="4">
        <f>IF(Table1[[#This Row], [EQUIPMENT]]="YES",Sheet1!$C$44*(1+Sheet1!$D$44),0)</f>
        <v>307500</v>
      </c>
      <c r="N1905" s="4">
        <f>_xlfn.XLOOKUP(Table1[[#This Row], [ROOM]],Sheet1!$A$47:$A$66,Sheet1!$F$47:$F$66)</f>
        <v>18050000</v>
      </c>
      <c r="O1905" s="9">
        <f>_xlfn.XLOOKUP(_xlfn.CONCAT(Table1[[#This Row], [TEAM]],Table1[[#This Row], [ROOM]]),'ROOM TIME'!$H$2:$H$121,'ROOM TIME'!$J$2:$J$121)</f>
        <v>62.703749999999971</v>
      </c>
      <c r="P1905" s="9">
        <f>(INDEX(Sheet1!$X$48:$Z$67,MATCH(Table1[[#This Row], [ROOM]],Sheet1!$P$48:$P$67,0),MATCH(Table1[[#This Row], [WEAPON]],Sheet1!$X$47:$Z$47,0)))/Table1[[#This Row], [NUM OF MEM]]</f>
        <v>8.1000000000000014</v>
      </c>
      <c r="Q1905" s="9">
        <f>Table1[[#This Row], [ROOM TIME]]+Table1[[#This Row], [GUARD TIME]]</f>
        <v>70.80374999999998</v>
      </c>
      <c r="R1905" s="4">
        <f>Sheet1!$K$3*_xlfn.XLOOKUP(Table1[[#This Row], [DISGUISE]],Sheet1!$A$21:$A$23,Sheet1!$D$21:$D$23)</f>
        <v>69</v>
      </c>
      <c r="S1905" s="9">
        <f>Table1[[#This Row], [TOTAL TIME]]-Table1[[#This Row], [TOTAL TIME TAKEN]]</f>
        <v>-1.8037499999999795</v>
      </c>
      <c r="T1905" t="str">
        <f>IF(Table1[[#This Row], [TIME DIFFERENCE]]&gt;=0,"PASS","FAIL")</f>
        <v>FAIL</v>
      </c>
      <c r="U1905" s="9">
        <f>Table1[[#This Row], [TRC]]+Table1[[#This Row], [DRC]]+Table1[[#This Row], [WRC]]+Table1[[#This Row], [ERC]]+Table1[[#This Row], [EQRC]]</f>
        <v>8147283.1999999993</v>
      </c>
      <c r="V1905" s="9">
        <f>Table1[[#This Row], [TOTAL COST]]+_xlfn.XLOOKUP(Table1[[#This Row], [TEAM]],Sheet1!$A$12:$A$17,Sheet1!$I$12:$I$17)</f>
        <v>8443930.6999999993</v>
      </c>
      <c r="W1905" s="9">
        <f>Table1[[#This Row], [LOOT]]-Table1[[#This Row], [TOTAL COST]]</f>
        <v>9902716.8000000007</v>
      </c>
      <c r="X1905" s="4">
        <f>IF(Table1[[#This Row], [PASS/FAIL]]="FAIL",0,Table1[[#This Row], [PROFIT]])</f>
        <v>0</v>
      </c>
    </row>
    <row r="1906" spans="1:24" ht="19.5" customHeight="1" x14ac:dyDescent="0.45">
      <c r="A1906" t="s">
        <v>15</v>
      </c>
      <c r="B1906" s="14">
        <f>_xlfn.XLOOKUP(Table1[[#This Row], [TEAM]],Sheet1!$A$12:$A$17,Sheet1!$F$12:$F$17)</f>
        <v>2</v>
      </c>
      <c r="C1906" s="14">
        <f>_xlfn.XLOOKUP(Table1[[#This Row], [TEAM]],Sheet1!$A$12:$A$17,Sheet1!$G$12:$G$17)</f>
        <v>5932950</v>
      </c>
      <c r="D1906" t="s">
        <v>18</v>
      </c>
      <c r="E1906" s="4">
        <f>_xlfn.XLOOKUP(Table1[[#This Row], [ROOM]],Sheet1!$A$47:$A$66,Sheet1!$B$47:$B$66)</f>
        <v>134</v>
      </c>
      <c r="F1906" t="s">
        <v>62</v>
      </c>
      <c r="G190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06" s="13" t="s">
        <v>63</v>
      </c>
      <c r="I1906" s="4">
        <f>_xlfn.XLOOKUP(Table1[[#This Row], [WEAPON]],Sheet1!$A$27:$A$29,Sheet1!$B$27:$B$29)*Table1[[#This Row], [NUM OF MEM]]*(1+_xlfn.XLOOKUP(Table1[[#This Row], [WEAPON]],Sheet1!$A$27:$A$29,Sheet1!$C$27:$C$29))</f>
        <v>46000</v>
      </c>
      <c r="J1906" t="s">
        <v>60</v>
      </c>
      <c r="K1906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1817178.2437499992</v>
      </c>
      <c r="L1906" s="13" t="s">
        <v>61</v>
      </c>
      <c r="M1906" s="4">
        <f>IF(Table1[[#This Row], [EQUIPMENT]]="YES",Sheet1!$C$44*(1+Sheet1!$D$44),0)</f>
        <v>0</v>
      </c>
      <c r="N1906" s="4">
        <f>_xlfn.XLOOKUP(Table1[[#This Row], [ROOM]],Sheet1!$A$47:$A$66,Sheet1!$F$47:$F$66)</f>
        <v>18050000</v>
      </c>
      <c r="O1906" s="9">
        <f>_xlfn.XLOOKUP(_xlfn.CONCAT(Table1[[#This Row], [TEAM]],Table1[[#This Row], [ROOM]]),'ROOM TIME'!$H$2:$H$121,'ROOM TIME'!$J$2:$J$121)</f>
        <v>62.703749999999971</v>
      </c>
      <c r="P1906" s="9">
        <f>(INDEX(Sheet1!$X$48:$Z$67,MATCH(Table1[[#This Row], [ROOM]],Sheet1!$P$48:$P$67,0),MATCH(Table1[[#This Row], [WEAPON]],Sheet1!$X$47:$Z$47,0)))/Table1[[#This Row], [NUM OF MEM]]</f>
        <v>8.1000000000000014</v>
      </c>
      <c r="Q1906" s="9">
        <f>Table1[[#This Row], [ROOM TIME]]+Table1[[#This Row], [GUARD TIME]]</f>
        <v>70.80374999999998</v>
      </c>
      <c r="R1906" s="4">
        <f>Sheet1!$K$3*_xlfn.XLOOKUP(Table1[[#This Row], [DISGUISE]],Sheet1!$A$21:$A$23,Sheet1!$D$21:$D$23)</f>
        <v>66</v>
      </c>
      <c r="S1906" s="9">
        <f>Table1[[#This Row], [TOTAL TIME]]-Table1[[#This Row], [TOTAL TIME TAKEN]]</f>
        <v>-4.8037499999999795</v>
      </c>
      <c r="T1906" t="str">
        <f>IF(Table1[[#This Row], [TIME DIFFERENCE]]&gt;=0,"PASS","FAIL")</f>
        <v>FAIL</v>
      </c>
      <c r="U1906" s="9">
        <f>Table1[[#This Row], [TRC]]+Table1[[#This Row], [DRC]]+Table1[[#This Row], [WRC]]+Table1[[#This Row], [ERC]]+Table1[[#This Row], [EQRC]]</f>
        <v>7806528.2437499994</v>
      </c>
      <c r="V1906" s="9">
        <f>Table1[[#This Row], [TOTAL COST]]+_xlfn.XLOOKUP(Table1[[#This Row], [TEAM]],Sheet1!$A$12:$A$17,Sheet1!$I$12:$I$17)</f>
        <v>8103175.7437499994</v>
      </c>
      <c r="W1906" s="9">
        <f>Table1[[#This Row], [LOOT]]-Table1[[#This Row], [TOTAL COST]]</f>
        <v>10243471.756250001</v>
      </c>
      <c r="X1906" s="4">
        <f>IF(Table1[[#This Row], [PASS/FAIL]]="FAIL",0,Table1[[#This Row], [PROFIT]])</f>
        <v>0</v>
      </c>
    </row>
    <row r="1907" spans="1:24" ht="19.5" customHeight="1" x14ac:dyDescent="0.45">
      <c r="A1907" t="s">
        <v>15</v>
      </c>
      <c r="B1907" s="14">
        <f>_xlfn.XLOOKUP(Table1[[#This Row], [TEAM]],Sheet1!$A$12:$A$17,Sheet1!$F$12:$F$17)</f>
        <v>2</v>
      </c>
      <c r="C1907" s="14">
        <f>_xlfn.XLOOKUP(Table1[[#This Row], [TEAM]],Sheet1!$A$12:$A$17,Sheet1!$G$12:$G$17)</f>
        <v>5932950</v>
      </c>
      <c r="D1907" t="s">
        <v>18</v>
      </c>
      <c r="E1907" s="4">
        <f>_xlfn.XLOOKUP(Table1[[#This Row], [ROOM]],Sheet1!$A$47:$A$66,Sheet1!$B$47:$B$66)</f>
        <v>134</v>
      </c>
      <c r="F1907" t="s">
        <v>62</v>
      </c>
      <c r="G190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07" s="13" t="s">
        <v>66</v>
      </c>
      <c r="I1907" s="4">
        <f>_xlfn.XLOOKUP(Table1[[#This Row], [WEAPON]],Sheet1!$A$27:$A$29,Sheet1!$B$27:$B$29)*Table1[[#This Row], [NUM OF MEM]]*(1+_xlfn.XLOOKUP(Table1[[#This Row], [WEAPON]],Sheet1!$A$27:$A$29,Sheet1!$C$27:$C$29))</f>
        <v>72000</v>
      </c>
      <c r="J1907" t="s">
        <v>60</v>
      </c>
      <c r="K1907" s="9">
        <f>Table1[[#This Row], [NUM OF MEM]]*Table1[[#This Row], [TOTAL TIME TAKEN]]*_xlfn.XLOOKUP(Table1[[#This Row], [EXIT]],Sheet1!$A$70:$A$71,Sheet1!$B$70:$B$71)*(1+_xlfn.XLOOKUP(Table1[[#This Row], [EXIT]],Sheet1!$A$70:$A$71,Sheet1!$C$70:$C$71))</f>
        <v>1801779.2437499992</v>
      </c>
      <c r="L1907" s="13" t="s">
        <v>61</v>
      </c>
      <c r="M1907" s="4">
        <f>IF(Table1[[#This Row], [EQUIPMENT]]="YES",Sheet1!$C$44*(1+Sheet1!$D$44),0)</f>
        <v>0</v>
      </c>
      <c r="N1907" s="4">
        <f>_xlfn.XLOOKUP(Table1[[#This Row], [ROOM]],Sheet1!$A$47:$A$66,Sheet1!$F$47:$F$66)</f>
        <v>18050000</v>
      </c>
      <c r="O1907" s="9">
        <f>_xlfn.XLOOKUP(_xlfn.CONCAT(Table1[[#This Row], [TEAM]],Table1[[#This Row], [ROOM]]),'ROOM TIME'!$H$2:$H$121,'ROOM TIME'!$J$2:$J$121)</f>
        <v>62.703749999999971</v>
      </c>
      <c r="P1907" s="9">
        <f>(INDEX(Sheet1!$X$48:$Z$67,MATCH(Table1[[#This Row], [ROOM]],Sheet1!$P$48:$P$67,0),MATCH(Table1[[#This Row], [WEAPON]],Sheet1!$X$47:$Z$47,0)))/Table1[[#This Row], [NUM OF MEM]]</f>
        <v>7.5</v>
      </c>
      <c r="Q1907" s="9">
        <f>Table1[[#This Row], [ROOM TIME]]+Table1[[#This Row], [GUARD TIME]]</f>
        <v>70.203749999999971</v>
      </c>
      <c r="R1907" s="4">
        <f>Sheet1!$K$3*_xlfn.XLOOKUP(Table1[[#This Row], [DISGUISE]],Sheet1!$A$21:$A$23,Sheet1!$D$21:$D$23)</f>
        <v>66</v>
      </c>
      <c r="S1907" s="9">
        <f>Table1[[#This Row], [TOTAL TIME]]-Table1[[#This Row], [TOTAL TIME TAKEN]]</f>
        <v>-4.203749999999971</v>
      </c>
      <c r="T1907" t="str">
        <f>IF(Table1[[#This Row], [TIME DIFFERENCE]]&gt;=0,"PASS","FAIL")</f>
        <v>FAIL</v>
      </c>
      <c r="U1907" s="9">
        <f>Table1[[#This Row], [TRC]]+Table1[[#This Row], [DRC]]+Table1[[#This Row], [WRC]]+Table1[[#This Row], [ERC]]+Table1[[#This Row], [EQRC]]</f>
        <v>7817129.2437499994</v>
      </c>
      <c r="V1907" s="9">
        <f>Table1[[#This Row], [TOTAL COST]]+_xlfn.XLOOKUP(Table1[[#This Row], [TEAM]],Sheet1!$A$12:$A$17,Sheet1!$I$12:$I$17)</f>
        <v>8113776.7437499994</v>
      </c>
      <c r="W1907" s="9">
        <f>Table1[[#This Row], [LOOT]]-Table1[[#This Row], [TOTAL COST]]</f>
        <v>10232870.756250001</v>
      </c>
      <c r="X1907" s="4">
        <f>IF(Table1[[#This Row], [PASS/FAIL]]="FAIL",0,Table1[[#This Row], [PROFIT]])</f>
        <v>0</v>
      </c>
    </row>
    <row r="1908" spans="1:24" ht="19.5" customHeight="1" x14ac:dyDescent="0.45">
      <c r="A1908" t="s">
        <v>15</v>
      </c>
      <c r="B1908" s="14">
        <f>_xlfn.XLOOKUP(Table1[[#This Row], [TEAM]],Sheet1!$A$12:$A$17,Sheet1!$F$12:$F$17)</f>
        <v>2</v>
      </c>
      <c r="C1908" s="14">
        <f>_xlfn.XLOOKUP(Table1[[#This Row], [TEAM]],Sheet1!$A$12:$A$17,Sheet1!$G$12:$G$17)</f>
        <v>5932950</v>
      </c>
      <c r="D1908" t="s">
        <v>18</v>
      </c>
      <c r="E1908" s="4">
        <f>_xlfn.XLOOKUP(Table1[[#This Row], [ROOM]],Sheet1!$A$47:$A$66,Sheet1!$B$47:$B$66)</f>
        <v>134</v>
      </c>
      <c r="F1908" t="s">
        <v>58</v>
      </c>
      <c r="G1908" s="4">
        <f>_xlfn.XLOOKUP(Table1[[#This Row], [DISGUISE]],Sheet1!$A$21:$A$23,Sheet1!$B$21:$B$23)*Table1[[#This Row], [NUM OF MEM]]*(1+_xlfn.XLOOKUP(Table1[[#This Row], [DISGUISE]],Sheet1!$A$21:$A$23,Sheet1!$C$21:$C$23))</f>
        <v>25600</v>
      </c>
      <c r="H1908" s="13" t="s">
        <v>66</v>
      </c>
      <c r="I1908" s="4">
        <f>_xlfn.XLOOKUP(Table1[[#This Row], [WEAPON]],Sheet1!$A$27:$A$29,Sheet1!$B$27:$B$29)*Table1[[#This Row], [NUM OF MEM]]*(1+_xlfn.XLOOKUP(Table1[[#This Row], [WEAPON]],Sheet1!$A$27:$A$29,Sheet1!$C$27:$C$29))</f>
        <v>72000</v>
      </c>
      <c r="J1908" t="s">
        <v>60</v>
      </c>
      <c r="K1908" s="9">
        <f>Table1[[#This Row], [NUM OF MEM]]*Table1[[#This Row], [TOTAL TIME TAKEN]]*_xlfn.XLOOKUP(Table1[[#This Row], [EXIT]],Sheet1!$A$70:$A$71,Sheet1!$B$70:$B$71)*(1+_xlfn.XLOOKUP(Table1[[#This Row], [EXIT]],Sheet1!$A$70:$A$71,Sheet1!$C$70:$C$71))</f>
        <v>1801779.2437499992</v>
      </c>
      <c r="L1908" s="13" t="s">
        <v>61</v>
      </c>
      <c r="M1908" s="4">
        <f>IF(Table1[[#This Row], [EQUIPMENT]]="YES",Sheet1!$C$44*(1+Sheet1!$D$44),0)</f>
        <v>0</v>
      </c>
      <c r="N1908" s="4">
        <f>_xlfn.XLOOKUP(Table1[[#This Row], [ROOM]],Sheet1!$A$47:$A$66,Sheet1!$F$47:$F$66)</f>
        <v>18050000</v>
      </c>
      <c r="O1908" s="9">
        <f>_xlfn.XLOOKUP(_xlfn.CONCAT(Table1[[#This Row], [TEAM]],Table1[[#This Row], [ROOM]]),'ROOM TIME'!$H$2:$H$121,'ROOM TIME'!$J$2:$J$121)</f>
        <v>62.703749999999971</v>
      </c>
      <c r="P1908" s="9">
        <f>(INDEX(Sheet1!$X$48:$Z$67,MATCH(Table1[[#This Row], [ROOM]],Sheet1!$P$48:$P$67,0),MATCH(Table1[[#This Row], [WEAPON]],Sheet1!$X$47:$Z$47,0)))/Table1[[#This Row], [NUM OF MEM]]</f>
        <v>7.5</v>
      </c>
      <c r="Q1908" s="9">
        <f>Table1[[#This Row], [ROOM TIME]]+Table1[[#This Row], [GUARD TIME]]</f>
        <v>70.203749999999971</v>
      </c>
      <c r="R1908" s="4">
        <f>Sheet1!$K$3*_xlfn.XLOOKUP(Table1[[#This Row], [DISGUISE]],Sheet1!$A$21:$A$23,Sheet1!$D$21:$D$23)</f>
        <v>69</v>
      </c>
      <c r="S1908" s="9">
        <f>Table1[[#This Row], [TOTAL TIME]]-Table1[[#This Row], [TOTAL TIME TAKEN]]</f>
        <v>-1.203749999999971</v>
      </c>
      <c r="T1908" t="str">
        <f>IF(Table1[[#This Row], [TIME DIFFERENCE]]&gt;=0,"PASS","FAIL")</f>
        <v>FAIL</v>
      </c>
      <c r="U1908" s="9">
        <f>Table1[[#This Row], [TRC]]+Table1[[#This Row], [DRC]]+Table1[[#This Row], [WRC]]+Table1[[#This Row], [ERC]]+Table1[[#This Row], [EQRC]]</f>
        <v>7832329.2437499994</v>
      </c>
      <c r="V1908" s="9">
        <f>Table1[[#This Row], [TOTAL COST]]+_xlfn.XLOOKUP(Table1[[#This Row], [TEAM]],Sheet1!$A$12:$A$17,Sheet1!$I$12:$I$17)</f>
        <v>8128976.7437499994</v>
      </c>
      <c r="W1908" s="9">
        <f>Table1[[#This Row], [LOOT]]-Table1[[#This Row], [TOTAL COST]]</f>
        <v>10217670.756250001</v>
      </c>
      <c r="X1908" s="4">
        <f>IF(Table1[[#This Row], [PASS/FAIL]]="FAIL",0,Table1[[#This Row], [PROFIT]])</f>
        <v>0</v>
      </c>
    </row>
    <row r="1909" spans="1:24" ht="19.5" customHeight="1" x14ac:dyDescent="0.45">
      <c r="A1909" t="s">
        <v>15</v>
      </c>
      <c r="B1909" s="14">
        <f>_xlfn.XLOOKUP(Table1[[#This Row], [TEAM]],Sheet1!$A$12:$A$17,Sheet1!$F$12:$F$17)</f>
        <v>2</v>
      </c>
      <c r="C1909" s="14">
        <f>_xlfn.XLOOKUP(Table1[[#This Row], [TEAM]],Sheet1!$A$12:$A$17,Sheet1!$G$12:$G$17)</f>
        <v>5932950</v>
      </c>
      <c r="D1909" t="s">
        <v>18</v>
      </c>
      <c r="E1909" s="4">
        <f>_xlfn.XLOOKUP(Table1[[#This Row], [ROOM]],Sheet1!$A$47:$A$66,Sheet1!$B$47:$B$66)</f>
        <v>134</v>
      </c>
      <c r="F1909" t="s">
        <v>62</v>
      </c>
      <c r="G190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09" s="13" t="s">
        <v>63</v>
      </c>
      <c r="I1909" s="4">
        <f>_xlfn.XLOOKUP(Table1[[#This Row], [WEAPON]],Sheet1!$A$27:$A$29,Sheet1!$B$27:$B$29)*Table1[[#This Row], [NUM OF MEM]]*(1+_xlfn.XLOOKUP(Table1[[#This Row], [WEAPON]],Sheet1!$A$27:$A$29,Sheet1!$C$27:$C$29))</f>
        <v>46000</v>
      </c>
      <c r="J1909" t="s">
        <v>64</v>
      </c>
      <c r="K1909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1835233.1999999995</v>
      </c>
      <c r="L1909" s="13" t="s">
        <v>61</v>
      </c>
      <c r="M1909" s="4">
        <f>IF(Table1[[#This Row], [EQUIPMENT]]="YES",Sheet1!$C$44*(1+Sheet1!$D$44),0)</f>
        <v>0</v>
      </c>
      <c r="N1909" s="4">
        <f>_xlfn.XLOOKUP(Table1[[#This Row], [ROOM]],Sheet1!$A$47:$A$66,Sheet1!$F$47:$F$66)</f>
        <v>18050000</v>
      </c>
      <c r="O1909" s="9">
        <f>_xlfn.XLOOKUP(_xlfn.CONCAT(Table1[[#This Row], [TEAM]],Table1[[#This Row], [ROOM]]),'ROOM TIME'!$H$2:$H$121,'ROOM TIME'!$J$2:$J$121)</f>
        <v>62.703749999999971</v>
      </c>
      <c r="P1909" s="9">
        <f>(INDEX(Sheet1!$X$48:$Z$67,MATCH(Table1[[#This Row], [ROOM]],Sheet1!$P$48:$P$67,0),MATCH(Table1[[#This Row], [WEAPON]],Sheet1!$X$47:$Z$47,0)))/Table1[[#This Row], [NUM OF MEM]]</f>
        <v>8.1000000000000014</v>
      </c>
      <c r="Q1909" s="9">
        <f>Table1[[#This Row], [ROOM TIME]]+Table1[[#This Row], [GUARD TIME]]</f>
        <v>70.80374999999998</v>
      </c>
      <c r="R1909" s="4">
        <f>Sheet1!$K$3*_xlfn.XLOOKUP(Table1[[#This Row], [DISGUISE]],Sheet1!$A$21:$A$23,Sheet1!$D$21:$D$23)</f>
        <v>66</v>
      </c>
      <c r="S1909" s="9">
        <f>Table1[[#This Row], [TOTAL TIME]]-Table1[[#This Row], [TOTAL TIME TAKEN]]</f>
        <v>-4.8037499999999795</v>
      </c>
      <c r="T1909" t="str">
        <f>IF(Table1[[#This Row], [TIME DIFFERENCE]]&gt;=0,"PASS","FAIL")</f>
        <v>FAIL</v>
      </c>
      <c r="U1909" s="9">
        <f>Table1[[#This Row], [TRC]]+Table1[[#This Row], [DRC]]+Table1[[#This Row], [WRC]]+Table1[[#This Row], [ERC]]+Table1[[#This Row], [EQRC]]</f>
        <v>7824583.1999999993</v>
      </c>
      <c r="V1909" s="9">
        <f>Table1[[#This Row], [TOTAL COST]]+_xlfn.XLOOKUP(Table1[[#This Row], [TEAM]],Sheet1!$A$12:$A$17,Sheet1!$I$12:$I$17)</f>
        <v>8121230.6999999993</v>
      </c>
      <c r="W1909" s="9">
        <f>Table1[[#This Row], [LOOT]]-Table1[[#This Row], [TOTAL COST]]</f>
        <v>10225416.800000001</v>
      </c>
      <c r="X1909" s="4">
        <f>IF(Table1[[#This Row], [PASS/FAIL]]="FAIL",0,Table1[[#This Row], [PROFIT]])</f>
        <v>0</v>
      </c>
    </row>
    <row r="1910" spans="1:24" ht="19.5" customHeight="1" x14ac:dyDescent="0.45">
      <c r="A1910" t="s">
        <v>15</v>
      </c>
      <c r="B1910" s="14">
        <f>_xlfn.XLOOKUP(Table1[[#This Row], [TEAM]],Sheet1!$A$12:$A$17,Sheet1!$F$12:$F$17)</f>
        <v>2</v>
      </c>
      <c r="C1910" s="14">
        <f>_xlfn.XLOOKUP(Table1[[#This Row], [TEAM]],Sheet1!$A$12:$A$17,Sheet1!$G$12:$G$17)</f>
        <v>5932950</v>
      </c>
      <c r="D1910" t="s">
        <v>18</v>
      </c>
      <c r="E1910" s="4">
        <f>_xlfn.XLOOKUP(Table1[[#This Row], [ROOM]],Sheet1!$A$47:$A$66,Sheet1!$B$47:$B$66)</f>
        <v>134</v>
      </c>
      <c r="F1910" t="s">
        <v>62</v>
      </c>
      <c r="G191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0" s="13" t="s">
        <v>66</v>
      </c>
      <c r="I1910" s="4">
        <f>_xlfn.XLOOKUP(Table1[[#This Row], [WEAPON]],Sheet1!$A$27:$A$29,Sheet1!$B$27:$B$29)*Table1[[#This Row], [NUM OF MEM]]*(1+_xlfn.XLOOKUP(Table1[[#This Row], [WEAPON]],Sheet1!$A$27:$A$29,Sheet1!$C$27:$C$29))</f>
        <v>72000</v>
      </c>
      <c r="J1910" t="s">
        <v>64</v>
      </c>
      <c r="K1910" s="9">
        <f>Table1[[#This Row], [NUM OF MEM]]*Table1[[#This Row], [TOTAL TIME TAKEN]]*_xlfn.XLOOKUP(Table1[[#This Row], [EXIT]],Sheet1!$A$70:$A$71,Sheet1!$B$70:$B$71)*(1+_xlfn.XLOOKUP(Table1[[#This Row], [EXIT]],Sheet1!$A$70:$A$71,Sheet1!$C$70:$C$71))</f>
        <v>1819681.199999999</v>
      </c>
      <c r="L1910" s="13" t="s">
        <v>61</v>
      </c>
      <c r="M1910" s="4">
        <f>IF(Table1[[#This Row], [EQUIPMENT]]="YES",Sheet1!$C$44*(1+Sheet1!$D$44),0)</f>
        <v>0</v>
      </c>
      <c r="N1910" s="4">
        <f>_xlfn.XLOOKUP(Table1[[#This Row], [ROOM]],Sheet1!$A$47:$A$66,Sheet1!$F$47:$F$66)</f>
        <v>18050000</v>
      </c>
      <c r="O1910" s="9">
        <f>_xlfn.XLOOKUP(_xlfn.CONCAT(Table1[[#This Row], [TEAM]],Table1[[#This Row], [ROOM]]),'ROOM TIME'!$H$2:$H$121,'ROOM TIME'!$J$2:$J$121)</f>
        <v>62.703749999999971</v>
      </c>
      <c r="P1910" s="9">
        <f>(INDEX(Sheet1!$X$48:$Z$67,MATCH(Table1[[#This Row], [ROOM]],Sheet1!$P$48:$P$67,0),MATCH(Table1[[#This Row], [WEAPON]],Sheet1!$X$47:$Z$47,0)))/Table1[[#This Row], [NUM OF MEM]]</f>
        <v>7.5</v>
      </c>
      <c r="Q1910" s="9">
        <f>Table1[[#This Row], [ROOM TIME]]+Table1[[#This Row], [GUARD TIME]]</f>
        <v>70.203749999999971</v>
      </c>
      <c r="R1910" s="4">
        <f>Sheet1!$K$3*_xlfn.XLOOKUP(Table1[[#This Row], [DISGUISE]],Sheet1!$A$21:$A$23,Sheet1!$D$21:$D$23)</f>
        <v>66</v>
      </c>
      <c r="S1910" s="9">
        <f>Table1[[#This Row], [TOTAL TIME]]-Table1[[#This Row], [TOTAL TIME TAKEN]]</f>
        <v>-4.203749999999971</v>
      </c>
      <c r="T1910" t="str">
        <f>IF(Table1[[#This Row], [TIME DIFFERENCE]]&gt;=0,"PASS","FAIL")</f>
        <v>FAIL</v>
      </c>
      <c r="U1910" s="9">
        <f>Table1[[#This Row], [TRC]]+Table1[[#This Row], [DRC]]+Table1[[#This Row], [WRC]]+Table1[[#This Row], [ERC]]+Table1[[#This Row], [EQRC]]</f>
        <v>7835031.1999999993</v>
      </c>
      <c r="V1910" s="9">
        <f>Table1[[#This Row], [TOTAL COST]]+_xlfn.XLOOKUP(Table1[[#This Row], [TEAM]],Sheet1!$A$12:$A$17,Sheet1!$I$12:$I$17)</f>
        <v>8131678.6999999993</v>
      </c>
      <c r="W1910" s="9">
        <f>Table1[[#This Row], [LOOT]]-Table1[[#This Row], [TOTAL COST]]</f>
        <v>10214968.800000001</v>
      </c>
      <c r="X1910" s="4">
        <f>IF(Table1[[#This Row], [PASS/FAIL]]="FAIL",0,Table1[[#This Row], [PROFIT]])</f>
        <v>0</v>
      </c>
    </row>
    <row r="1911" spans="1:24" ht="19.5" customHeight="1" x14ac:dyDescent="0.45">
      <c r="A1911" t="s">
        <v>15</v>
      </c>
      <c r="B1911" s="14">
        <f>_xlfn.XLOOKUP(Table1[[#This Row], [TEAM]],Sheet1!$A$12:$A$17,Sheet1!$F$12:$F$17)</f>
        <v>2</v>
      </c>
      <c r="C1911" s="14">
        <f>_xlfn.XLOOKUP(Table1[[#This Row], [TEAM]],Sheet1!$A$12:$A$17,Sheet1!$G$12:$G$17)</f>
        <v>5932950</v>
      </c>
      <c r="D1911" t="s">
        <v>18</v>
      </c>
      <c r="E1911" s="4">
        <f>_xlfn.XLOOKUP(Table1[[#This Row], [ROOM]],Sheet1!$A$47:$A$66,Sheet1!$B$47:$B$66)</f>
        <v>134</v>
      </c>
      <c r="F1911" t="s">
        <v>58</v>
      </c>
      <c r="G1911" s="4">
        <f>_xlfn.XLOOKUP(Table1[[#This Row], [DISGUISE]],Sheet1!$A$21:$A$23,Sheet1!$B$21:$B$23)*Table1[[#This Row], [NUM OF MEM]]*(1+_xlfn.XLOOKUP(Table1[[#This Row], [DISGUISE]],Sheet1!$A$21:$A$23,Sheet1!$C$21:$C$23))</f>
        <v>25600</v>
      </c>
      <c r="H1911" s="13" t="s">
        <v>66</v>
      </c>
      <c r="I1911" s="4">
        <f>_xlfn.XLOOKUP(Table1[[#This Row], [WEAPON]],Sheet1!$A$27:$A$29,Sheet1!$B$27:$B$29)*Table1[[#This Row], [NUM OF MEM]]*(1+_xlfn.XLOOKUP(Table1[[#This Row], [WEAPON]],Sheet1!$A$27:$A$29,Sheet1!$C$27:$C$29))</f>
        <v>72000</v>
      </c>
      <c r="J1911" t="s">
        <v>64</v>
      </c>
      <c r="K1911" s="9">
        <f>Table1[[#This Row], [NUM OF MEM]]*Table1[[#This Row], [TOTAL TIME TAKEN]]*_xlfn.XLOOKUP(Table1[[#This Row], [EXIT]],Sheet1!$A$70:$A$71,Sheet1!$B$70:$B$71)*(1+_xlfn.XLOOKUP(Table1[[#This Row], [EXIT]],Sheet1!$A$70:$A$71,Sheet1!$C$70:$C$71))</f>
        <v>1819681.199999999</v>
      </c>
      <c r="L1911" s="13" t="s">
        <v>61</v>
      </c>
      <c r="M1911" s="4">
        <f>IF(Table1[[#This Row], [EQUIPMENT]]="YES",Sheet1!$C$44*(1+Sheet1!$D$44),0)</f>
        <v>0</v>
      </c>
      <c r="N1911" s="4">
        <f>_xlfn.XLOOKUP(Table1[[#This Row], [ROOM]],Sheet1!$A$47:$A$66,Sheet1!$F$47:$F$66)</f>
        <v>18050000</v>
      </c>
      <c r="O1911" s="9">
        <f>_xlfn.XLOOKUP(_xlfn.CONCAT(Table1[[#This Row], [TEAM]],Table1[[#This Row], [ROOM]]),'ROOM TIME'!$H$2:$H$121,'ROOM TIME'!$J$2:$J$121)</f>
        <v>62.703749999999971</v>
      </c>
      <c r="P1911" s="9">
        <f>(INDEX(Sheet1!$X$48:$Z$67,MATCH(Table1[[#This Row], [ROOM]],Sheet1!$P$48:$P$67,0),MATCH(Table1[[#This Row], [WEAPON]],Sheet1!$X$47:$Z$47,0)))/Table1[[#This Row], [NUM OF MEM]]</f>
        <v>7.5</v>
      </c>
      <c r="Q1911" s="9">
        <f>Table1[[#This Row], [ROOM TIME]]+Table1[[#This Row], [GUARD TIME]]</f>
        <v>70.203749999999971</v>
      </c>
      <c r="R1911" s="4">
        <f>Sheet1!$K$3*_xlfn.XLOOKUP(Table1[[#This Row], [DISGUISE]],Sheet1!$A$21:$A$23,Sheet1!$D$21:$D$23)</f>
        <v>69</v>
      </c>
      <c r="S1911" s="9">
        <f>Table1[[#This Row], [TOTAL TIME]]-Table1[[#This Row], [TOTAL TIME TAKEN]]</f>
        <v>-1.203749999999971</v>
      </c>
      <c r="T1911" t="str">
        <f>IF(Table1[[#This Row], [TIME DIFFERENCE]]&gt;=0,"PASS","FAIL")</f>
        <v>FAIL</v>
      </c>
      <c r="U1911" s="9">
        <f>Table1[[#This Row], [TRC]]+Table1[[#This Row], [DRC]]+Table1[[#This Row], [WRC]]+Table1[[#This Row], [ERC]]+Table1[[#This Row], [EQRC]]</f>
        <v>7850231.1999999993</v>
      </c>
      <c r="V1911" s="9">
        <f>Table1[[#This Row], [TOTAL COST]]+_xlfn.XLOOKUP(Table1[[#This Row], [TEAM]],Sheet1!$A$12:$A$17,Sheet1!$I$12:$I$17)</f>
        <v>8146878.6999999993</v>
      </c>
      <c r="W1911" s="9">
        <f>Table1[[#This Row], [LOOT]]-Table1[[#This Row], [TOTAL COST]]</f>
        <v>10199768.800000001</v>
      </c>
      <c r="X1911" s="4">
        <f>IF(Table1[[#This Row], [PASS/FAIL]]="FAIL",0,Table1[[#This Row], [PROFIT]])</f>
        <v>0</v>
      </c>
    </row>
    <row r="1912" spans="1:24" ht="19.5" customHeight="1" x14ac:dyDescent="0.45">
      <c r="A1912" t="s">
        <v>15</v>
      </c>
      <c r="B1912" s="14">
        <f>_xlfn.XLOOKUP(Table1[[#This Row], [TEAM]],Sheet1!$A$12:$A$17,Sheet1!$F$12:$F$17)</f>
        <v>2</v>
      </c>
      <c r="C1912" s="14">
        <f>_xlfn.XLOOKUP(Table1[[#This Row], [TEAM]],Sheet1!$A$12:$A$17,Sheet1!$G$12:$G$17)</f>
        <v>5932950</v>
      </c>
      <c r="D1912" t="s">
        <v>18</v>
      </c>
      <c r="E1912" s="4">
        <f>_xlfn.XLOOKUP(Table1[[#This Row], [ROOM]],Sheet1!$A$47:$A$66,Sheet1!$B$47:$B$66)</f>
        <v>134</v>
      </c>
      <c r="F1912" t="s">
        <v>62</v>
      </c>
      <c r="G191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2" s="13" t="s">
        <v>63</v>
      </c>
      <c r="I1912" s="4">
        <f>_xlfn.XLOOKUP(Table1[[#This Row], [WEAPON]],Sheet1!$A$27:$A$29,Sheet1!$B$27:$B$29)*Table1[[#This Row], [NUM OF MEM]]*(1+_xlfn.XLOOKUP(Table1[[#This Row], [WEAPON]],Sheet1!$A$27:$A$29,Sheet1!$C$27:$C$29))</f>
        <v>46000</v>
      </c>
      <c r="J1912" t="s">
        <v>60</v>
      </c>
      <c r="K1912" s="9">
        <f>Table1[[#This Row], [NUM OF MEM]]*Table1[[#This Row], [TOTAL TIME TAKEN]]*_xlfn.XLOOKUP(Table1[[#This Row], [EXIT]],Sheet1!$A$70:$A$71,Sheet1!$B$70:$B$71)*(1+_xlfn.XLOOKUP(Table1[[#This Row], [EXIT]],Sheet1!$A$70:$A$71,Sheet1!$C$70:$C$71))</f>
        <v>1817178.2437499992</v>
      </c>
      <c r="L1912" s="13" t="s">
        <v>65</v>
      </c>
      <c r="M1912" s="4">
        <f>IF(Table1[[#This Row], [EQUIPMENT]]="YES",Sheet1!$C$44*(1+Sheet1!$D$44),0)</f>
        <v>307500</v>
      </c>
      <c r="N1912" s="4">
        <f>_xlfn.XLOOKUP(Table1[[#This Row], [ROOM]],Sheet1!$A$47:$A$66,Sheet1!$F$47:$F$66)</f>
        <v>18050000</v>
      </c>
      <c r="O1912" s="9">
        <f>_xlfn.XLOOKUP(_xlfn.CONCAT(Table1[[#This Row], [TEAM]],Table1[[#This Row], [ROOM]]),'ROOM TIME'!$H$2:$H$121,'ROOM TIME'!$J$2:$J$121)</f>
        <v>62.703749999999971</v>
      </c>
      <c r="P1912" s="9">
        <f>(INDEX(Sheet1!$X$48:$Z$67,MATCH(Table1[[#This Row], [ROOM]],Sheet1!$P$48:$P$67,0),MATCH(Table1[[#This Row], [WEAPON]],Sheet1!$X$47:$Z$47,0)))/Table1[[#This Row], [NUM OF MEM]]</f>
        <v>8.1000000000000014</v>
      </c>
      <c r="Q1912" s="9">
        <f>Table1[[#This Row], [ROOM TIME]]+Table1[[#This Row], [GUARD TIME]]</f>
        <v>70.80374999999998</v>
      </c>
      <c r="R1912" s="4">
        <f>Sheet1!$K$3*_xlfn.XLOOKUP(Table1[[#This Row], [DISGUISE]],Sheet1!$A$21:$A$23,Sheet1!$D$21:$D$23)</f>
        <v>66</v>
      </c>
      <c r="S1912" s="9">
        <f>Table1[[#This Row], [TOTAL TIME]]-Table1[[#This Row], [TOTAL TIME TAKEN]]</f>
        <v>-4.8037499999999795</v>
      </c>
      <c r="T1912" t="str">
        <f>IF(Table1[[#This Row], [TIME DIFFERENCE]]&gt;=0,"PASS","FAIL")</f>
        <v>FAIL</v>
      </c>
      <c r="U1912" s="9">
        <f>Table1[[#This Row], [TRC]]+Table1[[#This Row], [DRC]]+Table1[[#This Row], [WRC]]+Table1[[#This Row], [ERC]]+Table1[[#This Row], [EQRC]]</f>
        <v>8114028.2437499994</v>
      </c>
      <c r="V1912" s="9">
        <f>Table1[[#This Row], [TOTAL COST]]+_xlfn.XLOOKUP(Table1[[#This Row], [TEAM]],Sheet1!$A$12:$A$17,Sheet1!$I$12:$I$17)</f>
        <v>8410675.7437499985</v>
      </c>
      <c r="W1912" s="9">
        <f>Table1[[#This Row], [LOOT]]-Table1[[#This Row], [TOTAL COST]]</f>
        <v>9935971.7562500015</v>
      </c>
      <c r="X1912" s="4">
        <f>IF(Table1[[#This Row], [PASS/FAIL]]="FAIL",0,Table1[[#This Row], [PROFIT]])</f>
        <v>0</v>
      </c>
    </row>
    <row r="1913" spans="1:24" ht="19.5" customHeight="1" x14ac:dyDescent="0.45">
      <c r="A1913" t="s">
        <v>15</v>
      </c>
      <c r="B1913" s="14">
        <f>_xlfn.XLOOKUP(Table1[[#This Row], [TEAM]],Sheet1!$A$12:$A$17,Sheet1!$F$12:$F$17)</f>
        <v>2</v>
      </c>
      <c r="C1913" s="14">
        <f>_xlfn.XLOOKUP(Table1[[#This Row], [TEAM]],Sheet1!$A$12:$A$17,Sheet1!$G$12:$G$17)</f>
        <v>5932950</v>
      </c>
      <c r="D1913" t="s">
        <v>18</v>
      </c>
      <c r="E1913" s="4">
        <f>_xlfn.XLOOKUP(Table1[[#This Row], [ROOM]],Sheet1!$A$47:$A$66,Sheet1!$B$47:$B$66)</f>
        <v>134</v>
      </c>
      <c r="F1913" t="s">
        <v>62</v>
      </c>
      <c r="G191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3" s="13" t="s">
        <v>66</v>
      </c>
      <c r="I1913" s="4">
        <f>_xlfn.XLOOKUP(Table1[[#This Row], [WEAPON]],Sheet1!$A$27:$A$29,Sheet1!$B$27:$B$29)*Table1[[#This Row], [NUM OF MEM]]*(1+_xlfn.XLOOKUP(Table1[[#This Row], [WEAPON]],Sheet1!$A$27:$A$29,Sheet1!$C$27:$C$29))</f>
        <v>72000</v>
      </c>
      <c r="J1913" t="s">
        <v>60</v>
      </c>
      <c r="K1913" s="9">
        <f>Table1[[#This Row], [NUM OF MEM]]*Table1[[#This Row], [TOTAL TIME TAKEN]]*_xlfn.XLOOKUP(Table1[[#This Row], [EXIT]],Sheet1!$A$70:$A$71,Sheet1!$B$70:$B$71)*(1+_xlfn.XLOOKUP(Table1[[#This Row], [EXIT]],Sheet1!$A$70:$A$71,Sheet1!$C$70:$C$71))</f>
        <v>1801779.2437499992</v>
      </c>
      <c r="L1913" s="13" t="s">
        <v>65</v>
      </c>
      <c r="M1913" s="4">
        <f>IF(Table1[[#This Row], [EQUIPMENT]]="YES",Sheet1!$C$44*(1+Sheet1!$D$44),0)</f>
        <v>307500</v>
      </c>
      <c r="N1913" s="4">
        <f>_xlfn.XLOOKUP(Table1[[#This Row], [ROOM]],Sheet1!$A$47:$A$66,Sheet1!$F$47:$F$66)</f>
        <v>18050000</v>
      </c>
      <c r="O1913" s="9">
        <f>_xlfn.XLOOKUP(_xlfn.CONCAT(Table1[[#This Row], [TEAM]],Table1[[#This Row], [ROOM]]),'ROOM TIME'!$H$2:$H$121,'ROOM TIME'!$J$2:$J$121)</f>
        <v>62.703749999999971</v>
      </c>
      <c r="P1913" s="9">
        <f>(INDEX(Sheet1!$X$48:$Z$67,MATCH(Table1[[#This Row], [ROOM]],Sheet1!$P$48:$P$67,0),MATCH(Table1[[#This Row], [WEAPON]],Sheet1!$X$47:$Z$47,0)))/Table1[[#This Row], [NUM OF MEM]]</f>
        <v>7.5</v>
      </c>
      <c r="Q1913" s="9">
        <f>Table1[[#This Row], [ROOM TIME]]+Table1[[#This Row], [GUARD TIME]]</f>
        <v>70.203749999999971</v>
      </c>
      <c r="R1913" s="4">
        <f>Sheet1!$K$3*_xlfn.XLOOKUP(Table1[[#This Row], [DISGUISE]],Sheet1!$A$21:$A$23,Sheet1!$D$21:$D$23)</f>
        <v>66</v>
      </c>
      <c r="S1913" s="9">
        <f>Table1[[#This Row], [TOTAL TIME]]-Table1[[#This Row], [TOTAL TIME TAKEN]]</f>
        <v>-4.203749999999971</v>
      </c>
      <c r="T1913" t="str">
        <f>IF(Table1[[#This Row], [TIME DIFFERENCE]]&gt;=0,"PASS","FAIL")</f>
        <v>FAIL</v>
      </c>
      <c r="U1913" s="9">
        <f>Table1[[#This Row], [TRC]]+Table1[[#This Row], [DRC]]+Table1[[#This Row], [WRC]]+Table1[[#This Row], [ERC]]+Table1[[#This Row], [EQRC]]</f>
        <v>8124629.2437499994</v>
      </c>
      <c r="V1913" s="9">
        <f>Table1[[#This Row], [TOTAL COST]]+_xlfn.XLOOKUP(Table1[[#This Row], [TEAM]],Sheet1!$A$12:$A$17,Sheet1!$I$12:$I$17)</f>
        <v>8421276.7437499985</v>
      </c>
      <c r="W1913" s="9">
        <f>Table1[[#This Row], [LOOT]]-Table1[[#This Row], [TOTAL COST]]</f>
        <v>9925370.7562500015</v>
      </c>
      <c r="X1913" s="4">
        <f>IF(Table1[[#This Row], [PASS/FAIL]]="FAIL",0,Table1[[#This Row], [PROFIT]])</f>
        <v>0</v>
      </c>
    </row>
    <row r="1914" spans="1:24" ht="19.5" customHeight="1" x14ac:dyDescent="0.45">
      <c r="A1914" t="s">
        <v>15</v>
      </c>
      <c r="B1914" s="14">
        <f>_xlfn.XLOOKUP(Table1[[#This Row], [TEAM]],Sheet1!$A$12:$A$17,Sheet1!$F$12:$F$17)</f>
        <v>2</v>
      </c>
      <c r="C1914" s="14">
        <f>_xlfn.XLOOKUP(Table1[[#This Row], [TEAM]],Sheet1!$A$12:$A$17,Sheet1!$G$12:$G$17)</f>
        <v>5932950</v>
      </c>
      <c r="D1914" t="s">
        <v>18</v>
      </c>
      <c r="E1914" s="4">
        <f>_xlfn.XLOOKUP(Table1[[#This Row], [ROOM]],Sheet1!$A$47:$A$66,Sheet1!$B$47:$B$66)</f>
        <v>134</v>
      </c>
      <c r="F1914" t="s">
        <v>58</v>
      </c>
      <c r="G1914" s="4">
        <f>_xlfn.XLOOKUP(Table1[[#This Row], [DISGUISE]],Sheet1!$A$21:$A$23,Sheet1!$B$21:$B$23)*Table1[[#This Row], [NUM OF MEM]]*(1+_xlfn.XLOOKUP(Table1[[#This Row], [DISGUISE]],Sheet1!$A$21:$A$23,Sheet1!$C$21:$C$23))</f>
        <v>25600</v>
      </c>
      <c r="H1914" s="13" t="s">
        <v>66</v>
      </c>
      <c r="I1914" s="4">
        <f>_xlfn.XLOOKUP(Table1[[#This Row], [WEAPON]],Sheet1!$A$27:$A$29,Sheet1!$B$27:$B$29)*Table1[[#This Row], [NUM OF MEM]]*(1+_xlfn.XLOOKUP(Table1[[#This Row], [WEAPON]],Sheet1!$A$27:$A$29,Sheet1!$C$27:$C$29))</f>
        <v>72000</v>
      </c>
      <c r="J1914" t="s">
        <v>60</v>
      </c>
      <c r="K1914" s="9">
        <f>Table1[[#This Row], [NUM OF MEM]]*Table1[[#This Row], [TOTAL TIME TAKEN]]*_xlfn.XLOOKUP(Table1[[#This Row], [EXIT]],Sheet1!$A$70:$A$71,Sheet1!$B$70:$B$71)*(1+_xlfn.XLOOKUP(Table1[[#This Row], [EXIT]],Sheet1!$A$70:$A$71,Sheet1!$C$70:$C$71))</f>
        <v>1801779.2437499992</v>
      </c>
      <c r="L1914" s="13" t="s">
        <v>65</v>
      </c>
      <c r="M1914" s="4">
        <f>IF(Table1[[#This Row], [EQUIPMENT]]="YES",Sheet1!$C$44*(1+Sheet1!$D$44),0)</f>
        <v>307500</v>
      </c>
      <c r="N1914" s="4">
        <f>_xlfn.XLOOKUP(Table1[[#This Row], [ROOM]],Sheet1!$A$47:$A$66,Sheet1!$F$47:$F$66)</f>
        <v>18050000</v>
      </c>
      <c r="O1914" s="9">
        <f>_xlfn.XLOOKUP(_xlfn.CONCAT(Table1[[#This Row], [TEAM]],Table1[[#This Row], [ROOM]]),'ROOM TIME'!$H$2:$H$121,'ROOM TIME'!$J$2:$J$121)</f>
        <v>62.703749999999971</v>
      </c>
      <c r="P1914" s="9">
        <f>(INDEX(Sheet1!$X$48:$Z$67,MATCH(Table1[[#This Row], [ROOM]],Sheet1!$P$48:$P$67,0),MATCH(Table1[[#This Row], [WEAPON]],Sheet1!$X$47:$Z$47,0)))/Table1[[#This Row], [NUM OF MEM]]</f>
        <v>7.5</v>
      </c>
      <c r="Q1914" s="9">
        <f>Table1[[#This Row], [ROOM TIME]]+Table1[[#This Row], [GUARD TIME]]</f>
        <v>70.203749999999971</v>
      </c>
      <c r="R1914" s="4">
        <f>Sheet1!$K$3*_xlfn.XLOOKUP(Table1[[#This Row], [DISGUISE]],Sheet1!$A$21:$A$23,Sheet1!$D$21:$D$23)</f>
        <v>69</v>
      </c>
      <c r="S1914" s="9">
        <f>Table1[[#This Row], [TOTAL TIME]]-Table1[[#This Row], [TOTAL TIME TAKEN]]</f>
        <v>-1.203749999999971</v>
      </c>
      <c r="T1914" t="str">
        <f>IF(Table1[[#This Row], [TIME DIFFERENCE]]&gt;=0,"PASS","FAIL")</f>
        <v>FAIL</v>
      </c>
      <c r="U1914" s="9">
        <f>Table1[[#This Row], [TRC]]+Table1[[#This Row], [DRC]]+Table1[[#This Row], [WRC]]+Table1[[#This Row], [ERC]]+Table1[[#This Row], [EQRC]]</f>
        <v>8139829.2437499994</v>
      </c>
      <c r="V1914" s="9">
        <f>Table1[[#This Row], [TOTAL COST]]+_xlfn.XLOOKUP(Table1[[#This Row], [TEAM]],Sheet1!$A$12:$A$17,Sheet1!$I$12:$I$17)</f>
        <v>8436476.7437499985</v>
      </c>
      <c r="W1914" s="9">
        <f>Table1[[#This Row], [LOOT]]-Table1[[#This Row], [TOTAL COST]]</f>
        <v>9910170.7562500015</v>
      </c>
      <c r="X1914" s="4">
        <f>IF(Table1[[#This Row], [PASS/FAIL]]="FAIL",0,Table1[[#This Row], [PROFIT]])</f>
        <v>0</v>
      </c>
    </row>
    <row r="1915" spans="1:24" ht="19.5" customHeight="1" x14ac:dyDescent="0.45">
      <c r="A1915" t="s">
        <v>15</v>
      </c>
      <c r="B1915" s="14">
        <f>_xlfn.XLOOKUP(Table1[[#This Row], [TEAM]],Sheet1!$A$12:$A$17,Sheet1!$F$12:$F$17)</f>
        <v>2</v>
      </c>
      <c r="C1915" s="14">
        <f>_xlfn.XLOOKUP(Table1[[#This Row], [TEAM]],Sheet1!$A$12:$A$17,Sheet1!$G$12:$G$17)</f>
        <v>5932950</v>
      </c>
      <c r="D1915" t="s">
        <v>18</v>
      </c>
      <c r="E1915" s="4">
        <f>_xlfn.XLOOKUP(Table1[[#This Row], [ROOM]],Sheet1!$A$47:$A$66,Sheet1!$B$47:$B$66)</f>
        <v>134</v>
      </c>
      <c r="F1915" t="s">
        <v>62</v>
      </c>
      <c r="G191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5" s="13" t="s">
        <v>63</v>
      </c>
      <c r="I1915" s="4">
        <f>_xlfn.XLOOKUP(Table1[[#This Row], [WEAPON]],Sheet1!$A$27:$A$29,Sheet1!$B$27:$B$29)*Table1[[#This Row], [NUM OF MEM]]*(1+_xlfn.XLOOKUP(Table1[[#This Row], [WEAPON]],Sheet1!$A$27:$A$29,Sheet1!$C$27:$C$29))</f>
        <v>46000</v>
      </c>
      <c r="J1915" t="s">
        <v>64</v>
      </c>
      <c r="K1915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1835233.1999999995</v>
      </c>
      <c r="L1915" s="13" t="s">
        <v>65</v>
      </c>
      <c r="M1915" s="4">
        <f>IF(Table1[[#This Row], [EQUIPMENT]]="YES",Sheet1!$C$44*(1+Sheet1!$D$44),0)</f>
        <v>307500</v>
      </c>
      <c r="N1915" s="4">
        <f>_xlfn.XLOOKUP(Table1[[#This Row], [ROOM]],Sheet1!$A$47:$A$66,Sheet1!$F$47:$F$66)</f>
        <v>18050000</v>
      </c>
      <c r="O1915" s="9">
        <f>_xlfn.XLOOKUP(_xlfn.CONCAT(Table1[[#This Row], [TEAM]],Table1[[#This Row], [ROOM]]),'ROOM TIME'!$H$2:$H$121,'ROOM TIME'!$J$2:$J$121)</f>
        <v>62.703749999999971</v>
      </c>
      <c r="P1915" s="9">
        <f>(INDEX(Sheet1!$X$48:$Z$67,MATCH(Table1[[#This Row], [ROOM]],Sheet1!$P$48:$P$67,0),MATCH(Table1[[#This Row], [WEAPON]],Sheet1!$X$47:$Z$47,0)))/Table1[[#This Row], [NUM OF MEM]]</f>
        <v>8.1000000000000014</v>
      </c>
      <c r="Q1915" s="9">
        <f>Table1[[#This Row], [ROOM TIME]]+Table1[[#This Row], [GUARD TIME]]</f>
        <v>70.80374999999998</v>
      </c>
      <c r="R1915" s="4">
        <f>Sheet1!$K$3*_xlfn.XLOOKUP(Table1[[#This Row], [DISGUISE]],Sheet1!$A$21:$A$23,Sheet1!$D$21:$D$23)</f>
        <v>66</v>
      </c>
      <c r="S1915" s="9">
        <f>Table1[[#This Row], [TOTAL TIME]]-Table1[[#This Row], [TOTAL TIME TAKEN]]</f>
        <v>-4.8037499999999795</v>
      </c>
      <c r="T1915" t="str">
        <f>IF(Table1[[#This Row], [TIME DIFFERENCE]]&gt;=0,"PASS","FAIL")</f>
        <v>FAIL</v>
      </c>
      <c r="U1915" s="9">
        <f>Table1[[#This Row], [TRC]]+Table1[[#This Row], [DRC]]+Table1[[#This Row], [WRC]]+Table1[[#This Row], [ERC]]+Table1[[#This Row], [EQRC]]</f>
        <v>8132083.1999999993</v>
      </c>
      <c r="V1915" s="9">
        <f>Table1[[#This Row], [TOTAL COST]]+_xlfn.XLOOKUP(Table1[[#This Row], [TEAM]],Sheet1!$A$12:$A$17,Sheet1!$I$12:$I$17)</f>
        <v>8428730.6999999993</v>
      </c>
      <c r="W1915" s="9">
        <f>Table1[[#This Row], [LOOT]]-Table1[[#This Row], [TOTAL COST]]</f>
        <v>9917916.8000000007</v>
      </c>
      <c r="X1915" s="4">
        <f>IF(Table1[[#This Row], [PASS/FAIL]]="FAIL",0,Table1[[#This Row], [PROFIT]])</f>
        <v>0</v>
      </c>
    </row>
    <row r="1916" spans="1:24" ht="19.5" customHeight="1" x14ac:dyDescent="0.45">
      <c r="A1916" t="s">
        <v>15</v>
      </c>
      <c r="B1916" s="14">
        <f>_xlfn.XLOOKUP(Table1[[#This Row], [TEAM]],Sheet1!$A$12:$A$17,Sheet1!$F$12:$F$17)</f>
        <v>2</v>
      </c>
      <c r="C1916" s="14">
        <f>_xlfn.XLOOKUP(Table1[[#This Row], [TEAM]],Sheet1!$A$12:$A$17,Sheet1!$G$12:$G$17)</f>
        <v>5932950</v>
      </c>
      <c r="D1916" t="s">
        <v>18</v>
      </c>
      <c r="E1916" s="4">
        <f>_xlfn.XLOOKUP(Table1[[#This Row], [ROOM]],Sheet1!$A$47:$A$66,Sheet1!$B$47:$B$66)</f>
        <v>134</v>
      </c>
      <c r="F1916" t="s">
        <v>62</v>
      </c>
      <c r="G191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6" s="13" t="s">
        <v>66</v>
      </c>
      <c r="I1916" s="4">
        <f>_xlfn.XLOOKUP(Table1[[#This Row], [WEAPON]],Sheet1!$A$27:$A$29,Sheet1!$B$27:$B$29)*Table1[[#This Row], [NUM OF MEM]]*(1+_xlfn.XLOOKUP(Table1[[#This Row], [WEAPON]],Sheet1!$A$27:$A$29,Sheet1!$C$27:$C$29))</f>
        <v>72000</v>
      </c>
      <c r="J1916" t="s">
        <v>64</v>
      </c>
      <c r="K1916" s="9">
        <f>Table1[[#This Row], [NUM OF MEM]]*Table1[[#This Row], [TOTAL TIME TAKEN]]*_xlfn.XLOOKUP(Table1[[#This Row], [EXIT]],Sheet1!$A$70:$A$71,Sheet1!$B$70:$B$71)*(1+_xlfn.XLOOKUP(Table1[[#This Row], [EXIT]],Sheet1!$A$70:$A$71,Sheet1!$C$70:$C$71))</f>
        <v>1819681.199999999</v>
      </c>
      <c r="L1916" s="13" t="s">
        <v>65</v>
      </c>
      <c r="M1916" s="4">
        <f>IF(Table1[[#This Row], [EQUIPMENT]]="YES",Sheet1!$C$44*(1+Sheet1!$D$44),0)</f>
        <v>307500</v>
      </c>
      <c r="N1916" s="4">
        <f>_xlfn.XLOOKUP(Table1[[#This Row], [ROOM]],Sheet1!$A$47:$A$66,Sheet1!$F$47:$F$66)</f>
        <v>18050000</v>
      </c>
      <c r="O1916" s="9">
        <f>_xlfn.XLOOKUP(_xlfn.CONCAT(Table1[[#This Row], [TEAM]],Table1[[#This Row], [ROOM]]),'ROOM TIME'!$H$2:$H$121,'ROOM TIME'!$J$2:$J$121)</f>
        <v>62.703749999999971</v>
      </c>
      <c r="P1916" s="9">
        <f>(INDEX(Sheet1!$X$48:$Z$67,MATCH(Table1[[#This Row], [ROOM]],Sheet1!$P$48:$P$67,0),MATCH(Table1[[#This Row], [WEAPON]],Sheet1!$X$47:$Z$47,0)))/Table1[[#This Row], [NUM OF MEM]]</f>
        <v>7.5</v>
      </c>
      <c r="Q1916" s="9">
        <f>Table1[[#This Row], [ROOM TIME]]+Table1[[#This Row], [GUARD TIME]]</f>
        <v>70.203749999999971</v>
      </c>
      <c r="R1916" s="4">
        <f>Sheet1!$K$3*_xlfn.XLOOKUP(Table1[[#This Row], [DISGUISE]],Sheet1!$A$21:$A$23,Sheet1!$D$21:$D$23)</f>
        <v>66</v>
      </c>
      <c r="S1916" s="9">
        <f>Table1[[#This Row], [TOTAL TIME]]-Table1[[#This Row], [TOTAL TIME TAKEN]]</f>
        <v>-4.203749999999971</v>
      </c>
      <c r="T1916" t="str">
        <f>IF(Table1[[#This Row], [TIME DIFFERENCE]]&gt;=0,"PASS","FAIL")</f>
        <v>FAIL</v>
      </c>
      <c r="U1916" s="9">
        <f>Table1[[#This Row], [TRC]]+Table1[[#This Row], [DRC]]+Table1[[#This Row], [WRC]]+Table1[[#This Row], [ERC]]+Table1[[#This Row], [EQRC]]</f>
        <v>8142531.1999999993</v>
      </c>
      <c r="V1916" s="9">
        <f>Table1[[#This Row], [TOTAL COST]]+_xlfn.XLOOKUP(Table1[[#This Row], [TEAM]],Sheet1!$A$12:$A$17,Sheet1!$I$12:$I$17)</f>
        <v>8439178.6999999993</v>
      </c>
      <c r="W1916" s="9">
        <f>Table1[[#This Row], [LOOT]]-Table1[[#This Row], [TOTAL COST]]</f>
        <v>9907468.8000000007</v>
      </c>
      <c r="X1916" s="4">
        <f>IF(Table1[[#This Row], [PASS/FAIL]]="FAIL",0,Table1[[#This Row], [PROFIT]])</f>
        <v>0</v>
      </c>
    </row>
    <row r="1917" spans="1:24" ht="19.5" customHeight="1" x14ac:dyDescent="0.45">
      <c r="A1917" t="s">
        <v>15</v>
      </c>
      <c r="B1917" s="14">
        <f>_xlfn.XLOOKUP(Table1[[#This Row], [TEAM]],Sheet1!$A$12:$A$17,Sheet1!$F$12:$F$17)</f>
        <v>2</v>
      </c>
      <c r="C1917" s="14">
        <f>_xlfn.XLOOKUP(Table1[[#This Row], [TEAM]],Sheet1!$A$12:$A$17,Sheet1!$G$12:$G$17)</f>
        <v>5932950</v>
      </c>
      <c r="D1917" t="s">
        <v>18</v>
      </c>
      <c r="E1917" s="4">
        <f>_xlfn.XLOOKUP(Table1[[#This Row], [ROOM]],Sheet1!$A$47:$A$66,Sheet1!$B$47:$B$66)</f>
        <v>134</v>
      </c>
      <c r="F1917" t="s">
        <v>58</v>
      </c>
      <c r="G1917" s="4">
        <f>_xlfn.XLOOKUP(Table1[[#This Row], [DISGUISE]],Sheet1!$A$21:$A$23,Sheet1!$B$21:$B$23)*Table1[[#This Row], [NUM OF MEM]]*(1+_xlfn.XLOOKUP(Table1[[#This Row], [DISGUISE]],Sheet1!$A$21:$A$23,Sheet1!$C$21:$C$23))</f>
        <v>25600</v>
      </c>
      <c r="H1917" s="13" t="s">
        <v>66</v>
      </c>
      <c r="I1917" s="4">
        <f>_xlfn.XLOOKUP(Table1[[#This Row], [WEAPON]],Sheet1!$A$27:$A$29,Sheet1!$B$27:$B$29)*Table1[[#This Row], [NUM OF MEM]]*(1+_xlfn.XLOOKUP(Table1[[#This Row], [WEAPON]],Sheet1!$A$27:$A$29,Sheet1!$C$27:$C$29))</f>
        <v>72000</v>
      </c>
      <c r="J1917" t="s">
        <v>64</v>
      </c>
      <c r="K1917" s="9">
        <f>Table1[[#This Row], [NUM OF MEM]]*Table1[[#This Row], [TOTAL TIME TAKEN]]*_xlfn.XLOOKUP(Table1[[#This Row], [EXIT]],Sheet1!$A$70:$A$71,Sheet1!$B$70:$B$71)*(1+_xlfn.XLOOKUP(Table1[[#This Row], [EXIT]],Sheet1!$A$70:$A$71,Sheet1!$C$70:$C$71))</f>
        <v>1819681.199999999</v>
      </c>
      <c r="L1917" s="13" t="s">
        <v>65</v>
      </c>
      <c r="M1917" s="4">
        <f>IF(Table1[[#This Row], [EQUIPMENT]]="YES",Sheet1!$C$44*(1+Sheet1!$D$44),0)</f>
        <v>307500</v>
      </c>
      <c r="N1917" s="4">
        <f>_xlfn.XLOOKUP(Table1[[#This Row], [ROOM]],Sheet1!$A$47:$A$66,Sheet1!$F$47:$F$66)</f>
        <v>18050000</v>
      </c>
      <c r="O1917" s="9">
        <f>_xlfn.XLOOKUP(_xlfn.CONCAT(Table1[[#This Row], [TEAM]],Table1[[#This Row], [ROOM]]),'ROOM TIME'!$H$2:$H$121,'ROOM TIME'!$J$2:$J$121)</f>
        <v>62.703749999999971</v>
      </c>
      <c r="P1917" s="9">
        <f>(INDEX(Sheet1!$X$48:$Z$67,MATCH(Table1[[#This Row], [ROOM]],Sheet1!$P$48:$P$67,0),MATCH(Table1[[#This Row], [WEAPON]],Sheet1!$X$47:$Z$47,0)))/Table1[[#This Row], [NUM OF MEM]]</f>
        <v>7.5</v>
      </c>
      <c r="Q1917" s="9">
        <f>Table1[[#This Row], [ROOM TIME]]+Table1[[#This Row], [GUARD TIME]]</f>
        <v>70.203749999999971</v>
      </c>
      <c r="R1917" s="4">
        <f>Sheet1!$K$3*_xlfn.XLOOKUP(Table1[[#This Row], [DISGUISE]],Sheet1!$A$21:$A$23,Sheet1!$D$21:$D$23)</f>
        <v>69</v>
      </c>
      <c r="S1917" s="9">
        <f>Table1[[#This Row], [TOTAL TIME]]-Table1[[#This Row], [TOTAL TIME TAKEN]]</f>
        <v>-1.203749999999971</v>
      </c>
      <c r="T1917" t="str">
        <f>IF(Table1[[#This Row], [TIME DIFFERENCE]]&gt;=0,"PASS","FAIL")</f>
        <v>FAIL</v>
      </c>
      <c r="U1917" s="9">
        <f>Table1[[#This Row], [TRC]]+Table1[[#This Row], [DRC]]+Table1[[#This Row], [WRC]]+Table1[[#This Row], [ERC]]+Table1[[#This Row], [EQRC]]</f>
        <v>8157731.1999999993</v>
      </c>
      <c r="V1917" s="9">
        <f>Table1[[#This Row], [TOTAL COST]]+_xlfn.XLOOKUP(Table1[[#This Row], [TEAM]],Sheet1!$A$12:$A$17,Sheet1!$I$12:$I$17)</f>
        <v>8454378.6999999993</v>
      </c>
      <c r="W1917" s="9">
        <f>Table1[[#This Row], [LOOT]]-Table1[[#This Row], [TOTAL COST]]</f>
        <v>9892268.8000000007</v>
      </c>
      <c r="X1917" s="4">
        <f>IF(Table1[[#This Row], [PASS/FAIL]]="FAIL",0,Table1[[#This Row], [PROFIT]])</f>
        <v>0</v>
      </c>
    </row>
    <row r="1918" spans="1:24" ht="19.5" customHeight="1" x14ac:dyDescent="0.45">
      <c r="A1918" t="s">
        <v>16</v>
      </c>
      <c r="B1918" s="14">
        <f>_xlfn.XLOOKUP(Table1[[#This Row], [TEAM]],Sheet1!$A$12:$A$17,Sheet1!$F$12:$F$17)</f>
        <v>2</v>
      </c>
      <c r="C1918" s="14">
        <f>_xlfn.XLOOKUP(Table1[[#This Row], [TEAM]],Sheet1!$A$12:$A$17,Sheet1!$G$12:$G$17)</f>
        <v>6082800</v>
      </c>
      <c r="D1918" t="s">
        <v>18</v>
      </c>
      <c r="E1918" s="4">
        <f>_xlfn.XLOOKUP(Table1[[#This Row], [ROOM]],Sheet1!$A$47:$A$66,Sheet1!$B$47:$B$66)</f>
        <v>134</v>
      </c>
      <c r="F1918" t="s">
        <v>62</v>
      </c>
      <c r="G191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8" s="13" t="s">
        <v>59</v>
      </c>
      <c r="I1918" s="4">
        <f>_xlfn.XLOOKUP(Table1[[#This Row], [WEAPON]],Sheet1!$A$27:$A$29,Sheet1!$B$27:$B$29)*Table1[[#This Row], [NUM OF MEM]]*(1+_xlfn.XLOOKUP(Table1[[#This Row], [WEAPON]],Sheet1!$A$27:$A$29,Sheet1!$C$27:$C$29))</f>
        <v>91000</v>
      </c>
      <c r="J1918" t="s">
        <v>60</v>
      </c>
      <c r="K1918" s="9">
        <f>Table1[[#This Row], [NUM OF MEM]]*Table1[[#This Row], [TOTAL TIME TAKEN]]*_xlfn.XLOOKUP(Table1[[#This Row], [EXIT]],Sheet1!$A$70:$A$71,Sheet1!$B$70:$B$71)*(1+_xlfn.XLOOKUP(Table1[[#This Row], [EXIT]],Sheet1!$A$70:$A$71,Sheet1!$C$70:$C$71))</f>
        <v>1758052.4999999995</v>
      </c>
      <c r="L1918" s="13" t="s">
        <v>61</v>
      </c>
      <c r="M1918" s="4">
        <f>IF(Table1[[#This Row], [EQUIPMENT]]="YES",Sheet1!$C$44*(1+Sheet1!$D$44),0)</f>
        <v>0</v>
      </c>
      <c r="N1918" s="4">
        <f>_xlfn.XLOOKUP(Table1[[#This Row], [ROOM]],Sheet1!$A$47:$A$66,Sheet1!$F$47:$F$66)</f>
        <v>18050000</v>
      </c>
      <c r="O1918" s="9">
        <f>_xlfn.XLOOKUP(_xlfn.CONCAT(Table1[[#This Row], [TEAM]],Table1[[#This Row], [ROOM]]),'ROOM TIME'!$H$2:$H$121,'ROOM TIME'!$J$2:$J$121)</f>
        <v>61.59999999999998</v>
      </c>
      <c r="P1918" s="9">
        <f>(INDEX(Sheet1!$X$48:$Z$67,MATCH(Table1[[#This Row], [ROOM]],Sheet1!$P$48:$P$67,0),MATCH(Table1[[#This Row], [WEAPON]],Sheet1!$X$47:$Z$47,0)))/Table1[[#This Row], [NUM OF MEM]]</f>
        <v>6.8999999999999995</v>
      </c>
      <c r="Q1918" s="9">
        <f>Table1[[#This Row], [ROOM TIME]]+Table1[[#This Row], [GUARD TIME]]</f>
        <v>68.499999999999986</v>
      </c>
      <c r="R1918" s="4">
        <f>Sheet1!$K$3*_xlfn.XLOOKUP(Table1[[#This Row], [DISGUISE]],Sheet1!$A$21:$A$23,Sheet1!$D$21:$D$23)</f>
        <v>66</v>
      </c>
      <c r="S1918" s="9">
        <f>Table1[[#This Row], [TOTAL TIME]]-Table1[[#This Row], [TOTAL TIME TAKEN]]</f>
        <v>-2.4999999999999858</v>
      </c>
      <c r="T1918" t="str">
        <f>IF(Table1[[#This Row], [TIME DIFFERENCE]]&gt;=0,"PASS","FAIL")</f>
        <v>FAIL</v>
      </c>
      <c r="U1918" s="9">
        <f>Table1[[#This Row], [TRC]]+Table1[[#This Row], [DRC]]+Table1[[#This Row], [WRC]]+Table1[[#This Row], [ERC]]+Table1[[#This Row], [EQRC]]</f>
        <v>7942252.5</v>
      </c>
      <c r="V1918" s="9">
        <f>Table1[[#This Row], [TOTAL COST]]+_xlfn.XLOOKUP(Table1[[#This Row], [TEAM]],Sheet1!$A$12:$A$17,Sheet1!$I$12:$I$17)</f>
        <v>8246392.5</v>
      </c>
      <c r="W1918" s="9">
        <f>Table1[[#This Row], [LOOT]]-Table1[[#This Row], [TOTAL COST]]</f>
        <v>10107747.5</v>
      </c>
      <c r="X1918" s="4">
        <f>IF(Table1[[#This Row], [PASS/FAIL]]="FAIL",0,Table1[[#This Row], [PROFIT]])</f>
        <v>0</v>
      </c>
    </row>
    <row r="1919" spans="1:24" ht="19.5" customHeight="1" x14ac:dyDescent="0.45">
      <c r="A1919" t="s">
        <v>16</v>
      </c>
      <c r="B1919" s="14">
        <f>_xlfn.XLOOKUP(Table1[[#This Row], [TEAM]],Sheet1!$A$12:$A$17,Sheet1!$F$12:$F$17)</f>
        <v>2</v>
      </c>
      <c r="C1919" s="14">
        <f>_xlfn.XLOOKUP(Table1[[#This Row], [TEAM]],Sheet1!$A$12:$A$17,Sheet1!$G$12:$G$17)</f>
        <v>6082800</v>
      </c>
      <c r="D1919" t="s">
        <v>18</v>
      </c>
      <c r="E1919" s="4">
        <f>_xlfn.XLOOKUP(Table1[[#This Row], [ROOM]],Sheet1!$A$47:$A$66,Sheet1!$B$47:$B$66)</f>
        <v>134</v>
      </c>
      <c r="F1919" t="s">
        <v>62</v>
      </c>
      <c r="G191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19" s="13" t="s">
        <v>59</v>
      </c>
      <c r="I1919" s="4">
        <f>_xlfn.XLOOKUP(Table1[[#This Row], [WEAPON]],Sheet1!$A$27:$A$29,Sheet1!$B$27:$B$29)*Table1[[#This Row], [NUM OF MEM]]*(1+_xlfn.XLOOKUP(Table1[[#This Row], [WEAPON]],Sheet1!$A$27:$A$29,Sheet1!$C$27:$C$29))</f>
        <v>91000</v>
      </c>
      <c r="J1919" t="s">
        <v>64</v>
      </c>
      <c r="K1919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1775519.9999999998</v>
      </c>
      <c r="L1919" s="13" t="s">
        <v>61</v>
      </c>
      <c r="M1919" s="4">
        <f>IF(Table1[[#This Row], [EQUIPMENT]]="YES",Sheet1!$C$44*(1+Sheet1!$D$44),0)</f>
        <v>0</v>
      </c>
      <c r="N1919" s="4">
        <f>_xlfn.XLOOKUP(Table1[[#This Row], [ROOM]],Sheet1!$A$47:$A$66,Sheet1!$F$47:$F$66)</f>
        <v>18050000</v>
      </c>
      <c r="O1919" s="9">
        <f>_xlfn.XLOOKUP(_xlfn.CONCAT(Table1[[#This Row], [TEAM]],Table1[[#This Row], [ROOM]]),'ROOM TIME'!$H$2:$H$121,'ROOM TIME'!$J$2:$J$121)</f>
        <v>61.59999999999998</v>
      </c>
      <c r="P1919" s="9">
        <f>(INDEX(Sheet1!$X$48:$Z$67,MATCH(Table1[[#This Row], [ROOM]],Sheet1!$P$48:$P$67,0),MATCH(Table1[[#This Row], [WEAPON]],Sheet1!$X$47:$Z$47,0)))/Table1[[#This Row], [NUM OF MEM]]</f>
        <v>6.8999999999999995</v>
      </c>
      <c r="Q1919" s="9">
        <f>Table1[[#This Row], [ROOM TIME]]+Table1[[#This Row], [GUARD TIME]]</f>
        <v>68.499999999999986</v>
      </c>
      <c r="R1919" s="4">
        <f>Sheet1!$K$3*_xlfn.XLOOKUP(Table1[[#This Row], [DISGUISE]],Sheet1!$A$21:$A$23,Sheet1!$D$21:$D$23)</f>
        <v>66</v>
      </c>
      <c r="S1919" s="9">
        <f>Table1[[#This Row], [TOTAL TIME]]-Table1[[#This Row], [TOTAL TIME TAKEN]]</f>
        <v>-2.4999999999999858</v>
      </c>
      <c r="T1919" t="str">
        <f>IF(Table1[[#This Row], [TIME DIFFERENCE]]&gt;=0,"PASS","FAIL")</f>
        <v>FAIL</v>
      </c>
      <c r="U1919" s="4">
        <f>Table1[[#This Row], [TRC]]+Table1[[#This Row], [DRC]]+Table1[[#This Row], [WRC]]+Table1[[#This Row], [ERC]]+Table1[[#This Row], [EQRC]]</f>
        <v>7959720</v>
      </c>
      <c r="V1919" s="4">
        <f>Table1[[#This Row], [TOTAL COST]]+_xlfn.XLOOKUP(Table1[[#This Row], [TEAM]],Sheet1!$A$12:$A$17,Sheet1!$I$12:$I$17)</f>
        <v>8263860</v>
      </c>
      <c r="W1919" s="4">
        <f>Table1[[#This Row], [LOOT]]-Table1[[#This Row], [TOTAL COST]]</f>
        <v>10090280</v>
      </c>
      <c r="X1919" s="4">
        <f>IF(Table1[[#This Row], [PASS/FAIL]]="FAIL",0,Table1[[#This Row], [PROFIT]])</f>
        <v>0</v>
      </c>
    </row>
    <row r="1920" spans="1:24" ht="19.5" customHeight="1" x14ac:dyDescent="0.45">
      <c r="A1920" t="s">
        <v>16</v>
      </c>
      <c r="B1920" s="14">
        <f>_xlfn.XLOOKUP(Table1[[#This Row], [TEAM]],Sheet1!$A$12:$A$17,Sheet1!$F$12:$F$17)</f>
        <v>2</v>
      </c>
      <c r="C1920" s="14">
        <f>_xlfn.XLOOKUP(Table1[[#This Row], [TEAM]],Sheet1!$A$12:$A$17,Sheet1!$G$12:$G$17)</f>
        <v>6082800</v>
      </c>
      <c r="D1920" t="s">
        <v>18</v>
      </c>
      <c r="E1920" s="4">
        <f>_xlfn.XLOOKUP(Table1[[#This Row], [ROOM]],Sheet1!$A$47:$A$66,Sheet1!$B$47:$B$66)</f>
        <v>134</v>
      </c>
      <c r="F1920" t="s">
        <v>62</v>
      </c>
      <c r="G192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0" s="13" t="s">
        <v>59</v>
      </c>
      <c r="I1920" s="4">
        <f>_xlfn.XLOOKUP(Table1[[#This Row], [WEAPON]],Sheet1!$A$27:$A$29,Sheet1!$B$27:$B$29)*Table1[[#This Row], [NUM OF MEM]]*(1+_xlfn.XLOOKUP(Table1[[#This Row], [WEAPON]],Sheet1!$A$27:$A$29,Sheet1!$C$27:$C$29))</f>
        <v>91000</v>
      </c>
      <c r="J1920" t="s">
        <v>60</v>
      </c>
      <c r="K1920" s="9">
        <f>Table1[[#This Row], [NUM OF MEM]]*Table1[[#This Row], [TOTAL TIME TAKEN]]*_xlfn.XLOOKUP(Table1[[#This Row], [EXIT]],Sheet1!$A$70:$A$71,Sheet1!$B$70:$B$71)*(1+_xlfn.XLOOKUP(Table1[[#This Row], [EXIT]],Sheet1!$A$70:$A$71,Sheet1!$C$70:$C$71))</f>
        <v>1758052.4999999995</v>
      </c>
      <c r="L1920" s="13" t="s">
        <v>65</v>
      </c>
      <c r="M1920" s="4">
        <f>IF(Table1[[#This Row], [EQUIPMENT]]="YES",Sheet1!$C$44*(1+Sheet1!$D$44),0)</f>
        <v>307500</v>
      </c>
      <c r="N1920" s="4">
        <f>_xlfn.XLOOKUP(Table1[[#This Row], [ROOM]],Sheet1!$A$47:$A$66,Sheet1!$F$47:$F$66)</f>
        <v>18050000</v>
      </c>
      <c r="O1920" s="9">
        <f>_xlfn.XLOOKUP(_xlfn.CONCAT(Table1[[#This Row], [TEAM]],Table1[[#This Row], [ROOM]]),'ROOM TIME'!$H$2:$H$121,'ROOM TIME'!$J$2:$J$121)</f>
        <v>61.59999999999998</v>
      </c>
      <c r="P1920" s="9">
        <f>(INDEX(Sheet1!$X$48:$Z$67,MATCH(Table1[[#This Row], [ROOM]],Sheet1!$P$48:$P$67,0),MATCH(Table1[[#This Row], [WEAPON]],Sheet1!$X$47:$Z$47,0)))/Table1[[#This Row], [NUM OF MEM]]</f>
        <v>6.8999999999999995</v>
      </c>
      <c r="Q1920" s="9">
        <f>Table1[[#This Row], [ROOM TIME]]+Table1[[#This Row], [GUARD TIME]]</f>
        <v>68.499999999999986</v>
      </c>
      <c r="R1920" s="4">
        <f>Sheet1!$K$3*_xlfn.XLOOKUP(Table1[[#This Row], [DISGUISE]],Sheet1!$A$21:$A$23,Sheet1!$D$21:$D$23)</f>
        <v>66</v>
      </c>
      <c r="S1920" s="9">
        <f>Table1[[#This Row], [TOTAL TIME]]-Table1[[#This Row], [TOTAL TIME TAKEN]]</f>
        <v>-2.4999999999999858</v>
      </c>
      <c r="T1920" t="str">
        <f>IF(Table1[[#This Row], [TIME DIFFERENCE]]&gt;=0,"PASS","FAIL")</f>
        <v>FAIL</v>
      </c>
      <c r="U1920" s="9">
        <f>Table1[[#This Row], [TRC]]+Table1[[#This Row], [DRC]]+Table1[[#This Row], [WRC]]+Table1[[#This Row], [ERC]]+Table1[[#This Row], [EQRC]]</f>
        <v>8249752.5</v>
      </c>
      <c r="V1920" s="9">
        <f>Table1[[#This Row], [TOTAL COST]]+_xlfn.XLOOKUP(Table1[[#This Row], [TEAM]],Sheet1!$A$12:$A$17,Sheet1!$I$12:$I$17)</f>
        <v>8553892.5</v>
      </c>
      <c r="W1920" s="9">
        <f>Table1[[#This Row], [LOOT]]-Table1[[#This Row], [TOTAL COST]]</f>
        <v>9800247.5</v>
      </c>
      <c r="X1920" s="4">
        <f>IF(Table1[[#This Row], [PASS/FAIL]]="FAIL",0,Table1[[#This Row], [PROFIT]])</f>
        <v>0</v>
      </c>
    </row>
    <row r="1921" spans="1:24" ht="19.5" customHeight="1" x14ac:dyDescent="0.45">
      <c r="A1921" t="s">
        <v>16</v>
      </c>
      <c r="B1921" s="14">
        <f>_xlfn.XLOOKUP(Table1[[#This Row], [TEAM]],Sheet1!$A$12:$A$17,Sheet1!$F$12:$F$17)</f>
        <v>2</v>
      </c>
      <c r="C1921" s="14">
        <f>_xlfn.XLOOKUP(Table1[[#This Row], [TEAM]],Sheet1!$A$12:$A$17,Sheet1!$G$12:$G$17)</f>
        <v>6082800</v>
      </c>
      <c r="D1921" t="s">
        <v>18</v>
      </c>
      <c r="E1921" s="4">
        <f>_xlfn.XLOOKUP(Table1[[#This Row], [ROOM]],Sheet1!$A$47:$A$66,Sheet1!$B$47:$B$66)</f>
        <v>134</v>
      </c>
      <c r="F1921" t="s">
        <v>62</v>
      </c>
      <c r="G192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1" s="13" t="s">
        <v>63</v>
      </c>
      <c r="I1921" s="4">
        <f>_xlfn.XLOOKUP(Table1[[#This Row], [WEAPON]],Sheet1!$A$27:$A$29,Sheet1!$B$27:$B$29)*Table1[[#This Row], [NUM OF MEM]]*(1+_xlfn.XLOOKUP(Table1[[#This Row], [WEAPON]],Sheet1!$A$27:$A$29,Sheet1!$C$27:$C$29))</f>
        <v>46000</v>
      </c>
      <c r="J1921" t="s">
        <v>60</v>
      </c>
      <c r="K1921" s="9">
        <f>Table1[[#This Row], [NUM OF MEM]]*Table1[[#This Row], [TOTAL TIME TAKEN]]*_xlfn.XLOOKUP(Table1[[#This Row], [EXIT]],Sheet1!$A$70:$A$71,Sheet1!$B$70:$B$71)*(1+_xlfn.XLOOKUP(Table1[[#This Row], [EXIT]],Sheet1!$A$70:$A$71,Sheet1!$C$70:$C$71))</f>
        <v>1788850.4999999995</v>
      </c>
      <c r="L1921" s="13" t="s">
        <v>61</v>
      </c>
      <c r="M1921" s="4">
        <f>IF(Table1[[#This Row], [EQUIPMENT]]="YES",Sheet1!$C$44*(1+Sheet1!$D$44),0)</f>
        <v>0</v>
      </c>
      <c r="N1921" s="4">
        <f>_xlfn.XLOOKUP(Table1[[#This Row], [ROOM]],Sheet1!$A$47:$A$66,Sheet1!$F$47:$F$66)</f>
        <v>18050000</v>
      </c>
      <c r="O1921" s="9">
        <f>_xlfn.XLOOKUP(_xlfn.CONCAT(Table1[[#This Row], [TEAM]],Table1[[#This Row], [ROOM]]),'ROOM TIME'!$H$2:$H$121,'ROOM TIME'!$J$2:$J$121)</f>
        <v>61.59999999999998</v>
      </c>
      <c r="P1921" s="9">
        <f>(INDEX(Sheet1!$X$48:$Z$67,MATCH(Table1[[#This Row], [ROOM]],Sheet1!$P$48:$P$67,0),MATCH(Table1[[#This Row], [WEAPON]],Sheet1!$X$47:$Z$47,0)))/Table1[[#This Row], [NUM OF MEM]]</f>
        <v>8.1000000000000014</v>
      </c>
      <c r="Q1921" s="9">
        <f>Table1[[#This Row], [ROOM TIME]]+Table1[[#This Row], [GUARD TIME]]</f>
        <v>69.699999999999989</v>
      </c>
      <c r="R1921" s="4">
        <f>Sheet1!$K$3*_xlfn.XLOOKUP(Table1[[#This Row], [DISGUISE]],Sheet1!$A$21:$A$23,Sheet1!$D$21:$D$23)</f>
        <v>66</v>
      </c>
      <c r="S1921" s="9">
        <f>Table1[[#This Row], [TOTAL TIME]]-Table1[[#This Row], [TOTAL TIME TAKEN]]</f>
        <v>-3.6999999999999886</v>
      </c>
      <c r="T1921" t="str">
        <f>IF(Table1[[#This Row], [TIME DIFFERENCE]]&gt;=0,"PASS","FAIL")</f>
        <v>FAIL</v>
      </c>
      <c r="U1921" s="9">
        <f>Table1[[#This Row], [TRC]]+Table1[[#This Row], [DRC]]+Table1[[#This Row], [WRC]]+Table1[[#This Row], [ERC]]+Table1[[#This Row], [EQRC]]</f>
        <v>7928050.5</v>
      </c>
      <c r="V1921" s="9">
        <f>Table1[[#This Row], [TOTAL COST]]+_xlfn.XLOOKUP(Table1[[#This Row], [TEAM]],Sheet1!$A$12:$A$17,Sheet1!$I$12:$I$17)</f>
        <v>8232190.5</v>
      </c>
      <c r="W1921" s="9">
        <f>Table1[[#This Row], [LOOT]]-Table1[[#This Row], [TOTAL COST]]</f>
        <v>10121949.5</v>
      </c>
      <c r="X1921" s="4">
        <f>IF(Table1[[#This Row], [PASS/FAIL]]="FAIL",0,Table1[[#This Row], [PROFIT]])</f>
        <v>0</v>
      </c>
    </row>
    <row r="1922" spans="1:24" ht="19.5" customHeight="1" x14ac:dyDescent="0.45">
      <c r="A1922" t="s">
        <v>16</v>
      </c>
      <c r="B1922" s="14">
        <f>_xlfn.XLOOKUP(Table1[[#This Row], [TEAM]],Sheet1!$A$12:$A$17,Sheet1!$F$12:$F$17)</f>
        <v>2</v>
      </c>
      <c r="C1922" s="14">
        <f>_xlfn.XLOOKUP(Table1[[#This Row], [TEAM]],Sheet1!$A$12:$A$17,Sheet1!$G$12:$G$17)</f>
        <v>6082800</v>
      </c>
      <c r="D1922" t="s">
        <v>18</v>
      </c>
      <c r="E1922" s="4">
        <f>_xlfn.XLOOKUP(Table1[[#This Row], [ROOM]],Sheet1!$A$47:$A$66,Sheet1!$B$47:$B$66)</f>
        <v>134</v>
      </c>
      <c r="F1922" t="s">
        <v>58</v>
      </c>
      <c r="G1922" s="4">
        <f>_xlfn.XLOOKUP(Table1[[#This Row], [DISGUISE]],Sheet1!$A$21:$A$23,Sheet1!$B$21:$B$23)*Table1[[#This Row], [NUM OF MEM]]*(1+_xlfn.XLOOKUP(Table1[[#This Row], [DISGUISE]],Sheet1!$A$21:$A$23,Sheet1!$C$21:$C$23))</f>
        <v>25600</v>
      </c>
      <c r="H1922" s="13" t="s">
        <v>63</v>
      </c>
      <c r="I1922" s="4">
        <f>_xlfn.XLOOKUP(Table1[[#This Row], [WEAPON]],Sheet1!$A$27:$A$29,Sheet1!$B$27:$B$29)*Table1[[#This Row], [NUM OF MEM]]*(1+_xlfn.XLOOKUP(Table1[[#This Row], [WEAPON]],Sheet1!$A$27:$A$29,Sheet1!$C$27:$C$29))</f>
        <v>46000</v>
      </c>
      <c r="J1922" t="s">
        <v>60</v>
      </c>
      <c r="K1922" s="9">
        <f>Table1[[#This Row], [NUM OF MEM]]*Table1[[#This Row], [TOTAL TIME TAKEN]]*_xlfn.XLOOKUP(Table1[[#This Row], [EXIT]],Sheet1!$A$70:$A$71,Sheet1!$B$70:$B$71)*(1+_xlfn.XLOOKUP(Table1[[#This Row], [EXIT]],Sheet1!$A$70:$A$71,Sheet1!$C$70:$C$71))</f>
        <v>1788850.4999999995</v>
      </c>
      <c r="L1922" s="13" t="s">
        <v>61</v>
      </c>
      <c r="M1922" s="4">
        <f>IF(Table1[[#This Row], [EQUIPMENT]]="YES",Sheet1!$C$44*(1+Sheet1!$D$44),0)</f>
        <v>0</v>
      </c>
      <c r="N1922" s="4">
        <f>_xlfn.XLOOKUP(Table1[[#This Row], [ROOM]],Sheet1!$A$47:$A$66,Sheet1!$F$47:$F$66)</f>
        <v>18050000</v>
      </c>
      <c r="O1922" s="9">
        <f>_xlfn.XLOOKUP(_xlfn.CONCAT(Table1[[#This Row], [TEAM]],Table1[[#This Row], [ROOM]]),'ROOM TIME'!$H$2:$H$121,'ROOM TIME'!$J$2:$J$121)</f>
        <v>61.59999999999998</v>
      </c>
      <c r="P1922" s="9">
        <f>(INDEX(Sheet1!$X$48:$Z$67,MATCH(Table1[[#This Row], [ROOM]],Sheet1!$P$48:$P$67,0),MATCH(Table1[[#This Row], [WEAPON]],Sheet1!$X$47:$Z$47,0)))/Table1[[#This Row], [NUM OF MEM]]</f>
        <v>8.1000000000000014</v>
      </c>
      <c r="Q1922" s="9">
        <f>Table1[[#This Row], [ROOM TIME]]+Table1[[#This Row], [GUARD TIME]]</f>
        <v>69.699999999999989</v>
      </c>
      <c r="R1922" s="4">
        <f>Sheet1!$K$3*_xlfn.XLOOKUP(Table1[[#This Row], [DISGUISE]],Sheet1!$A$21:$A$23,Sheet1!$D$21:$D$23)</f>
        <v>69</v>
      </c>
      <c r="S1922" s="9">
        <f>Table1[[#This Row], [TOTAL TIME]]-Table1[[#This Row], [TOTAL TIME TAKEN]]</f>
        <v>-0.69999999999998863</v>
      </c>
      <c r="T1922" t="str">
        <f>IF(Table1[[#This Row], [TIME DIFFERENCE]]&gt;=0,"PASS","FAIL")</f>
        <v>FAIL</v>
      </c>
      <c r="U1922" s="9">
        <f>Table1[[#This Row], [TRC]]+Table1[[#This Row], [DRC]]+Table1[[#This Row], [WRC]]+Table1[[#This Row], [ERC]]+Table1[[#This Row], [EQRC]]</f>
        <v>7943250.5</v>
      </c>
      <c r="V1922" s="9">
        <f>Table1[[#This Row], [TOTAL COST]]+_xlfn.XLOOKUP(Table1[[#This Row], [TEAM]],Sheet1!$A$12:$A$17,Sheet1!$I$12:$I$17)</f>
        <v>8247390.5</v>
      </c>
      <c r="W1922" s="9">
        <f>Table1[[#This Row], [LOOT]]-Table1[[#This Row], [TOTAL COST]]</f>
        <v>10106749.5</v>
      </c>
      <c r="X1922" s="4">
        <f>IF(Table1[[#This Row], [PASS/FAIL]]="FAIL",0,Table1[[#This Row], [PROFIT]])</f>
        <v>0</v>
      </c>
    </row>
    <row r="1923" spans="1:24" ht="19.5" customHeight="1" x14ac:dyDescent="0.45">
      <c r="A1923" t="s">
        <v>16</v>
      </c>
      <c r="B1923" s="14">
        <f>_xlfn.XLOOKUP(Table1[[#This Row], [TEAM]],Sheet1!$A$12:$A$17,Sheet1!$F$12:$F$17)</f>
        <v>2</v>
      </c>
      <c r="C1923" s="14">
        <f>_xlfn.XLOOKUP(Table1[[#This Row], [TEAM]],Sheet1!$A$12:$A$17,Sheet1!$G$12:$G$17)</f>
        <v>6082800</v>
      </c>
      <c r="D1923" t="s">
        <v>18</v>
      </c>
      <c r="E1923" s="4">
        <f>_xlfn.XLOOKUP(Table1[[#This Row], [ROOM]],Sheet1!$A$47:$A$66,Sheet1!$B$47:$B$66)</f>
        <v>134</v>
      </c>
      <c r="F1923" t="s">
        <v>62</v>
      </c>
      <c r="G192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3" s="13" t="s">
        <v>59</v>
      </c>
      <c r="I1923" s="4">
        <f>_xlfn.XLOOKUP(Table1[[#This Row], [WEAPON]],Sheet1!$A$27:$A$29,Sheet1!$B$27:$B$29)*Table1[[#This Row], [NUM OF MEM]]*(1+_xlfn.XLOOKUP(Table1[[#This Row], [WEAPON]],Sheet1!$A$27:$A$29,Sheet1!$C$27:$C$29))</f>
        <v>91000</v>
      </c>
      <c r="J1923" t="s">
        <v>64</v>
      </c>
      <c r="K1923" s="9">
        <f>Table1[[#This Row], [NUM OF MEM]]*Table1[[#This Row], [TOTAL TIME TAKEN]]*_xlfn.XLOOKUP(Table1[[#This Row], [EXIT]],Sheet1!$A$70:$A$71,Sheet1!$B$70:$B$71)*(1+_xlfn.XLOOKUP(Table1[[#This Row], [EXIT]],Sheet1!$A$70:$A$71,Sheet1!$C$70:$C$71))</f>
        <v>1775519.9999999998</v>
      </c>
      <c r="L1923" s="13" t="s">
        <v>65</v>
      </c>
      <c r="M1923" s="4">
        <f>IF(Table1[[#This Row], [EQUIPMENT]]="YES",Sheet1!$C$44*(1+Sheet1!$D$44),0)</f>
        <v>307500</v>
      </c>
      <c r="N1923" s="4">
        <f>_xlfn.XLOOKUP(Table1[[#This Row], [ROOM]],Sheet1!$A$47:$A$66,Sheet1!$F$47:$F$66)</f>
        <v>18050000</v>
      </c>
      <c r="O1923" s="9">
        <f>_xlfn.XLOOKUP(_xlfn.CONCAT(Table1[[#This Row], [TEAM]],Table1[[#This Row], [ROOM]]),'ROOM TIME'!$H$2:$H$121,'ROOM TIME'!$J$2:$J$121)</f>
        <v>61.59999999999998</v>
      </c>
      <c r="P1923" s="9">
        <f>(INDEX(Sheet1!$X$48:$Z$67,MATCH(Table1[[#This Row], [ROOM]],Sheet1!$P$48:$P$67,0),MATCH(Table1[[#This Row], [WEAPON]],Sheet1!$X$47:$Z$47,0)))/Table1[[#This Row], [NUM OF MEM]]</f>
        <v>6.8999999999999995</v>
      </c>
      <c r="Q1923" s="9">
        <f>Table1[[#This Row], [ROOM TIME]]+Table1[[#This Row], [GUARD TIME]]</f>
        <v>68.499999999999986</v>
      </c>
      <c r="R1923" s="4">
        <f>Sheet1!$K$3*_xlfn.XLOOKUP(Table1[[#This Row], [DISGUISE]],Sheet1!$A$21:$A$23,Sheet1!$D$21:$D$23)</f>
        <v>66</v>
      </c>
      <c r="S1923" s="9">
        <f>Table1[[#This Row], [TOTAL TIME]]-Table1[[#This Row], [TOTAL TIME TAKEN]]</f>
        <v>-2.4999999999999858</v>
      </c>
      <c r="T1923" t="str">
        <f>IF(Table1[[#This Row], [TIME DIFFERENCE]]&gt;=0,"PASS","FAIL")</f>
        <v>FAIL</v>
      </c>
      <c r="U1923" s="4">
        <f>Table1[[#This Row], [TRC]]+Table1[[#This Row], [DRC]]+Table1[[#This Row], [WRC]]+Table1[[#This Row], [ERC]]+Table1[[#This Row], [EQRC]]</f>
        <v>8267220</v>
      </c>
      <c r="V1923" s="4">
        <f>Table1[[#This Row], [TOTAL COST]]+_xlfn.XLOOKUP(Table1[[#This Row], [TEAM]],Sheet1!$A$12:$A$17,Sheet1!$I$12:$I$17)</f>
        <v>8571360</v>
      </c>
      <c r="W1923" s="4">
        <f>Table1[[#This Row], [LOOT]]-Table1[[#This Row], [TOTAL COST]]</f>
        <v>9782780</v>
      </c>
      <c r="X1923" s="4">
        <f>IF(Table1[[#This Row], [PASS/FAIL]]="FAIL",0,Table1[[#This Row], [PROFIT]])</f>
        <v>0</v>
      </c>
    </row>
    <row r="1924" spans="1:24" ht="19.5" customHeight="1" x14ac:dyDescent="0.45">
      <c r="A1924" t="s">
        <v>16</v>
      </c>
      <c r="B1924" s="14">
        <f>_xlfn.XLOOKUP(Table1[[#This Row], [TEAM]],Sheet1!$A$12:$A$17,Sheet1!$F$12:$F$17)</f>
        <v>2</v>
      </c>
      <c r="C1924" s="14">
        <f>_xlfn.XLOOKUP(Table1[[#This Row], [TEAM]],Sheet1!$A$12:$A$17,Sheet1!$G$12:$G$17)</f>
        <v>6082800</v>
      </c>
      <c r="D1924" t="s">
        <v>18</v>
      </c>
      <c r="E1924" s="4">
        <f>_xlfn.XLOOKUP(Table1[[#This Row], [ROOM]],Sheet1!$A$47:$A$66,Sheet1!$B$47:$B$66)</f>
        <v>134</v>
      </c>
      <c r="F1924" t="s">
        <v>62</v>
      </c>
      <c r="G192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4" s="13" t="s">
        <v>63</v>
      </c>
      <c r="I1924" s="4">
        <f>_xlfn.XLOOKUP(Table1[[#This Row], [WEAPON]],Sheet1!$A$27:$A$29,Sheet1!$B$27:$B$29)*Table1[[#This Row], [NUM OF MEM]]*(1+_xlfn.XLOOKUP(Table1[[#This Row], [WEAPON]],Sheet1!$A$27:$A$29,Sheet1!$C$27:$C$29))</f>
        <v>46000</v>
      </c>
      <c r="J1924" t="s">
        <v>64</v>
      </c>
      <c r="K1924" s="9">
        <f>Table1[[#This Row], [NUM OF MEM]]*Table1[[#This Row], [TOTAL TIME TAKEN]]*_xlfn.XLOOKUP(Table1[[#This Row], [EXIT]],Sheet1!$A$70:$A$71,Sheet1!$B$70:$B$71)*(1+_xlfn.XLOOKUP(Table1[[#This Row], [EXIT]],Sheet1!$A$70:$A$71,Sheet1!$C$70:$C$71))</f>
        <v>1806623.9999999998</v>
      </c>
      <c r="L1924" s="13" t="s">
        <v>61</v>
      </c>
      <c r="M1924" s="4">
        <f>IF(Table1[[#This Row], [EQUIPMENT]]="YES",Sheet1!$C$44*(1+Sheet1!$D$44),0)</f>
        <v>0</v>
      </c>
      <c r="N1924" s="4">
        <f>_xlfn.XLOOKUP(Table1[[#This Row], [ROOM]],Sheet1!$A$47:$A$66,Sheet1!$F$47:$F$66)</f>
        <v>18050000</v>
      </c>
      <c r="O1924" s="9">
        <f>_xlfn.XLOOKUP(_xlfn.CONCAT(Table1[[#This Row], [TEAM]],Table1[[#This Row], [ROOM]]),'ROOM TIME'!$H$2:$H$121,'ROOM TIME'!$J$2:$J$121)</f>
        <v>61.59999999999998</v>
      </c>
      <c r="P1924" s="9">
        <f>(INDEX(Sheet1!$X$48:$Z$67,MATCH(Table1[[#This Row], [ROOM]],Sheet1!$P$48:$P$67,0),MATCH(Table1[[#This Row], [WEAPON]],Sheet1!$X$47:$Z$47,0)))/Table1[[#This Row], [NUM OF MEM]]</f>
        <v>8.1000000000000014</v>
      </c>
      <c r="Q1924" s="9">
        <f>Table1[[#This Row], [ROOM TIME]]+Table1[[#This Row], [GUARD TIME]]</f>
        <v>69.699999999999989</v>
      </c>
      <c r="R1924" s="4">
        <f>Sheet1!$K$3*_xlfn.XLOOKUP(Table1[[#This Row], [DISGUISE]],Sheet1!$A$21:$A$23,Sheet1!$D$21:$D$23)</f>
        <v>66</v>
      </c>
      <c r="S1924" s="9">
        <f>Table1[[#This Row], [TOTAL TIME]]-Table1[[#This Row], [TOTAL TIME TAKEN]]</f>
        <v>-3.6999999999999886</v>
      </c>
      <c r="T1924" t="str">
        <f>IF(Table1[[#This Row], [TIME DIFFERENCE]]&gt;=0,"PASS","FAIL")</f>
        <v>FAIL</v>
      </c>
      <c r="U1924" s="4">
        <f>Table1[[#This Row], [TRC]]+Table1[[#This Row], [DRC]]+Table1[[#This Row], [WRC]]+Table1[[#This Row], [ERC]]+Table1[[#This Row], [EQRC]]</f>
        <v>7945824</v>
      </c>
      <c r="V1924" s="4">
        <f>Table1[[#This Row], [TOTAL COST]]+_xlfn.XLOOKUP(Table1[[#This Row], [TEAM]],Sheet1!$A$12:$A$17,Sheet1!$I$12:$I$17)</f>
        <v>8249964</v>
      </c>
      <c r="W1924" s="4">
        <f>Table1[[#This Row], [LOOT]]-Table1[[#This Row], [TOTAL COST]]</f>
        <v>10104176</v>
      </c>
      <c r="X1924" s="4">
        <f>IF(Table1[[#This Row], [PASS/FAIL]]="FAIL",0,Table1[[#This Row], [PROFIT]])</f>
        <v>0</v>
      </c>
    </row>
    <row r="1925" spans="1:24" ht="19.5" customHeight="1" x14ac:dyDescent="0.45">
      <c r="A1925" t="s">
        <v>16</v>
      </c>
      <c r="B1925" s="14">
        <f>_xlfn.XLOOKUP(Table1[[#This Row], [TEAM]],Sheet1!$A$12:$A$17,Sheet1!$F$12:$F$17)</f>
        <v>2</v>
      </c>
      <c r="C1925" s="14">
        <f>_xlfn.XLOOKUP(Table1[[#This Row], [TEAM]],Sheet1!$A$12:$A$17,Sheet1!$G$12:$G$17)</f>
        <v>6082800</v>
      </c>
      <c r="D1925" t="s">
        <v>18</v>
      </c>
      <c r="E1925" s="4">
        <f>_xlfn.XLOOKUP(Table1[[#This Row], [ROOM]],Sheet1!$A$47:$A$66,Sheet1!$B$47:$B$66)</f>
        <v>134</v>
      </c>
      <c r="F1925" t="s">
        <v>58</v>
      </c>
      <c r="G1925" s="4">
        <f>_xlfn.XLOOKUP(Table1[[#This Row], [DISGUISE]],Sheet1!$A$21:$A$23,Sheet1!$B$21:$B$23)*Table1[[#This Row], [NUM OF MEM]]*(1+_xlfn.XLOOKUP(Table1[[#This Row], [DISGUISE]],Sheet1!$A$21:$A$23,Sheet1!$C$21:$C$23))</f>
        <v>25600</v>
      </c>
      <c r="H1925" s="13" t="s">
        <v>63</v>
      </c>
      <c r="I1925" s="4">
        <f>_xlfn.XLOOKUP(Table1[[#This Row], [WEAPON]],Sheet1!$A$27:$A$29,Sheet1!$B$27:$B$29)*Table1[[#This Row], [NUM OF MEM]]*(1+_xlfn.XLOOKUP(Table1[[#This Row], [WEAPON]],Sheet1!$A$27:$A$29,Sheet1!$C$27:$C$29))</f>
        <v>46000</v>
      </c>
      <c r="J1925" t="s">
        <v>64</v>
      </c>
      <c r="K1925" s="9">
        <f>Table1[[#This Row], [NUM OF MEM]]*Table1[[#This Row], [TOTAL TIME TAKEN]]*_xlfn.XLOOKUP(Table1[[#This Row], [EXIT]],Sheet1!$A$70:$A$71,Sheet1!$B$70:$B$71)*(1+_xlfn.XLOOKUP(Table1[[#This Row], [EXIT]],Sheet1!$A$70:$A$71,Sheet1!$C$70:$C$71))</f>
        <v>1806623.9999999998</v>
      </c>
      <c r="L1925" s="13" t="s">
        <v>61</v>
      </c>
      <c r="M1925" s="4">
        <f>IF(Table1[[#This Row], [EQUIPMENT]]="YES",Sheet1!$C$44*(1+Sheet1!$D$44),0)</f>
        <v>0</v>
      </c>
      <c r="N1925" s="4">
        <f>_xlfn.XLOOKUP(Table1[[#This Row], [ROOM]],Sheet1!$A$47:$A$66,Sheet1!$F$47:$F$66)</f>
        <v>18050000</v>
      </c>
      <c r="O1925" s="9">
        <f>_xlfn.XLOOKUP(_xlfn.CONCAT(Table1[[#This Row], [TEAM]],Table1[[#This Row], [ROOM]]),'ROOM TIME'!$H$2:$H$121,'ROOM TIME'!$J$2:$J$121)</f>
        <v>61.59999999999998</v>
      </c>
      <c r="P1925" s="9">
        <f>(INDEX(Sheet1!$X$48:$Z$67,MATCH(Table1[[#This Row], [ROOM]],Sheet1!$P$48:$P$67,0),MATCH(Table1[[#This Row], [WEAPON]],Sheet1!$X$47:$Z$47,0)))/Table1[[#This Row], [NUM OF MEM]]</f>
        <v>8.1000000000000014</v>
      </c>
      <c r="Q1925" s="9">
        <f>Table1[[#This Row], [ROOM TIME]]+Table1[[#This Row], [GUARD TIME]]</f>
        <v>69.699999999999989</v>
      </c>
      <c r="R1925" s="4">
        <f>Sheet1!$K$3*_xlfn.XLOOKUP(Table1[[#This Row], [DISGUISE]],Sheet1!$A$21:$A$23,Sheet1!$D$21:$D$23)</f>
        <v>69</v>
      </c>
      <c r="S1925" s="9">
        <f>Table1[[#This Row], [TOTAL TIME]]-Table1[[#This Row], [TOTAL TIME TAKEN]]</f>
        <v>-0.69999999999998863</v>
      </c>
      <c r="T1925" t="str">
        <f>IF(Table1[[#This Row], [TIME DIFFERENCE]]&gt;=0,"PASS","FAIL")</f>
        <v>FAIL</v>
      </c>
      <c r="U1925" s="4">
        <f>Table1[[#This Row], [TRC]]+Table1[[#This Row], [DRC]]+Table1[[#This Row], [WRC]]+Table1[[#This Row], [ERC]]+Table1[[#This Row], [EQRC]]</f>
        <v>7961024</v>
      </c>
      <c r="V1925" s="4">
        <f>Table1[[#This Row], [TOTAL COST]]+_xlfn.XLOOKUP(Table1[[#This Row], [TEAM]],Sheet1!$A$12:$A$17,Sheet1!$I$12:$I$17)</f>
        <v>8265164</v>
      </c>
      <c r="W1925" s="4">
        <f>Table1[[#This Row], [LOOT]]-Table1[[#This Row], [TOTAL COST]]</f>
        <v>10088976</v>
      </c>
      <c r="X1925" s="4">
        <f>IF(Table1[[#This Row], [PASS/FAIL]]="FAIL",0,Table1[[#This Row], [PROFIT]])</f>
        <v>0</v>
      </c>
    </row>
    <row r="1926" spans="1:24" ht="19.5" customHeight="1" x14ac:dyDescent="0.45">
      <c r="A1926" t="s">
        <v>16</v>
      </c>
      <c r="B1926" s="14">
        <f>_xlfn.XLOOKUP(Table1[[#This Row], [TEAM]],Sheet1!$A$12:$A$17,Sheet1!$F$12:$F$17)</f>
        <v>2</v>
      </c>
      <c r="C1926" s="14">
        <f>_xlfn.XLOOKUP(Table1[[#This Row], [TEAM]],Sheet1!$A$12:$A$17,Sheet1!$G$12:$G$17)</f>
        <v>6082800</v>
      </c>
      <c r="D1926" t="s">
        <v>18</v>
      </c>
      <c r="E1926" s="4">
        <f>_xlfn.XLOOKUP(Table1[[#This Row], [ROOM]],Sheet1!$A$47:$A$66,Sheet1!$B$47:$B$66)</f>
        <v>134</v>
      </c>
      <c r="F1926" t="s">
        <v>62</v>
      </c>
      <c r="G192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6" s="13" t="s">
        <v>63</v>
      </c>
      <c r="I1926" s="4">
        <f>_xlfn.XLOOKUP(Table1[[#This Row], [WEAPON]],Sheet1!$A$27:$A$29,Sheet1!$B$27:$B$29)*Table1[[#This Row], [NUM OF MEM]]*(1+_xlfn.XLOOKUP(Table1[[#This Row], [WEAPON]],Sheet1!$A$27:$A$29,Sheet1!$C$27:$C$29))</f>
        <v>46000</v>
      </c>
      <c r="J1926" t="s">
        <v>60</v>
      </c>
      <c r="K1926" s="9">
        <f>Table1[[#This Row], [NUM OF MEM]]*Table1[[#This Row], [TOTAL TIME TAKEN]]*_xlfn.XLOOKUP(Table1[[#This Row], [EXIT]],Sheet1!$A$70:$A$71,Sheet1!$B$70:$B$71)*(1+_xlfn.XLOOKUP(Table1[[#This Row], [EXIT]],Sheet1!$A$70:$A$71,Sheet1!$C$70:$C$71))</f>
        <v>1788850.4999999995</v>
      </c>
      <c r="L1926" s="13" t="s">
        <v>65</v>
      </c>
      <c r="M1926" s="4">
        <f>IF(Table1[[#This Row], [EQUIPMENT]]="YES",Sheet1!$C$44*(1+Sheet1!$D$44),0)</f>
        <v>307500</v>
      </c>
      <c r="N1926" s="4">
        <f>_xlfn.XLOOKUP(Table1[[#This Row], [ROOM]],Sheet1!$A$47:$A$66,Sheet1!$F$47:$F$66)</f>
        <v>18050000</v>
      </c>
      <c r="O1926" s="9">
        <f>_xlfn.XLOOKUP(_xlfn.CONCAT(Table1[[#This Row], [TEAM]],Table1[[#This Row], [ROOM]]),'ROOM TIME'!$H$2:$H$121,'ROOM TIME'!$J$2:$J$121)</f>
        <v>61.59999999999998</v>
      </c>
      <c r="P1926" s="9">
        <f>(INDEX(Sheet1!$X$48:$Z$67,MATCH(Table1[[#This Row], [ROOM]],Sheet1!$P$48:$P$67,0),MATCH(Table1[[#This Row], [WEAPON]],Sheet1!$X$47:$Z$47,0)))/Table1[[#This Row], [NUM OF MEM]]</f>
        <v>8.1000000000000014</v>
      </c>
      <c r="Q1926" s="9">
        <f>Table1[[#This Row], [ROOM TIME]]+Table1[[#This Row], [GUARD TIME]]</f>
        <v>69.699999999999989</v>
      </c>
      <c r="R1926" s="4">
        <f>Sheet1!$K$3*_xlfn.XLOOKUP(Table1[[#This Row], [DISGUISE]],Sheet1!$A$21:$A$23,Sheet1!$D$21:$D$23)</f>
        <v>66</v>
      </c>
      <c r="S1926" s="9">
        <f>Table1[[#This Row], [TOTAL TIME]]-Table1[[#This Row], [TOTAL TIME TAKEN]]</f>
        <v>-3.6999999999999886</v>
      </c>
      <c r="T1926" t="str">
        <f>IF(Table1[[#This Row], [TIME DIFFERENCE]]&gt;=0,"PASS","FAIL")</f>
        <v>FAIL</v>
      </c>
      <c r="U1926" s="9">
        <f>Table1[[#This Row], [TRC]]+Table1[[#This Row], [DRC]]+Table1[[#This Row], [WRC]]+Table1[[#This Row], [ERC]]+Table1[[#This Row], [EQRC]]</f>
        <v>8235550.5</v>
      </c>
      <c r="V1926" s="9">
        <f>Table1[[#This Row], [TOTAL COST]]+_xlfn.XLOOKUP(Table1[[#This Row], [TEAM]],Sheet1!$A$12:$A$17,Sheet1!$I$12:$I$17)</f>
        <v>8539690.5</v>
      </c>
      <c r="W1926" s="9">
        <f>Table1[[#This Row], [LOOT]]-Table1[[#This Row], [TOTAL COST]]</f>
        <v>9814449.5</v>
      </c>
      <c r="X1926" s="4">
        <f>IF(Table1[[#This Row], [PASS/FAIL]]="FAIL",0,Table1[[#This Row], [PROFIT]])</f>
        <v>0</v>
      </c>
    </row>
    <row r="1927" spans="1:24" ht="19.5" customHeight="1" x14ac:dyDescent="0.45">
      <c r="A1927" t="s">
        <v>16</v>
      </c>
      <c r="B1927" s="14">
        <f>_xlfn.XLOOKUP(Table1[[#This Row], [TEAM]],Sheet1!$A$12:$A$17,Sheet1!$F$12:$F$17)</f>
        <v>2</v>
      </c>
      <c r="C1927" s="14">
        <f>_xlfn.XLOOKUP(Table1[[#This Row], [TEAM]],Sheet1!$A$12:$A$17,Sheet1!$G$12:$G$17)</f>
        <v>6082800</v>
      </c>
      <c r="D1927" t="s">
        <v>18</v>
      </c>
      <c r="E1927" s="4">
        <f>_xlfn.XLOOKUP(Table1[[#This Row], [ROOM]],Sheet1!$A$47:$A$66,Sheet1!$B$47:$B$66)</f>
        <v>134</v>
      </c>
      <c r="F1927" t="s">
        <v>58</v>
      </c>
      <c r="G1927" s="4">
        <f>_xlfn.XLOOKUP(Table1[[#This Row], [DISGUISE]],Sheet1!$A$21:$A$23,Sheet1!$B$21:$B$23)*Table1[[#This Row], [NUM OF MEM]]*(1+_xlfn.XLOOKUP(Table1[[#This Row], [DISGUISE]],Sheet1!$A$21:$A$23,Sheet1!$C$21:$C$23))</f>
        <v>25600</v>
      </c>
      <c r="H1927" s="13" t="s">
        <v>63</v>
      </c>
      <c r="I1927" s="4">
        <f>_xlfn.XLOOKUP(Table1[[#This Row], [WEAPON]],Sheet1!$A$27:$A$29,Sheet1!$B$27:$B$29)*Table1[[#This Row], [NUM OF MEM]]*(1+_xlfn.XLOOKUP(Table1[[#This Row], [WEAPON]],Sheet1!$A$27:$A$29,Sheet1!$C$27:$C$29))</f>
        <v>46000</v>
      </c>
      <c r="J1927" t="s">
        <v>60</v>
      </c>
      <c r="K1927" s="9">
        <f>Table1[[#This Row], [NUM OF MEM]]*Table1[[#This Row], [TOTAL TIME TAKEN]]*_xlfn.XLOOKUP(Table1[[#This Row], [EXIT]],Sheet1!$A$70:$A$71,Sheet1!$B$70:$B$71)*(1+_xlfn.XLOOKUP(Table1[[#This Row], [EXIT]],Sheet1!$A$70:$A$71,Sheet1!$C$70:$C$71))</f>
        <v>1788850.4999999995</v>
      </c>
      <c r="L1927" s="13" t="s">
        <v>65</v>
      </c>
      <c r="M1927" s="4">
        <f>IF(Table1[[#This Row], [EQUIPMENT]]="YES",Sheet1!$C$44*(1+Sheet1!$D$44),0)</f>
        <v>307500</v>
      </c>
      <c r="N1927" s="4">
        <f>_xlfn.XLOOKUP(Table1[[#This Row], [ROOM]],Sheet1!$A$47:$A$66,Sheet1!$F$47:$F$66)</f>
        <v>18050000</v>
      </c>
      <c r="O1927" s="9">
        <f>_xlfn.XLOOKUP(_xlfn.CONCAT(Table1[[#This Row], [TEAM]],Table1[[#This Row], [ROOM]]),'ROOM TIME'!$H$2:$H$121,'ROOM TIME'!$J$2:$J$121)</f>
        <v>61.59999999999998</v>
      </c>
      <c r="P1927" s="9">
        <f>(INDEX(Sheet1!$X$48:$Z$67,MATCH(Table1[[#This Row], [ROOM]],Sheet1!$P$48:$P$67,0),MATCH(Table1[[#This Row], [WEAPON]],Sheet1!$X$47:$Z$47,0)))/Table1[[#This Row], [NUM OF MEM]]</f>
        <v>8.1000000000000014</v>
      </c>
      <c r="Q1927" s="9">
        <f>Table1[[#This Row], [ROOM TIME]]+Table1[[#This Row], [GUARD TIME]]</f>
        <v>69.699999999999989</v>
      </c>
      <c r="R1927" s="4">
        <f>Sheet1!$K$3*_xlfn.XLOOKUP(Table1[[#This Row], [DISGUISE]],Sheet1!$A$21:$A$23,Sheet1!$D$21:$D$23)</f>
        <v>69</v>
      </c>
      <c r="S1927" s="9">
        <f>Table1[[#This Row], [TOTAL TIME]]-Table1[[#This Row], [TOTAL TIME TAKEN]]</f>
        <v>-0.69999999999998863</v>
      </c>
      <c r="T1927" t="str">
        <f>IF(Table1[[#This Row], [TIME DIFFERENCE]]&gt;=0,"PASS","FAIL")</f>
        <v>FAIL</v>
      </c>
      <c r="U1927" s="9">
        <f>Table1[[#This Row], [TRC]]+Table1[[#This Row], [DRC]]+Table1[[#This Row], [WRC]]+Table1[[#This Row], [ERC]]+Table1[[#This Row], [EQRC]]</f>
        <v>8250750.5</v>
      </c>
      <c r="V1927" s="9">
        <f>Table1[[#This Row], [TOTAL COST]]+_xlfn.XLOOKUP(Table1[[#This Row], [TEAM]],Sheet1!$A$12:$A$17,Sheet1!$I$12:$I$17)</f>
        <v>8554890.5</v>
      </c>
      <c r="W1927" s="9">
        <f>Table1[[#This Row], [LOOT]]-Table1[[#This Row], [TOTAL COST]]</f>
        <v>9799249.5</v>
      </c>
      <c r="X1927" s="4">
        <f>IF(Table1[[#This Row], [PASS/FAIL]]="FAIL",0,Table1[[#This Row], [PROFIT]])</f>
        <v>0</v>
      </c>
    </row>
    <row r="1928" spans="1:24" ht="19.5" customHeight="1" x14ac:dyDescent="0.45">
      <c r="A1928" t="s">
        <v>16</v>
      </c>
      <c r="B1928" s="14">
        <f>_xlfn.XLOOKUP(Table1[[#This Row], [TEAM]],Sheet1!$A$12:$A$17,Sheet1!$F$12:$F$17)</f>
        <v>2</v>
      </c>
      <c r="C1928" s="14">
        <f>_xlfn.XLOOKUP(Table1[[#This Row], [TEAM]],Sheet1!$A$12:$A$17,Sheet1!$G$12:$G$17)</f>
        <v>6082800</v>
      </c>
      <c r="D1928" t="s">
        <v>18</v>
      </c>
      <c r="E1928" s="4">
        <f>_xlfn.XLOOKUP(Table1[[#This Row], [ROOM]],Sheet1!$A$47:$A$66,Sheet1!$B$47:$B$66)</f>
        <v>134</v>
      </c>
      <c r="F1928" t="s">
        <v>62</v>
      </c>
      <c r="G192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28" s="13" t="s">
        <v>63</v>
      </c>
      <c r="I1928" s="4">
        <f>_xlfn.XLOOKUP(Table1[[#This Row], [WEAPON]],Sheet1!$A$27:$A$29,Sheet1!$B$27:$B$29)*Table1[[#This Row], [NUM OF MEM]]*(1+_xlfn.XLOOKUP(Table1[[#This Row], [WEAPON]],Sheet1!$A$27:$A$29,Sheet1!$C$27:$C$29))</f>
        <v>46000</v>
      </c>
      <c r="J1928" t="s">
        <v>64</v>
      </c>
      <c r="K1928" s="9">
        <f>Table1[[#This Row], [NUM OF MEM]]*Table1[[#This Row], [TOTAL TIME TAKEN]]*_xlfn.XLOOKUP(Table1[[#This Row], [EXIT]],Sheet1!$A$70:$A$71,Sheet1!$B$70:$B$71)*(1+_xlfn.XLOOKUP(Table1[[#This Row], [EXIT]],Sheet1!$A$70:$A$71,Sheet1!$C$70:$C$71))</f>
        <v>1806623.9999999998</v>
      </c>
      <c r="L1928" s="13" t="s">
        <v>65</v>
      </c>
      <c r="M1928" s="4">
        <f>IF(Table1[[#This Row], [EQUIPMENT]]="YES",Sheet1!$C$44*(1+Sheet1!$D$44),0)</f>
        <v>307500</v>
      </c>
      <c r="N1928" s="4">
        <f>_xlfn.XLOOKUP(Table1[[#This Row], [ROOM]],Sheet1!$A$47:$A$66,Sheet1!$F$47:$F$66)</f>
        <v>18050000</v>
      </c>
      <c r="O1928" s="9">
        <f>_xlfn.XLOOKUP(_xlfn.CONCAT(Table1[[#This Row], [TEAM]],Table1[[#This Row], [ROOM]]),'ROOM TIME'!$H$2:$H$121,'ROOM TIME'!$J$2:$J$121)</f>
        <v>61.59999999999998</v>
      </c>
      <c r="P1928" s="9">
        <f>(INDEX(Sheet1!$X$48:$Z$67,MATCH(Table1[[#This Row], [ROOM]],Sheet1!$P$48:$P$67,0),MATCH(Table1[[#This Row], [WEAPON]],Sheet1!$X$47:$Z$47,0)))/Table1[[#This Row], [NUM OF MEM]]</f>
        <v>8.1000000000000014</v>
      </c>
      <c r="Q1928" s="9">
        <f>Table1[[#This Row], [ROOM TIME]]+Table1[[#This Row], [GUARD TIME]]</f>
        <v>69.699999999999989</v>
      </c>
      <c r="R1928" s="4">
        <f>Sheet1!$K$3*_xlfn.XLOOKUP(Table1[[#This Row], [DISGUISE]],Sheet1!$A$21:$A$23,Sheet1!$D$21:$D$23)</f>
        <v>66</v>
      </c>
      <c r="S1928" s="9">
        <f>Table1[[#This Row], [TOTAL TIME]]-Table1[[#This Row], [TOTAL TIME TAKEN]]</f>
        <v>-3.6999999999999886</v>
      </c>
      <c r="T1928" t="str">
        <f>IF(Table1[[#This Row], [TIME DIFFERENCE]]&gt;=0,"PASS","FAIL")</f>
        <v>FAIL</v>
      </c>
      <c r="U1928" s="4">
        <f>Table1[[#This Row], [TRC]]+Table1[[#This Row], [DRC]]+Table1[[#This Row], [WRC]]+Table1[[#This Row], [ERC]]+Table1[[#This Row], [EQRC]]</f>
        <v>8253324</v>
      </c>
      <c r="V1928" s="4">
        <f>Table1[[#This Row], [TOTAL COST]]+_xlfn.XLOOKUP(Table1[[#This Row], [TEAM]],Sheet1!$A$12:$A$17,Sheet1!$I$12:$I$17)</f>
        <v>8557464</v>
      </c>
      <c r="W1928" s="4">
        <f>Table1[[#This Row], [LOOT]]-Table1[[#This Row], [TOTAL COST]]</f>
        <v>9796676</v>
      </c>
      <c r="X1928" s="4">
        <f>IF(Table1[[#This Row], [PASS/FAIL]]="FAIL",0,Table1[[#This Row], [PROFIT]])</f>
        <v>0</v>
      </c>
    </row>
    <row r="1929" spans="1:24" ht="19.5" customHeight="1" x14ac:dyDescent="0.45">
      <c r="A1929" t="s">
        <v>16</v>
      </c>
      <c r="B1929" s="14">
        <f>_xlfn.XLOOKUP(Table1[[#This Row], [TEAM]],Sheet1!$A$12:$A$17,Sheet1!$F$12:$F$17)</f>
        <v>2</v>
      </c>
      <c r="C1929" s="14">
        <f>_xlfn.XLOOKUP(Table1[[#This Row], [TEAM]],Sheet1!$A$12:$A$17,Sheet1!$G$12:$G$17)</f>
        <v>6082800</v>
      </c>
      <c r="D1929" t="s">
        <v>18</v>
      </c>
      <c r="E1929" s="4">
        <f>_xlfn.XLOOKUP(Table1[[#This Row], [ROOM]],Sheet1!$A$47:$A$66,Sheet1!$B$47:$B$66)</f>
        <v>134</v>
      </c>
      <c r="F1929" t="s">
        <v>58</v>
      </c>
      <c r="G1929" s="4">
        <f>_xlfn.XLOOKUP(Table1[[#This Row], [DISGUISE]],Sheet1!$A$21:$A$23,Sheet1!$B$21:$B$23)*Table1[[#This Row], [NUM OF MEM]]*(1+_xlfn.XLOOKUP(Table1[[#This Row], [DISGUISE]],Sheet1!$A$21:$A$23,Sheet1!$C$21:$C$23))</f>
        <v>25600</v>
      </c>
      <c r="H1929" s="13" t="s">
        <v>63</v>
      </c>
      <c r="I1929" s="4">
        <f>_xlfn.XLOOKUP(Table1[[#This Row], [WEAPON]],Sheet1!$A$27:$A$29,Sheet1!$B$27:$B$29)*Table1[[#This Row], [NUM OF MEM]]*(1+_xlfn.XLOOKUP(Table1[[#This Row], [WEAPON]],Sheet1!$A$27:$A$29,Sheet1!$C$27:$C$29))</f>
        <v>46000</v>
      </c>
      <c r="J1929" t="s">
        <v>64</v>
      </c>
      <c r="K1929" s="9">
        <f>Table1[[#This Row], [NUM OF MEM]]*Table1[[#This Row], [TOTAL TIME TAKEN]]*_xlfn.XLOOKUP(Table1[[#This Row], [EXIT]],Sheet1!$A$70:$A$71,Sheet1!$B$70:$B$71)*(1+_xlfn.XLOOKUP(Table1[[#This Row], [EXIT]],Sheet1!$A$70:$A$71,Sheet1!$C$70:$C$71))</f>
        <v>1806623.9999999998</v>
      </c>
      <c r="L1929" s="13" t="s">
        <v>65</v>
      </c>
      <c r="M1929" s="4">
        <f>IF(Table1[[#This Row], [EQUIPMENT]]="YES",Sheet1!$C$44*(1+Sheet1!$D$44),0)</f>
        <v>307500</v>
      </c>
      <c r="N1929" s="4">
        <f>_xlfn.XLOOKUP(Table1[[#This Row], [ROOM]],Sheet1!$A$47:$A$66,Sheet1!$F$47:$F$66)</f>
        <v>18050000</v>
      </c>
      <c r="O1929" s="9">
        <f>_xlfn.XLOOKUP(_xlfn.CONCAT(Table1[[#This Row], [TEAM]],Table1[[#This Row], [ROOM]]),'ROOM TIME'!$H$2:$H$121,'ROOM TIME'!$J$2:$J$121)</f>
        <v>61.59999999999998</v>
      </c>
      <c r="P1929" s="9">
        <f>(INDEX(Sheet1!$X$48:$Z$67,MATCH(Table1[[#This Row], [ROOM]],Sheet1!$P$48:$P$67,0),MATCH(Table1[[#This Row], [WEAPON]],Sheet1!$X$47:$Z$47,0)))/Table1[[#This Row], [NUM OF MEM]]</f>
        <v>8.1000000000000014</v>
      </c>
      <c r="Q1929" s="9">
        <f>Table1[[#This Row], [ROOM TIME]]+Table1[[#This Row], [GUARD TIME]]</f>
        <v>69.699999999999989</v>
      </c>
      <c r="R1929" s="4">
        <f>Sheet1!$K$3*_xlfn.XLOOKUP(Table1[[#This Row], [DISGUISE]],Sheet1!$A$21:$A$23,Sheet1!$D$21:$D$23)</f>
        <v>69</v>
      </c>
      <c r="S1929" s="9">
        <f>Table1[[#This Row], [TOTAL TIME]]-Table1[[#This Row], [TOTAL TIME TAKEN]]</f>
        <v>-0.69999999999998863</v>
      </c>
      <c r="T1929" t="str">
        <f>IF(Table1[[#This Row], [TIME DIFFERENCE]]&gt;=0,"PASS","FAIL")</f>
        <v>FAIL</v>
      </c>
      <c r="U1929" s="4">
        <f>Table1[[#This Row], [TRC]]+Table1[[#This Row], [DRC]]+Table1[[#This Row], [WRC]]+Table1[[#This Row], [ERC]]+Table1[[#This Row], [EQRC]]</f>
        <v>8268524</v>
      </c>
      <c r="V1929" s="4">
        <f>Table1[[#This Row], [TOTAL COST]]+_xlfn.XLOOKUP(Table1[[#This Row], [TEAM]],Sheet1!$A$12:$A$17,Sheet1!$I$12:$I$17)</f>
        <v>8572664</v>
      </c>
      <c r="W1929" s="4">
        <f>Table1[[#This Row], [LOOT]]-Table1[[#This Row], [TOTAL COST]]</f>
        <v>9781476</v>
      </c>
      <c r="X1929" s="4">
        <f>IF(Table1[[#This Row], [PASS/FAIL]]="FAIL",0,Table1[[#This Row], [PROFIT]])</f>
        <v>0</v>
      </c>
    </row>
    <row r="1930" spans="1:24" ht="19.5" customHeight="1" x14ac:dyDescent="0.45">
      <c r="A1930" t="s">
        <v>16</v>
      </c>
      <c r="B1930" s="14">
        <f>_xlfn.XLOOKUP(Table1[[#This Row], [TEAM]],Sheet1!$A$12:$A$17,Sheet1!$F$12:$F$17)</f>
        <v>2</v>
      </c>
      <c r="C1930" s="14">
        <f>_xlfn.XLOOKUP(Table1[[#This Row], [TEAM]],Sheet1!$A$12:$A$17,Sheet1!$G$12:$G$17)</f>
        <v>6082800</v>
      </c>
      <c r="D1930" t="s">
        <v>18</v>
      </c>
      <c r="E1930" s="4">
        <f>_xlfn.XLOOKUP(Table1[[#This Row], [ROOM]],Sheet1!$A$47:$A$66,Sheet1!$B$47:$B$66)</f>
        <v>134</v>
      </c>
      <c r="F1930" t="s">
        <v>62</v>
      </c>
      <c r="G193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0" s="13" t="s">
        <v>66</v>
      </c>
      <c r="I1930" s="4">
        <f>_xlfn.XLOOKUP(Table1[[#This Row], [WEAPON]],Sheet1!$A$27:$A$29,Sheet1!$B$27:$B$29)*Table1[[#This Row], [NUM OF MEM]]*(1+_xlfn.XLOOKUP(Table1[[#This Row], [WEAPON]],Sheet1!$A$27:$A$29,Sheet1!$C$27:$C$29))</f>
        <v>72000</v>
      </c>
      <c r="J1930" t="s">
        <v>60</v>
      </c>
      <c r="K1930" s="9">
        <f>Table1[[#This Row], [NUM OF MEM]]*Table1[[#This Row], [TOTAL TIME TAKEN]]*_xlfn.XLOOKUP(Table1[[#This Row], [EXIT]],Sheet1!$A$70:$A$71,Sheet1!$B$70:$B$71)*(1+_xlfn.XLOOKUP(Table1[[#This Row], [EXIT]],Sheet1!$A$70:$A$71,Sheet1!$C$70:$C$71))</f>
        <v>1773451.4999999993</v>
      </c>
      <c r="L1930" s="13" t="s">
        <v>61</v>
      </c>
      <c r="M1930" s="4">
        <f>IF(Table1[[#This Row], [EQUIPMENT]]="YES",Sheet1!$C$44*(1+Sheet1!$D$44),0)</f>
        <v>0</v>
      </c>
      <c r="N1930" s="4">
        <f>_xlfn.XLOOKUP(Table1[[#This Row], [ROOM]],Sheet1!$A$47:$A$66,Sheet1!$F$47:$F$66)</f>
        <v>18050000</v>
      </c>
      <c r="O1930" s="9">
        <f>_xlfn.XLOOKUP(_xlfn.CONCAT(Table1[[#This Row], [TEAM]],Table1[[#This Row], [ROOM]]),'ROOM TIME'!$H$2:$H$121,'ROOM TIME'!$J$2:$J$121)</f>
        <v>61.59999999999998</v>
      </c>
      <c r="P1930" s="9">
        <f>(INDEX(Sheet1!$X$48:$Z$67,MATCH(Table1[[#This Row], [ROOM]],Sheet1!$P$48:$P$67,0),MATCH(Table1[[#This Row], [WEAPON]],Sheet1!$X$47:$Z$47,0)))/Table1[[#This Row], [NUM OF MEM]]</f>
        <v>7.5</v>
      </c>
      <c r="Q1930" s="9">
        <f>Table1[[#This Row], [ROOM TIME]]+Table1[[#This Row], [GUARD TIME]]</f>
        <v>69.09999999999998</v>
      </c>
      <c r="R1930" s="4">
        <f>Sheet1!$K$3*_xlfn.XLOOKUP(Table1[[#This Row], [DISGUISE]],Sheet1!$A$21:$A$23,Sheet1!$D$21:$D$23)</f>
        <v>66</v>
      </c>
      <c r="S1930" s="9">
        <f>Table1[[#This Row], [TOTAL TIME]]-Table1[[#This Row], [TOTAL TIME TAKEN]]</f>
        <v>-3.0999999999999801</v>
      </c>
      <c r="T1930" t="str">
        <f>IF(Table1[[#This Row], [TIME DIFFERENCE]]&gt;=0,"PASS","FAIL")</f>
        <v>FAIL</v>
      </c>
      <c r="U1930" s="9">
        <f>Table1[[#This Row], [TRC]]+Table1[[#This Row], [DRC]]+Table1[[#This Row], [WRC]]+Table1[[#This Row], [ERC]]+Table1[[#This Row], [EQRC]]</f>
        <v>7938651.4999999991</v>
      </c>
      <c r="V1930" s="9">
        <f>Table1[[#This Row], [TOTAL COST]]+_xlfn.XLOOKUP(Table1[[#This Row], [TEAM]],Sheet1!$A$12:$A$17,Sheet1!$I$12:$I$17)</f>
        <v>8242791.4999999991</v>
      </c>
      <c r="W1930" s="9">
        <f>Table1[[#This Row], [LOOT]]-Table1[[#This Row], [TOTAL COST]]</f>
        <v>10111348.5</v>
      </c>
      <c r="X1930" s="4">
        <f>IF(Table1[[#This Row], [PASS/FAIL]]="FAIL",0,Table1[[#This Row], [PROFIT]])</f>
        <v>0</v>
      </c>
    </row>
    <row r="1931" spans="1:24" ht="19.5" customHeight="1" x14ac:dyDescent="0.45">
      <c r="A1931" t="s">
        <v>16</v>
      </c>
      <c r="B1931" s="14">
        <f>_xlfn.XLOOKUP(Table1[[#This Row], [TEAM]],Sheet1!$A$12:$A$17,Sheet1!$F$12:$F$17)</f>
        <v>2</v>
      </c>
      <c r="C1931" s="14">
        <f>_xlfn.XLOOKUP(Table1[[#This Row], [TEAM]],Sheet1!$A$12:$A$17,Sheet1!$G$12:$G$17)</f>
        <v>6082800</v>
      </c>
      <c r="D1931" t="s">
        <v>18</v>
      </c>
      <c r="E1931" s="4">
        <f>_xlfn.XLOOKUP(Table1[[#This Row], [ROOM]],Sheet1!$A$47:$A$66,Sheet1!$B$47:$B$66)</f>
        <v>134</v>
      </c>
      <c r="F1931" t="s">
        <v>62</v>
      </c>
      <c r="G193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1" s="13" t="s">
        <v>66</v>
      </c>
      <c r="I1931" s="4">
        <f>_xlfn.XLOOKUP(Table1[[#This Row], [WEAPON]],Sheet1!$A$27:$A$29,Sheet1!$B$27:$B$29)*Table1[[#This Row], [NUM OF MEM]]*(1+_xlfn.XLOOKUP(Table1[[#This Row], [WEAPON]],Sheet1!$A$27:$A$29,Sheet1!$C$27:$C$29))</f>
        <v>72000</v>
      </c>
      <c r="J1931" t="s">
        <v>64</v>
      </c>
      <c r="K1931" s="9">
        <f>Table1[[#This Row], [NUM OF MEM]]*Table1[[#This Row], [TOTAL TIME TAKEN]]*_xlfn.XLOOKUP(Table1[[#This Row], [EXIT]],Sheet1!$A$70:$A$71,Sheet1!$B$70:$B$71)*(1+_xlfn.XLOOKUP(Table1[[#This Row], [EXIT]],Sheet1!$A$70:$A$71,Sheet1!$C$70:$C$71))</f>
        <v>1791071.9999999993</v>
      </c>
      <c r="L1931" s="13" t="s">
        <v>61</v>
      </c>
      <c r="M1931" s="4">
        <f>IF(Table1[[#This Row], [EQUIPMENT]]="YES",Sheet1!$C$44*(1+Sheet1!$D$44),0)</f>
        <v>0</v>
      </c>
      <c r="N1931" s="4">
        <f>_xlfn.XLOOKUP(Table1[[#This Row], [ROOM]],Sheet1!$A$47:$A$66,Sheet1!$F$47:$F$66)</f>
        <v>18050000</v>
      </c>
      <c r="O1931" s="9">
        <f>_xlfn.XLOOKUP(_xlfn.CONCAT(Table1[[#This Row], [TEAM]],Table1[[#This Row], [ROOM]]),'ROOM TIME'!$H$2:$H$121,'ROOM TIME'!$J$2:$J$121)</f>
        <v>61.59999999999998</v>
      </c>
      <c r="P1931" s="9">
        <f>(INDEX(Sheet1!$X$48:$Z$67,MATCH(Table1[[#This Row], [ROOM]],Sheet1!$P$48:$P$67,0),MATCH(Table1[[#This Row], [WEAPON]],Sheet1!$X$47:$Z$47,0)))/Table1[[#This Row], [NUM OF MEM]]</f>
        <v>7.5</v>
      </c>
      <c r="Q1931" s="9">
        <f>Table1[[#This Row], [ROOM TIME]]+Table1[[#This Row], [GUARD TIME]]</f>
        <v>69.09999999999998</v>
      </c>
      <c r="R1931" s="4">
        <f>Sheet1!$K$3*_xlfn.XLOOKUP(Table1[[#This Row], [DISGUISE]],Sheet1!$A$21:$A$23,Sheet1!$D$21:$D$23)</f>
        <v>66</v>
      </c>
      <c r="S1931" s="9">
        <f>Table1[[#This Row], [TOTAL TIME]]-Table1[[#This Row], [TOTAL TIME TAKEN]]</f>
        <v>-3.0999999999999801</v>
      </c>
      <c r="T1931" t="str">
        <f>IF(Table1[[#This Row], [TIME DIFFERENCE]]&gt;=0,"PASS","FAIL")</f>
        <v>FAIL</v>
      </c>
      <c r="U1931" s="9">
        <f>Table1[[#This Row], [TRC]]+Table1[[#This Row], [DRC]]+Table1[[#This Row], [WRC]]+Table1[[#This Row], [ERC]]+Table1[[#This Row], [EQRC]]</f>
        <v>7956271.9999999991</v>
      </c>
      <c r="V1931" s="9">
        <f>Table1[[#This Row], [TOTAL COST]]+_xlfn.XLOOKUP(Table1[[#This Row], [TEAM]],Sheet1!$A$12:$A$17,Sheet1!$I$12:$I$17)</f>
        <v>8260411.9999999991</v>
      </c>
      <c r="W1931" s="4">
        <f>Table1[[#This Row], [LOOT]]-Table1[[#This Row], [TOTAL COST]]</f>
        <v>10093728</v>
      </c>
      <c r="X1931" s="4">
        <f>IF(Table1[[#This Row], [PASS/FAIL]]="FAIL",0,Table1[[#This Row], [PROFIT]])</f>
        <v>0</v>
      </c>
    </row>
    <row r="1932" spans="1:24" ht="19.5" customHeight="1" x14ac:dyDescent="0.45">
      <c r="A1932" t="s">
        <v>16</v>
      </c>
      <c r="B1932" s="14">
        <f>_xlfn.XLOOKUP(Table1[[#This Row], [TEAM]],Sheet1!$A$12:$A$17,Sheet1!$F$12:$F$17)</f>
        <v>2</v>
      </c>
      <c r="C1932" s="14">
        <f>_xlfn.XLOOKUP(Table1[[#This Row], [TEAM]],Sheet1!$A$12:$A$17,Sheet1!$G$12:$G$17)</f>
        <v>6082800</v>
      </c>
      <c r="D1932" t="s">
        <v>18</v>
      </c>
      <c r="E1932" s="4">
        <f>_xlfn.XLOOKUP(Table1[[#This Row], [ROOM]],Sheet1!$A$47:$A$66,Sheet1!$B$47:$B$66)</f>
        <v>134</v>
      </c>
      <c r="F1932" t="s">
        <v>62</v>
      </c>
      <c r="G193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2" s="13" t="s">
        <v>66</v>
      </c>
      <c r="I1932" s="4">
        <f>_xlfn.XLOOKUP(Table1[[#This Row], [WEAPON]],Sheet1!$A$27:$A$29,Sheet1!$B$27:$B$29)*Table1[[#This Row], [NUM OF MEM]]*(1+_xlfn.XLOOKUP(Table1[[#This Row], [WEAPON]],Sheet1!$A$27:$A$29,Sheet1!$C$27:$C$29))</f>
        <v>72000</v>
      </c>
      <c r="J1932" t="s">
        <v>60</v>
      </c>
      <c r="K1932" s="9">
        <f>Table1[[#This Row], [NUM OF MEM]]*Table1[[#This Row], [TOTAL TIME TAKEN]]*_xlfn.XLOOKUP(Table1[[#This Row], [EXIT]],Sheet1!$A$70:$A$71,Sheet1!$B$70:$B$71)*(1+_xlfn.XLOOKUP(Table1[[#This Row], [EXIT]],Sheet1!$A$70:$A$71,Sheet1!$C$70:$C$71))</f>
        <v>1773451.4999999993</v>
      </c>
      <c r="L1932" s="13" t="s">
        <v>65</v>
      </c>
      <c r="M1932" s="4">
        <f>IF(Table1[[#This Row], [EQUIPMENT]]="YES",Sheet1!$C$44*(1+Sheet1!$D$44),0)</f>
        <v>307500</v>
      </c>
      <c r="N1932" s="4">
        <f>_xlfn.XLOOKUP(Table1[[#This Row], [ROOM]],Sheet1!$A$47:$A$66,Sheet1!$F$47:$F$66)</f>
        <v>18050000</v>
      </c>
      <c r="O1932" s="9">
        <f>_xlfn.XLOOKUP(_xlfn.CONCAT(Table1[[#This Row], [TEAM]],Table1[[#This Row], [ROOM]]),'ROOM TIME'!$H$2:$H$121,'ROOM TIME'!$J$2:$J$121)</f>
        <v>61.59999999999998</v>
      </c>
      <c r="P1932" s="9">
        <f>(INDEX(Sheet1!$X$48:$Z$67,MATCH(Table1[[#This Row], [ROOM]],Sheet1!$P$48:$P$67,0),MATCH(Table1[[#This Row], [WEAPON]],Sheet1!$X$47:$Z$47,0)))/Table1[[#This Row], [NUM OF MEM]]</f>
        <v>7.5</v>
      </c>
      <c r="Q1932" s="9">
        <f>Table1[[#This Row], [ROOM TIME]]+Table1[[#This Row], [GUARD TIME]]</f>
        <v>69.09999999999998</v>
      </c>
      <c r="R1932" s="4">
        <f>Sheet1!$K$3*_xlfn.XLOOKUP(Table1[[#This Row], [DISGUISE]],Sheet1!$A$21:$A$23,Sheet1!$D$21:$D$23)</f>
        <v>66</v>
      </c>
      <c r="S1932" s="9">
        <f>Table1[[#This Row], [TOTAL TIME]]-Table1[[#This Row], [TOTAL TIME TAKEN]]</f>
        <v>-3.0999999999999801</v>
      </c>
      <c r="T1932" t="str">
        <f>IF(Table1[[#This Row], [TIME DIFFERENCE]]&gt;=0,"PASS","FAIL")</f>
        <v>FAIL</v>
      </c>
      <c r="U1932" s="9">
        <f>Table1[[#This Row], [TRC]]+Table1[[#This Row], [DRC]]+Table1[[#This Row], [WRC]]+Table1[[#This Row], [ERC]]+Table1[[#This Row], [EQRC]]</f>
        <v>8246151.4999999991</v>
      </c>
      <c r="V1932" s="9">
        <f>Table1[[#This Row], [TOTAL COST]]+_xlfn.XLOOKUP(Table1[[#This Row], [TEAM]],Sheet1!$A$12:$A$17,Sheet1!$I$12:$I$17)</f>
        <v>8550291.5</v>
      </c>
      <c r="W1932" s="9">
        <f>Table1[[#This Row], [LOOT]]-Table1[[#This Row], [TOTAL COST]]</f>
        <v>9803848.5</v>
      </c>
      <c r="X1932" s="4">
        <f>IF(Table1[[#This Row], [PASS/FAIL]]="FAIL",0,Table1[[#This Row], [PROFIT]])</f>
        <v>0</v>
      </c>
    </row>
    <row r="1933" spans="1:24" ht="19.5" customHeight="1" x14ac:dyDescent="0.45">
      <c r="A1933" t="s">
        <v>16</v>
      </c>
      <c r="B1933" s="14">
        <f>_xlfn.XLOOKUP(Table1[[#This Row], [TEAM]],Sheet1!$A$12:$A$17,Sheet1!$F$12:$F$17)</f>
        <v>2</v>
      </c>
      <c r="C1933" s="14">
        <f>_xlfn.XLOOKUP(Table1[[#This Row], [TEAM]],Sheet1!$A$12:$A$17,Sheet1!$G$12:$G$17)</f>
        <v>6082800</v>
      </c>
      <c r="D1933" t="s">
        <v>18</v>
      </c>
      <c r="E1933" s="4">
        <f>_xlfn.XLOOKUP(Table1[[#This Row], [ROOM]],Sheet1!$A$47:$A$66,Sheet1!$B$47:$B$66)</f>
        <v>134</v>
      </c>
      <c r="F1933" t="s">
        <v>62</v>
      </c>
      <c r="G193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3" s="13" t="s">
        <v>66</v>
      </c>
      <c r="I1933" s="4">
        <f>_xlfn.XLOOKUP(Table1[[#This Row], [WEAPON]],Sheet1!$A$27:$A$29,Sheet1!$B$27:$B$29)*Table1[[#This Row], [NUM OF MEM]]*(1+_xlfn.XLOOKUP(Table1[[#This Row], [WEAPON]],Sheet1!$A$27:$A$29,Sheet1!$C$27:$C$29))</f>
        <v>72000</v>
      </c>
      <c r="J1933" t="s">
        <v>64</v>
      </c>
      <c r="K1933" s="9">
        <f>Table1[[#This Row], [NUM OF MEM]]*Table1[[#This Row], [TOTAL TIME TAKEN]]*_xlfn.XLOOKUP(Table1[[#This Row], [EXIT]],Sheet1!$A$70:$A$71,Sheet1!$B$70:$B$71)*(1+_xlfn.XLOOKUP(Table1[[#This Row], [EXIT]],Sheet1!$A$70:$A$71,Sheet1!$C$70:$C$71))</f>
        <v>1791071.9999999993</v>
      </c>
      <c r="L1933" s="13" t="s">
        <v>65</v>
      </c>
      <c r="M1933" s="4">
        <f>IF(Table1[[#This Row], [EQUIPMENT]]="YES",Sheet1!$C$44*(1+Sheet1!$D$44),0)</f>
        <v>307500</v>
      </c>
      <c r="N1933" s="4">
        <f>_xlfn.XLOOKUP(Table1[[#This Row], [ROOM]],Sheet1!$A$47:$A$66,Sheet1!$F$47:$F$66)</f>
        <v>18050000</v>
      </c>
      <c r="O1933" s="9">
        <f>_xlfn.XLOOKUP(_xlfn.CONCAT(Table1[[#This Row], [TEAM]],Table1[[#This Row], [ROOM]]),'ROOM TIME'!$H$2:$H$121,'ROOM TIME'!$J$2:$J$121)</f>
        <v>61.59999999999998</v>
      </c>
      <c r="P1933" s="9">
        <f>(INDEX(Sheet1!$X$48:$Z$67,MATCH(Table1[[#This Row], [ROOM]],Sheet1!$P$48:$P$67,0),MATCH(Table1[[#This Row], [WEAPON]],Sheet1!$X$47:$Z$47,0)))/Table1[[#This Row], [NUM OF MEM]]</f>
        <v>7.5</v>
      </c>
      <c r="Q1933" s="9">
        <f>Table1[[#This Row], [ROOM TIME]]+Table1[[#This Row], [GUARD TIME]]</f>
        <v>69.09999999999998</v>
      </c>
      <c r="R1933" s="4">
        <f>Sheet1!$K$3*_xlfn.XLOOKUP(Table1[[#This Row], [DISGUISE]],Sheet1!$A$21:$A$23,Sheet1!$D$21:$D$23)</f>
        <v>66</v>
      </c>
      <c r="S1933" s="9">
        <f>Table1[[#This Row], [TOTAL TIME]]-Table1[[#This Row], [TOTAL TIME TAKEN]]</f>
        <v>-3.0999999999999801</v>
      </c>
      <c r="T1933" t="str">
        <f>IF(Table1[[#This Row], [TIME DIFFERENCE]]&gt;=0,"PASS","FAIL")</f>
        <v>FAIL</v>
      </c>
      <c r="U1933" s="9">
        <f>Table1[[#This Row], [TRC]]+Table1[[#This Row], [DRC]]+Table1[[#This Row], [WRC]]+Table1[[#This Row], [ERC]]+Table1[[#This Row], [EQRC]]</f>
        <v>8263771.9999999991</v>
      </c>
      <c r="V1933" s="4">
        <f>Table1[[#This Row], [TOTAL COST]]+_xlfn.XLOOKUP(Table1[[#This Row], [TEAM]],Sheet1!$A$12:$A$17,Sheet1!$I$12:$I$17)</f>
        <v>8567912</v>
      </c>
      <c r="W1933" s="4">
        <f>Table1[[#This Row], [LOOT]]-Table1[[#This Row], [TOTAL COST]]</f>
        <v>9786228</v>
      </c>
      <c r="X1933" s="4">
        <f>IF(Table1[[#This Row], [PASS/FAIL]]="FAIL",0,Table1[[#This Row], [PROFIT]])</f>
        <v>0</v>
      </c>
    </row>
    <row r="1934" spans="1:24" ht="19.5" customHeight="1" x14ac:dyDescent="0.45">
      <c r="A1934" t="s">
        <v>14</v>
      </c>
      <c r="B1934" s="14">
        <f>_xlfn.XLOOKUP(Table1[[#This Row], [TEAM]],Sheet1!$A$12:$A$17,Sheet1!$F$12:$F$17)</f>
        <v>2</v>
      </c>
      <c r="C1934" s="14">
        <f>_xlfn.XLOOKUP(Table1[[#This Row], [TEAM]],Sheet1!$A$12:$A$17,Sheet1!$G$12:$G$17)</f>
        <v>5949600</v>
      </c>
      <c r="D1934" t="s">
        <v>19</v>
      </c>
      <c r="E1934" s="4">
        <f>_xlfn.XLOOKUP(Table1[[#This Row], [ROOM]],Sheet1!$A$47:$A$66,Sheet1!$B$47:$B$66)</f>
        <v>135</v>
      </c>
      <c r="F1934" t="s">
        <v>62</v>
      </c>
      <c r="G193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4" s="13" t="s">
        <v>59</v>
      </c>
      <c r="I1934" s="4">
        <f>_xlfn.XLOOKUP(Table1[[#This Row], [WEAPON]],Sheet1!$A$27:$A$29,Sheet1!$B$27:$B$29)*Table1[[#This Row], [NUM OF MEM]]*(1+_xlfn.XLOOKUP(Table1[[#This Row], [WEAPON]],Sheet1!$A$27:$A$29,Sheet1!$C$27:$C$29))</f>
        <v>91000</v>
      </c>
      <c r="J1934" t="s">
        <v>60</v>
      </c>
      <c r="K1934" s="9">
        <f>Table1[[#This Row], [NUM OF MEM]]*Table1[[#This Row], [TOTAL TIME TAKEN]]*_xlfn.XLOOKUP(Table1[[#This Row], [EXIT]],Sheet1!$A$70:$A$71,Sheet1!$B$70:$B$71)*(1+_xlfn.XLOOKUP(Table1[[#This Row], [EXIT]],Sheet1!$A$70:$A$71,Sheet1!$C$70:$C$71))</f>
        <v>1754748.1312499996</v>
      </c>
      <c r="L1934" s="13" t="s">
        <v>61</v>
      </c>
      <c r="M1934" s="4">
        <f>IF(Table1[[#This Row], [EQUIPMENT]]="YES",Sheet1!$C$44*(1+Sheet1!$D$44),0)</f>
        <v>0</v>
      </c>
      <c r="N1934" s="4">
        <f>_xlfn.XLOOKUP(Table1[[#This Row], [ROOM]],Sheet1!$A$47:$A$66,Sheet1!$F$47:$F$66)</f>
        <v>17950000</v>
      </c>
      <c r="O1934" s="9">
        <f>_xlfn.XLOOKUP(_xlfn.CONCAT(Table1[[#This Row], [TEAM]],Table1[[#This Row], [ROOM]]),'ROOM TIME'!$H$2:$H$121,'ROOM TIME'!$J$2:$J$121)</f>
        <v>62.046249999999986</v>
      </c>
      <c r="P1934" s="9">
        <f>(INDEX(Sheet1!$X$48:$Z$67,MATCH(Table1[[#This Row], [ROOM]],Sheet1!$P$48:$P$67,0),MATCH(Table1[[#This Row], [WEAPON]],Sheet1!$X$47:$Z$47,0)))/Table1[[#This Row], [NUM OF MEM]]</f>
        <v>6.3249999999999993</v>
      </c>
      <c r="Q1934" s="9">
        <f>Table1[[#This Row], [ROOM TIME]]+Table1[[#This Row], [GUARD TIME]]</f>
        <v>68.371249999999989</v>
      </c>
      <c r="R1934" s="4">
        <f>Sheet1!$K$3*_xlfn.XLOOKUP(Table1[[#This Row], [DISGUISE]],Sheet1!$A$21:$A$23,Sheet1!$D$21:$D$23)</f>
        <v>66</v>
      </c>
      <c r="S1934" s="9">
        <f>Table1[[#This Row], [TOTAL TIME]]-Table1[[#This Row], [TOTAL TIME TAKEN]]</f>
        <v>-2.3712499999999892</v>
      </c>
      <c r="T1934" t="str">
        <f>IF(Table1[[#This Row], [TIME DIFFERENCE]]&gt;=0,"PASS","FAIL")</f>
        <v>FAIL</v>
      </c>
      <c r="U1934" s="9">
        <f>Table1[[#This Row], [TRC]]+Table1[[#This Row], [DRC]]+Table1[[#This Row], [WRC]]+Table1[[#This Row], [ERC]]+Table1[[#This Row], [EQRC]]</f>
        <v>7805748.1312499996</v>
      </c>
      <c r="V1934" s="9">
        <f>Table1[[#This Row], [TOTAL COST]]+_xlfn.XLOOKUP(Table1[[#This Row], [TEAM]],Sheet1!$A$12:$A$17,Sheet1!$I$12:$I$17)</f>
        <v>8103228.1312499996</v>
      </c>
      <c r="W1934" s="9">
        <f>Table1[[#This Row], [LOOT]]-Table1[[#This Row], [TOTAL COST]]</f>
        <v>10144251.86875</v>
      </c>
      <c r="X1934" s="4">
        <f>IF(Table1[[#This Row], [PASS/FAIL]]="FAIL",0,Table1[[#This Row], [PROFIT]])</f>
        <v>0</v>
      </c>
    </row>
    <row r="1935" spans="1:24" ht="19.5" customHeight="1" x14ac:dyDescent="0.45">
      <c r="A1935" t="s">
        <v>14</v>
      </c>
      <c r="B1935" s="14">
        <f>_xlfn.XLOOKUP(Table1[[#This Row], [TEAM]],Sheet1!$A$12:$A$17,Sheet1!$F$12:$F$17)</f>
        <v>2</v>
      </c>
      <c r="C1935" s="14">
        <f>_xlfn.XLOOKUP(Table1[[#This Row], [TEAM]],Sheet1!$A$12:$A$17,Sheet1!$G$12:$G$17)</f>
        <v>5949600</v>
      </c>
      <c r="D1935" t="s">
        <v>19</v>
      </c>
      <c r="E1935" s="4">
        <f>_xlfn.XLOOKUP(Table1[[#This Row], [ROOM]],Sheet1!$A$47:$A$66,Sheet1!$B$47:$B$66)</f>
        <v>135</v>
      </c>
      <c r="F1935" t="s">
        <v>62</v>
      </c>
      <c r="G193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5" s="13" t="s">
        <v>59</v>
      </c>
      <c r="I1935" s="4">
        <f>_xlfn.XLOOKUP(Table1[[#This Row], [WEAPON]],Sheet1!$A$27:$A$29,Sheet1!$B$27:$B$29)*Table1[[#This Row], [NUM OF MEM]]*(1+_xlfn.XLOOKUP(Table1[[#This Row], [WEAPON]],Sheet1!$A$27:$A$29,Sheet1!$C$27:$C$29))</f>
        <v>91000</v>
      </c>
      <c r="J1935" t="s">
        <v>64</v>
      </c>
      <c r="K1935" s="9">
        <f>Table1[[#This Row], [NUM OF MEM]]*Table1[[#This Row], [TOTAL TIME TAKEN]]*_xlfn.XLOOKUP(Table1[[#This Row], [EXIT]],Sheet1!$A$70:$A$71,Sheet1!$B$70:$B$71)*(1+_xlfn.XLOOKUP(Table1[[#This Row], [EXIT]],Sheet1!$A$70:$A$71,Sheet1!$C$70:$C$71))</f>
        <v>1772182.7999999996</v>
      </c>
      <c r="L1935" s="13" t="s">
        <v>61</v>
      </c>
      <c r="M1935" s="4">
        <f>IF(Table1[[#This Row], [EQUIPMENT]]="YES",Sheet1!$C$44*(1+Sheet1!$D$44),0)</f>
        <v>0</v>
      </c>
      <c r="N1935" s="4">
        <f>_xlfn.XLOOKUP(Table1[[#This Row], [ROOM]],Sheet1!$A$47:$A$66,Sheet1!$F$47:$F$66)</f>
        <v>17950000</v>
      </c>
      <c r="O1935" s="9">
        <f>_xlfn.XLOOKUP(_xlfn.CONCAT(Table1[[#This Row], [TEAM]],Table1[[#This Row], [ROOM]]),'ROOM TIME'!$H$2:$H$121,'ROOM TIME'!$J$2:$J$121)</f>
        <v>62.046249999999986</v>
      </c>
      <c r="P1935" s="9">
        <f>(INDEX(Sheet1!$X$48:$Z$67,MATCH(Table1[[#This Row], [ROOM]],Sheet1!$P$48:$P$67,0),MATCH(Table1[[#This Row], [WEAPON]],Sheet1!$X$47:$Z$47,0)))/Table1[[#This Row], [NUM OF MEM]]</f>
        <v>6.3249999999999993</v>
      </c>
      <c r="Q1935" s="9">
        <f>Table1[[#This Row], [ROOM TIME]]+Table1[[#This Row], [GUARD TIME]]</f>
        <v>68.371249999999989</v>
      </c>
      <c r="R1935" s="4">
        <f>Sheet1!$K$3*_xlfn.XLOOKUP(Table1[[#This Row], [DISGUISE]],Sheet1!$A$21:$A$23,Sheet1!$D$21:$D$23)</f>
        <v>66</v>
      </c>
      <c r="S1935" s="9">
        <f>Table1[[#This Row], [TOTAL TIME]]-Table1[[#This Row], [TOTAL TIME TAKEN]]</f>
        <v>-2.3712499999999892</v>
      </c>
      <c r="T1935" t="str">
        <f>IF(Table1[[#This Row], [TIME DIFFERENCE]]&gt;=0,"PASS","FAIL")</f>
        <v>FAIL</v>
      </c>
      <c r="U1935" s="9">
        <f>Table1[[#This Row], [TRC]]+Table1[[#This Row], [DRC]]+Table1[[#This Row], [WRC]]+Table1[[#This Row], [ERC]]+Table1[[#This Row], [EQRC]]</f>
        <v>7823182.7999999998</v>
      </c>
      <c r="V1935" s="9">
        <f>Table1[[#This Row], [TOTAL COST]]+_xlfn.XLOOKUP(Table1[[#This Row], [TEAM]],Sheet1!$A$12:$A$17,Sheet1!$I$12:$I$17)</f>
        <v>8120662.7999999998</v>
      </c>
      <c r="W1935" s="9">
        <f>Table1[[#This Row], [LOOT]]-Table1[[#This Row], [TOTAL COST]]</f>
        <v>10126817.199999999</v>
      </c>
      <c r="X1935" s="4">
        <f>IF(Table1[[#This Row], [PASS/FAIL]]="FAIL",0,Table1[[#This Row], [PROFIT]])</f>
        <v>0</v>
      </c>
    </row>
    <row r="1936" spans="1:24" ht="19.5" customHeight="1" x14ac:dyDescent="0.45">
      <c r="A1936" t="s">
        <v>14</v>
      </c>
      <c r="B1936" s="14">
        <f>_xlfn.XLOOKUP(Table1[[#This Row], [TEAM]],Sheet1!$A$12:$A$17,Sheet1!$F$12:$F$17)</f>
        <v>2</v>
      </c>
      <c r="C1936" s="14">
        <f>_xlfn.XLOOKUP(Table1[[#This Row], [TEAM]],Sheet1!$A$12:$A$17,Sheet1!$G$12:$G$17)</f>
        <v>5949600</v>
      </c>
      <c r="D1936" t="s">
        <v>19</v>
      </c>
      <c r="E1936" s="4">
        <f>_xlfn.XLOOKUP(Table1[[#This Row], [ROOM]],Sheet1!$A$47:$A$66,Sheet1!$B$47:$B$66)</f>
        <v>135</v>
      </c>
      <c r="F1936" t="s">
        <v>62</v>
      </c>
      <c r="G193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6" s="13" t="s">
        <v>59</v>
      </c>
      <c r="I1936" s="4">
        <f>_xlfn.XLOOKUP(Table1[[#This Row], [WEAPON]],Sheet1!$A$27:$A$29,Sheet1!$B$27:$B$29)*Table1[[#This Row], [NUM OF MEM]]*(1+_xlfn.XLOOKUP(Table1[[#This Row], [WEAPON]],Sheet1!$A$27:$A$29,Sheet1!$C$27:$C$29))</f>
        <v>91000</v>
      </c>
      <c r="J1936" t="s">
        <v>60</v>
      </c>
      <c r="K1936" s="9">
        <f>Table1[[#This Row], [NUM OF MEM]]*Table1[[#This Row], [TOTAL TIME TAKEN]]*_xlfn.XLOOKUP(Table1[[#This Row], [EXIT]],Sheet1!$A$70:$A$71,Sheet1!$B$70:$B$71)*(1+_xlfn.XLOOKUP(Table1[[#This Row], [EXIT]],Sheet1!$A$70:$A$71,Sheet1!$C$70:$C$71))</f>
        <v>1754748.1312499996</v>
      </c>
      <c r="L1936" s="13" t="s">
        <v>65</v>
      </c>
      <c r="M1936" s="4">
        <f>IF(Table1[[#This Row], [EQUIPMENT]]="YES",Sheet1!$C$44*(1+Sheet1!$D$44),0)</f>
        <v>307500</v>
      </c>
      <c r="N1936" s="4">
        <f>_xlfn.XLOOKUP(Table1[[#This Row], [ROOM]],Sheet1!$A$47:$A$66,Sheet1!$F$47:$F$66)</f>
        <v>17950000</v>
      </c>
      <c r="O1936" s="9">
        <f>_xlfn.XLOOKUP(_xlfn.CONCAT(Table1[[#This Row], [TEAM]],Table1[[#This Row], [ROOM]]),'ROOM TIME'!$H$2:$H$121,'ROOM TIME'!$J$2:$J$121)</f>
        <v>62.046249999999986</v>
      </c>
      <c r="P1936" s="9">
        <f>(INDEX(Sheet1!$X$48:$Z$67,MATCH(Table1[[#This Row], [ROOM]],Sheet1!$P$48:$P$67,0),MATCH(Table1[[#This Row], [WEAPON]],Sheet1!$X$47:$Z$47,0)))/Table1[[#This Row], [NUM OF MEM]]</f>
        <v>6.3249999999999993</v>
      </c>
      <c r="Q1936" s="9">
        <f>Table1[[#This Row], [ROOM TIME]]+Table1[[#This Row], [GUARD TIME]]</f>
        <v>68.371249999999989</v>
      </c>
      <c r="R1936" s="4">
        <f>Sheet1!$K$3*_xlfn.XLOOKUP(Table1[[#This Row], [DISGUISE]],Sheet1!$A$21:$A$23,Sheet1!$D$21:$D$23)</f>
        <v>66</v>
      </c>
      <c r="S1936" s="9">
        <f>Table1[[#This Row], [TOTAL TIME]]-Table1[[#This Row], [TOTAL TIME TAKEN]]</f>
        <v>-2.3712499999999892</v>
      </c>
      <c r="T1936" t="str">
        <f>IF(Table1[[#This Row], [TIME DIFFERENCE]]&gt;=0,"PASS","FAIL")</f>
        <v>FAIL</v>
      </c>
      <c r="U1936" s="9">
        <f>Table1[[#This Row], [TRC]]+Table1[[#This Row], [DRC]]+Table1[[#This Row], [WRC]]+Table1[[#This Row], [ERC]]+Table1[[#This Row], [EQRC]]</f>
        <v>8113248.1312499996</v>
      </c>
      <c r="V1936" s="9">
        <f>Table1[[#This Row], [TOTAL COST]]+_xlfn.XLOOKUP(Table1[[#This Row], [TEAM]],Sheet1!$A$12:$A$17,Sheet1!$I$12:$I$17)</f>
        <v>8410728.1312499996</v>
      </c>
      <c r="W1936" s="9">
        <f>Table1[[#This Row], [LOOT]]-Table1[[#This Row], [TOTAL COST]]</f>
        <v>9836751.8687500004</v>
      </c>
      <c r="X1936" s="4">
        <f>IF(Table1[[#This Row], [PASS/FAIL]]="FAIL",0,Table1[[#This Row], [PROFIT]])</f>
        <v>0</v>
      </c>
    </row>
    <row r="1937" spans="1:24" ht="19.5" customHeight="1" x14ac:dyDescent="0.45">
      <c r="A1937" t="s">
        <v>14</v>
      </c>
      <c r="B1937" s="14">
        <f>_xlfn.XLOOKUP(Table1[[#This Row], [TEAM]],Sheet1!$A$12:$A$17,Sheet1!$F$12:$F$17)</f>
        <v>2</v>
      </c>
      <c r="C1937" s="14">
        <f>_xlfn.XLOOKUP(Table1[[#This Row], [TEAM]],Sheet1!$A$12:$A$17,Sheet1!$G$12:$G$17)</f>
        <v>5949600</v>
      </c>
      <c r="D1937" t="s">
        <v>19</v>
      </c>
      <c r="E1937" s="4">
        <f>_xlfn.XLOOKUP(Table1[[#This Row], [ROOM]],Sheet1!$A$47:$A$66,Sheet1!$B$47:$B$66)</f>
        <v>135</v>
      </c>
      <c r="F1937" t="s">
        <v>62</v>
      </c>
      <c r="G193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7" s="13" t="s">
        <v>63</v>
      </c>
      <c r="I1937" s="4">
        <f>_xlfn.XLOOKUP(Table1[[#This Row], [WEAPON]],Sheet1!$A$27:$A$29,Sheet1!$B$27:$B$29)*Table1[[#This Row], [NUM OF MEM]]*(1+_xlfn.XLOOKUP(Table1[[#This Row], [WEAPON]],Sheet1!$A$27:$A$29,Sheet1!$C$27:$C$29))</f>
        <v>46000</v>
      </c>
      <c r="J1937" t="s">
        <v>60</v>
      </c>
      <c r="K1937" s="9">
        <f>Table1[[#This Row], [NUM OF MEM]]*Table1[[#This Row], [TOTAL TIME TAKEN]]*_xlfn.XLOOKUP(Table1[[#This Row], [EXIT]],Sheet1!$A$70:$A$71,Sheet1!$B$70:$B$71)*(1+_xlfn.XLOOKUP(Table1[[#This Row], [EXIT]],Sheet1!$A$70:$A$71,Sheet1!$C$70:$C$71))</f>
        <v>1782979.6312499996</v>
      </c>
      <c r="L1937" s="13" t="s">
        <v>61</v>
      </c>
      <c r="M1937" s="4">
        <f>IF(Table1[[#This Row], [EQUIPMENT]]="YES",Sheet1!$C$44*(1+Sheet1!$D$44),0)</f>
        <v>0</v>
      </c>
      <c r="N1937" s="4">
        <f>_xlfn.XLOOKUP(Table1[[#This Row], [ROOM]],Sheet1!$A$47:$A$66,Sheet1!$F$47:$F$66)</f>
        <v>17950000</v>
      </c>
      <c r="O1937" s="9">
        <f>_xlfn.XLOOKUP(_xlfn.CONCAT(Table1[[#This Row], [TEAM]],Table1[[#This Row], [ROOM]]),'ROOM TIME'!$H$2:$H$121,'ROOM TIME'!$J$2:$J$121)</f>
        <v>62.046249999999986</v>
      </c>
      <c r="P1937" s="9">
        <f>(INDEX(Sheet1!$X$48:$Z$67,MATCH(Table1[[#This Row], [ROOM]],Sheet1!$P$48:$P$67,0),MATCH(Table1[[#This Row], [WEAPON]],Sheet1!$X$47:$Z$47,0)))/Table1[[#This Row], [NUM OF MEM]]</f>
        <v>7.4250000000000007</v>
      </c>
      <c r="Q1937" s="9">
        <f>Table1[[#This Row], [ROOM TIME]]+Table1[[#This Row], [GUARD TIME]]</f>
        <v>69.471249999999984</v>
      </c>
      <c r="R1937" s="4">
        <f>Sheet1!$K$3*_xlfn.XLOOKUP(Table1[[#This Row], [DISGUISE]],Sheet1!$A$21:$A$23,Sheet1!$D$21:$D$23)</f>
        <v>66</v>
      </c>
      <c r="S1937" s="9">
        <f>Table1[[#This Row], [TOTAL TIME]]-Table1[[#This Row], [TOTAL TIME TAKEN]]</f>
        <v>-3.4712499999999835</v>
      </c>
      <c r="T1937" t="str">
        <f>IF(Table1[[#This Row], [TIME DIFFERENCE]]&gt;=0,"PASS","FAIL")</f>
        <v>FAIL</v>
      </c>
      <c r="U1937" s="9">
        <f>Table1[[#This Row], [TRC]]+Table1[[#This Row], [DRC]]+Table1[[#This Row], [WRC]]+Table1[[#This Row], [ERC]]+Table1[[#This Row], [EQRC]]</f>
        <v>7788979.6312499996</v>
      </c>
      <c r="V1937" s="9">
        <f>Table1[[#This Row], [TOTAL COST]]+_xlfn.XLOOKUP(Table1[[#This Row], [TEAM]],Sheet1!$A$12:$A$17,Sheet1!$I$12:$I$17)</f>
        <v>8086459.6312499996</v>
      </c>
      <c r="W1937" s="9">
        <f>Table1[[#This Row], [LOOT]]-Table1[[#This Row], [TOTAL COST]]</f>
        <v>10161020.36875</v>
      </c>
      <c r="X1937" s="4">
        <f>IF(Table1[[#This Row], [PASS/FAIL]]="FAIL",0,Table1[[#This Row], [PROFIT]])</f>
        <v>0</v>
      </c>
    </row>
    <row r="1938" spans="1:24" ht="19.5" customHeight="1" x14ac:dyDescent="0.45">
      <c r="A1938" t="s">
        <v>14</v>
      </c>
      <c r="B1938" s="14">
        <f>_xlfn.XLOOKUP(Table1[[#This Row], [TEAM]],Sheet1!$A$12:$A$17,Sheet1!$F$12:$F$17)</f>
        <v>2</v>
      </c>
      <c r="C1938" s="14">
        <f>_xlfn.XLOOKUP(Table1[[#This Row], [TEAM]],Sheet1!$A$12:$A$17,Sheet1!$G$12:$G$17)</f>
        <v>5949600</v>
      </c>
      <c r="D1938" t="s">
        <v>19</v>
      </c>
      <c r="E1938" s="4">
        <f>_xlfn.XLOOKUP(Table1[[#This Row], [ROOM]],Sheet1!$A$47:$A$66,Sheet1!$B$47:$B$66)</f>
        <v>135</v>
      </c>
      <c r="F1938" t="s">
        <v>58</v>
      </c>
      <c r="G1938" s="4">
        <f>_xlfn.XLOOKUP(Table1[[#This Row], [DISGUISE]],Sheet1!$A$21:$A$23,Sheet1!$B$21:$B$23)*Table1[[#This Row], [NUM OF MEM]]*(1+_xlfn.XLOOKUP(Table1[[#This Row], [DISGUISE]],Sheet1!$A$21:$A$23,Sheet1!$C$21:$C$23))</f>
        <v>25600</v>
      </c>
      <c r="H1938" s="13" t="s">
        <v>63</v>
      </c>
      <c r="I1938" s="4">
        <f>_xlfn.XLOOKUP(Table1[[#This Row], [WEAPON]],Sheet1!$A$27:$A$29,Sheet1!$B$27:$B$29)*Table1[[#This Row], [NUM OF MEM]]*(1+_xlfn.XLOOKUP(Table1[[#This Row], [WEAPON]],Sheet1!$A$27:$A$29,Sheet1!$C$27:$C$29))</f>
        <v>46000</v>
      </c>
      <c r="J1938" t="s">
        <v>60</v>
      </c>
      <c r="K1938" s="9">
        <f>Table1[[#This Row], [NUM OF MEM]]*Table1[[#This Row], [TOTAL TIME TAKEN]]*_xlfn.XLOOKUP(Table1[[#This Row], [EXIT]],Sheet1!$A$70:$A$71,Sheet1!$B$70:$B$71)*(1+_xlfn.XLOOKUP(Table1[[#This Row], [EXIT]],Sheet1!$A$70:$A$71,Sheet1!$C$70:$C$71))</f>
        <v>1782979.6312499996</v>
      </c>
      <c r="L1938" s="13" t="s">
        <v>61</v>
      </c>
      <c r="M1938" s="4">
        <f>IF(Table1[[#This Row], [EQUIPMENT]]="YES",Sheet1!$C$44*(1+Sheet1!$D$44),0)</f>
        <v>0</v>
      </c>
      <c r="N1938" s="4">
        <f>_xlfn.XLOOKUP(Table1[[#This Row], [ROOM]],Sheet1!$A$47:$A$66,Sheet1!$F$47:$F$66)</f>
        <v>17950000</v>
      </c>
      <c r="O1938" s="9">
        <f>_xlfn.XLOOKUP(_xlfn.CONCAT(Table1[[#This Row], [TEAM]],Table1[[#This Row], [ROOM]]),'ROOM TIME'!$H$2:$H$121,'ROOM TIME'!$J$2:$J$121)</f>
        <v>62.046249999999986</v>
      </c>
      <c r="P1938" s="9">
        <f>(INDEX(Sheet1!$X$48:$Z$67,MATCH(Table1[[#This Row], [ROOM]],Sheet1!$P$48:$P$67,0),MATCH(Table1[[#This Row], [WEAPON]],Sheet1!$X$47:$Z$47,0)))/Table1[[#This Row], [NUM OF MEM]]</f>
        <v>7.4250000000000007</v>
      </c>
      <c r="Q1938" s="9">
        <f>Table1[[#This Row], [ROOM TIME]]+Table1[[#This Row], [GUARD TIME]]</f>
        <v>69.471249999999984</v>
      </c>
      <c r="R1938" s="4">
        <f>Sheet1!$K$3*_xlfn.XLOOKUP(Table1[[#This Row], [DISGUISE]],Sheet1!$A$21:$A$23,Sheet1!$D$21:$D$23)</f>
        <v>69</v>
      </c>
      <c r="S1938" s="9">
        <f>Table1[[#This Row], [TOTAL TIME]]-Table1[[#This Row], [TOTAL TIME TAKEN]]</f>
        <v>-0.47124999999998352</v>
      </c>
      <c r="T1938" t="str">
        <f>IF(Table1[[#This Row], [TIME DIFFERENCE]]&gt;=0,"PASS","FAIL")</f>
        <v>FAIL</v>
      </c>
      <c r="U1938" s="9">
        <f>Table1[[#This Row], [TRC]]+Table1[[#This Row], [DRC]]+Table1[[#This Row], [WRC]]+Table1[[#This Row], [ERC]]+Table1[[#This Row], [EQRC]]</f>
        <v>7804179.6312499996</v>
      </c>
      <c r="V1938" s="9">
        <f>Table1[[#This Row], [TOTAL COST]]+_xlfn.XLOOKUP(Table1[[#This Row], [TEAM]],Sheet1!$A$12:$A$17,Sheet1!$I$12:$I$17)</f>
        <v>8101659.6312499996</v>
      </c>
      <c r="W1938" s="9">
        <f>Table1[[#This Row], [LOOT]]-Table1[[#This Row], [TOTAL COST]]</f>
        <v>10145820.36875</v>
      </c>
      <c r="X1938" s="4">
        <f>IF(Table1[[#This Row], [PASS/FAIL]]="FAIL",0,Table1[[#This Row], [PROFIT]])</f>
        <v>0</v>
      </c>
    </row>
    <row r="1939" spans="1:24" ht="19.5" customHeight="1" x14ac:dyDescent="0.45">
      <c r="A1939" t="s">
        <v>14</v>
      </c>
      <c r="B1939" s="14">
        <f>_xlfn.XLOOKUP(Table1[[#This Row], [TEAM]],Sheet1!$A$12:$A$17,Sheet1!$F$12:$F$17)</f>
        <v>2</v>
      </c>
      <c r="C1939" s="14">
        <f>_xlfn.XLOOKUP(Table1[[#This Row], [TEAM]],Sheet1!$A$12:$A$17,Sheet1!$G$12:$G$17)</f>
        <v>5949600</v>
      </c>
      <c r="D1939" t="s">
        <v>19</v>
      </c>
      <c r="E1939" s="4">
        <f>_xlfn.XLOOKUP(Table1[[#This Row], [ROOM]],Sheet1!$A$47:$A$66,Sheet1!$B$47:$B$66)</f>
        <v>135</v>
      </c>
      <c r="F1939" t="s">
        <v>62</v>
      </c>
      <c r="G193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39" s="13" t="s">
        <v>59</v>
      </c>
      <c r="I1939" s="4">
        <f>_xlfn.XLOOKUP(Table1[[#This Row], [WEAPON]],Sheet1!$A$27:$A$29,Sheet1!$B$27:$B$29)*Table1[[#This Row], [NUM OF MEM]]*(1+_xlfn.XLOOKUP(Table1[[#This Row], [WEAPON]],Sheet1!$A$27:$A$29,Sheet1!$C$27:$C$29))</f>
        <v>91000</v>
      </c>
      <c r="J1939" t="s">
        <v>64</v>
      </c>
      <c r="K1939" s="9">
        <f>Table1[[#This Row], [NUM OF MEM]]*Table1[[#This Row], [TOTAL TIME TAKEN]]*_xlfn.XLOOKUP(Table1[[#This Row], [EXIT]],Sheet1!$A$70:$A$71,Sheet1!$B$70:$B$71)*(1+_xlfn.XLOOKUP(Table1[[#This Row], [EXIT]],Sheet1!$A$70:$A$71,Sheet1!$C$70:$C$71))</f>
        <v>1772182.7999999996</v>
      </c>
      <c r="L1939" s="13" t="s">
        <v>65</v>
      </c>
      <c r="M1939" s="4">
        <f>IF(Table1[[#This Row], [EQUIPMENT]]="YES",Sheet1!$C$44*(1+Sheet1!$D$44),0)</f>
        <v>307500</v>
      </c>
      <c r="N1939" s="4">
        <f>_xlfn.XLOOKUP(Table1[[#This Row], [ROOM]],Sheet1!$A$47:$A$66,Sheet1!$F$47:$F$66)</f>
        <v>17950000</v>
      </c>
      <c r="O1939" s="9">
        <f>_xlfn.XLOOKUP(_xlfn.CONCAT(Table1[[#This Row], [TEAM]],Table1[[#This Row], [ROOM]]),'ROOM TIME'!$H$2:$H$121,'ROOM TIME'!$J$2:$J$121)</f>
        <v>62.046249999999986</v>
      </c>
      <c r="P1939" s="9">
        <f>(INDEX(Sheet1!$X$48:$Z$67,MATCH(Table1[[#This Row], [ROOM]],Sheet1!$P$48:$P$67,0),MATCH(Table1[[#This Row], [WEAPON]],Sheet1!$X$47:$Z$47,0)))/Table1[[#This Row], [NUM OF MEM]]</f>
        <v>6.3249999999999993</v>
      </c>
      <c r="Q1939" s="9">
        <f>Table1[[#This Row], [ROOM TIME]]+Table1[[#This Row], [GUARD TIME]]</f>
        <v>68.371249999999989</v>
      </c>
      <c r="R1939" s="4">
        <f>Sheet1!$K$3*_xlfn.XLOOKUP(Table1[[#This Row], [DISGUISE]],Sheet1!$A$21:$A$23,Sheet1!$D$21:$D$23)</f>
        <v>66</v>
      </c>
      <c r="S1939" s="9">
        <f>Table1[[#This Row], [TOTAL TIME]]-Table1[[#This Row], [TOTAL TIME TAKEN]]</f>
        <v>-2.3712499999999892</v>
      </c>
      <c r="T1939" t="str">
        <f>IF(Table1[[#This Row], [TIME DIFFERENCE]]&gt;=0,"PASS","FAIL")</f>
        <v>FAIL</v>
      </c>
      <c r="U1939" s="9">
        <f>Table1[[#This Row], [TRC]]+Table1[[#This Row], [DRC]]+Table1[[#This Row], [WRC]]+Table1[[#This Row], [ERC]]+Table1[[#This Row], [EQRC]]</f>
        <v>8130682.7999999998</v>
      </c>
      <c r="V1939" s="9">
        <f>Table1[[#This Row], [TOTAL COST]]+_xlfn.XLOOKUP(Table1[[#This Row], [TEAM]],Sheet1!$A$12:$A$17,Sheet1!$I$12:$I$17)</f>
        <v>8428162.8000000007</v>
      </c>
      <c r="W1939" s="9">
        <f>Table1[[#This Row], [LOOT]]-Table1[[#This Row], [TOTAL COST]]</f>
        <v>9819317.1999999993</v>
      </c>
      <c r="X1939" s="4">
        <f>IF(Table1[[#This Row], [PASS/FAIL]]="FAIL",0,Table1[[#This Row], [PROFIT]])</f>
        <v>0</v>
      </c>
    </row>
    <row r="1940" spans="1:24" ht="19.5" customHeight="1" x14ac:dyDescent="0.45">
      <c r="A1940" t="s">
        <v>14</v>
      </c>
      <c r="B1940" s="14">
        <f>_xlfn.XLOOKUP(Table1[[#This Row], [TEAM]],Sheet1!$A$12:$A$17,Sheet1!$F$12:$F$17)</f>
        <v>2</v>
      </c>
      <c r="C1940" s="14">
        <f>_xlfn.XLOOKUP(Table1[[#This Row], [TEAM]],Sheet1!$A$12:$A$17,Sheet1!$G$12:$G$17)</f>
        <v>5949600</v>
      </c>
      <c r="D1940" t="s">
        <v>19</v>
      </c>
      <c r="E1940" s="4">
        <f>_xlfn.XLOOKUP(Table1[[#This Row], [ROOM]],Sheet1!$A$47:$A$66,Sheet1!$B$47:$B$66)</f>
        <v>135</v>
      </c>
      <c r="F1940" t="s">
        <v>62</v>
      </c>
      <c r="G194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0" s="13" t="s">
        <v>63</v>
      </c>
      <c r="I1940" s="4">
        <f>_xlfn.XLOOKUP(Table1[[#This Row], [WEAPON]],Sheet1!$A$27:$A$29,Sheet1!$B$27:$B$29)*Table1[[#This Row], [NUM OF MEM]]*(1+_xlfn.XLOOKUP(Table1[[#This Row], [WEAPON]],Sheet1!$A$27:$A$29,Sheet1!$C$27:$C$29))</f>
        <v>46000</v>
      </c>
      <c r="J1940" t="s">
        <v>64</v>
      </c>
      <c r="K1940" s="9">
        <f>Table1[[#This Row], [NUM OF MEM]]*Table1[[#This Row], [TOTAL TIME TAKEN]]*_xlfn.XLOOKUP(Table1[[#This Row], [EXIT]],Sheet1!$A$70:$A$71,Sheet1!$B$70:$B$71)*(1+_xlfn.XLOOKUP(Table1[[#This Row], [EXIT]],Sheet1!$A$70:$A$71,Sheet1!$C$70:$C$71))</f>
        <v>1800694.7999999993</v>
      </c>
      <c r="L1940" s="13" t="s">
        <v>61</v>
      </c>
      <c r="M1940" s="4">
        <f>IF(Table1[[#This Row], [EQUIPMENT]]="YES",Sheet1!$C$44*(1+Sheet1!$D$44),0)</f>
        <v>0</v>
      </c>
      <c r="N1940" s="4">
        <f>_xlfn.XLOOKUP(Table1[[#This Row], [ROOM]],Sheet1!$A$47:$A$66,Sheet1!$F$47:$F$66)</f>
        <v>17950000</v>
      </c>
      <c r="O1940" s="9">
        <f>_xlfn.XLOOKUP(_xlfn.CONCAT(Table1[[#This Row], [TEAM]],Table1[[#This Row], [ROOM]]),'ROOM TIME'!$H$2:$H$121,'ROOM TIME'!$J$2:$J$121)</f>
        <v>62.046249999999986</v>
      </c>
      <c r="P1940" s="9">
        <f>(INDEX(Sheet1!$X$48:$Z$67,MATCH(Table1[[#This Row], [ROOM]],Sheet1!$P$48:$P$67,0),MATCH(Table1[[#This Row], [WEAPON]],Sheet1!$X$47:$Z$47,0)))/Table1[[#This Row], [NUM OF MEM]]</f>
        <v>7.4250000000000007</v>
      </c>
      <c r="Q1940" s="9">
        <f>Table1[[#This Row], [ROOM TIME]]+Table1[[#This Row], [GUARD TIME]]</f>
        <v>69.471249999999984</v>
      </c>
      <c r="R1940" s="4">
        <f>Sheet1!$K$3*_xlfn.XLOOKUP(Table1[[#This Row], [DISGUISE]],Sheet1!$A$21:$A$23,Sheet1!$D$21:$D$23)</f>
        <v>66</v>
      </c>
      <c r="S1940" s="9">
        <f>Table1[[#This Row], [TOTAL TIME]]-Table1[[#This Row], [TOTAL TIME TAKEN]]</f>
        <v>-3.4712499999999835</v>
      </c>
      <c r="T1940" t="str">
        <f>IF(Table1[[#This Row], [TIME DIFFERENCE]]&gt;=0,"PASS","FAIL")</f>
        <v>FAIL</v>
      </c>
      <c r="U1940" s="9">
        <f>Table1[[#This Row], [TRC]]+Table1[[#This Row], [DRC]]+Table1[[#This Row], [WRC]]+Table1[[#This Row], [ERC]]+Table1[[#This Row], [EQRC]]</f>
        <v>7806694.7999999989</v>
      </c>
      <c r="V1940" s="9">
        <f>Table1[[#This Row], [TOTAL COST]]+_xlfn.XLOOKUP(Table1[[#This Row], [TEAM]],Sheet1!$A$12:$A$17,Sheet1!$I$12:$I$17)</f>
        <v>8104174.7999999989</v>
      </c>
      <c r="W1940" s="9">
        <f>Table1[[#This Row], [LOOT]]-Table1[[#This Row], [TOTAL COST]]</f>
        <v>10143305.200000001</v>
      </c>
      <c r="X1940" s="4">
        <f>IF(Table1[[#This Row], [PASS/FAIL]]="FAIL",0,Table1[[#This Row], [PROFIT]])</f>
        <v>0</v>
      </c>
    </row>
    <row r="1941" spans="1:24" ht="19.5" customHeight="1" x14ac:dyDescent="0.45">
      <c r="A1941" t="s">
        <v>14</v>
      </c>
      <c r="B1941" s="14">
        <f>_xlfn.XLOOKUP(Table1[[#This Row], [TEAM]],Sheet1!$A$12:$A$17,Sheet1!$F$12:$F$17)</f>
        <v>2</v>
      </c>
      <c r="C1941" s="14">
        <f>_xlfn.XLOOKUP(Table1[[#This Row], [TEAM]],Sheet1!$A$12:$A$17,Sheet1!$G$12:$G$17)</f>
        <v>5949600</v>
      </c>
      <c r="D1941" t="s">
        <v>19</v>
      </c>
      <c r="E1941" s="4">
        <f>_xlfn.XLOOKUP(Table1[[#This Row], [ROOM]],Sheet1!$A$47:$A$66,Sheet1!$B$47:$B$66)</f>
        <v>135</v>
      </c>
      <c r="F1941" t="s">
        <v>58</v>
      </c>
      <c r="G1941" s="4">
        <f>_xlfn.XLOOKUP(Table1[[#This Row], [DISGUISE]],Sheet1!$A$21:$A$23,Sheet1!$B$21:$B$23)*Table1[[#This Row], [NUM OF MEM]]*(1+_xlfn.XLOOKUP(Table1[[#This Row], [DISGUISE]],Sheet1!$A$21:$A$23,Sheet1!$C$21:$C$23))</f>
        <v>25600</v>
      </c>
      <c r="H1941" s="13" t="s">
        <v>63</v>
      </c>
      <c r="I1941" s="4">
        <f>_xlfn.XLOOKUP(Table1[[#This Row], [WEAPON]],Sheet1!$A$27:$A$29,Sheet1!$B$27:$B$29)*Table1[[#This Row], [NUM OF MEM]]*(1+_xlfn.XLOOKUP(Table1[[#This Row], [WEAPON]],Sheet1!$A$27:$A$29,Sheet1!$C$27:$C$29))</f>
        <v>46000</v>
      </c>
      <c r="J1941" t="s">
        <v>64</v>
      </c>
      <c r="K1941" s="9">
        <f>Table1[[#This Row], [NUM OF MEM]]*Table1[[#This Row], [TOTAL TIME TAKEN]]*_xlfn.XLOOKUP(Table1[[#This Row], [EXIT]],Sheet1!$A$70:$A$71,Sheet1!$B$70:$B$71)*(1+_xlfn.XLOOKUP(Table1[[#This Row], [EXIT]],Sheet1!$A$70:$A$71,Sheet1!$C$70:$C$71))</f>
        <v>1800694.7999999993</v>
      </c>
      <c r="L1941" s="13" t="s">
        <v>61</v>
      </c>
      <c r="M1941" s="4">
        <f>IF(Table1[[#This Row], [EQUIPMENT]]="YES",Sheet1!$C$44*(1+Sheet1!$D$44),0)</f>
        <v>0</v>
      </c>
      <c r="N1941" s="4">
        <f>_xlfn.XLOOKUP(Table1[[#This Row], [ROOM]],Sheet1!$A$47:$A$66,Sheet1!$F$47:$F$66)</f>
        <v>17950000</v>
      </c>
      <c r="O1941" s="9">
        <f>_xlfn.XLOOKUP(_xlfn.CONCAT(Table1[[#This Row], [TEAM]],Table1[[#This Row], [ROOM]]),'ROOM TIME'!$H$2:$H$121,'ROOM TIME'!$J$2:$J$121)</f>
        <v>62.046249999999986</v>
      </c>
      <c r="P1941" s="9">
        <f>(INDEX(Sheet1!$X$48:$Z$67,MATCH(Table1[[#This Row], [ROOM]],Sheet1!$P$48:$P$67,0),MATCH(Table1[[#This Row], [WEAPON]],Sheet1!$X$47:$Z$47,0)))/Table1[[#This Row], [NUM OF MEM]]</f>
        <v>7.4250000000000007</v>
      </c>
      <c r="Q1941" s="9">
        <f>Table1[[#This Row], [ROOM TIME]]+Table1[[#This Row], [GUARD TIME]]</f>
        <v>69.471249999999984</v>
      </c>
      <c r="R1941" s="4">
        <f>Sheet1!$K$3*_xlfn.XLOOKUP(Table1[[#This Row], [DISGUISE]],Sheet1!$A$21:$A$23,Sheet1!$D$21:$D$23)</f>
        <v>69</v>
      </c>
      <c r="S1941" s="9">
        <f>Table1[[#This Row], [TOTAL TIME]]-Table1[[#This Row], [TOTAL TIME TAKEN]]</f>
        <v>-0.47124999999998352</v>
      </c>
      <c r="T1941" t="str">
        <f>IF(Table1[[#This Row], [TIME DIFFERENCE]]&gt;=0,"PASS","FAIL")</f>
        <v>FAIL</v>
      </c>
      <c r="U1941" s="9">
        <f>Table1[[#This Row], [TRC]]+Table1[[#This Row], [DRC]]+Table1[[#This Row], [WRC]]+Table1[[#This Row], [ERC]]+Table1[[#This Row], [EQRC]]</f>
        <v>7821894.7999999989</v>
      </c>
      <c r="V1941" s="9">
        <f>Table1[[#This Row], [TOTAL COST]]+_xlfn.XLOOKUP(Table1[[#This Row], [TEAM]],Sheet1!$A$12:$A$17,Sheet1!$I$12:$I$17)</f>
        <v>8119374.7999999989</v>
      </c>
      <c r="W1941" s="9">
        <f>Table1[[#This Row], [LOOT]]-Table1[[#This Row], [TOTAL COST]]</f>
        <v>10128105.200000001</v>
      </c>
      <c r="X1941" s="4">
        <f>IF(Table1[[#This Row], [PASS/FAIL]]="FAIL",0,Table1[[#This Row], [PROFIT]])</f>
        <v>0</v>
      </c>
    </row>
    <row r="1942" spans="1:24" ht="19.5" customHeight="1" x14ac:dyDescent="0.45">
      <c r="A1942" t="s">
        <v>14</v>
      </c>
      <c r="B1942" s="14">
        <f>_xlfn.XLOOKUP(Table1[[#This Row], [TEAM]],Sheet1!$A$12:$A$17,Sheet1!$F$12:$F$17)</f>
        <v>2</v>
      </c>
      <c r="C1942" s="14">
        <f>_xlfn.XLOOKUP(Table1[[#This Row], [TEAM]],Sheet1!$A$12:$A$17,Sheet1!$G$12:$G$17)</f>
        <v>5949600</v>
      </c>
      <c r="D1942" t="s">
        <v>19</v>
      </c>
      <c r="E1942" s="4">
        <f>_xlfn.XLOOKUP(Table1[[#This Row], [ROOM]],Sheet1!$A$47:$A$66,Sheet1!$B$47:$B$66)</f>
        <v>135</v>
      </c>
      <c r="F1942" t="s">
        <v>62</v>
      </c>
      <c r="G194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2" s="13" t="s">
        <v>63</v>
      </c>
      <c r="I1942" s="4">
        <f>_xlfn.XLOOKUP(Table1[[#This Row], [WEAPON]],Sheet1!$A$27:$A$29,Sheet1!$B$27:$B$29)*Table1[[#This Row], [NUM OF MEM]]*(1+_xlfn.XLOOKUP(Table1[[#This Row], [WEAPON]],Sheet1!$A$27:$A$29,Sheet1!$C$27:$C$29))</f>
        <v>46000</v>
      </c>
      <c r="J1942" t="s">
        <v>60</v>
      </c>
      <c r="K1942" s="9">
        <f>Table1[[#This Row], [NUM OF MEM]]*Table1[[#This Row], [TOTAL TIME TAKEN]]*_xlfn.XLOOKUP(Table1[[#This Row], [EXIT]],Sheet1!$A$70:$A$71,Sheet1!$B$70:$B$71)*(1+_xlfn.XLOOKUP(Table1[[#This Row], [EXIT]],Sheet1!$A$70:$A$71,Sheet1!$C$70:$C$71))</f>
        <v>1782979.6312499996</v>
      </c>
      <c r="L1942" s="13" t="s">
        <v>65</v>
      </c>
      <c r="M1942" s="4">
        <f>IF(Table1[[#This Row], [EQUIPMENT]]="YES",Sheet1!$C$44*(1+Sheet1!$D$44),0)</f>
        <v>307500</v>
      </c>
      <c r="N1942" s="4">
        <f>_xlfn.XLOOKUP(Table1[[#This Row], [ROOM]],Sheet1!$A$47:$A$66,Sheet1!$F$47:$F$66)</f>
        <v>17950000</v>
      </c>
      <c r="O1942" s="9">
        <f>_xlfn.XLOOKUP(_xlfn.CONCAT(Table1[[#This Row], [TEAM]],Table1[[#This Row], [ROOM]]),'ROOM TIME'!$H$2:$H$121,'ROOM TIME'!$J$2:$J$121)</f>
        <v>62.046249999999986</v>
      </c>
      <c r="P1942" s="9">
        <f>(INDEX(Sheet1!$X$48:$Z$67,MATCH(Table1[[#This Row], [ROOM]],Sheet1!$P$48:$P$67,0),MATCH(Table1[[#This Row], [WEAPON]],Sheet1!$X$47:$Z$47,0)))/Table1[[#This Row], [NUM OF MEM]]</f>
        <v>7.4250000000000007</v>
      </c>
      <c r="Q1942" s="9">
        <f>Table1[[#This Row], [ROOM TIME]]+Table1[[#This Row], [GUARD TIME]]</f>
        <v>69.471249999999984</v>
      </c>
      <c r="R1942" s="4">
        <f>Sheet1!$K$3*_xlfn.XLOOKUP(Table1[[#This Row], [DISGUISE]],Sheet1!$A$21:$A$23,Sheet1!$D$21:$D$23)</f>
        <v>66</v>
      </c>
      <c r="S1942" s="9">
        <f>Table1[[#This Row], [TOTAL TIME]]-Table1[[#This Row], [TOTAL TIME TAKEN]]</f>
        <v>-3.4712499999999835</v>
      </c>
      <c r="T1942" t="str">
        <f>IF(Table1[[#This Row], [TIME DIFFERENCE]]&gt;=0,"PASS","FAIL")</f>
        <v>FAIL</v>
      </c>
      <c r="U1942" s="9">
        <f>Table1[[#This Row], [TRC]]+Table1[[#This Row], [DRC]]+Table1[[#This Row], [WRC]]+Table1[[#This Row], [ERC]]+Table1[[#This Row], [EQRC]]</f>
        <v>8096479.6312499996</v>
      </c>
      <c r="V1942" s="9">
        <f>Table1[[#This Row], [TOTAL COST]]+_xlfn.XLOOKUP(Table1[[#This Row], [TEAM]],Sheet1!$A$12:$A$17,Sheet1!$I$12:$I$17)</f>
        <v>8393959.6312499996</v>
      </c>
      <c r="W1942" s="9">
        <f>Table1[[#This Row], [LOOT]]-Table1[[#This Row], [TOTAL COST]]</f>
        <v>9853520.3687500004</v>
      </c>
      <c r="X1942" s="4">
        <f>IF(Table1[[#This Row], [PASS/FAIL]]="FAIL",0,Table1[[#This Row], [PROFIT]])</f>
        <v>0</v>
      </c>
    </row>
    <row r="1943" spans="1:24" ht="19.5" customHeight="1" x14ac:dyDescent="0.45">
      <c r="A1943" t="s">
        <v>14</v>
      </c>
      <c r="B1943" s="14">
        <f>_xlfn.XLOOKUP(Table1[[#This Row], [TEAM]],Sheet1!$A$12:$A$17,Sheet1!$F$12:$F$17)</f>
        <v>2</v>
      </c>
      <c r="C1943" s="14">
        <f>_xlfn.XLOOKUP(Table1[[#This Row], [TEAM]],Sheet1!$A$12:$A$17,Sheet1!$G$12:$G$17)</f>
        <v>5949600</v>
      </c>
      <c r="D1943" t="s">
        <v>19</v>
      </c>
      <c r="E1943" s="4">
        <f>_xlfn.XLOOKUP(Table1[[#This Row], [ROOM]],Sheet1!$A$47:$A$66,Sheet1!$B$47:$B$66)</f>
        <v>135</v>
      </c>
      <c r="F1943" t="s">
        <v>58</v>
      </c>
      <c r="G1943" s="4">
        <f>_xlfn.XLOOKUP(Table1[[#This Row], [DISGUISE]],Sheet1!$A$21:$A$23,Sheet1!$B$21:$B$23)*Table1[[#This Row], [NUM OF MEM]]*(1+_xlfn.XLOOKUP(Table1[[#This Row], [DISGUISE]],Sheet1!$A$21:$A$23,Sheet1!$C$21:$C$23))</f>
        <v>25600</v>
      </c>
      <c r="H1943" s="13" t="s">
        <v>63</v>
      </c>
      <c r="I1943" s="4">
        <f>_xlfn.XLOOKUP(Table1[[#This Row], [WEAPON]],Sheet1!$A$27:$A$29,Sheet1!$B$27:$B$29)*Table1[[#This Row], [NUM OF MEM]]*(1+_xlfn.XLOOKUP(Table1[[#This Row], [WEAPON]],Sheet1!$A$27:$A$29,Sheet1!$C$27:$C$29))</f>
        <v>46000</v>
      </c>
      <c r="J1943" t="s">
        <v>60</v>
      </c>
      <c r="K1943" s="9">
        <f>Table1[[#This Row], [NUM OF MEM]]*Table1[[#This Row], [TOTAL TIME TAKEN]]*_xlfn.XLOOKUP(Table1[[#This Row], [EXIT]],Sheet1!$A$70:$A$71,Sheet1!$B$70:$B$71)*(1+_xlfn.XLOOKUP(Table1[[#This Row], [EXIT]],Sheet1!$A$70:$A$71,Sheet1!$C$70:$C$71))</f>
        <v>1782979.6312499996</v>
      </c>
      <c r="L1943" s="13" t="s">
        <v>65</v>
      </c>
      <c r="M1943" s="4">
        <f>IF(Table1[[#This Row], [EQUIPMENT]]="YES",Sheet1!$C$44*(1+Sheet1!$D$44),0)</f>
        <v>307500</v>
      </c>
      <c r="N1943" s="4">
        <f>_xlfn.XLOOKUP(Table1[[#This Row], [ROOM]],Sheet1!$A$47:$A$66,Sheet1!$F$47:$F$66)</f>
        <v>17950000</v>
      </c>
      <c r="O1943" s="9">
        <f>_xlfn.XLOOKUP(_xlfn.CONCAT(Table1[[#This Row], [TEAM]],Table1[[#This Row], [ROOM]]),'ROOM TIME'!$H$2:$H$121,'ROOM TIME'!$J$2:$J$121)</f>
        <v>62.046249999999986</v>
      </c>
      <c r="P1943" s="9">
        <f>(INDEX(Sheet1!$X$48:$Z$67,MATCH(Table1[[#This Row], [ROOM]],Sheet1!$P$48:$P$67,0),MATCH(Table1[[#This Row], [WEAPON]],Sheet1!$X$47:$Z$47,0)))/Table1[[#This Row], [NUM OF MEM]]</f>
        <v>7.4250000000000007</v>
      </c>
      <c r="Q1943" s="9">
        <f>Table1[[#This Row], [ROOM TIME]]+Table1[[#This Row], [GUARD TIME]]</f>
        <v>69.471249999999984</v>
      </c>
      <c r="R1943" s="4">
        <f>Sheet1!$K$3*_xlfn.XLOOKUP(Table1[[#This Row], [DISGUISE]],Sheet1!$A$21:$A$23,Sheet1!$D$21:$D$23)</f>
        <v>69</v>
      </c>
      <c r="S1943" s="9">
        <f>Table1[[#This Row], [TOTAL TIME]]-Table1[[#This Row], [TOTAL TIME TAKEN]]</f>
        <v>-0.47124999999998352</v>
      </c>
      <c r="T1943" t="str">
        <f>IF(Table1[[#This Row], [TIME DIFFERENCE]]&gt;=0,"PASS","FAIL")</f>
        <v>FAIL</v>
      </c>
      <c r="U1943" s="9">
        <f>Table1[[#This Row], [TRC]]+Table1[[#This Row], [DRC]]+Table1[[#This Row], [WRC]]+Table1[[#This Row], [ERC]]+Table1[[#This Row], [EQRC]]</f>
        <v>8111679.6312499996</v>
      </c>
      <c r="V1943" s="9">
        <f>Table1[[#This Row], [TOTAL COST]]+_xlfn.XLOOKUP(Table1[[#This Row], [TEAM]],Sheet1!$A$12:$A$17,Sheet1!$I$12:$I$17)</f>
        <v>8409159.6312499996</v>
      </c>
      <c r="W1943" s="9">
        <f>Table1[[#This Row], [LOOT]]-Table1[[#This Row], [TOTAL COST]]</f>
        <v>9838320.3687500004</v>
      </c>
      <c r="X1943" s="4">
        <f>IF(Table1[[#This Row], [PASS/FAIL]]="FAIL",0,Table1[[#This Row], [PROFIT]])</f>
        <v>0</v>
      </c>
    </row>
    <row r="1944" spans="1:24" ht="19.5" customHeight="1" x14ac:dyDescent="0.45">
      <c r="A1944" t="s">
        <v>14</v>
      </c>
      <c r="B1944" s="14">
        <f>_xlfn.XLOOKUP(Table1[[#This Row], [TEAM]],Sheet1!$A$12:$A$17,Sheet1!$F$12:$F$17)</f>
        <v>2</v>
      </c>
      <c r="C1944" s="14">
        <f>_xlfn.XLOOKUP(Table1[[#This Row], [TEAM]],Sheet1!$A$12:$A$17,Sheet1!$G$12:$G$17)</f>
        <v>5949600</v>
      </c>
      <c r="D1944" t="s">
        <v>19</v>
      </c>
      <c r="E1944" s="4">
        <f>_xlfn.XLOOKUP(Table1[[#This Row], [ROOM]],Sheet1!$A$47:$A$66,Sheet1!$B$47:$B$66)</f>
        <v>135</v>
      </c>
      <c r="F1944" t="s">
        <v>62</v>
      </c>
      <c r="G194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4" s="13" t="s">
        <v>63</v>
      </c>
      <c r="I1944" s="4">
        <f>_xlfn.XLOOKUP(Table1[[#This Row], [WEAPON]],Sheet1!$A$27:$A$29,Sheet1!$B$27:$B$29)*Table1[[#This Row], [NUM OF MEM]]*(1+_xlfn.XLOOKUP(Table1[[#This Row], [WEAPON]],Sheet1!$A$27:$A$29,Sheet1!$C$27:$C$29))</f>
        <v>46000</v>
      </c>
      <c r="J1944" t="s">
        <v>64</v>
      </c>
      <c r="K1944" s="9">
        <f>Table1[[#This Row], [NUM OF MEM]]*Table1[[#This Row], [TOTAL TIME TAKEN]]*_xlfn.XLOOKUP(Table1[[#This Row], [EXIT]],Sheet1!$A$70:$A$71,Sheet1!$B$70:$B$71)*(1+_xlfn.XLOOKUP(Table1[[#This Row], [EXIT]],Sheet1!$A$70:$A$71,Sheet1!$C$70:$C$71))</f>
        <v>1800694.7999999993</v>
      </c>
      <c r="L1944" s="13" t="s">
        <v>65</v>
      </c>
      <c r="M1944" s="4">
        <f>IF(Table1[[#This Row], [EQUIPMENT]]="YES",Sheet1!$C$44*(1+Sheet1!$D$44),0)</f>
        <v>307500</v>
      </c>
      <c r="N1944" s="4">
        <f>_xlfn.XLOOKUP(Table1[[#This Row], [ROOM]],Sheet1!$A$47:$A$66,Sheet1!$F$47:$F$66)</f>
        <v>17950000</v>
      </c>
      <c r="O1944" s="9">
        <f>_xlfn.XLOOKUP(_xlfn.CONCAT(Table1[[#This Row], [TEAM]],Table1[[#This Row], [ROOM]]),'ROOM TIME'!$H$2:$H$121,'ROOM TIME'!$J$2:$J$121)</f>
        <v>62.046249999999986</v>
      </c>
      <c r="P1944" s="9">
        <f>(INDEX(Sheet1!$X$48:$Z$67,MATCH(Table1[[#This Row], [ROOM]],Sheet1!$P$48:$P$67,0),MATCH(Table1[[#This Row], [WEAPON]],Sheet1!$X$47:$Z$47,0)))/Table1[[#This Row], [NUM OF MEM]]</f>
        <v>7.4250000000000007</v>
      </c>
      <c r="Q1944" s="9">
        <f>Table1[[#This Row], [ROOM TIME]]+Table1[[#This Row], [GUARD TIME]]</f>
        <v>69.471249999999984</v>
      </c>
      <c r="R1944" s="4">
        <f>Sheet1!$K$3*_xlfn.XLOOKUP(Table1[[#This Row], [DISGUISE]],Sheet1!$A$21:$A$23,Sheet1!$D$21:$D$23)</f>
        <v>66</v>
      </c>
      <c r="S1944" s="9">
        <f>Table1[[#This Row], [TOTAL TIME]]-Table1[[#This Row], [TOTAL TIME TAKEN]]</f>
        <v>-3.4712499999999835</v>
      </c>
      <c r="T1944" t="str">
        <f>IF(Table1[[#This Row], [TIME DIFFERENCE]]&gt;=0,"PASS","FAIL")</f>
        <v>FAIL</v>
      </c>
      <c r="U1944" s="9">
        <f>Table1[[#This Row], [TRC]]+Table1[[#This Row], [DRC]]+Table1[[#This Row], [WRC]]+Table1[[#This Row], [ERC]]+Table1[[#This Row], [EQRC]]</f>
        <v>8114194.7999999989</v>
      </c>
      <c r="V1944" s="9">
        <f>Table1[[#This Row], [TOTAL COST]]+_xlfn.XLOOKUP(Table1[[#This Row], [TEAM]],Sheet1!$A$12:$A$17,Sheet1!$I$12:$I$17)</f>
        <v>8411674.7999999989</v>
      </c>
      <c r="W1944" s="9">
        <f>Table1[[#This Row], [LOOT]]-Table1[[#This Row], [TOTAL COST]]</f>
        <v>9835805.2000000011</v>
      </c>
      <c r="X1944" s="4">
        <f>IF(Table1[[#This Row], [PASS/FAIL]]="FAIL",0,Table1[[#This Row], [PROFIT]])</f>
        <v>0</v>
      </c>
    </row>
    <row r="1945" spans="1:24" ht="19.5" customHeight="1" x14ac:dyDescent="0.45">
      <c r="A1945" t="s">
        <v>14</v>
      </c>
      <c r="B1945" s="14">
        <f>_xlfn.XLOOKUP(Table1[[#This Row], [TEAM]],Sheet1!$A$12:$A$17,Sheet1!$F$12:$F$17)</f>
        <v>2</v>
      </c>
      <c r="C1945" s="14">
        <f>_xlfn.XLOOKUP(Table1[[#This Row], [TEAM]],Sheet1!$A$12:$A$17,Sheet1!$G$12:$G$17)</f>
        <v>5949600</v>
      </c>
      <c r="D1945" t="s">
        <v>19</v>
      </c>
      <c r="E1945" s="4">
        <f>_xlfn.XLOOKUP(Table1[[#This Row], [ROOM]],Sheet1!$A$47:$A$66,Sheet1!$B$47:$B$66)</f>
        <v>135</v>
      </c>
      <c r="F1945" t="s">
        <v>58</v>
      </c>
      <c r="G1945" s="4">
        <f>_xlfn.XLOOKUP(Table1[[#This Row], [DISGUISE]],Sheet1!$A$21:$A$23,Sheet1!$B$21:$B$23)*Table1[[#This Row], [NUM OF MEM]]*(1+_xlfn.XLOOKUP(Table1[[#This Row], [DISGUISE]],Sheet1!$A$21:$A$23,Sheet1!$C$21:$C$23))</f>
        <v>25600</v>
      </c>
      <c r="H1945" s="13" t="s">
        <v>63</v>
      </c>
      <c r="I1945" s="4">
        <f>_xlfn.XLOOKUP(Table1[[#This Row], [WEAPON]],Sheet1!$A$27:$A$29,Sheet1!$B$27:$B$29)*Table1[[#This Row], [NUM OF MEM]]*(1+_xlfn.XLOOKUP(Table1[[#This Row], [WEAPON]],Sheet1!$A$27:$A$29,Sheet1!$C$27:$C$29))</f>
        <v>46000</v>
      </c>
      <c r="J1945" t="s">
        <v>64</v>
      </c>
      <c r="K1945" s="9">
        <f>Table1[[#This Row], [NUM OF MEM]]*Table1[[#This Row], [TOTAL TIME TAKEN]]*_xlfn.XLOOKUP(Table1[[#This Row], [EXIT]],Sheet1!$A$70:$A$71,Sheet1!$B$70:$B$71)*(1+_xlfn.XLOOKUP(Table1[[#This Row], [EXIT]],Sheet1!$A$70:$A$71,Sheet1!$C$70:$C$71))</f>
        <v>1800694.7999999993</v>
      </c>
      <c r="L1945" s="13" t="s">
        <v>65</v>
      </c>
      <c r="M1945" s="4">
        <f>IF(Table1[[#This Row], [EQUIPMENT]]="YES",Sheet1!$C$44*(1+Sheet1!$D$44),0)</f>
        <v>307500</v>
      </c>
      <c r="N1945" s="4">
        <f>_xlfn.XLOOKUP(Table1[[#This Row], [ROOM]],Sheet1!$A$47:$A$66,Sheet1!$F$47:$F$66)</f>
        <v>17950000</v>
      </c>
      <c r="O1945" s="9">
        <f>_xlfn.XLOOKUP(_xlfn.CONCAT(Table1[[#This Row], [TEAM]],Table1[[#This Row], [ROOM]]),'ROOM TIME'!$H$2:$H$121,'ROOM TIME'!$J$2:$J$121)</f>
        <v>62.046249999999986</v>
      </c>
      <c r="P1945" s="9">
        <f>(INDEX(Sheet1!$X$48:$Z$67,MATCH(Table1[[#This Row], [ROOM]],Sheet1!$P$48:$P$67,0),MATCH(Table1[[#This Row], [WEAPON]],Sheet1!$X$47:$Z$47,0)))/Table1[[#This Row], [NUM OF MEM]]</f>
        <v>7.4250000000000007</v>
      </c>
      <c r="Q1945" s="9">
        <f>Table1[[#This Row], [ROOM TIME]]+Table1[[#This Row], [GUARD TIME]]</f>
        <v>69.471249999999984</v>
      </c>
      <c r="R1945" s="4">
        <f>Sheet1!$K$3*_xlfn.XLOOKUP(Table1[[#This Row], [DISGUISE]],Sheet1!$A$21:$A$23,Sheet1!$D$21:$D$23)</f>
        <v>69</v>
      </c>
      <c r="S1945" s="9">
        <f>Table1[[#This Row], [TOTAL TIME]]-Table1[[#This Row], [TOTAL TIME TAKEN]]</f>
        <v>-0.47124999999998352</v>
      </c>
      <c r="T1945" t="str">
        <f>IF(Table1[[#This Row], [TIME DIFFERENCE]]&gt;=0,"PASS","FAIL")</f>
        <v>FAIL</v>
      </c>
      <c r="U1945" s="9">
        <f>Table1[[#This Row], [TRC]]+Table1[[#This Row], [DRC]]+Table1[[#This Row], [WRC]]+Table1[[#This Row], [ERC]]+Table1[[#This Row], [EQRC]]</f>
        <v>8129394.7999999989</v>
      </c>
      <c r="V1945" s="9">
        <f>Table1[[#This Row], [TOTAL COST]]+_xlfn.XLOOKUP(Table1[[#This Row], [TEAM]],Sheet1!$A$12:$A$17,Sheet1!$I$12:$I$17)</f>
        <v>8426874.7999999989</v>
      </c>
      <c r="W1945" s="9">
        <f>Table1[[#This Row], [LOOT]]-Table1[[#This Row], [TOTAL COST]]</f>
        <v>9820605.2000000011</v>
      </c>
      <c r="X1945" s="4">
        <f>IF(Table1[[#This Row], [PASS/FAIL]]="FAIL",0,Table1[[#This Row], [PROFIT]])</f>
        <v>0</v>
      </c>
    </row>
    <row r="1946" spans="1:24" ht="19.5" customHeight="1" x14ac:dyDescent="0.45">
      <c r="A1946" t="s">
        <v>14</v>
      </c>
      <c r="B1946" s="14">
        <f>_xlfn.XLOOKUP(Table1[[#This Row], [TEAM]],Sheet1!$A$12:$A$17,Sheet1!$F$12:$F$17)</f>
        <v>2</v>
      </c>
      <c r="C1946" s="14">
        <f>_xlfn.XLOOKUP(Table1[[#This Row], [TEAM]],Sheet1!$A$12:$A$17,Sheet1!$G$12:$G$17)</f>
        <v>5949600</v>
      </c>
      <c r="D1946" t="s">
        <v>19</v>
      </c>
      <c r="E1946" s="4">
        <f>_xlfn.XLOOKUP(Table1[[#This Row], [ROOM]],Sheet1!$A$47:$A$66,Sheet1!$B$47:$B$66)</f>
        <v>135</v>
      </c>
      <c r="F1946" t="s">
        <v>62</v>
      </c>
      <c r="G194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6" s="13" t="s">
        <v>66</v>
      </c>
      <c r="I1946" s="4">
        <f>_xlfn.XLOOKUP(Table1[[#This Row], [WEAPON]],Sheet1!$A$27:$A$29,Sheet1!$B$27:$B$29)*Table1[[#This Row], [NUM OF MEM]]*(1+_xlfn.XLOOKUP(Table1[[#This Row], [WEAPON]],Sheet1!$A$27:$A$29,Sheet1!$C$27:$C$29))</f>
        <v>72000</v>
      </c>
      <c r="J1946" t="s">
        <v>60</v>
      </c>
      <c r="K1946" s="9">
        <f>Table1[[#This Row], [NUM OF MEM]]*Table1[[#This Row], [TOTAL TIME TAKEN]]*_xlfn.XLOOKUP(Table1[[#This Row], [EXIT]],Sheet1!$A$70:$A$71,Sheet1!$B$70:$B$71)*(1+_xlfn.XLOOKUP(Table1[[#This Row], [EXIT]],Sheet1!$A$70:$A$71,Sheet1!$C$70:$C$71))</f>
        <v>1768863.8812499996</v>
      </c>
      <c r="L1946" s="13" t="s">
        <v>61</v>
      </c>
      <c r="M1946" s="4">
        <f>IF(Table1[[#This Row], [EQUIPMENT]]="YES",Sheet1!$C$44*(1+Sheet1!$D$44),0)</f>
        <v>0</v>
      </c>
      <c r="N1946" s="4">
        <f>_xlfn.XLOOKUP(Table1[[#This Row], [ROOM]],Sheet1!$A$47:$A$66,Sheet1!$F$47:$F$66)</f>
        <v>17950000</v>
      </c>
      <c r="O1946" s="9">
        <f>_xlfn.XLOOKUP(_xlfn.CONCAT(Table1[[#This Row], [TEAM]],Table1[[#This Row], [ROOM]]),'ROOM TIME'!$H$2:$H$121,'ROOM TIME'!$J$2:$J$121)</f>
        <v>62.046249999999986</v>
      </c>
      <c r="P1946" s="9">
        <f>(INDEX(Sheet1!$X$48:$Z$67,MATCH(Table1[[#This Row], [ROOM]],Sheet1!$P$48:$P$67,0),MATCH(Table1[[#This Row], [WEAPON]],Sheet1!$X$47:$Z$47,0)))/Table1[[#This Row], [NUM OF MEM]]</f>
        <v>6.875</v>
      </c>
      <c r="Q1946" s="9">
        <f>Table1[[#This Row], [ROOM TIME]]+Table1[[#This Row], [GUARD TIME]]</f>
        <v>68.921249999999986</v>
      </c>
      <c r="R1946" s="4">
        <f>Sheet1!$K$3*_xlfn.XLOOKUP(Table1[[#This Row], [DISGUISE]],Sheet1!$A$21:$A$23,Sheet1!$D$21:$D$23)</f>
        <v>66</v>
      </c>
      <c r="S1946" s="9">
        <f>Table1[[#This Row], [TOTAL TIME]]-Table1[[#This Row], [TOTAL TIME TAKEN]]</f>
        <v>-2.9212499999999864</v>
      </c>
      <c r="T1946" t="str">
        <f>IF(Table1[[#This Row], [TIME DIFFERENCE]]&gt;=0,"PASS","FAIL")</f>
        <v>FAIL</v>
      </c>
      <c r="U1946" s="9">
        <f>Table1[[#This Row], [TRC]]+Table1[[#This Row], [DRC]]+Table1[[#This Row], [WRC]]+Table1[[#This Row], [ERC]]+Table1[[#This Row], [EQRC]]</f>
        <v>7800863.8812499996</v>
      </c>
      <c r="V1946" s="9">
        <f>Table1[[#This Row], [TOTAL COST]]+_xlfn.XLOOKUP(Table1[[#This Row], [TEAM]],Sheet1!$A$12:$A$17,Sheet1!$I$12:$I$17)</f>
        <v>8098343.8812499996</v>
      </c>
      <c r="W1946" s="9">
        <f>Table1[[#This Row], [LOOT]]-Table1[[#This Row], [TOTAL COST]]</f>
        <v>10149136.11875</v>
      </c>
      <c r="X1946" s="4">
        <f>IF(Table1[[#This Row], [PASS/FAIL]]="FAIL",0,Table1[[#This Row], [PROFIT]])</f>
        <v>0</v>
      </c>
    </row>
    <row r="1947" spans="1:24" ht="19.5" customHeight="1" x14ac:dyDescent="0.45">
      <c r="A1947" t="s">
        <v>14</v>
      </c>
      <c r="B1947" s="14">
        <f>_xlfn.XLOOKUP(Table1[[#This Row], [TEAM]],Sheet1!$A$12:$A$17,Sheet1!$F$12:$F$17)</f>
        <v>2</v>
      </c>
      <c r="C1947" s="14">
        <f>_xlfn.XLOOKUP(Table1[[#This Row], [TEAM]],Sheet1!$A$12:$A$17,Sheet1!$G$12:$G$17)</f>
        <v>5949600</v>
      </c>
      <c r="D1947" t="s">
        <v>19</v>
      </c>
      <c r="E1947" s="4">
        <f>_xlfn.XLOOKUP(Table1[[#This Row], [ROOM]],Sheet1!$A$47:$A$66,Sheet1!$B$47:$B$66)</f>
        <v>135</v>
      </c>
      <c r="F1947" t="s">
        <v>62</v>
      </c>
      <c r="G194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7" s="13" t="s">
        <v>66</v>
      </c>
      <c r="I1947" s="4">
        <f>_xlfn.XLOOKUP(Table1[[#This Row], [WEAPON]],Sheet1!$A$27:$A$29,Sheet1!$B$27:$B$29)*Table1[[#This Row], [NUM OF MEM]]*(1+_xlfn.XLOOKUP(Table1[[#This Row], [WEAPON]],Sheet1!$A$27:$A$29,Sheet1!$C$27:$C$29))</f>
        <v>72000</v>
      </c>
      <c r="J1947" t="s">
        <v>64</v>
      </c>
      <c r="K1947" s="9">
        <f>Table1[[#This Row], [NUM OF MEM]]*Table1[[#This Row], [TOTAL TIME TAKEN]]*_xlfn.XLOOKUP(Table1[[#This Row], [EXIT]],Sheet1!$A$70:$A$71,Sheet1!$B$70:$B$71)*(1+_xlfn.XLOOKUP(Table1[[#This Row], [EXIT]],Sheet1!$A$70:$A$71,Sheet1!$C$70:$C$71))</f>
        <v>1786438.7999999996</v>
      </c>
      <c r="L1947" s="13" t="s">
        <v>61</v>
      </c>
      <c r="M1947" s="4">
        <f>IF(Table1[[#This Row], [EQUIPMENT]]="YES",Sheet1!$C$44*(1+Sheet1!$D$44),0)</f>
        <v>0</v>
      </c>
      <c r="N1947" s="4">
        <f>_xlfn.XLOOKUP(Table1[[#This Row], [ROOM]],Sheet1!$A$47:$A$66,Sheet1!$F$47:$F$66)</f>
        <v>17950000</v>
      </c>
      <c r="O1947" s="9">
        <f>_xlfn.XLOOKUP(_xlfn.CONCAT(Table1[[#This Row], [TEAM]],Table1[[#This Row], [ROOM]]),'ROOM TIME'!$H$2:$H$121,'ROOM TIME'!$J$2:$J$121)</f>
        <v>62.046249999999986</v>
      </c>
      <c r="P1947" s="9">
        <f>(INDEX(Sheet1!$X$48:$Z$67,MATCH(Table1[[#This Row], [ROOM]],Sheet1!$P$48:$P$67,0),MATCH(Table1[[#This Row], [WEAPON]],Sheet1!$X$47:$Z$47,0)))/Table1[[#This Row], [NUM OF MEM]]</f>
        <v>6.875</v>
      </c>
      <c r="Q1947" s="9">
        <f>Table1[[#This Row], [ROOM TIME]]+Table1[[#This Row], [GUARD TIME]]</f>
        <v>68.921249999999986</v>
      </c>
      <c r="R1947" s="4">
        <f>Sheet1!$K$3*_xlfn.XLOOKUP(Table1[[#This Row], [DISGUISE]],Sheet1!$A$21:$A$23,Sheet1!$D$21:$D$23)</f>
        <v>66</v>
      </c>
      <c r="S1947" s="9">
        <f>Table1[[#This Row], [TOTAL TIME]]-Table1[[#This Row], [TOTAL TIME TAKEN]]</f>
        <v>-2.9212499999999864</v>
      </c>
      <c r="T1947" t="str">
        <f>IF(Table1[[#This Row], [TIME DIFFERENCE]]&gt;=0,"PASS","FAIL")</f>
        <v>FAIL</v>
      </c>
      <c r="U1947" s="9">
        <f>Table1[[#This Row], [TRC]]+Table1[[#This Row], [DRC]]+Table1[[#This Row], [WRC]]+Table1[[#This Row], [ERC]]+Table1[[#This Row], [EQRC]]</f>
        <v>7818438.7999999998</v>
      </c>
      <c r="V1947" s="9">
        <f>Table1[[#This Row], [TOTAL COST]]+_xlfn.XLOOKUP(Table1[[#This Row], [TEAM]],Sheet1!$A$12:$A$17,Sheet1!$I$12:$I$17)</f>
        <v>8115918.7999999998</v>
      </c>
      <c r="W1947" s="9">
        <f>Table1[[#This Row], [LOOT]]-Table1[[#This Row], [TOTAL COST]]</f>
        <v>10131561.199999999</v>
      </c>
      <c r="X1947" s="4">
        <f>IF(Table1[[#This Row], [PASS/FAIL]]="FAIL",0,Table1[[#This Row], [PROFIT]])</f>
        <v>0</v>
      </c>
    </row>
    <row r="1948" spans="1:24" ht="19.5" customHeight="1" x14ac:dyDescent="0.45">
      <c r="A1948" t="s">
        <v>14</v>
      </c>
      <c r="B1948" s="14">
        <f>_xlfn.XLOOKUP(Table1[[#This Row], [TEAM]],Sheet1!$A$12:$A$17,Sheet1!$F$12:$F$17)</f>
        <v>2</v>
      </c>
      <c r="C1948" s="14">
        <f>_xlfn.XLOOKUP(Table1[[#This Row], [TEAM]],Sheet1!$A$12:$A$17,Sheet1!$G$12:$G$17)</f>
        <v>5949600</v>
      </c>
      <c r="D1948" t="s">
        <v>19</v>
      </c>
      <c r="E1948" s="4">
        <f>_xlfn.XLOOKUP(Table1[[#This Row], [ROOM]],Sheet1!$A$47:$A$66,Sheet1!$B$47:$B$66)</f>
        <v>135</v>
      </c>
      <c r="F1948" t="s">
        <v>62</v>
      </c>
      <c r="G194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8" s="13" t="s">
        <v>66</v>
      </c>
      <c r="I1948" s="4">
        <f>_xlfn.XLOOKUP(Table1[[#This Row], [WEAPON]],Sheet1!$A$27:$A$29,Sheet1!$B$27:$B$29)*Table1[[#This Row], [NUM OF MEM]]*(1+_xlfn.XLOOKUP(Table1[[#This Row], [WEAPON]],Sheet1!$A$27:$A$29,Sheet1!$C$27:$C$29))</f>
        <v>72000</v>
      </c>
      <c r="J1948" t="s">
        <v>60</v>
      </c>
      <c r="K1948" s="9">
        <f>Table1[[#This Row], [NUM OF MEM]]*Table1[[#This Row], [TOTAL TIME TAKEN]]*_xlfn.XLOOKUP(Table1[[#This Row], [EXIT]],Sheet1!$A$70:$A$71,Sheet1!$B$70:$B$71)*(1+_xlfn.XLOOKUP(Table1[[#This Row], [EXIT]],Sheet1!$A$70:$A$71,Sheet1!$C$70:$C$71))</f>
        <v>1768863.8812499996</v>
      </c>
      <c r="L1948" s="13" t="s">
        <v>65</v>
      </c>
      <c r="M1948" s="4">
        <f>IF(Table1[[#This Row], [EQUIPMENT]]="YES",Sheet1!$C$44*(1+Sheet1!$D$44),0)</f>
        <v>307500</v>
      </c>
      <c r="N1948" s="4">
        <f>_xlfn.XLOOKUP(Table1[[#This Row], [ROOM]],Sheet1!$A$47:$A$66,Sheet1!$F$47:$F$66)</f>
        <v>17950000</v>
      </c>
      <c r="O1948" s="9">
        <f>_xlfn.XLOOKUP(_xlfn.CONCAT(Table1[[#This Row], [TEAM]],Table1[[#This Row], [ROOM]]),'ROOM TIME'!$H$2:$H$121,'ROOM TIME'!$J$2:$J$121)</f>
        <v>62.046249999999986</v>
      </c>
      <c r="P1948" s="9">
        <f>(INDEX(Sheet1!$X$48:$Z$67,MATCH(Table1[[#This Row], [ROOM]],Sheet1!$P$48:$P$67,0),MATCH(Table1[[#This Row], [WEAPON]],Sheet1!$X$47:$Z$47,0)))/Table1[[#This Row], [NUM OF MEM]]</f>
        <v>6.875</v>
      </c>
      <c r="Q1948" s="9">
        <f>Table1[[#This Row], [ROOM TIME]]+Table1[[#This Row], [GUARD TIME]]</f>
        <v>68.921249999999986</v>
      </c>
      <c r="R1948" s="4">
        <f>Sheet1!$K$3*_xlfn.XLOOKUP(Table1[[#This Row], [DISGUISE]],Sheet1!$A$21:$A$23,Sheet1!$D$21:$D$23)</f>
        <v>66</v>
      </c>
      <c r="S1948" s="9">
        <f>Table1[[#This Row], [TOTAL TIME]]-Table1[[#This Row], [TOTAL TIME TAKEN]]</f>
        <v>-2.9212499999999864</v>
      </c>
      <c r="T1948" t="str">
        <f>IF(Table1[[#This Row], [TIME DIFFERENCE]]&gt;=0,"PASS","FAIL")</f>
        <v>FAIL</v>
      </c>
      <c r="U1948" s="9">
        <f>Table1[[#This Row], [TRC]]+Table1[[#This Row], [DRC]]+Table1[[#This Row], [WRC]]+Table1[[#This Row], [ERC]]+Table1[[#This Row], [EQRC]]</f>
        <v>8108363.8812499996</v>
      </c>
      <c r="V1948" s="9">
        <f>Table1[[#This Row], [TOTAL COST]]+_xlfn.XLOOKUP(Table1[[#This Row], [TEAM]],Sheet1!$A$12:$A$17,Sheet1!$I$12:$I$17)</f>
        <v>8405843.8812499996</v>
      </c>
      <c r="W1948" s="9">
        <f>Table1[[#This Row], [LOOT]]-Table1[[#This Row], [TOTAL COST]]</f>
        <v>9841636.1187500004</v>
      </c>
      <c r="X1948" s="4">
        <f>IF(Table1[[#This Row], [PASS/FAIL]]="FAIL",0,Table1[[#This Row], [PROFIT]])</f>
        <v>0</v>
      </c>
    </row>
    <row r="1949" spans="1:24" ht="19.5" customHeight="1" x14ac:dyDescent="0.45">
      <c r="A1949" t="s">
        <v>14</v>
      </c>
      <c r="B1949" s="14">
        <f>_xlfn.XLOOKUP(Table1[[#This Row], [TEAM]],Sheet1!$A$12:$A$17,Sheet1!$F$12:$F$17)</f>
        <v>2</v>
      </c>
      <c r="C1949" s="14">
        <f>_xlfn.XLOOKUP(Table1[[#This Row], [TEAM]],Sheet1!$A$12:$A$17,Sheet1!$G$12:$G$17)</f>
        <v>5949600</v>
      </c>
      <c r="D1949" t="s">
        <v>19</v>
      </c>
      <c r="E1949" s="4">
        <f>_xlfn.XLOOKUP(Table1[[#This Row], [ROOM]],Sheet1!$A$47:$A$66,Sheet1!$B$47:$B$66)</f>
        <v>135</v>
      </c>
      <c r="F1949" t="s">
        <v>62</v>
      </c>
      <c r="G194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49" s="13" t="s">
        <v>66</v>
      </c>
      <c r="I1949" s="4">
        <f>_xlfn.XLOOKUP(Table1[[#This Row], [WEAPON]],Sheet1!$A$27:$A$29,Sheet1!$B$27:$B$29)*Table1[[#This Row], [NUM OF MEM]]*(1+_xlfn.XLOOKUP(Table1[[#This Row], [WEAPON]],Sheet1!$A$27:$A$29,Sheet1!$C$27:$C$29))</f>
        <v>72000</v>
      </c>
      <c r="J1949" t="s">
        <v>64</v>
      </c>
      <c r="K1949" s="9">
        <f>Table1[[#This Row], [NUM OF MEM]]*Table1[[#This Row], [TOTAL TIME TAKEN]]*_xlfn.XLOOKUP(Table1[[#This Row], [EXIT]],Sheet1!$A$70:$A$71,Sheet1!$B$70:$B$71)*(1+_xlfn.XLOOKUP(Table1[[#This Row], [EXIT]],Sheet1!$A$70:$A$71,Sheet1!$C$70:$C$71))</f>
        <v>1786438.7999999996</v>
      </c>
      <c r="L1949" s="13" t="s">
        <v>65</v>
      </c>
      <c r="M1949" s="4">
        <f>IF(Table1[[#This Row], [EQUIPMENT]]="YES",Sheet1!$C$44*(1+Sheet1!$D$44),0)</f>
        <v>307500</v>
      </c>
      <c r="N1949" s="4">
        <f>_xlfn.XLOOKUP(Table1[[#This Row], [ROOM]],Sheet1!$A$47:$A$66,Sheet1!$F$47:$F$66)</f>
        <v>17950000</v>
      </c>
      <c r="O1949" s="9">
        <f>_xlfn.XLOOKUP(_xlfn.CONCAT(Table1[[#This Row], [TEAM]],Table1[[#This Row], [ROOM]]),'ROOM TIME'!$H$2:$H$121,'ROOM TIME'!$J$2:$J$121)</f>
        <v>62.046249999999986</v>
      </c>
      <c r="P1949" s="9">
        <f>(INDEX(Sheet1!$X$48:$Z$67,MATCH(Table1[[#This Row], [ROOM]],Sheet1!$P$48:$P$67,0),MATCH(Table1[[#This Row], [WEAPON]],Sheet1!$X$47:$Z$47,0)))/Table1[[#This Row], [NUM OF MEM]]</f>
        <v>6.875</v>
      </c>
      <c r="Q1949" s="9">
        <f>Table1[[#This Row], [ROOM TIME]]+Table1[[#This Row], [GUARD TIME]]</f>
        <v>68.921249999999986</v>
      </c>
      <c r="R1949" s="4">
        <f>Sheet1!$K$3*_xlfn.XLOOKUP(Table1[[#This Row], [DISGUISE]],Sheet1!$A$21:$A$23,Sheet1!$D$21:$D$23)</f>
        <v>66</v>
      </c>
      <c r="S1949" s="9">
        <f>Table1[[#This Row], [TOTAL TIME]]-Table1[[#This Row], [TOTAL TIME TAKEN]]</f>
        <v>-2.9212499999999864</v>
      </c>
      <c r="T1949" t="str">
        <f>IF(Table1[[#This Row], [TIME DIFFERENCE]]&gt;=0,"PASS","FAIL")</f>
        <v>FAIL</v>
      </c>
      <c r="U1949" s="9">
        <f>Table1[[#This Row], [TRC]]+Table1[[#This Row], [DRC]]+Table1[[#This Row], [WRC]]+Table1[[#This Row], [ERC]]+Table1[[#This Row], [EQRC]]</f>
        <v>8125938.7999999998</v>
      </c>
      <c r="V1949" s="9">
        <f>Table1[[#This Row], [TOTAL COST]]+_xlfn.XLOOKUP(Table1[[#This Row], [TEAM]],Sheet1!$A$12:$A$17,Sheet1!$I$12:$I$17)</f>
        <v>8423418.8000000007</v>
      </c>
      <c r="W1949" s="9">
        <f>Table1[[#This Row], [LOOT]]-Table1[[#This Row], [TOTAL COST]]</f>
        <v>9824061.1999999993</v>
      </c>
      <c r="X1949" s="4">
        <f>IF(Table1[[#This Row], [PASS/FAIL]]="FAIL",0,Table1[[#This Row], [PROFIT]])</f>
        <v>0</v>
      </c>
    </row>
    <row r="1950" spans="1:24" ht="19.5" customHeight="1" x14ac:dyDescent="0.45">
      <c r="A1950" t="s">
        <v>15</v>
      </c>
      <c r="B1950" s="14">
        <f>_xlfn.XLOOKUP(Table1[[#This Row], [TEAM]],Sheet1!$A$12:$A$17,Sheet1!$F$12:$F$17)</f>
        <v>2</v>
      </c>
      <c r="C1950" s="14">
        <f>_xlfn.XLOOKUP(Table1[[#This Row], [TEAM]],Sheet1!$A$12:$A$17,Sheet1!$G$12:$G$17)</f>
        <v>5932950</v>
      </c>
      <c r="D1950" t="s">
        <v>19</v>
      </c>
      <c r="E1950" s="4">
        <f>_xlfn.XLOOKUP(Table1[[#This Row], [ROOM]],Sheet1!$A$47:$A$66,Sheet1!$B$47:$B$66)</f>
        <v>135</v>
      </c>
      <c r="F1950" t="s">
        <v>62</v>
      </c>
      <c r="G195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0" s="13" t="s">
        <v>59</v>
      </c>
      <c r="I1950" s="4">
        <f>_xlfn.XLOOKUP(Table1[[#This Row], [WEAPON]],Sheet1!$A$27:$A$29,Sheet1!$B$27:$B$29)*Table1[[#This Row], [NUM OF MEM]]*(1+_xlfn.XLOOKUP(Table1[[#This Row], [WEAPON]],Sheet1!$A$27:$A$29,Sheet1!$C$27:$C$29))</f>
        <v>91000</v>
      </c>
      <c r="J1950" t="s">
        <v>60</v>
      </c>
      <c r="K1950" s="9">
        <f>Table1[[#This Row], [NUM OF MEM]]*Table1[[#This Row], [TOTAL TIME TAKEN]]*_xlfn.XLOOKUP(Table1[[#This Row], [EXIT]],Sheet1!$A$70:$A$71,Sheet1!$B$70:$B$71)*(1+_xlfn.XLOOKUP(Table1[[#This Row], [EXIT]],Sheet1!$A$70:$A$71,Sheet1!$C$70:$C$71))</f>
        <v>1748043.1499999992</v>
      </c>
      <c r="L1950" s="13" t="s">
        <v>61</v>
      </c>
      <c r="M1950" s="4">
        <f>IF(Table1[[#This Row], [EQUIPMENT]]="YES",Sheet1!$C$44*(1+Sheet1!$D$44),0)</f>
        <v>0</v>
      </c>
      <c r="N1950" s="4">
        <f>_xlfn.XLOOKUP(Table1[[#This Row], [ROOM]],Sheet1!$A$47:$A$66,Sheet1!$F$47:$F$66)</f>
        <v>17950000</v>
      </c>
      <c r="O1950" s="9">
        <f>_xlfn.XLOOKUP(_xlfn.CONCAT(Table1[[#This Row], [TEAM]],Table1[[#This Row], [ROOM]]),'ROOM TIME'!$H$2:$H$121,'ROOM TIME'!$J$2:$J$121)</f>
        <v>61.784999999999975</v>
      </c>
      <c r="P1950" s="9">
        <f>(INDEX(Sheet1!$X$48:$Z$67,MATCH(Table1[[#This Row], [ROOM]],Sheet1!$P$48:$P$67,0),MATCH(Table1[[#This Row], [WEAPON]],Sheet1!$X$47:$Z$47,0)))/Table1[[#This Row], [NUM OF MEM]]</f>
        <v>6.3249999999999993</v>
      </c>
      <c r="Q1950" s="9">
        <f>Table1[[#This Row], [ROOM TIME]]+Table1[[#This Row], [GUARD TIME]]</f>
        <v>68.109999999999971</v>
      </c>
      <c r="R1950" s="4">
        <f>Sheet1!$K$3*_xlfn.XLOOKUP(Table1[[#This Row], [DISGUISE]],Sheet1!$A$21:$A$23,Sheet1!$D$21:$D$23)</f>
        <v>66</v>
      </c>
      <c r="S1950" s="9">
        <f>Table1[[#This Row], [TOTAL TIME]]-Table1[[#This Row], [TOTAL TIME TAKEN]]</f>
        <v>-2.109999999999971</v>
      </c>
      <c r="T1950" t="str">
        <f>IF(Table1[[#This Row], [TIME DIFFERENCE]]&gt;=0,"PASS","FAIL")</f>
        <v>FAIL</v>
      </c>
      <c r="U1950" s="9">
        <f>Table1[[#This Row], [TRC]]+Table1[[#This Row], [DRC]]+Table1[[#This Row], [WRC]]+Table1[[#This Row], [ERC]]+Table1[[#This Row], [EQRC]]</f>
        <v>7782393.1499999994</v>
      </c>
      <c r="V1950" s="9">
        <f>Table1[[#This Row], [TOTAL COST]]+_xlfn.XLOOKUP(Table1[[#This Row], [TEAM]],Sheet1!$A$12:$A$17,Sheet1!$I$12:$I$17)</f>
        <v>8079040.6499999994</v>
      </c>
      <c r="W1950" s="9">
        <f>Table1[[#This Row], [LOOT]]-Table1[[#This Row], [TOTAL COST]]</f>
        <v>10167606.850000001</v>
      </c>
      <c r="X1950" s="4">
        <f>IF(Table1[[#This Row], [PASS/FAIL]]="FAIL",0,Table1[[#This Row], [PROFIT]])</f>
        <v>0</v>
      </c>
    </row>
    <row r="1951" spans="1:24" ht="19.5" customHeight="1" x14ac:dyDescent="0.45">
      <c r="A1951" t="s">
        <v>15</v>
      </c>
      <c r="B1951" s="14">
        <f>_xlfn.XLOOKUP(Table1[[#This Row], [TEAM]],Sheet1!$A$12:$A$17,Sheet1!$F$12:$F$17)</f>
        <v>2</v>
      </c>
      <c r="C1951" s="14">
        <f>_xlfn.XLOOKUP(Table1[[#This Row], [TEAM]],Sheet1!$A$12:$A$17,Sheet1!$G$12:$G$17)</f>
        <v>5932950</v>
      </c>
      <c r="D1951" t="s">
        <v>19</v>
      </c>
      <c r="E1951" s="4">
        <f>_xlfn.XLOOKUP(Table1[[#This Row], [ROOM]],Sheet1!$A$47:$A$66,Sheet1!$B$47:$B$66)</f>
        <v>135</v>
      </c>
      <c r="F1951" t="s">
        <v>62</v>
      </c>
      <c r="G195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1" s="13" t="s">
        <v>59</v>
      </c>
      <c r="I1951" s="4">
        <f>_xlfn.XLOOKUP(Table1[[#This Row], [WEAPON]],Sheet1!$A$27:$A$29,Sheet1!$B$27:$B$29)*Table1[[#This Row], [NUM OF MEM]]*(1+_xlfn.XLOOKUP(Table1[[#This Row], [WEAPON]],Sheet1!$A$27:$A$29,Sheet1!$C$27:$C$29))</f>
        <v>91000</v>
      </c>
      <c r="J1951" t="s">
        <v>64</v>
      </c>
      <c r="K1951" s="9">
        <f>Table1[[#This Row], [NUM OF MEM]]*Table1[[#This Row], [TOTAL TIME TAKEN]]*_xlfn.XLOOKUP(Table1[[#This Row], [EXIT]],Sheet1!$A$70:$A$71,Sheet1!$B$70:$B$71)*(1+_xlfn.XLOOKUP(Table1[[#This Row], [EXIT]],Sheet1!$A$70:$A$71,Sheet1!$C$70:$C$71))</f>
        <v>1765411.199999999</v>
      </c>
      <c r="L1951" s="13" t="s">
        <v>61</v>
      </c>
      <c r="M1951" s="4">
        <f>IF(Table1[[#This Row], [EQUIPMENT]]="YES",Sheet1!$C$44*(1+Sheet1!$D$44),0)</f>
        <v>0</v>
      </c>
      <c r="N1951" s="4">
        <f>_xlfn.XLOOKUP(Table1[[#This Row], [ROOM]],Sheet1!$A$47:$A$66,Sheet1!$F$47:$F$66)</f>
        <v>17950000</v>
      </c>
      <c r="O1951" s="9">
        <f>_xlfn.XLOOKUP(_xlfn.CONCAT(Table1[[#This Row], [TEAM]],Table1[[#This Row], [ROOM]]),'ROOM TIME'!$H$2:$H$121,'ROOM TIME'!$J$2:$J$121)</f>
        <v>61.784999999999975</v>
      </c>
      <c r="P1951" s="9">
        <f>(INDEX(Sheet1!$X$48:$Z$67,MATCH(Table1[[#This Row], [ROOM]],Sheet1!$P$48:$P$67,0),MATCH(Table1[[#This Row], [WEAPON]],Sheet1!$X$47:$Z$47,0)))/Table1[[#This Row], [NUM OF MEM]]</f>
        <v>6.3249999999999993</v>
      </c>
      <c r="Q1951" s="9">
        <f>Table1[[#This Row], [ROOM TIME]]+Table1[[#This Row], [GUARD TIME]]</f>
        <v>68.109999999999971</v>
      </c>
      <c r="R1951" s="4">
        <f>Sheet1!$K$3*_xlfn.XLOOKUP(Table1[[#This Row], [DISGUISE]],Sheet1!$A$21:$A$23,Sheet1!$D$21:$D$23)</f>
        <v>66</v>
      </c>
      <c r="S1951" s="9">
        <f>Table1[[#This Row], [TOTAL TIME]]-Table1[[#This Row], [TOTAL TIME TAKEN]]</f>
        <v>-2.109999999999971</v>
      </c>
      <c r="T1951" t="str">
        <f>IF(Table1[[#This Row], [TIME DIFFERENCE]]&gt;=0,"PASS","FAIL")</f>
        <v>FAIL</v>
      </c>
      <c r="U1951" s="9">
        <f>Table1[[#This Row], [TRC]]+Table1[[#This Row], [DRC]]+Table1[[#This Row], [WRC]]+Table1[[#This Row], [ERC]]+Table1[[#This Row], [EQRC]]</f>
        <v>7799761.1999999993</v>
      </c>
      <c r="V1951" s="9">
        <f>Table1[[#This Row], [TOTAL COST]]+_xlfn.XLOOKUP(Table1[[#This Row], [TEAM]],Sheet1!$A$12:$A$17,Sheet1!$I$12:$I$17)</f>
        <v>8096408.6999999993</v>
      </c>
      <c r="W1951" s="9">
        <f>Table1[[#This Row], [LOOT]]-Table1[[#This Row], [TOTAL COST]]</f>
        <v>10150238.800000001</v>
      </c>
      <c r="X1951" s="4">
        <f>IF(Table1[[#This Row], [PASS/FAIL]]="FAIL",0,Table1[[#This Row], [PROFIT]])</f>
        <v>0</v>
      </c>
    </row>
    <row r="1952" spans="1:24" ht="19.5" customHeight="1" x14ac:dyDescent="0.45">
      <c r="A1952" t="s">
        <v>15</v>
      </c>
      <c r="B1952" s="14">
        <f>_xlfn.XLOOKUP(Table1[[#This Row], [TEAM]],Sheet1!$A$12:$A$17,Sheet1!$F$12:$F$17)</f>
        <v>2</v>
      </c>
      <c r="C1952" s="14">
        <f>_xlfn.XLOOKUP(Table1[[#This Row], [TEAM]],Sheet1!$A$12:$A$17,Sheet1!$G$12:$G$17)</f>
        <v>5932950</v>
      </c>
      <c r="D1952" t="s">
        <v>19</v>
      </c>
      <c r="E1952" s="4">
        <f>_xlfn.XLOOKUP(Table1[[#This Row], [ROOM]],Sheet1!$A$47:$A$66,Sheet1!$B$47:$B$66)</f>
        <v>135</v>
      </c>
      <c r="F1952" t="s">
        <v>62</v>
      </c>
      <c r="G195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2" s="13" t="s">
        <v>59</v>
      </c>
      <c r="I1952" s="4">
        <f>_xlfn.XLOOKUP(Table1[[#This Row], [WEAPON]],Sheet1!$A$27:$A$29,Sheet1!$B$27:$B$29)*Table1[[#This Row], [NUM OF MEM]]*(1+_xlfn.XLOOKUP(Table1[[#This Row], [WEAPON]],Sheet1!$A$27:$A$29,Sheet1!$C$27:$C$29))</f>
        <v>91000</v>
      </c>
      <c r="J1952" t="s">
        <v>60</v>
      </c>
      <c r="K1952" s="9">
        <f>Table1[[#This Row], [NUM OF MEM]]*Table1[[#This Row], [TOTAL TIME TAKEN]]*_xlfn.XLOOKUP(Table1[[#This Row], [EXIT]],Sheet1!$A$70:$A$71,Sheet1!$B$70:$B$71)*(1+_xlfn.XLOOKUP(Table1[[#This Row], [EXIT]],Sheet1!$A$70:$A$71,Sheet1!$C$70:$C$71))</f>
        <v>1748043.1499999992</v>
      </c>
      <c r="L1952" s="13" t="s">
        <v>65</v>
      </c>
      <c r="M1952" s="4">
        <f>IF(Table1[[#This Row], [EQUIPMENT]]="YES",Sheet1!$C$44*(1+Sheet1!$D$44),0)</f>
        <v>307500</v>
      </c>
      <c r="N1952" s="4">
        <f>_xlfn.XLOOKUP(Table1[[#This Row], [ROOM]],Sheet1!$A$47:$A$66,Sheet1!$F$47:$F$66)</f>
        <v>17950000</v>
      </c>
      <c r="O1952" s="9">
        <f>_xlfn.XLOOKUP(_xlfn.CONCAT(Table1[[#This Row], [TEAM]],Table1[[#This Row], [ROOM]]),'ROOM TIME'!$H$2:$H$121,'ROOM TIME'!$J$2:$J$121)</f>
        <v>61.784999999999975</v>
      </c>
      <c r="P1952" s="9">
        <f>(INDEX(Sheet1!$X$48:$Z$67,MATCH(Table1[[#This Row], [ROOM]],Sheet1!$P$48:$P$67,0),MATCH(Table1[[#This Row], [WEAPON]],Sheet1!$X$47:$Z$47,0)))/Table1[[#This Row], [NUM OF MEM]]</f>
        <v>6.3249999999999993</v>
      </c>
      <c r="Q1952" s="9">
        <f>Table1[[#This Row], [ROOM TIME]]+Table1[[#This Row], [GUARD TIME]]</f>
        <v>68.109999999999971</v>
      </c>
      <c r="R1952" s="4">
        <f>Sheet1!$K$3*_xlfn.XLOOKUP(Table1[[#This Row], [DISGUISE]],Sheet1!$A$21:$A$23,Sheet1!$D$21:$D$23)</f>
        <v>66</v>
      </c>
      <c r="S1952" s="9">
        <f>Table1[[#This Row], [TOTAL TIME]]-Table1[[#This Row], [TOTAL TIME TAKEN]]</f>
        <v>-2.109999999999971</v>
      </c>
      <c r="T1952" t="str">
        <f>IF(Table1[[#This Row], [TIME DIFFERENCE]]&gt;=0,"PASS","FAIL")</f>
        <v>FAIL</v>
      </c>
      <c r="U1952" s="9">
        <f>Table1[[#This Row], [TRC]]+Table1[[#This Row], [DRC]]+Table1[[#This Row], [WRC]]+Table1[[#This Row], [ERC]]+Table1[[#This Row], [EQRC]]</f>
        <v>8089893.1499999994</v>
      </c>
      <c r="V1952" s="9">
        <f>Table1[[#This Row], [TOTAL COST]]+_xlfn.XLOOKUP(Table1[[#This Row], [TEAM]],Sheet1!$A$12:$A$17,Sheet1!$I$12:$I$17)</f>
        <v>8386540.6499999994</v>
      </c>
      <c r="W1952" s="9">
        <f>Table1[[#This Row], [LOOT]]-Table1[[#This Row], [TOTAL COST]]</f>
        <v>9860106.8500000015</v>
      </c>
      <c r="X1952" s="4">
        <f>IF(Table1[[#This Row], [PASS/FAIL]]="FAIL",0,Table1[[#This Row], [PROFIT]])</f>
        <v>0</v>
      </c>
    </row>
    <row r="1953" spans="1:24" ht="19.5" customHeight="1" x14ac:dyDescent="0.45">
      <c r="A1953" t="s">
        <v>15</v>
      </c>
      <c r="B1953" s="14">
        <f>_xlfn.XLOOKUP(Table1[[#This Row], [TEAM]],Sheet1!$A$12:$A$17,Sheet1!$F$12:$F$17)</f>
        <v>2</v>
      </c>
      <c r="C1953" s="14">
        <f>_xlfn.XLOOKUP(Table1[[#This Row], [TEAM]],Sheet1!$A$12:$A$17,Sheet1!$G$12:$G$17)</f>
        <v>5932950</v>
      </c>
      <c r="D1953" t="s">
        <v>19</v>
      </c>
      <c r="E1953" s="4">
        <f>_xlfn.XLOOKUP(Table1[[#This Row], [ROOM]],Sheet1!$A$47:$A$66,Sheet1!$B$47:$B$66)</f>
        <v>135</v>
      </c>
      <c r="F1953" t="s">
        <v>58</v>
      </c>
      <c r="G1953" s="4">
        <f>_xlfn.XLOOKUP(Table1[[#This Row], [DISGUISE]],Sheet1!$A$21:$A$23,Sheet1!$B$21:$B$23)*Table1[[#This Row], [NUM OF MEM]]*(1+_xlfn.XLOOKUP(Table1[[#This Row], [DISGUISE]],Sheet1!$A$21:$A$23,Sheet1!$C$21:$C$23))</f>
        <v>25600</v>
      </c>
      <c r="H1953" s="13" t="s">
        <v>63</v>
      </c>
      <c r="I1953" s="4">
        <f>_xlfn.XLOOKUP(Table1[[#This Row], [WEAPON]],Sheet1!$A$27:$A$29,Sheet1!$B$27:$B$29)*Table1[[#This Row], [NUM OF MEM]]*(1+_xlfn.XLOOKUP(Table1[[#This Row], [WEAPON]],Sheet1!$A$27:$A$29,Sheet1!$C$27:$C$29))</f>
        <v>46000</v>
      </c>
      <c r="J1953" t="s">
        <v>60</v>
      </c>
      <c r="K1953" s="9">
        <f>Table1[[#This Row], [NUM OF MEM]]*Table1[[#This Row], [TOTAL TIME TAKEN]]*_xlfn.XLOOKUP(Table1[[#This Row], [EXIT]],Sheet1!$A$70:$A$71,Sheet1!$B$70:$B$71)*(1+_xlfn.XLOOKUP(Table1[[#This Row], [EXIT]],Sheet1!$A$70:$A$71,Sheet1!$C$70:$C$71))</f>
        <v>1776274.6499999992</v>
      </c>
      <c r="L1953" s="13" t="s">
        <v>61</v>
      </c>
      <c r="M1953" s="4">
        <f>IF(Table1[[#This Row], [EQUIPMENT]]="YES",Sheet1!$C$44*(1+Sheet1!$D$44),0)</f>
        <v>0</v>
      </c>
      <c r="N1953" s="4">
        <f>_xlfn.XLOOKUP(Table1[[#This Row], [ROOM]],Sheet1!$A$47:$A$66,Sheet1!$F$47:$F$66)</f>
        <v>17950000</v>
      </c>
      <c r="O1953" s="9">
        <f>_xlfn.XLOOKUP(_xlfn.CONCAT(Table1[[#This Row], [TEAM]],Table1[[#This Row], [ROOM]]),'ROOM TIME'!$H$2:$H$121,'ROOM TIME'!$J$2:$J$121)</f>
        <v>61.784999999999975</v>
      </c>
      <c r="P1953" s="9">
        <f>(INDEX(Sheet1!$X$48:$Z$67,MATCH(Table1[[#This Row], [ROOM]],Sheet1!$P$48:$P$67,0),MATCH(Table1[[#This Row], [WEAPON]],Sheet1!$X$47:$Z$47,0)))/Table1[[#This Row], [NUM OF MEM]]</f>
        <v>7.4250000000000007</v>
      </c>
      <c r="Q1953" s="9">
        <f>Table1[[#This Row], [ROOM TIME]]+Table1[[#This Row], [GUARD TIME]]</f>
        <v>69.20999999999998</v>
      </c>
      <c r="R1953" s="4">
        <f>Sheet1!$K$3*_xlfn.XLOOKUP(Table1[[#This Row], [DISGUISE]],Sheet1!$A$21:$A$23,Sheet1!$D$21:$D$23)</f>
        <v>69</v>
      </c>
      <c r="S1953" s="9">
        <f>Table1[[#This Row], [TOTAL TIME]]-Table1[[#This Row], [TOTAL TIME TAKEN]]</f>
        <v>-0.20999999999997954</v>
      </c>
      <c r="T1953" t="str">
        <f>IF(Table1[[#This Row], [TIME DIFFERENCE]]&gt;=0,"PASS","FAIL")</f>
        <v>FAIL</v>
      </c>
      <c r="U1953" s="9">
        <f>Table1[[#This Row], [TRC]]+Table1[[#This Row], [DRC]]+Table1[[#This Row], [WRC]]+Table1[[#This Row], [ERC]]+Table1[[#This Row], [EQRC]]</f>
        <v>7780824.6499999994</v>
      </c>
      <c r="V1953" s="9">
        <f>Table1[[#This Row], [TOTAL COST]]+_xlfn.XLOOKUP(Table1[[#This Row], [TEAM]],Sheet1!$A$12:$A$17,Sheet1!$I$12:$I$17)</f>
        <v>8077472.1499999994</v>
      </c>
      <c r="W1953" s="9">
        <f>Table1[[#This Row], [LOOT]]-Table1[[#This Row], [TOTAL COST]]</f>
        <v>10169175.350000001</v>
      </c>
      <c r="X1953" s="4">
        <f>IF(Table1[[#This Row], [PASS/FAIL]]="FAIL",0,Table1[[#This Row], [PROFIT]])</f>
        <v>0</v>
      </c>
    </row>
    <row r="1954" spans="1:24" ht="19.5" customHeight="1" x14ac:dyDescent="0.45">
      <c r="A1954" t="s">
        <v>15</v>
      </c>
      <c r="B1954" s="14">
        <f>_xlfn.XLOOKUP(Table1[[#This Row], [TEAM]],Sheet1!$A$12:$A$17,Sheet1!$F$12:$F$17)</f>
        <v>2</v>
      </c>
      <c r="C1954" s="14">
        <f>_xlfn.XLOOKUP(Table1[[#This Row], [TEAM]],Sheet1!$A$12:$A$17,Sheet1!$G$12:$G$17)</f>
        <v>5932950</v>
      </c>
      <c r="D1954" t="s">
        <v>19</v>
      </c>
      <c r="E1954" s="4">
        <f>_xlfn.XLOOKUP(Table1[[#This Row], [ROOM]],Sheet1!$A$47:$A$66,Sheet1!$B$47:$B$66)</f>
        <v>135</v>
      </c>
      <c r="F1954" t="s">
        <v>62</v>
      </c>
      <c r="G195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4" s="13" t="s">
        <v>59</v>
      </c>
      <c r="I1954" s="4">
        <f>_xlfn.XLOOKUP(Table1[[#This Row], [WEAPON]],Sheet1!$A$27:$A$29,Sheet1!$B$27:$B$29)*Table1[[#This Row], [NUM OF MEM]]*(1+_xlfn.XLOOKUP(Table1[[#This Row], [WEAPON]],Sheet1!$A$27:$A$29,Sheet1!$C$27:$C$29))</f>
        <v>91000</v>
      </c>
      <c r="J1954" t="s">
        <v>64</v>
      </c>
      <c r="K1954" s="9">
        <f>Table1[[#This Row], [NUM OF MEM]]*Table1[[#This Row], [TOTAL TIME TAKEN]]*_xlfn.XLOOKUP(Table1[[#This Row], [EXIT]],Sheet1!$A$70:$A$71,Sheet1!$B$70:$B$71)*(1+_xlfn.XLOOKUP(Table1[[#This Row], [EXIT]],Sheet1!$A$70:$A$71,Sheet1!$C$70:$C$71))</f>
        <v>1765411.199999999</v>
      </c>
      <c r="L1954" s="13" t="s">
        <v>65</v>
      </c>
      <c r="M1954" s="4">
        <f>IF(Table1[[#This Row], [EQUIPMENT]]="YES",Sheet1!$C$44*(1+Sheet1!$D$44),0)</f>
        <v>307500</v>
      </c>
      <c r="N1954" s="4">
        <f>_xlfn.XLOOKUP(Table1[[#This Row], [ROOM]],Sheet1!$A$47:$A$66,Sheet1!$F$47:$F$66)</f>
        <v>17950000</v>
      </c>
      <c r="O1954" s="9">
        <f>_xlfn.XLOOKUP(_xlfn.CONCAT(Table1[[#This Row], [TEAM]],Table1[[#This Row], [ROOM]]),'ROOM TIME'!$H$2:$H$121,'ROOM TIME'!$J$2:$J$121)</f>
        <v>61.784999999999975</v>
      </c>
      <c r="P1954" s="9">
        <f>(INDEX(Sheet1!$X$48:$Z$67,MATCH(Table1[[#This Row], [ROOM]],Sheet1!$P$48:$P$67,0),MATCH(Table1[[#This Row], [WEAPON]],Sheet1!$X$47:$Z$47,0)))/Table1[[#This Row], [NUM OF MEM]]</f>
        <v>6.3249999999999993</v>
      </c>
      <c r="Q1954" s="9">
        <f>Table1[[#This Row], [ROOM TIME]]+Table1[[#This Row], [GUARD TIME]]</f>
        <v>68.109999999999971</v>
      </c>
      <c r="R1954" s="4">
        <f>Sheet1!$K$3*_xlfn.XLOOKUP(Table1[[#This Row], [DISGUISE]],Sheet1!$A$21:$A$23,Sheet1!$D$21:$D$23)</f>
        <v>66</v>
      </c>
      <c r="S1954" s="9">
        <f>Table1[[#This Row], [TOTAL TIME]]-Table1[[#This Row], [TOTAL TIME TAKEN]]</f>
        <v>-2.109999999999971</v>
      </c>
      <c r="T1954" t="str">
        <f>IF(Table1[[#This Row], [TIME DIFFERENCE]]&gt;=0,"PASS","FAIL")</f>
        <v>FAIL</v>
      </c>
      <c r="U1954" s="9">
        <f>Table1[[#This Row], [TRC]]+Table1[[#This Row], [DRC]]+Table1[[#This Row], [WRC]]+Table1[[#This Row], [ERC]]+Table1[[#This Row], [EQRC]]</f>
        <v>8107261.1999999993</v>
      </c>
      <c r="V1954" s="9">
        <f>Table1[[#This Row], [TOTAL COST]]+_xlfn.XLOOKUP(Table1[[#This Row], [TEAM]],Sheet1!$A$12:$A$17,Sheet1!$I$12:$I$17)</f>
        <v>8403908.6999999993</v>
      </c>
      <c r="W1954" s="9">
        <f>Table1[[#This Row], [LOOT]]-Table1[[#This Row], [TOTAL COST]]</f>
        <v>9842738.8000000007</v>
      </c>
      <c r="X1954" s="4">
        <f>IF(Table1[[#This Row], [PASS/FAIL]]="FAIL",0,Table1[[#This Row], [PROFIT]])</f>
        <v>0</v>
      </c>
    </row>
    <row r="1955" spans="1:24" ht="19.5" customHeight="1" x14ac:dyDescent="0.45">
      <c r="A1955" t="s">
        <v>15</v>
      </c>
      <c r="B1955" s="14">
        <f>_xlfn.XLOOKUP(Table1[[#This Row], [TEAM]],Sheet1!$A$12:$A$17,Sheet1!$F$12:$F$17)</f>
        <v>2</v>
      </c>
      <c r="C1955" s="14">
        <f>_xlfn.XLOOKUP(Table1[[#This Row], [TEAM]],Sheet1!$A$12:$A$17,Sheet1!$G$12:$G$17)</f>
        <v>5932950</v>
      </c>
      <c r="D1955" t="s">
        <v>19</v>
      </c>
      <c r="E1955" s="4">
        <f>_xlfn.XLOOKUP(Table1[[#This Row], [ROOM]],Sheet1!$A$47:$A$66,Sheet1!$B$47:$B$66)</f>
        <v>135</v>
      </c>
      <c r="F1955" t="s">
        <v>58</v>
      </c>
      <c r="G1955" s="4">
        <f>_xlfn.XLOOKUP(Table1[[#This Row], [DISGUISE]],Sheet1!$A$21:$A$23,Sheet1!$B$21:$B$23)*Table1[[#This Row], [NUM OF MEM]]*(1+_xlfn.XLOOKUP(Table1[[#This Row], [DISGUISE]],Sheet1!$A$21:$A$23,Sheet1!$C$21:$C$23))</f>
        <v>25600</v>
      </c>
      <c r="H1955" s="13" t="s">
        <v>63</v>
      </c>
      <c r="I1955" s="4">
        <f>_xlfn.XLOOKUP(Table1[[#This Row], [WEAPON]],Sheet1!$A$27:$A$29,Sheet1!$B$27:$B$29)*Table1[[#This Row], [NUM OF MEM]]*(1+_xlfn.XLOOKUP(Table1[[#This Row], [WEAPON]],Sheet1!$A$27:$A$29,Sheet1!$C$27:$C$29))</f>
        <v>46000</v>
      </c>
      <c r="J1955" t="s">
        <v>64</v>
      </c>
      <c r="K1955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1793923.1999999995</v>
      </c>
      <c r="L1955" s="13" t="s">
        <v>61</v>
      </c>
      <c r="M1955" s="4">
        <f>IF(Table1[[#This Row], [EQUIPMENT]]="YES",Sheet1!$C$44*(1+Sheet1!$D$44),0)</f>
        <v>0</v>
      </c>
      <c r="N1955" s="4">
        <f>_xlfn.XLOOKUP(Table1[[#This Row], [ROOM]],Sheet1!$A$47:$A$66,Sheet1!$F$47:$F$66)</f>
        <v>17950000</v>
      </c>
      <c r="O1955" s="9">
        <f>_xlfn.XLOOKUP(_xlfn.CONCAT(Table1[[#This Row], [TEAM]],Table1[[#This Row], [ROOM]]),'ROOM TIME'!$H$2:$H$121,'ROOM TIME'!$J$2:$J$121)</f>
        <v>61.784999999999975</v>
      </c>
      <c r="P1955" s="9">
        <f>(INDEX(Sheet1!$X$48:$Z$67,MATCH(Table1[[#This Row], [ROOM]],Sheet1!$P$48:$P$67,0),MATCH(Table1[[#This Row], [WEAPON]],Sheet1!$X$47:$Z$47,0)))/Table1[[#This Row], [NUM OF MEM]]</f>
        <v>7.4250000000000007</v>
      </c>
      <c r="Q1955" s="9">
        <f>Table1[[#This Row], [ROOM TIME]]+Table1[[#This Row], [GUARD TIME]]</f>
        <v>69.20999999999998</v>
      </c>
      <c r="R1955" s="4">
        <f>Sheet1!$K$3*_xlfn.XLOOKUP(Table1[[#This Row], [DISGUISE]],Sheet1!$A$21:$A$23,Sheet1!$D$21:$D$23)</f>
        <v>69</v>
      </c>
      <c r="S1955" s="9">
        <f>Table1[[#This Row], [TOTAL TIME]]-Table1[[#This Row], [TOTAL TIME TAKEN]]</f>
        <v>-0.20999999999997954</v>
      </c>
      <c r="T1955" t="str">
        <f>IF(Table1[[#This Row], [TIME DIFFERENCE]]&gt;=0,"PASS","FAIL")</f>
        <v>FAIL</v>
      </c>
      <c r="U1955" s="9">
        <f>Table1[[#This Row], [TRC]]+Table1[[#This Row], [DRC]]+Table1[[#This Row], [WRC]]+Table1[[#This Row], [ERC]]+Table1[[#This Row], [EQRC]]</f>
        <v>7798473.1999999993</v>
      </c>
      <c r="V1955" s="9">
        <f>Table1[[#This Row], [TOTAL COST]]+_xlfn.XLOOKUP(Table1[[#This Row], [TEAM]],Sheet1!$A$12:$A$17,Sheet1!$I$12:$I$17)</f>
        <v>8095120.6999999993</v>
      </c>
      <c r="W1955" s="9">
        <f>Table1[[#This Row], [LOOT]]-Table1[[#This Row], [TOTAL COST]]</f>
        <v>10151526.800000001</v>
      </c>
      <c r="X1955" s="4">
        <f>IF(Table1[[#This Row], [PASS/FAIL]]="FAIL",0,Table1[[#This Row], [PROFIT]])</f>
        <v>0</v>
      </c>
    </row>
    <row r="1956" spans="1:24" ht="19.5" customHeight="1" x14ac:dyDescent="0.45">
      <c r="A1956" t="s">
        <v>15</v>
      </c>
      <c r="B1956" s="14">
        <f>_xlfn.XLOOKUP(Table1[[#This Row], [TEAM]],Sheet1!$A$12:$A$17,Sheet1!$F$12:$F$17)</f>
        <v>2</v>
      </c>
      <c r="C1956" s="14">
        <f>_xlfn.XLOOKUP(Table1[[#This Row], [TEAM]],Sheet1!$A$12:$A$17,Sheet1!$G$12:$G$17)</f>
        <v>5932950</v>
      </c>
      <c r="D1956" t="s">
        <v>19</v>
      </c>
      <c r="E1956" s="4">
        <f>_xlfn.XLOOKUP(Table1[[#This Row], [ROOM]],Sheet1!$A$47:$A$66,Sheet1!$B$47:$B$66)</f>
        <v>135</v>
      </c>
      <c r="F1956" t="s">
        <v>58</v>
      </c>
      <c r="G1956" s="4">
        <f>_xlfn.XLOOKUP(Table1[[#This Row], [DISGUISE]],Sheet1!$A$21:$A$23,Sheet1!$B$21:$B$23)*Table1[[#This Row], [NUM OF MEM]]*(1+_xlfn.XLOOKUP(Table1[[#This Row], [DISGUISE]],Sheet1!$A$21:$A$23,Sheet1!$C$21:$C$23))</f>
        <v>25600</v>
      </c>
      <c r="H1956" s="13" t="s">
        <v>63</v>
      </c>
      <c r="I1956" s="4">
        <f>_xlfn.XLOOKUP(Table1[[#This Row], [WEAPON]],Sheet1!$A$27:$A$29,Sheet1!$B$27:$B$29)*Table1[[#This Row], [NUM OF MEM]]*(1+_xlfn.XLOOKUP(Table1[[#This Row], [WEAPON]],Sheet1!$A$27:$A$29,Sheet1!$C$27:$C$29))</f>
        <v>46000</v>
      </c>
      <c r="J1956" t="s">
        <v>60</v>
      </c>
      <c r="K1956" s="9">
        <f>Table1[[#This Row], [NUM OF MEM]]*Table1[[#This Row], [TOTAL TIME TAKEN]]*_xlfn.XLOOKUP(Table1[[#This Row], [EXIT]],Sheet1!$A$70:$A$71,Sheet1!$B$70:$B$71)*(1+_xlfn.XLOOKUP(Table1[[#This Row], [EXIT]],Sheet1!$A$70:$A$71,Sheet1!$C$70:$C$71))</f>
        <v>1776274.6499999992</v>
      </c>
      <c r="L1956" s="13" t="s">
        <v>65</v>
      </c>
      <c r="M1956" s="4">
        <f>IF(Table1[[#This Row], [EQUIPMENT]]="YES",Sheet1!$C$44*(1+Sheet1!$D$44),0)</f>
        <v>307500</v>
      </c>
      <c r="N1956" s="4">
        <f>_xlfn.XLOOKUP(Table1[[#This Row], [ROOM]],Sheet1!$A$47:$A$66,Sheet1!$F$47:$F$66)</f>
        <v>17950000</v>
      </c>
      <c r="O1956" s="9">
        <f>_xlfn.XLOOKUP(_xlfn.CONCAT(Table1[[#This Row], [TEAM]],Table1[[#This Row], [ROOM]]),'ROOM TIME'!$H$2:$H$121,'ROOM TIME'!$J$2:$J$121)</f>
        <v>61.784999999999975</v>
      </c>
      <c r="P1956" s="9">
        <f>(INDEX(Sheet1!$X$48:$Z$67,MATCH(Table1[[#This Row], [ROOM]],Sheet1!$P$48:$P$67,0),MATCH(Table1[[#This Row], [WEAPON]],Sheet1!$X$47:$Z$47,0)))/Table1[[#This Row], [NUM OF MEM]]</f>
        <v>7.4250000000000007</v>
      </c>
      <c r="Q1956" s="9">
        <f>Table1[[#This Row], [ROOM TIME]]+Table1[[#This Row], [GUARD TIME]]</f>
        <v>69.20999999999998</v>
      </c>
      <c r="R1956" s="4">
        <f>Sheet1!$K$3*_xlfn.XLOOKUP(Table1[[#This Row], [DISGUISE]],Sheet1!$A$21:$A$23,Sheet1!$D$21:$D$23)</f>
        <v>69</v>
      </c>
      <c r="S1956" s="9">
        <f>Table1[[#This Row], [TOTAL TIME]]-Table1[[#This Row], [TOTAL TIME TAKEN]]</f>
        <v>-0.20999999999997954</v>
      </c>
      <c r="T1956" t="str">
        <f>IF(Table1[[#This Row], [TIME DIFFERENCE]]&gt;=0,"PASS","FAIL")</f>
        <v>FAIL</v>
      </c>
      <c r="U1956" s="9">
        <f>Table1[[#This Row], [TRC]]+Table1[[#This Row], [DRC]]+Table1[[#This Row], [WRC]]+Table1[[#This Row], [ERC]]+Table1[[#This Row], [EQRC]]</f>
        <v>8088324.6499999994</v>
      </c>
      <c r="V1956" s="9">
        <f>Table1[[#This Row], [TOTAL COST]]+_xlfn.XLOOKUP(Table1[[#This Row], [TEAM]],Sheet1!$A$12:$A$17,Sheet1!$I$12:$I$17)</f>
        <v>8384972.1499999994</v>
      </c>
      <c r="W1956" s="9">
        <f>Table1[[#This Row], [LOOT]]-Table1[[#This Row], [TOTAL COST]]</f>
        <v>9861675.3500000015</v>
      </c>
      <c r="X1956" s="4">
        <f>IF(Table1[[#This Row], [PASS/FAIL]]="FAIL",0,Table1[[#This Row], [PROFIT]])</f>
        <v>0</v>
      </c>
    </row>
    <row r="1957" spans="1:24" ht="19.5" customHeight="1" x14ac:dyDescent="0.45">
      <c r="A1957" t="s">
        <v>15</v>
      </c>
      <c r="B1957" s="14">
        <f>_xlfn.XLOOKUP(Table1[[#This Row], [TEAM]],Sheet1!$A$12:$A$17,Sheet1!$F$12:$F$17)</f>
        <v>2</v>
      </c>
      <c r="C1957" s="14">
        <f>_xlfn.XLOOKUP(Table1[[#This Row], [TEAM]],Sheet1!$A$12:$A$17,Sheet1!$G$12:$G$17)</f>
        <v>5932950</v>
      </c>
      <c r="D1957" t="s">
        <v>19</v>
      </c>
      <c r="E1957" s="4">
        <f>_xlfn.XLOOKUP(Table1[[#This Row], [ROOM]],Sheet1!$A$47:$A$66,Sheet1!$B$47:$B$66)</f>
        <v>135</v>
      </c>
      <c r="F1957" t="s">
        <v>58</v>
      </c>
      <c r="G1957" s="4">
        <f>_xlfn.XLOOKUP(Table1[[#This Row], [DISGUISE]],Sheet1!$A$21:$A$23,Sheet1!$B$21:$B$23)*Table1[[#This Row], [NUM OF MEM]]*(1+_xlfn.XLOOKUP(Table1[[#This Row], [DISGUISE]],Sheet1!$A$21:$A$23,Sheet1!$C$21:$C$23))</f>
        <v>25600</v>
      </c>
      <c r="H1957" s="13" t="s">
        <v>63</v>
      </c>
      <c r="I1957" s="4">
        <f>_xlfn.XLOOKUP(Table1[[#This Row], [WEAPON]],Sheet1!$A$27:$A$29,Sheet1!$B$27:$B$29)*Table1[[#This Row], [NUM OF MEM]]*(1+_xlfn.XLOOKUP(Table1[[#This Row], [WEAPON]],Sheet1!$A$27:$A$29,Sheet1!$C$27:$C$29))</f>
        <v>46000</v>
      </c>
      <c r="J1957" t="s">
        <v>64</v>
      </c>
      <c r="K1957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1793923.1999999995</v>
      </c>
      <c r="L1957" s="13" t="s">
        <v>65</v>
      </c>
      <c r="M1957" s="4">
        <f>IF(Table1[[#This Row], [EQUIPMENT]]="YES",Sheet1!$C$44*(1+Sheet1!$D$44),0)</f>
        <v>307500</v>
      </c>
      <c r="N1957" s="4">
        <f>_xlfn.XLOOKUP(Table1[[#This Row], [ROOM]],Sheet1!$A$47:$A$66,Sheet1!$F$47:$F$66)</f>
        <v>17950000</v>
      </c>
      <c r="O1957" s="9">
        <f>_xlfn.XLOOKUP(_xlfn.CONCAT(Table1[[#This Row], [TEAM]],Table1[[#This Row], [ROOM]]),'ROOM TIME'!$H$2:$H$121,'ROOM TIME'!$J$2:$J$121)</f>
        <v>61.784999999999975</v>
      </c>
      <c r="P1957" s="9">
        <f>(INDEX(Sheet1!$X$48:$Z$67,MATCH(Table1[[#This Row], [ROOM]],Sheet1!$P$48:$P$67,0),MATCH(Table1[[#This Row], [WEAPON]],Sheet1!$X$47:$Z$47,0)))/Table1[[#This Row], [NUM OF MEM]]</f>
        <v>7.4250000000000007</v>
      </c>
      <c r="Q1957" s="9">
        <f>Table1[[#This Row], [ROOM TIME]]+Table1[[#This Row], [GUARD TIME]]</f>
        <v>69.20999999999998</v>
      </c>
      <c r="R1957" s="4">
        <f>Sheet1!$K$3*_xlfn.XLOOKUP(Table1[[#This Row], [DISGUISE]],Sheet1!$A$21:$A$23,Sheet1!$D$21:$D$23)</f>
        <v>69</v>
      </c>
      <c r="S1957" s="9">
        <f>Table1[[#This Row], [TOTAL TIME]]-Table1[[#This Row], [TOTAL TIME TAKEN]]</f>
        <v>-0.20999999999997954</v>
      </c>
      <c r="T1957" t="str">
        <f>IF(Table1[[#This Row], [TIME DIFFERENCE]]&gt;=0,"PASS","FAIL")</f>
        <v>FAIL</v>
      </c>
      <c r="U1957" s="9">
        <f>Table1[[#This Row], [TRC]]+Table1[[#This Row], [DRC]]+Table1[[#This Row], [WRC]]+Table1[[#This Row], [ERC]]+Table1[[#This Row], [EQRC]]</f>
        <v>8105973.1999999993</v>
      </c>
      <c r="V1957" s="9">
        <f>Table1[[#This Row], [TOTAL COST]]+_xlfn.XLOOKUP(Table1[[#This Row], [TEAM]],Sheet1!$A$12:$A$17,Sheet1!$I$12:$I$17)</f>
        <v>8402620.6999999993</v>
      </c>
      <c r="W1957" s="9">
        <f>Table1[[#This Row], [LOOT]]-Table1[[#This Row], [TOTAL COST]]</f>
        <v>9844026.8000000007</v>
      </c>
      <c r="X1957" s="4">
        <f>IF(Table1[[#This Row], [PASS/FAIL]]="FAIL",0,Table1[[#This Row], [PROFIT]])</f>
        <v>0</v>
      </c>
    </row>
    <row r="1958" spans="1:24" ht="19.5" customHeight="1" x14ac:dyDescent="0.45">
      <c r="A1958" t="s">
        <v>15</v>
      </c>
      <c r="B1958" s="14">
        <f>_xlfn.XLOOKUP(Table1[[#This Row], [TEAM]],Sheet1!$A$12:$A$17,Sheet1!$F$12:$F$17)</f>
        <v>2</v>
      </c>
      <c r="C1958" s="14">
        <f>_xlfn.XLOOKUP(Table1[[#This Row], [TEAM]],Sheet1!$A$12:$A$17,Sheet1!$G$12:$G$17)</f>
        <v>5932950</v>
      </c>
      <c r="D1958" t="s">
        <v>19</v>
      </c>
      <c r="E1958" s="4">
        <f>_xlfn.XLOOKUP(Table1[[#This Row], [ROOM]],Sheet1!$A$47:$A$66,Sheet1!$B$47:$B$66)</f>
        <v>135</v>
      </c>
      <c r="F1958" t="s">
        <v>62</v>
      </c>
      <c r="G195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8" s="13" t="s">
        <v>63</v>
      </c>
      <c r="I1958" s="4">
        <f>_xlfn.XLOOKUP(Table1[[#This Row], [WEAPON]],Sheet1!$A$27:$A$29,Sheet1!$B$27:$B$29)*Table1[[#This Row], [NUM OF MEM]]*(1+_xlfn.XLOOKUP(Table1[[#This Row], [WEAPON]],Sheet1!$A$27:$A$29,Sheet1!$C$27:$C$29))</f>
        <v>46000</v>
      </c>
      <c r="J1958" t="s">
        <v>60</v>
      </c>
      <c r="K1958" s="9">
        <f>Table1[[#This Row], [NUM OF MEM]]*Table1[[#This Row], [TOTAL TIME TAKEN]]*_xlfn.XLOOKUP(Table1[[#This Row], [EXIT]],Sheet1!$A$70:$A$71,Sheet1!$B$70:$B$71)*(1+_xlfn.XLOOKUP(Table1[[#This Row], [EXIT]],Sheet1!$A$70:$A$71,Sheet1!$C$70:$C$71))</f>
        <v>1776274.6499999992</v>
      </c>
      <c r="L1958" s="13" t="s">
        <v>61</v>
      </c>
      <c r="M1958" s="4">
        <f>IF(Table1[[#This Row], [EQUIPMENT]]="YES",Sheet1!$C$44*(1+Sheet1!$D$44),0)</f>
        <v>0</v>
      </c>
      <c r="N1958" s="4">
        <f>_xlfn.XLOOKUP(Table1[[#This Row], [ROOM]],Sheet1!$A$47:$A$66,Sheet1!$F$47:$F$66)</f>
        <v>17950000</v>
      </c>
      <c r="O1958" s="9">
        <f>_xlfn.XLOOKUP(_xlfn.CONCAT(Table1[[#This Row], [TEAM]],Table1[[#This Row], [ROOM]]),'ROOM TIME'!$H$2:$H$121,'ROOM TIME'!$J$2:$J$121)</f>
        <v>61.784999999999975</v>
      </c>
      <c r="P1958" s="9">
        <f>(INDEX(Sheet1!$X$48:$Z$67,MATCH(Table1[[#This Row], [ROOM]],Sheet1!$P$48:$P$67,0),MATCH(Table1[[#This Row], [WEAPON]],Sheet1!$X$47:$Z$47,0)))/Table1[[#This Row], [NUM OF MEM]]</f>
        <v>7.4250000000000007</v>
      </c>
      <c r="Q1958" s="9">
        <f>Table1[[#This Row], [ROOM TIME]]+Table1[[#This Row], [GUARD TIME]]</f>
        <v>69.20999999999998</v>
      </c>
      <c r="R1958" s="4">
        <f>Sheet1!$K$3*_xlfn.XLOOKUP(Table1[[#This Row], [DISGUISE]],Sheet1!$A$21:$A$23,Sheet1!$D$21:$D$23)</f>
        <v>66</v>
      </c>
      <c r="S1958" s="9">
        <f>Table1[[#This Row], [TOTAL TIME]]-Table1[[#This Row], [TOTAL TIME TAKEN]]</f>
        <v>-3.2099999999999795</v>
      </c>
      <c r="T1958" t="str">
        <f>IF(Table1[[#This Row], [TIME DIFFERENCE]]&gt;=0,"PASS","FAIL")</f>
        <v>FAIL</v>
      </c>
      <c r="U1958" s="9">
        <f>Table1[[#This Row], [TRC]]+Table1[[#This Row], [DRC]]+Table1[[#This Row], [WRC]]+Table1[[#This Row], [ERC]]+Table1[[#This Row], [EQRC]]</f>
        <v>7765624.6499999994</v>
      </c>
      <c r="V1958" s="9">
        <f>Table1[[#This Row], [TOTAL COST]]+_xlfn.XLOOKUP(Table1[[#This Row], [TEAM]],Sheet1!$A$12:$A$17,Sheet1!$I$12:$I$17)</f>
        <v>8062272.1499999994</v>
      </c>
      <c r="W1958" s="9">
        <f>Table1[[#This Row], [LOOT]]-Table1[[#This Row], [TOTAL COST]]</f>
        <v>10184375.350000001</v>
      </c>
      <c r="X1958" s="4">
        <f>IF(Table1[[#This Row], [PASS/FAIL]]="FAIL",0,Table1[[#This Row], [PROFIT]])</f>
        <v>0</v>
      </c>
    </row>
    <row r="1959" spans="1:24" ht="19.5" customHeight="1" x14ac:dyDescent="0.45">
      <c r="A1959" t="s">
        <v>15</v>
      </c>
      <c r="B1959" s="14">
        <f>_xlfn.XLOOKUP(Table1[[#This Row], [TEAM]],Sheet1!$A$12:$A$17,Sheet1!$F$12:$F$17)</f>
        <v>2</v>
      </c>
      <c r="C1959" s="14">
        <f>_xlfn.XLOOKUP(Table1[[#This Row], [TEAM]],Sheet1!$A$12:$A$17,Sheet1!$G$12:$G$17)</f>
        <v>5932950</v>
      </c>
      <c r="D1959" t="s">
        <v>19</v>
      </c>
      <c r="E1959" s="4">
        <f>_xlfn.XLOOKUP(Table1[[#This Row], [ROOM]],Sheet1!$A$47:$A$66,Sheet1!$B$47:$B$66)</f>
        <v>135</v>
      </c>
      <c r="F1959" t="s">
        <v>62</v>
      </c>
      <c r="G195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59" s="13" t="s">
        <v>66</v>
      </c>
      <c r="I1959" s="4">
        <f>_xlfn.XLOOKUP(Table1[[#This Row], [WEAPON]],Sheet1!$A$27:$A$29,Sheet1!$B$27:$B$29)*Table1[[#This Row], [NUM OF MEM]]*(1+_xlfn.XLOOKUP(Table1[[#This Row], [WEAPON]],Sheet1!$A$27:$A$29,Sheet1!$C$27:$C$29))</f>
        <v>72000</v>
      </c>
      <c r="J1959" t="s">
        <v>60</v>
      </c>
      <c r="K1959" s="9">
        <f>Table1[[#This Row], [NUM OF MEM]]*Table1[[#This Row], [TOTAL TIME TAKEN]]*_xlfn.XLOOKUP(Table1[[#This Row], [EXIT]],Sheet1!$A$70:$A$71,Sheet1!$B$70:$B$71)*(1+_xlfn.XLOOKUP(Table1[[#This Row], [EXIT]],Sheet1!$A$70:$A$71,Sheet1!$C$70:$C$71))</f>
        <v>1762158.8999999992</v>
      </c>
      <c r="L1959" s="13" t="s">
        <v>61</v>
      </c>
      <c r="M1959" s="4">
        <f>IF(Table1[[#This Row], [EQUIPMENT]]="YES",Sheet1!$C$44*(1+Sheet1!$D$44),0)</f>
        <v>0</v>
      </c>
      <c r="N1959" s="4">
        <f>_xlfn.XLOOKUP(Table1[[#This Row], [ROOM]],Sheet1!$A$47:$A$66,Sheet1!$F$47:$F$66)</f>
        <v>17950000</v>
      </c>
      <c r="O1959" s="9">
        <f>_xlfn.XLOOKUP(_xlfn.CONCAT(Table1[[#This Row], [TEAM]],Table1[[#This Row], [ROOM]]),'ROOM TIME'!$H$2:$H$121,'ROOM TIME'!$J$2:$J$121)</f>
        <v>61.784999999999975</v>
      </c>
      <c r="P1959" s="9">
        <f>(INDEX(Sheet1!$X$48:$Z$67,MATCH(Table1[[#This Row], [ROOM]],Sheet1!$P$48:$P$67,0),MATCH(Table1[[#This Row], [WEAPON]],Sheet1!$X$47:$Z$47,0)))/Table1[[#This Row], [NUM OF MEM]]</f>
        <v>6.875</v>
      </c>
      <c r="Q1959" s="9">
        <f>Table1[[#This Row], [ROOM TIME]]+Table1[[#This Row], [GUARD TIME]]</f>
        <v>68.659999999999968</v>
      </c>
      <c r="R1959" s="4">
        <f>Sheet1!$K$3*_xlfn.XLOOKUP(Table1[[#This Row], [DISGUISE]],Sheet1!$A$21:$A$23,Sheet1!$D$21:$D$23)</f>
        <v>66</v>
      </c>
      <c r="S1959" s="9">
        <f>Table1[[#This Row], [TOTAL TIME]]-Table1[[#This Row], [TOTAL TIME TAKEN]]</f>
        <v>-2.6599999999999682</v>
      </c>
      <c r="T1959" t="str">
        <f>IF(Table1[[#This Row], [TIME DIFFERENCE]]&gt;=0,"PASS","FAIL")</f>
        <v>FAIL</v>
      </c>
      <c r="U1959" s="9">
        <f>Table1[[#This Row], [TRC]]+Table1[[#This Row], [DRC]]+Table1[[#This Row], [WRC]]+Table1[[#This Row], [ERC]]+Table1[[#This Row], [EQRC]]</f>
        <v>7777508.8999999994</v>
      </c>
      <c r="V1959" s="9">
        <f>Table1[[#This Row], [TOTAL COST]]+_xlfn.XLOOKUP(Table1[[#This Row], [TEAM]],Sheet1!$A$12:$A$17,Sheet1!$I$12:$I$17)</f>
        <v>8074156.3999999994</v>
      </c>
      <c r="W1959" s="9">
        <f>Table1[[#This Row], [LOOT]]-Table1[[#This Row], [TOTAL COST]]</f>
        <v>10172491.100000001</v>
      </c>
      <c r="X1959" s="4">
        <f>IF(Table1[[#This Row], [PASS/FAIL]]="FAIL",0,Table1[[#This Row], [PROFIT]])</f>
        <v>0</v>
      </c>
    </row>
    <row r="1960" spans="1:24" ht="19.5" customHeight="1" x14ac:dyDescent="0.45">
      <c r="A1960" t="s">
        <v>15</v>
      </c>
      <c r="B1960" s="14">
        <f>_xlfn.XLOOKUP(Table1[[#This Row], [TEAM]],Sheet1!$A$12:$A$17,Sheet1!$F$12:$F$17)</f>
        <v>2</v>
      </c>
      <c r="C1960" s="14">
        <f>_xlfn.XLOOKUP(Table1[[#This Row], [TEAM]],Sheet1!$A$12:$A$17,Sheet1!$G$12:$G$17)</f>
        <v>5932950</v>
      </c>
      <c r="D1960" t="s">
        <v>19</v>
      </c>
      <c r="E1960" s="4">
        <f>_xlfn.XLOOKUP(Table1[[#This Row], [ROOM]],Sheet1!$A$47:$A$66,Sheet1!$B$47:$B$66)</f>
        <v>135</v>
      </c>
      <c r="F1960" t="s">
        <v>62</v>
      </c>
      <c r="G196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0" s="13" t="s">
        <v>63</v>
      </c>
      <c r="I1960" s="4">
        <f>_xlfn.XLOOKUP(Table1[[#This Row], [WEAPON]],Sheet1!$A$27:$A$29,Sheet1!$B$27:$B$29)*Table1[[#This Row], [NUM OF MEM]]*(1+_xlfn.XLOOKUP(Table1[[#This Row], [WEAPON]],Sheet1!$A$27:$A$29,Sheet1!$C$27:$C$29))</f>
        <v>46000</v>
      </c>
      <c r="J1960" t="s">
        <v>64</v>
      </c>
      <c r="K1960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1793923.1999999995</v>
      </c>
      <c r="L1960" s="13" t="s">
        <v>61</v>
      </c>
      <c r="M1960" s="4">
        <f>IF(Table1[[#This Row], [EQUIPMENT]]="YES",Sheet1!$C$44*(1+Sheet1!$D$44),0)</f>
        <v>0</v>
      </c>
      <c r="N1960" s="4">
        <f>_xlfn.XLOOKUP(Table1[[#This Row], [ROOM]],Sheet1!$A$47:$A$66,Sheet1!$F$47:$F$66)</f>
        <v>17950000</v>
      </c>
      <c r="O1960" s="9">
        <f>_xlfn.XLOOKUP(_xlfn.CONCAT(Table1[[#This Row], [TEAM]],Table1[[#This Row], [ROOM]]),'ROOM TIME'!$H$2:$H$121,'ROOM TIME'!$J$2:$J$121)</f>
        <v>61.784999999999975</v>
      </c>
      <c r="P1960" s="9">
        <f>(INDEX(Sheet1!$X$48:$Z$67,MATCH(Table1[[#This Row], [ROOM]],Sheet1!$P$48:$P$67,0),MATCH(Table1[[#This Row], [WEAPON]],Sheet1!$X$47:$Z$47,0)))/Table1[[#This Row], [NUM OF MEM]]</f>
        <v>7.4250000000000007</v>
      </c>
      <c r="Q1960" s="9">
        <f>Table1[[#This Row], [ROOM TIME]]+Table1[[#This Row], [GUARD TIME]]</f>
        <v>69.20999999999998</v>
      </c>
      <c r="R1960" s="4">
        <f>Sheet1!$K$3*_xlfn.XLOOKUP(Table1[[#This Row], [DISGUISE]],Sheet1!$A$21:$A$23,Sheet1!$D$21:$D$23)</f>
        <v>66</v>
      </c>
      <c r="S1960" s="9">
        <f>Table1[[#This Row], [TOTAL TIME]]-Table1[[#This Row], [TOTAL TIME TAKEN]]</f>
        <v>-3.2099999999999795</v>
      </c>
      <c r="T1960" t="str">
        <f>IF(Table1[[#This Row], [TIME DIFFERENCE]]&gt;=0,"PASS","FAIL")</f>
        <v>FAIL</v>
      </c>
      <c r="U1960" s="9">
        <f>Table1[[#This Row], [TRC]]+Table1[[#This Row], [DRC]]+Table1[[#This Row], [WRC]]+Table1[[#This Row], [ERC]]+Table1[[#This Row], [EQRC]]</f>
        <v>7783273.1999999993</v>
      </c>
      <c r="V1960" s="9">
        <f>Table1[[#This Row], [TOTAL COST]]+_xlfn.XLOOKUP(Table1[[#This Row], [TEAM]],Sheet1!$A$12:$A$17,Sheet1!$I$12:$I$17)</f>
        <v>8079920.6999999993</v>
      </c>
      <c r="W1960" s="9">
        <f>Table1[[#This Row], [LOOT]]-Table1[[#This Row], [TOTAL COST]]</f>
        <v>10166726.800000001</v>
      </c>
      <c r="X1960" s="4">
        <f>IF(Table1[[#This Row], [PASS/FAIL]]="FAIL",0,Table1[[#This Row], [PROFIT]])</f>
        <v>0</v>
      </c>
    </row>
    <row r="1961" spans="1:24" ht="19.5" customHeight="1" x14ac:dyDescent="0.45">
      <c r="A1961" t="s">
        <v>15</v>
      </c>
      <c r="B1961" s="14">
        <f>_xlfn.XLOOKUP(Table1[[#This Row], [TEAM]],Sheet1!$A$12:$A$17,Sheet1!$F$12:$F$17)</f>
        <v>2</v>
      </c>
      <c r="C1961" s="14">
        <f>_xlfn.XLOOKUP(Table1[[#This Row], [TEAM]],Sheet1!$A$12:$A$17,Sheet1!$G$12:$G$17)</f>
        <v>5932950</v>
      </c>
      <c r="D1961" t="s">
        <v>19</v>
      </c>
      <c r="E1961" s="4">
        <f>_xlfn.XLOOKUP(Table1[[#This Row], [ROOM]],Sheet1!$A$47:$A$66,Sheet1!$B$47:$B$66)</f>
        <v>135</v>
      </c>
      <c r="F1961" t="s">
        <v>62</v>
      </c>
      <c r="G196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1" s="13" t="s">
        <v>66</v>
      </c>
      <c r="I1961" s="4">
        <f>_xlfn.XLOOKUP(Table1[[#This Row], [WEAPON]],Sheet1!$A$27:$A$29,Sheet1!$B$27:$B$29)*Table1[[#This Row], [NUM OF MEM]]*(1+_xlfn.XLOOKUP(Table1[[#This Row], [WEAPON]],Sheet1!$A$27:$A$29,Sheet1!$C$27:$C$29))</f>
        <v>72000</v>
      </c>
      <c r="J1961" t="s">
        <v>64</v>
      </c>
      <c r="K1961" s="9">
        <f>Table1[[#This Row], [NUM OF MEM]]*Table1[[#This Row], [TOTAL TIME TAKEN]]*_xlfn.XLOOKUP(Table1[[#This Row], [EXIT]],Sheet1!$A$70:$A$71,Sheet1!$B$70:$B$71)*(1+_xlfn.XLOOKUP(Table1[[#This Row], [EXIT]],Sheet1!$A$70:$A$71,Sheet1!$C$70:$C$71))</f>
        <v>1779667.199999999</v>
      </c>
      <c r="L1961" s="13" t="s">
        <v>61</v>
      </c>
      <c r="M1961" s="4">
        <f>IF(Table1[[#This Row], [EQUIPMENT]]="YES",Sheet1!$C$44*(1+Sheet1!$D$44),0)</f>
        <v>0</v>
      </c>
      <c r="N1961" s="4">
        <f>_xlfn.XLOOKUP(Table1[[#This Row], [ROOM]],Sheet1!$A$47:$A$66,Sheet1!$F$47:$F$66)</f>
        <v>17950000</v>
      </c>
      <c r="O1961" s="9">
        <f>_xlfn.XLOOKUP(_xlfn.CONCAT(Table1[[#This Row], [TEAM]],Table1[[#This Row], [ROOM]]),'ROOM TIME'!$H$2:$H$121,'ROOM TIME'!$J$2:$J$121)</f>
        <v>61.784999999999975</v>
      </c>
      <c r="P1961" s="9">
        <f>(INDEX(Sheet1!$X$48:$Z$67,MATCH(Table1[[#This Row], [ROOM]],Sheet1!$P$48:$P$67,0),MATCH(Table1[[#This Row], [WEAPON]],Sheet1!$X$47:$Z$47,0)))/Table1[[#This Row], [NUM OF MEM]]</f>
        <v>6.875</v>
      </c>
      <c r="Q1961" s="9">
        <f>Table1[[#This Row], [ROOM TIME]]+Table1[[#This Row], [GUARD TIME]]</f>
        <v>68.659999999999968</v>
      </c>
      <c r="R1961" s="4">
        <f>Sheet1!$K$3*_xlfn.XLOOKUP(Table1[[#This Row], [DISGUISE]],Sheet1!$A$21:$A$23,Sheet1!$D$21:$D$23)</f>
        <v>66</v>
      </c>
      <c r="S1961" s="9">
        <f>Table1[[#This Row], [TOTAL TIME]]-Table1[[#This Row], [TOTAL TIME TAKEN]]</f>
        <v>-2.6599999999999682</v>
      </c>
      <c r="T1961" t="str">
        <f>IF(Table1[[#This Row], [TIME DIFFERENCE]]&gt;=0,"PASS","FAIL")</f>
        <v>FAIL</v>
      </c>
      <c r="U1961" s="9">
        <f>Table1[[#This Row], [TRC]]+Table1[[#This Row], [DRC]]+Table1[[#This Row], [WRC]]+Table1[[#This Row], [ERC]]+Table1[[#This Row], [EQRC]]</f>
        <v>7795017.1999999993</v>
      </c>
      <c r="V1961" s="9">
        <f>Table1[[#This Row], [TOTAL COST]]+_xlfn.XLOOKUP(Table1[[#This Row], [TEAM]],Sheet1!$A$12:$A$17,Sheet1!$I$12:$I$17)</f>
        <v>8091664.6999999993</v>
      </c>
      <c r="W1961" s="9">
        <f>Table1[[#This Row], [LOOT]]-Table1[[#This Row], [TOTAL COST]]</f>
        <v>10154982.800000001</v>
      </c>
      <c r="X1961" s="4">
        <f>IF(Table1[[#This Row], [PASS/FAIL]]="FAIL",0,Table1[[#This Row], [PROFIT]])</f>
        <v>0</v>
      </c>
    </row>
    <row r="1962" spans="1:24" ht="19.5" customHeight="1" x14ac:dyDescent="0.45">
      <c r="A1962" t="s">
        <v>15</v>
      </c>
      <c r="B1962" s="14">
        <f>_xlfn.XLOOKUP(Table1[[#This Row], [TEAM]],Sheet1!$A$12:$A$17,Sheet1!$F$12:$F$17)</f>
        <v>2</v>
      </c>
      <c r="C1962" s="14">
        <f>_xlfn.XLOOKUP(Table1[[#This Row], [TEAM]],Sheet1!$A$12:$A$17,Sheet1!$G$12:$G$17)</f>
        <v>5932950</v>
      </c>
      <c r="D1962" t="s">
        <v>19</v>
      </c>
      <c r="E1962" s="4">
        <f>_xlfn.XLOOKUP(Table1[[#This Row], [ROOM]],Sheet1!$A$47:$A$66,Sheet1!$B$47:$B$66)</f>
        <v>135</v>
      </c>
      <c r="F1962" t="s">
        <v>62</v>
      </c>
      <c r="G196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2" s="13" t="s">
        <v>63</v>
      </c>
      <c r="I1962" s="4">
        <f>_xlfn.XLOOKUP(Table1[[#This Row], [WEAPON]],Sheet1!$A$27:$A$29,Sheet1!$B$27:$B$29)*Table1[[#This Row], [NUM OF MEM]]*(1+_xlfn.XLOOKUP(Table1[[#This Row], [WEAPON]],Sheet1!$A$27:$A$29,Sheet1!$C$27:$C$29))</f>
        <v>46000</v>
      </c>
      <c r="J1962" t="s">
        <v>60</v>
      </c>
      <c r="K1962" s="9">
        <f>Table1[[#This Row], [NUM OF MEM]]*Table1[[#This Row], [TOTAL TIME TAKEN]]*_xlfn.XLOOKUP(Table1[[#This Row], [EXIT]],Sheet1!$A$70:$A$71,Sheet1!$B$70:$B$71)*(1+_xlfn.XLOOKUP(Table1[[#This Row], [EXIT]],Sheet1!$A$70:$A$71,Sheet1!$C$70:$C$71))</f>
        <v>1776274.6499999992</v>
      </c>
      <c r="L1962" s="13" t="s">
        <v>65</v>
      </c>
      <c r="M1962" s="4">
        <f>IF(Table1[[#This Row], [EQUIPMENT]]="YES",Sheet1!$C$44*(1+Sheet1!$D$44),0)</f>
        <v>307500</v>
      </c>
      <c r="N1962" s="4">
        <f>_xlfn.XLOOKUP(Table1[[#This Row], [ROOM]],Sheet1!$A$47:$A$66,Sheet1!$F$47:$F$66)</f>
        <v>17950000</v>
      </c>
      <c r="O1962" s="9">
        <f>_xlfn.XLOOKUP(_xlfn.CONCAT(Table1[[#This Row], [TEAM]],Table1[[#This Row], [ROOM]]),'ROOM TIME'!$H$2:$H$121,'ROOM TIME'!$J$2:$J$121)</f>
        <v>61.784999999999975</v>
      </c>
      <c r="P1962" s="9">
        <f>(INDEX(Sheet1!$X$48:$Z$67,MATCH(Table1[[#This Row], [ROOM]],Sheet1!$P$48:$P$67,0),MATCH(Table1[[#This Row], [WEAPON]],Sheet1!$X$47:$Z$47,0)))/Table1[[#This Row], [NUM OF MEM]]</f>
        <v>7.4250000000000007</v>
      </c>
      <c r="Q1962" s="9">
        <f>Table1[[#This Row], [ROOM TIME]]+Table1[[#This Row], [GUARD TIME]]</f>
        <v>69.20999999999998</v>
      </c>
      <c r="R1962" s="4">
        <f>Sheet1!$K$3*_xlfn.XLOOKUP(Table1[[#This Row], [DISGUISE]],Sheet1!$A$21:$A$23,Sheet1!$D$21:$D$23)</f>
        <v>66</v>
      </c>
      <c r="S1962" s="9">
        <f>Table1[[#This Row], [TOTAL TIME]]-Table1[[#This Row], [TOTAL TIME TAKEN]]</f>
        <v>-3.2099999999999795</v>
      </c>
      <c r="T1962" t="str">
        <f>IF(Table1[[#This Row], [TIME DIFFERENCE]]&gt;=0,"PASS","FAIL")</f>
        <v>FAIL</v>
      </c>
      <c r="U1962" s="9">
        <f>Table1[[#This Row], [TRC]]+Table1[[#This Row], [DRC]]+Table1[[#This Row], [WRC]]+Table1[[#This Row], [ERC]]+Table1[[#This Row], [EQRC]]</f>
        <v>8073124.6499999994</v>
      </c>
      <c r="V1962" s="9">
        <f>Table1[[#This Row], [TOTAL COST]]+_xlfn.XLOOKUP(Table1[[#This Row], [TEAM]],Sheet1!$A$12:$A$17,Sheet1!$I$12:$I$17)</f>
        <v>8369772.1499999994</v>
      </c>
      <c r="W1962" s="9">
        <f>Table1[[#This Row], [LOOT]]-Table1[[#This Row], [TOTAL COST]]</f>
        <v>9876875.3500000015</v>
      </c>
      <c r="X1962" s="4">
        <f>IF(Table1[[#This Row], [PASS/FAIL]]="FAIL",0,Table1[[#This Row], [PROFIT]])</f>
        <v>0</v>
      </c>
    </row>
    <row r="1963" spans="1:24" ht="19.5" customHeight="1" x14ac:dyDescent="0.45">
      <c r="A1963" t="s">
        <v>15</v>
      </c>
      <c r="B1963" s="14">
        <f>_xlfn.XLOOKUP(Table1[[#This Row], [TEAM]],Sheet1!$A$12:$A$17,Sheet1!$F$12:$F$17)</f>
        <v>2</v>
      </c>
      <c r="C1963" s="14">
        <f>_xlfn.XLOOKUP(Table1[[#This Row], [TEAM]],Sheet1!$A$12:$A$17,Sheet1!$G$12:$G$17)</f>
        <v>5932950</v>
      </c>
      <c r="D1963" t="s">
        <v>19</v>
      </c>
      <c r="E1963" s="4">
        <f>_xlfn.XLOOKUP(Table1[[#This Row], [ROOM]],Sheet1!$A$47:$A$66,Sheet1!$B$47:$B$66)</f>
        <v>135</v>
      </c>
      <c r="F1963" t="s">
        <v>62</v>
      </c>
      <c r="G196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3" s="13" t="s">
        <v>66</v>
      </c>
      <c r="I1963" s="4">
        <f>_xlfn.XLOOKUP(Table1[[#This Row], [WEAPON]],Sheet1!$A$27:$A$29,Sheet1!$B$27:$B$29)*Table1[[#This Row], [NUM OF MEM]]*(1+_xlfn.XLOOKUP(Table1[[#This Row], [WEAPON]],Sheet1!$A$27:$A$29,Sheet1!$C$27:$C$29))</f>
        <v>72000</v>
      </c>
      <c r="J1963" t="s">
        <v>60</v>
      </c>
      <c r="K1963" s="9">
        <f>Table1[[#This Row], [NUM OF MEM]]*Table1[[#This Row], [TOTAL TIME TAKEN]]*_xlfn.XLOOKUP(Table1[[#This Row], [EXIT]],Sheet1!$A$70:$A$71,Sheet1!$B$70:$B$71)*(1+_xlfn.XLOOKUP(Table1[[#This Row], [EXIT]],Sheet1!$A$70:$A$71,Sheet1!$C$70:$C$71))</f>
        <v>1762158.8999999992</v>
      </c>
      <c r="L1963" s="13" t="s">
        <v>65</v>
      </c>
      <c r="M1963" s="4">
        <f>IF(Table1[[#This Row], [EQUIPMENT]]="YES",Sheet1!$C$44*(1+Sheet1!$D$44),0)</f>
        <v>307500</v>
      </c>
      <c r="N1963" s="4">
        <f>_xlfn.XLOOKUP(Table1[[#This Row], [ROOM]],Sheet1!$A$47:$A$66,Sheet1!$F$47:$F$66)</f>
        <v>17950000</v>
      </c>
      <c r="O1963" s="9">
        <f>_xlfn.XLOOKUP(_xlfn.CONCAT(Table1[[#This Row], [TEAM]],Table1[[#This Row], [ROOM]]),'ROOM TIME'!$H$2:$H$121,'ROOM TIME'!$J$2:$J$121)</f>
        <v>61.784999999999975</v>
      </c>
      <c r="P1963" s="9">
        <f>(INDEX(Sheet1!$X$48:$Z$67,MATCH(Table1[[#This Row], [ROOM]],Sheet1!$P$48:$P$67,0),MATCH(Table1[[#This Row], [WEAPON]],Sheet1!$X$47:$Z$47,0)))/Table1[[#This Row], [NUM OF MEM]]</f>
        <v>6.875</v>
      </c>
      <c r="Q1963" s="9">
        <f>Table1[[#This Row], [ROOM TIME]]+Table1[[#This Row], [GUARD TIME]]</f>
        <v>68.659999999999968</v>
      </c>
      <c r="R1963" s="4">
        <f>Sheet1!$K$3*_xlfn.XLOOKUP(Table1[[#This Row], [DISGUISE]],Sheet1!$A$21:$A$23,Sheet1!$D$21:$D$23)</f>
        <v>66</v>
      </c>
      <c r="S1963" s="9">
        <f>Table1[[#This Row], [TOTAL TIME]]-Table1[[#This Row], [TOTAL TIME TAKEN]]</f>
        <v>-2.6599999999999682</v>
      </c>
      <c r="T1963" t="str">
        <f>IF(Table1[[#This Row], [TIME DIFFERENCE]]&gt;=0,"PASS","FAIL")</f>
        <v>FAIL</v>
      </c>
      <c r="U1963" s="9">
        <f>Table1[[#This Row], [TRC]]+Table1[[#This Row], [DRC]]+Table1[[#This Row], [WRC]]+Table1[[#This Row], [ERC]]+Table1[[#This Row], [EQRC]]</f>
        <v>8085008.8999999994</v>
      </c>
      <c r="V1963" s="9">
        <f>Table1[[#This Row], [TOTAL COST]]+_xlfn.XLOOKUP(Table1[[#This Row], [TEAM]],Sheet1!$A$12:$A$17,Sheet1!$I$12:$I$17)</f>
        <v>8381656.3999999994</v>
      </c>
      <c r="W1963" s="9">
        <f>Table1[[#This Row], [LOOT]]-Table1[[#This Row], [TOTAL COST]]</f>
        <v>9864991.1000000015</v>
      </c>
      <c r="X1963" s="4">
        <f>IF(Table1[[#This Row], [PASS/FAIL]]="FAIL",0,Table1[[#This Row], [PROFIT]])</f>
        <v>0</v>
      </c>
    </row>
    <row r="1964" spans="1:24" ht="19.5" customHeight="1" x14ac:dyDescent="0.45">
      <c r="A1964" t="s">
        <v>15</v>
      </c>
      <c r="B1964" s="14">
        <f>_xlfn.XLOOKUP(Table1[[#This Row], [TEAM]],Sheet1!$A$12:$A$17,Sheet1!$F$12:$F$17)</f>
        <v>2</v>
      </c>
      <c r="C1964" s="14">
        <f>_xlfn.XLOOKUP(Table1[[#This Row], [TEAM]],Sheet1!$A$12:$A$17,Sheet1!$G$12:$G$17)</f>
        <v>5932950</v>
      </c>
      <c r="D1964" t="s">
        <v>19</v>
      </c>
      <c r="E1964" s="4">
        <f>_xlfn.XLOOKUP(Table1[[#This Row], [ROOM]],Sheet1!$A$47:$A$66,Sheet1!$B$47:$B$66)</f>
        <v>135</v>
      </c>
      <c r="F1964" t="s">
        <v>62</v>
      </c>
      <c r="G196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4" s="13" t="s">
        <v>63</v>
      </c>
      <c r="I1964" s="4">
        <f>_xlfn.XLOOKUP(Table1[[#This Row], [WEAPON]],Sheet1!$A$27:$A$29,Sheet1!$B$27:$B$29)*Table1[[#This Row], [NUM OF MEM]]*(1+_xlfn.XLOOKUP(Table1[[#This Row], [WEAPON]],Sheet1!$A$27:$A$29,Sheet1!$C$27:$C$29))</f>
        <v>46000</v>
      </c>
      <c r="J1964" t="s">
        <v>64</v>
      </c>
      <c r="K1964" s="9">
        <f>Table1[[#This Row], [NUM OF MEM]]*Table1[[#This Row], [TOTAL TIME TAKEN]]*_xlfn.XLOOKUP(Table1[[#This Row], [EXIT]],Sheet1!$A$70:$A$71,Sheet1!$B$70:$B$71)*(1+_xlfn.XLOOKUP(Table1[[#This Row], [EXIT]],Sheet1!$A$70:$A$71,Sheet1!$C$70:$C$71))</f>
        <v>1793923.1999999995</v>
      </c>
      <c r="L1964" s="13" t="s">
        <v>65</v>
      </c>
      <c r="M1964" s="4">
        <f>IF(Table1[[#This Row], [EQUIPMENT]]="YES",Sheet1!$C$44*(1+Sheet1!$D$44),0)</f>
        <v>307500</v>
      </c>
      <c r="N1964" s="4">
        <f>_xlfn.XLOOKUP(Table1[[#This Row], [ROOM]],Sheet1!$A$47:$A$66,Sheet1!$F$47:$F$66)</f>
        <v>17950000</v>
      </c>
      <c r="O1964" s="9">
        <f>_xlfn.XLOOKUP(_xlfn.CONCAT(Table1[[#This Row], [TEAM]],Table1[[#This Row], [ROOM]]),'ROOM TIME'!$H$2:$H$121,'ROOM TIME'!$J$2:$J$121)</f>
        <v>61.784999999999975</v>
      </c>
      <c r="P1964" s="9">
        <f>(INDEX(Sheet1!$X$48:$Z$67,MATCH(Table1[[#This Row], [ROOM]],Sheet1!$P$48:$P$67,0),MATCH(Table1[[#This Row], [WEAPON]],Sheet1!$X$47:$Z$47,0)))/Table1[[#This Row], [NUM OF MEM]]</f>
        <v>7.4250000000000007</v>
      </c>
      <c r="Q1964" s="9">
        <f>Table1[[#This Row], [ROOM TIME]]+Table1[[#This Row], [GUARD TIME]]</f>
        <v>69.20999999999998</v>
      </c>
      <c r="R1964" s="4">
        <f>Sheet1!$K$3*_xlfn.XLOOKUP(Table1[[#This Row], [DISGUISE]],Sheet1!$A$21:$A$23,Sheet1!$D$21:$D$23)</f>
        <v>66</v>
      </c>
      <c r="S1964" s="9">
        <f>Table1[[#This Row], [TOTAL TIME]]-Table1[[#This Row], [TOTAL TIME TAKEN]]</f>
        <v>-3.2099999999999795</v>
      </c>
      <c r="T1964" t="str">
        <f>IF(Table1[[#This Row], [TIME DIFFERENCE]]&gt;=0,"PASS","FAIL")</f>
        <v>FAIL</v>
      </c>
      <c r="U1964" s="9">
        <f>Table1[[#This Row], [TRC]]+Table1[[#This Row], [DRC]]+Table1[[#This Row], [WRC]]+Table1[[#This Row], [ERC]]+Table1[[#This Row], [EQRC]]</f>
        <v>8090773.1999999993</v>
      </c>
      <c r="V1964" s="9">
        <f>Table1[[#This Row], [TOTAL COST]]+_xlfn.XLOOKUP(Table1[[#This Row], [TEAM]],Sheet1!$A$12:$A$17,Sheet1!$I$12:$I$17)</f>
        <v>8387420.6999999993</v>
      </c>
      <c r="W1964" s="9">
        <f>Table1[[#This Row], [LOOT]]-Table1[[#This Row], [TOTAL COST]]</f>
        <v>9859226.8000000007</v>
      </c>
      <c r="X1964" s="4">
        <f>IF(Table1[[#This Row], [PASS/FAIL]]="FAIL",0,Table1[[#This Row], [PROFIT]])</f>
        <v>0</v>
      </c>
    </row>
    <row r="1965" spans="1:24" ht="19.5" customHeight="1" x14ac:dyDescent="0.45">
      <c r="A1965" t="s">
        <v>15</v>
      </c>
      <c r="B1965" s="14">
        <f>_xlfn.XLOOKUP(Table1[[#This Row], [TEAM]],Sheet1!$A$12:$A$17,Sheet1!$F$12:$F$17)</f>
        <v>2</v>
      </c>
      <c r="C1965" s="14">
        <f>_xlfn.XLOOKUP(Table1[[#This Row], [TEAM]],Sheet1!$A$12:$A$17,Sheet1!$G$12:$G$17)</f>
        <v>5932950</v>
      </c>
      <c r="D1965" t="s">
        <v>19</v>
      </c>
      <c r="E1965" s="4">
        <f>_xlfn.XLOOKUP(Table1[[#This Row], [ROOM]],Sheet1!$A$47:$A$66,Sheet1!$B$47:$B$66)</f>
        <v>135</v>
      </c>
      <c r="F1965" t="s">
        <v>62</v>
      </c>
      <c r="G196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5" s="13" t="s">
        <v>66</v>
      </c>
      <c r="I1965" s="4">
        <f>_xlfn.XLOOKUP(Table1[[#This Row], [WEAPON]],Sheet1!$A$27:$A$29,Sheet1!$B$27:$B$29)*Table1[[#This Row], [NUM OF MEM]]*(1+_xlfn.XLOOKUP(Table1[[#This Row], [WEAPON]],Sheet1!$A$27:$A$29,Sheet1!$C$27:$C$29))</f>
        <v>72000</v>
      </c>
      <c r="J1965" t="s">
        <v>64</v>
      </c>
      <c r="K1965" s="9">
        <f>Table1[[#This Row], [NUM OF MEM]]*Table1[[#This Row], [TOTAL TIME TAKEN]]*_xlfn.XLOOKUP(Table1[[#This Row], [EXIT]],Sheet1!$A$70:$A$71,Sheet1!$B$70:$B$71)*(1+_xlfn.XLOOKUP(Table1[[#This Row], [EXIT]],Sheet1!$A$70:$A$71,Sheet1!$C$70:$C$71))</f>
        <v>1779667.199999999</v>
      </c>
      <c r="L1965" s="13" t="s">
        <v>65</v>
      </c>
      <c r="M1965" s="4">
        <f>IF(Table1[[#This Row], [EQUIPMENT]]="YES",Sheet1!$C$44*(1+Sheet1!$D$44),0)</f>
        <v>307500</v>
      </c>
      <c r="N1965" s="4">
        <f>_xlfn.XLOOKUP(Table1[[#This Row], [ROOM]],Sheet1!$A$47:$A$66,Sheet1!$F$47:$F$66)</f>
        <v>17950000</v>
      </c>
      <c r="O1965" s="9">
        <f>_xlfn.XLOOKUP(_xlfn.CONCAT(Table1[[#This Row], [TEAM]],Table1[[#This Row], [ROOM]]),'ROOM TIME'!$H$2:$H$121,'ROOM TIME'!$J$2:$J$121)</f>
        <v>61.784999999999975</v>
      </c>
      <c r="P1965" s="9">
        <f>(INDEX(Sheet1!$X$48:$Z$67,MATCH(Table1[[#This Row], [ROOM]],Sheet1!$P$48:$P$67,0),MATCH(Table1[[#This Row], [WEAPON]],Sheet1!$X$47:$Z$47,0)))/Table1[[#This Row], [NUM OF MEM]]</f>
        <v>6.875</v>
      </c>
      <c r="Q1965" s="9">
        <f>Table1[[#This Row], [ROOM TIME]]+Table1[[#This Row], [GUARD TIME]]</f>
        <v>68.659999999999968</v>
      </c>
      <c r="R1965" s="4">
        <f>Sheet1!$K$3*_xlfn.XLOOKUP(Table1[[#This Row], [DISGUISE]],Sheet1!$A$21:$A$23,Sheet1!$D$21:$D$23)</f>
        <v>66</v>
      </c>
      <c r="S1965" s="9">
        <f>Table1[[#This Row], [TOTAL TIME]]-Table1[[#This Row], [TOTAL TIME TAKEN]]</f>
        <v>-2.6599999999999682</v>
      </c>
      <c r="T1965" t="str">
        <f>IF(Table1[[#This Row], [TIME DIFFERENCE]]&gt;=0,"PASS","FAIL")</f>
        <v>FAIL</v>
      </c>
      <c r="U1965" s="9">
        <f>Table1[[#This Row], [TRC]]+Table1[[#This Row], [DRC]]+Table1[[#This Row], [WRC]]+Table1[[#This Row], [ERC]]+Table1[[#This Row], [EQRC]]</f>
        <v>8102517.1999999993</v>
      </c>
      <c r="V1965" s="9">
        <f>Table1[[#This Row], [TOTAL COST]]+_xlfn.XLOOKUP(Table1[[#This Row], [TEAM]],Sheet1!$A$12:$A$17,Sheet1!$I$12:$I$17)</f>
        <v>8399164.6999999993</v>
      </c>
      <c r="W1965" s="9">
        <f>Table1[[#This Row], [LOOT]]-Table1[[#This Row], [TOTAL COST]]</f>
        <v>9847482.8000000007</v>
      </c>
      <c r="X1965" s="4">
        <f>IF(Table1[[#This Row], [PASS/FAIL]]="FAIL",0,Table1[[#This Row], [PROFIT]])</f>
        <v>0</v>
      </c>
    </row>
    <row r="1966" spans="1:24" ht="19.5" customHeight="1" x14ac:dyDescent="0.45">
      <c r="A1966" t="s">
        <v>16</v>
      </c>
      <c r="B1966" s="14">
        <f>_xlfn.XLOOKUP(Table1[[#This Row], [TEAM]],Sheet1!$A$12:$A$17,Sheet1!$F$12:$F$17)</f>
        <v>2</v>
      </c>
      <c r="C1966" s="14">
        <f>_xlfn.XLOOKUP(Table1[[#This Row], [TEAM]],Sheet1!$A$12:$A$17,Sheet1!$G$12:$G$17)</f>
        <v>6082800</v>
      </c>
      <c r="D1966" t="s">
        <v>19</v>
      </c>
      <c r="E1966" s="4">
        <f>_xlfn.XLOOKUP(Table1[[#This Row], [ROOM]],Sheet1!$A$47:$A$66,Sheet1!$B$47:$B$66)</f>
        <v>135</v>
      </c>
      <c r="F1966" t="s">
        <v>62</v>
      </c>
      <c r="G196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6" s="13" t="s">
        <v>59</v>
      </c>
      <c r="I1966" s="4">
        <f>_xlfn.XLOOKUP(Table1[[#This Row], [WEAPON]],Sheet1!$A$27:$A$29,Sheet1!$B$27:$B$29)*Table1[[#This Row], [NUM OF MEM]]*(1+_xlfn.XLOOKUP(Table1[[#This Row], [WEAPON]],Sheet1!$A$27:$A$29,Sheet1!$C$27:$C$29))</f>
        <v>91000</v>
      </c>
      <c r="J1966" t="s">
        <v>60</v>
      </c>
      <c r="K1966" s="9">
        <f>Table1[[#This Row], [NUM OF MEM]]*Table1[[#This Row], [TOTAL TIME TAKEN]]*_xlfn.XLOOKUP(Table1[[#This Row], [EXIT]],Sheet1!$A$70:$A$71,Sheet1!$B$70:$B$71)*(1+_xlfn.XLOOKUP(Table1[[#This Row], [EXIT]],Sheet1!$A$70:$A$71,Sheet1!$C$70:$C$71))</f>
        <v>1723276.4249999996</v>
      </c>
      <c r="L1966" s="13" t="s">
        <v>61</v>
      </c>
      <c r="M1966" s="4">
        <f>IF(Table1[[#This Row], [EQUIPMENT]]="YES",Sheet1!$C$44*(1+Sheet1!$D$44),0)</f>
        <v>0</v>
      </c>
      <c r="N1966" s="4">
        <f>_xlfn.XLOOKUP(Table1[[#This Row], [ROOM]],Sheet1!$A$47:$A$66,Sheet1!$F$47:$F$66)</f>
        <v>17950000</v>
      </c>
      <c r="O1966" s="9">
        <f>_xlfn.XLOOKUP(_xlfn.CONCAT(Table1[[#This Row], [TEAM]],Table1[[#This Row], [ROOM]]),'ROOM TIME'!$H$2:$H$121,'ROOM TIME'!$J$2:$J$121)</f>
        <v>60.819999999999979</v>
      </c>
      <c r="P1966" s="9">
        <f>(INDEX(Sheet1!$X$48:$Z$67,MATCH(Table1[[#This Row], [ROOM]],Sheet1!$P$48:$P$67,0),MATCH(Table1[[#This Row], [WEAPON]],Sheet1!$X$47:$Z$47,0)))/Table1[[#This Row], [NUM OF MEM]]</f>
        <v>6.3249999999999993</v>
      </c>
      <c r="Q1966" s="9">
        <f>Table1[[#This Row], [ROOM TIME]]+Table1[[#This Row], [GUARD TIME]]</f>
        <v>67.144999999999982</v>
      </c>
      <c r="R1966" s="4">
        <f>Sheet1!$K$3*_xlfn.XLOOKUP(Table1[[#This Row], [DISGUISE]],Sheet1!$A$21:$A$23,Sheet1!$D$21:$D$23)</f>
        <v>66</v>
      </c>
      <c r="S1966" s="9">
        <f>Table1[[#This Row], [TOTAL TIME]]-Table1[[#This Row], [TOTAL TIME TAKEN]]</f>
        <v>-1.1449999999999818</v>
      </c>
      <c r="T1966" t="str">
        <f>IF(Table1[[#This Row], [TIME DIFFERENCE]]&gt;=0,"PASS","FAIL")</f>
        <v>FAIL</v>
      </c>
      <c r="U1966" s="9">
        <f>Table1[[#This Row], [TRC]]+Table1[[#This Row], [DRC]]+Table1[[#This Row], [WRC]]+Table1[[#This Row], [ERC]]+Table1[[#This Row], [EQRC]]</f>
        <v>7907476.4249999998</v>
      </c>
      <c r="V1966" s="9">
        <f>Table1[[#This Row], [TOTAL COST]]+_xlfn.XLOOKUP(Table1[[#This Row], [TEAM]],Sheet1!$A$12:$A$17,Sheet1!$I$12:$I$17)</f>
        <v>8211616.4249999998</v>
      </c>
      <c r="W1966" s="9">
        <f>Table1[[#This Row], [LOOT]]-Table1[[#This Row], [TOTAL COST]]</f>
        <v>10042523.574999999</v>
      </c>
      <c r="X1966" s="4">
        <f>IF(Table1[[#This Row], [PASS/FAIL]]="FAIL",0,Table1[[#This Row], [PROFIT]])</f>
        <v>0</v>
      </c>
    </row>
    <row r="1967" spans="1:24" ht="19.5" customHeight="1" x14ac:dyDescent="0.45">
      <c r="A1967" t="s">
        <v>16</v>
      </c>
      <c r="B1967" s="14">
        <f>_xlfn.XLOOKUP(Table1[[#This Row], [TEAM]],Sheet1!$A$12:$A$17,Sheet1!$F$12:$F$17)</f>
        <v>2</v>
      </c>
      <c r="C1967" s="14">
        <f>_xlfn.XLOOKUP(Table1[[#This Row], [TEAM]],Sheet1!$A$12:$A$17,Sheet1!$G$12:$G$17)</f>
        <v>6082800</v>
      </c>
      <c r="D1967" t="s">
        <v>19</v>
      </c>
      <c r="E1967" s="4">
        <f>_xlfn.XLOOKUP(Table1[[#This Row], [ROOM]],Sheet1!$A$47:$A$66,Sheet1!$B$47:$B$66)</f>
        <v>135</v>
      </c>
      <c r="F1967" t="s">
        <v>62</v>
      </c>
      <c r="G196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7" s="13" t="s">
        <v>59</v>
      </c>
      <c r="I1967" s="4">
        <f>_xlfn.XLOOKUP(Table1[[#This Row], [WEAPON]],Sheet1!$A$27:$A$29,Sheet1!$B$27:$B$29)*Table1[[#This Row], [NUM OF MEM]]*(1+_xlfn.XLOOKUP(Table1[[#This Row], [WEAPON]],Sheet1!$A$27:$A$29,Sheet1!$C$27:$C$29))</f>
        <v>91000</v>
      </c>
      <c r="J1967" t="s">
        <v>64</v>
      </c>
      <c r="K1967" s="9">
        <f>Table1[[#This Row], [NUM OF MEM]]*Table1[[#This Row], [TOTAL TIME TAKEN]]*_xlfn.XLOOKUP(Table1[[#This Row], [EXIT]],Sheet1!$A$70:$A$71,Sheet1!$B$70:$B$71)*(1+_xlfn.XLOOKUP(Table1[[#This Row], [EXIT]],Sheet1!$A$70:$A$71,Sheet1!$C$70:$C$71))</f>
        <v>1740398.3999999994</v>
      </c>
      <c r="L1967" s="13" t="s">
        <v>61</v>
      </c>
      <c r="M1967" s="4">
        <f>IF(Table1[[#This Row], [EQUIPMENT]]="YES",Sheet1!$C$44*(1+Sheet1!$D$44),0)</f>
        <v>0</v>
      </c>
      <c r="N1967" s="4">
        <f>_xlfn.XLOOKUP(Table1[[#This Row], [ROOM]],Sheet1!$A$47:$A$66,Sheet1!$F$47:$F$66)</f>
        <v>17950000</v>
      </c>
      <c r="O1967" s="9">
        <f>_xlfn.XLOOKUP(_xlfn.CONCAT(Table1[[#This Row], [TEAM]],Table1[[#This Row], [ROOM]]),'ROOM TIME'!$H$2:$H$121,'ROOM TIME'!$J$2:$J$121)</f>
        <v>60.819999999999979</v>
      </c>
      <c r="P1967" s="9">
        <f>(INDEX(Sheet1!$X$48:$Z$67,MATCH(Table1[[#This Row], [ROOM]],Sheet1!$P$48:$P$67,0),MATCH(Table1[[#This Row], [WEAPON]],Sheet1!$X$47:$Z$47,0)))/Table1[[#This Row], [NUM OF MEM]]</f>
        <v>6.3249999999999993</v>
      </c>
      <c r="Q1967" s="9">
        <f>Table1[[#This Row], [ROOM TIME]]+Table1[[#This Row], [GUARD TIME]]</f>
        <v>67.144999999999982</v>
      </c>
      <c r="R1967" s="4">
        <f>Sheet1!$K$3*_xlfn.XLOOKUP(Table1[[#This Row], [DISGUISE]],Sheet1!$A$21:$A$23,Sheet1!$D$21:$D$23)</f>
        <v>66</v>
      </c>
      <c r="S1967" s="9">
        <f>Table1[[#This Row], [TOTAL TIME]]-Table1[[#This Row], [TOTAL TIME TAKEN]]</f>
        <v>-1.1449999999999818</v>
      </c>
      <c r="T1967" t="str">
        <f>IF(Table1[[#This Row], [TIME DIFFERENCE]]&gt;=0,"PASS","FAIL")</f>
        <v>FAIL</v>
      </c>
      <c r="U1967" s="9">
        <f>Table1[[#This Row], [TRC]]+Table1[[#This Row], [DRC]]+Table1[[#This Row], [WRC]]+Table1[[#This Row], [ERC]]+Table1[[#This Row], [EQRC]]</f>
        <v>7924598.3999999994</v>
      </c>
      <c r="V1967" s="9">
        <f>Table1[[#This Row], [TOTAL COST]]+_xlfn.XLOOKUP(Table1[[#This Row], [TEAM]],Sheet1!$A$12:$A$17,Sheet1!$I$12:$I$17)</f>
        <v>8228738.3999999994</v>
      </c>
      <c r="W1967" s="9">
        <f>Table1[[#This Row], [LOOT]]-Table1[[#This Row], [TOTAL COST]]</f>
        <v>10025401.600000001</v>
      </c>
      <c r="X1967" s="4">
        <f>IF(Table1[[#This Row], [PASS/FAIL]]="FAIL",0,Table1[[#This Row], [PROFIT]])</f>
        <v>0</v>
      </c>
    </row>
    <row r="1968" spans="1:24" ht="19.5" customHeight="1" x14ac:dyDescent="0.45">
      <c r="A1968" t="s">
        <v>16</v>
      </c>
      <c r="B1968" s="14">
        <f>_xlfn.XLOOKUP(Table1[[#This Row], [TEAM]],Sheet1!$A$12:$A$17,Sheet1!$F$12:$F$17)</f>
        <v>2</v>
      </c>
      <c r="C1968" s="14">
        <f>_xlfn.XLOOKUP(Table1[[#This Row], [TEAM]],Sheet1!$A$12:$A$17,Sheet1!$G$12:$G$17)</f>
        <v>6082800</v>
      </c>
      <c r="D1968" t="s">
        <v>19</v>
      </c>
      <c r="E1968" s="4">
        <f>_xlfn.XLOOKUP(Table1[[#This Row], [ROOM]],Sheet1!$A$47:$A$66,Sheet1!$B$47:$B$66)</f>
        <v>135</v>
      </c>
      <c r="F1968" t="s">
        <v>62</v>
      </c>
      <c r="G196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8" s="13" t="s">
        <v>59</v>
      </c>
      <c r="I1968" s="4">
        <f>_xlfn.XLOOKUP(Table1[[#This Row], [WEAPON]],Sheet1!$A$27:$A$29,Sheet1!$B$27:$B$29)*Table1[[#This Row], [NUM OF MEM]]*(1+_xlfn.XLOOKUP(Table1[[#This Row], [WEAPON]],Sheet1!$A$27:$A$29,Sheet1!$C$27:$C$29))</f>
        <v>91000</v>
      </c>
      <c r="J1968" t="s">
        <v>60</v>
      </c>
      <c r="K1968" s="9">
        <f>Table1[[#This Row], [NUM OF MEM]]*Table1[[#This Row], [TOTAL TIME TAKEN]]*_xlfn.XLOOKUP(Table1[[#This Row], [EXIT]],Sheet1!$A$70:$A$71,Sheet1!$B$70:$B$71)*(1+_xlfn.XLOOKUP(Table1[[#This Row], [EXIT]],Sheet1!$A$70:$A$71,Sheet1!$C$70:$C$71))</f>
        <v>1723276.4249999996</v>
      </c>
      <c r="L1968" s="13" t="s">
        <v>65</v>
      </c>
      <c r="M1968" s="4">
        <f>IF(Table1[[#This Row], [EQUIPMENT]]="YES",Sheet1!$C$44*(1+Sheet1!$D$44),0)</f>
        <v>307500</v>
      </c>
      <c r="N1968" s="4">
        <f>_xlfn.XLOOKUP(Table1[[#This Row], [ROOM]],Sheet1!$A$47:$A$66,Sheet1!$F$47:$F$66)</f>
        <v>17950000</v>
      </c>
      <c r="O1968" s="9">
        <f>_xlfn.XLOOKUP(_xlfn.CONCAT(Table1[[#This Row], [TEAM]],Table1[[#This Row], [ROOM]]),'ROOM TIME'!$H$2:$H$121,'ROOM TIME'!$J$2:$J$121)</f>
        <v>60.819999999999979</v>
      </c>
      <c r="P1968" s="9">
        <f>(INDEX(Sheet1!$X$48:$Z$67,MATCH(Table1[[#This Row], [ROOM]],Sheet1!$P$48:$P$67,0),MATCH(Table1[[#This Row], [WEAPON]],Sheet1!$X$47:$Z$47,0)))/Table1[[#This Row], [NUM OF MEM]]</f>
        <v>6.3249999999999993</v>
      </c>
      <c r="Q1968" s="9">
        <f>Table1[[#This Row], [ROOM TIME]]+Table1[[#This Row], [GUARD TIME]]</f>
        <v>67.144999999999982</v>
      </c>
      <c r="R1968" s="4">
        <f>Sheet1!$K$3*_xlfn.XLOOKUP(Table1[[#This Row], [DISGUISE]],Sheet1!$A$21:$A$23,Sheet1!$D$21:$D$23)</f>
        <v>66</v>
      </c>
      <c r="S1968" s="9">
        <f>Table1[[#This Row], [TOTAL TIME]]-Table1[[#This Row], [TOTAL TIME TAKEN]]</f>
        <v>-1.1449999999999818</v>
      </c>
      <c r="T1968" t="str">
        <f>IF(Table1[[#This Row], [TIME DIFFERENCE]]&gt;=0,"PASS","FAIL")</f>
        <v>FAIL</v>
      </c>
      <c r="U1968" s="9">
        <f>Table1[[#This Row], [TRC]]+Table1[[#This Row], [DRC]]+Table1[[#This Row], [WRC]]+Table1[[#This Row], [ERC]]+Table1[[#This Row], [EQRC]]</f>
        <v>8214976.4249999998</v>
      </c>
      <c r="V1968" s="9">
        <f>Table1[[#This Row], [TOTAL COST]]+_xlfn.XLOOKUP(Table1[[#This Row], [TEAM]],Sheet1!$A$12:$A$17,Sheet1!$I$12:$I$17)</f>
        <v>8519116.4250000007</v>
      </c>
      <c r="W1968" s="9">
        <f>Table1[[#This Row], [LOOT]]-Table1[[#This Row], [TOTAL COST]]</f>
        <v>9735023.5749999993</v>
      </c>
      <c r="X1968" s="4">
        <f>IF(Table1[[#This Row], [PASS/FAIL]]="FAIL",0,Table1[[#This Row], [PROFIT]])</f>
        <v>0</v>
      </c>
    </row>
    <row r="1969" spans="1:24" ht="19.5" customHeight="1" x14ac:dyDescent="0.45">
      <c r="A1969" t="s">
        <v>16</v>
      </c>
      <c r="B1969" s="14">
        <f>_xlfn.XLOOKUP(Table1[[#This Row], [TEAM]],Sheet1!$A$12:$A$17,Sheet1!$F$12:$F$17)</f>
        <v>2</v>
      </c>
      <c r="C1969" s="14">
        <f>_xlfn.XLOOKUP(Table1[[#This Row], [TEAM]],Sheet1!$A$12:$A$17,Sheet1!$G$12:$G$17)</f>
        <v>6082800</v>
      </c>
      <c r="D1969" t="s">
        <v>19</v>
      </c>
      <c r="E1969" s="4">
        <f>_xlfn.XLOOKUP(Table1[[#This Row], [ROOM]],Sheet1!$A$47:$A$66,Sheet1!$B$47:$B$66)</f>
        <v>135</v>
      </c>
      <c r="F1969" t="s">
        <v>62</v>
      </c>
      <c r="G196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69" s="13" t="s">
        <v>63</v>
      </c>
      <c r="I1969" s="4">
        <f>_xlfn.XLOOKUP(Table1[[#This Row], [WEAPON]],Sheet1!$A$27:$A$29,Sheet1!$B$27:$B$29)*Table1[[#This Row], [NUM OF MEM]]*(1+_xlfn.XLOOKUP(Table1[[#This Row], [WEAPON]],Sheet1!$A$27:$A$29,Sheet1!$C$27:$C$29))</f>
        <v>46000</v>
      </c>
      <c r="J1969" t="s">
        <v>60</v>
      </c>
      <c r="K1969" s="9">
        <f>Table1[[#This Row], [NUM OF MEM]]*Table1[[#This Row], [TOTAL TIME TAKEN]]*_xlfn.XLOOKUP(Table1[[#This Row], [EXIT]],Sheet1!$A$70:$A$71,Sheet1!$B$70:$B$71)*(1+_xlfn.XLOOKUP(Table1[[#This Row], [EXIT]],Sheet1!$A$70:$A$71,Sheet1!$C$70:$C$71))</f>
        <v>1751507.9249999993</v>
      </c>
      <c r="L1969" s="13" t="s">
        <v>61</v>
      </c>
      <c r="M1969" s="4">
        <f>IF(Table1[[#This Row], [EQUIPMENT]]="YES",Sheet1!$C$44*(1+Sheet1!$D$44),0)</f>
        <v>0</v>
      </c>
      <c r="N1969" s="4">
        <f>_xlfn.XLOOKUP(Table1[[#This Row], [ROOM]],Sheet1!$A$47:$A$66,Sheet1!$F$47:$F$66)</f>
        <v>17950000</v>
      </c>
      <c r="O1969" s="9">
        <f>_xlfn.XLOOKUP(_xlfn.CONCAT(Table1[[#This Row], [TEAM]],Table1[[#This Row], [ROOM]]),'ROOM TIME'!$H$2:$H$121,'ROOM TIME'!$J$2:$J$121)</f>
        <v>60.819999999999979</v>
      </c>
      <c r="P1969" s="9">
        <f>(INDEX(Sheet1!$X$48:$Z$67,MATCH(Table1[[#This Row], [ROOM]],Sheet1!$P$48:$P$67,0),MATCH(Table1[[#This Row], [WEAPON]],Sheet1!$X$47:$Z$47,0)))/Table1[[#This Row], [NUM OF MEM]]</f>
        <v>7.4250000000000007</v>
      </c>
      <c r="Q1969" s="9">
        <f>Table1[[#This Row], [ROOM TIME]]+Table1[[#This Row], [GUARD TIME]]</f>
        <v>68.244999999999976</v>
      </c>
      <c r="R1969" s="4">
        <f>Sheet1!$K$3*_xlfn.XLOOKUP(Table1[[#This Row], [DISGUISE]],Sheet1!$A$21:$A$23,Sheet1!$D$21:$D$23)</f>
        <v>66</v>
      </c>
      <c r="S1969" s="9">
        <f>Table1[[#This Row], [TOTAL TIME]]-Table1[[#This Row], [TOTAL TIME TAKEN]]</f>
        <v>-2.2449999999999761</v>
      </c>
      <c r="T1969" t="str">
        <f>IF(Table1[[#This Row], [TIME DIFFERENCE]]&gt;=0,"PASS","FAIL")</f>
        <v>FAIL</v>
      </c>
      <c r="U1969" s="9">
        <f>Table1[[#This Row], [TRC]]+Table1[[#This Row], [DRC]]+Table1[[#This Row], [WRC]]+Table1[[#This Row], [ERC]]+Table1[[#This Row], [EQRC]]</f>
        <v>7890707.9249999989</v>
      </c>
      <c r="V1969" s="9">
        <f>Table1[[#This Row], [TOTAL COST]]+_xlfn.XLOOKUP(Table1[[#This Row], [TEAM]],Sheet1!$A$12:$A$17,Sheet1!$I$12:$I$17)</f>
        <v>8194847.9249999989</v>
      </c>
      <c r="W1969" s="9">
        <f>Table1[[#This Row], [LOOT]]-Table1[[#This Row], [TOTAL COST]]</f>
        <v>10059292.075000001</v>
      </c>
      <c r="X1969" s="4">
        <f>IF(Table1[[#This Row], [PASS/FAIL]]="FAIL",0,Table1[[#This Row], [PROFIT]])</f>
        <v>0</v>
      </c>
    </row>
    <row r="1970" spans="1:24" ht="19.5" customHeight="1" x14ac:dyDescent="0.45">
      <c r="A1970" t="s">
        <v>16</v>
      </c>
      <c r="B1970" s="14">
        <f>_xlfn.XLOOKUP(Table1[[#This Row], [TEAM]],Sheet1!$A$12:$A$17,Sheet1!$F$12:$F$17)</f>
        <v>2</v>
      </c>
      <c r="C1970" s="14">
        <f>_xlfn.XLOOKUP(Table1[[#This Row], [TEAM]],Sheet1!$A$12:$A$17,Sheet1!$G$12:$G$17)</f>
        <v>6082800</v>
      </c>
      <c r="D1970" t="s">
        <v>19</v>
      </c>
      <c r="E1970" s="4">
        <f>_xlfn.XLOOKUP(Table1[[#This Row], [ROOM]],Sheet1!$A$47:$A$66,Sheet1!$B$47:$B$66)</f>
        <v>135</v>
      </c>
      <c r="F1970" t="s">
        <v>62</v>
      </c>
      <c r="G197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0" s="13" t="s">
        <v>59</v>
      </c>
      <c r="I1970" s="4">
        <f>_xlfn.XLOOKUP(Table1[[#This Row], [WEAPON]],Sheet1!$A$27:$A$29,Sheet1!$B$27:$B$29)*Table1[[#This Row], [NUM OF MEM]]*(1+_xlfn.XLOOKUP(Table1[[#This Row], [WEAPON]],Sheet1!$A$27:$A$29,Sheet1!$C$27:$C$29))</f>
        <v>91000</v>
      </c>
      <c r="J1970" t="s">
        <v>64</v>
      </c>
      <c r="K1970" s="9">
        <f>Table1[[#This Row], [NUM OF MEM]]*Table1[[#This Row], [TOTAL TIME TAKEN]]*_xlfn.XLOOKUP(Table1[[#This Row], [EXIT]],Sheet1!$A$70:$A$71,Sheet1!$B$70:$B$71)*(1+_xlfn.XLOOKUP(Table1[[#This Row], [EXIT]],Sheet1!$A$70:$A$71,Sheet1!$C$70:$C$71))</f>
        <v>1740398.3999999994</v>
      </c>
      <c r="L1970" s="13" t="s">
        <v>65</v>
      </c>
      <c r="M1970" s="4">
        <f>IF(Table1[[#This Row], [EQUIPMENT]]="YES",Sheet1!$C$44*(1+Sheet1!$D$44),0)</f>
        <v>307500</v>
      </c>
      <c r="N1970" s="4">
        <f>_xlfn.XLOOKUP(Table1[[#This Row], [ROOM]],Sheet1!$A$47:$A$66,Sheet1!$F$47:$F$66)</f>
        <v>17950000</v>
      </c>
      <c r="O1970" s="9">
        <f>_xlfn.XLOOKUP(_xlfn.CONCAT(Table1[[#This Row], [TEAM]],Table1[[#This Row], [ROOM]]),'ROOM TIME'!$H$2:$H$121,'ROOM TIME'!$J$2:$J$121)</f>
        <v>60.819999999999979</v>
      </c>
      <c r="P1970" s="9">
        <f>(INDEX(Sheet1!$X$48:$Z$67,MATCH(Table1[[#This Row], [ROOM]],Sheet1!$P$48:$P$67,0),MATCH(Table1[[#This Row], [WEAPON]],Sheet1!$X$47:$Z$47,0)))/Table1[[#This Row], [NUM OF MEM]]</f>
        <v>6.3249999999999993</v>
      </c>
      <c r="Q1970" s="9">
        <f>Table1[[#This Row], [ROOM TIME]]+Table1[[#This Row], [GUARD TIME]]</f>
        <v>67.144999999999982</v>
      </c>
      <c r="R1970" s="4">
        <f>Sheet1!$K$3*_xlfn.XLOOKUP(Table1[[#This Row], [DISGUISE]],Sheet1!$A$21:$A$23,Sheet1!$D$21:$D$23)</f>
        <v>66</v>
      </c>
      <c r="S1970" s="9">
        <f>Table1[[#This Row], [TOTAL TIME]]-Table1[[#This Row], [TOTAL TIME TAKEN]]</f>
        <v>-1.1449999999999818</v>
      </c>
      <c r="T1970" t="str">
        <f>IF(Table1[[#This Row], [TIME DIFFERENCE]]&gt;=0,"PASS","FAIL")</f>
        <v>FAIL</v>
      </c>
      <c r="U1970" s="9">
        <f>Table1[[#This Row], [TRC]]+Table1[[#This Row], [DRC]]+Table1[[#This Row], [WRC]]+Table1[[#This Row], [ERC]]+Table1[[#This Row], [EQRC]]</f>
        <v>8232098.3999999994</v>
      </c>
      <c r="V1970" s="9">
        <f>Table1[[#This Row], [TOTAL COST]]+_xlfn.XLOOKUP(Table1[[#This Row], [TEAM]],Sheet1!$A$12:$A$17,Sheet1!$I$12:$I$17)</f>
        <v>8536238.3999999985</v>
      </c>
      <c r="W1970" s="9">
        <f>Table1[[#This Row], [LOOT]]-Table1[[#This Row], [TOTAL COST]]</f>
        <v>9717901.6000000015</v>
      </c>
      <c r="X1970" s="4">
        <f>IF(Table1[[#This Row], [PASS/FAIL]]="FAIL",0,Table1[[#This Row], [PROFIT]])</f>
        <v>0</v>
      </c>
    </row>
    <row r="1971" spans="1:24" ht="19.5" customHeight="1" x14ac:dyDescent="0.45">
      <c r="A1971" t="s">
        <v>16</v>
      </c>
      <c r="B1971" s="14">
        <f>_xlfn.XLOOKUP(Table1[[#This Row], [TEAM]],Sheet1!$A$12:$A$17,Sheet1!$F$12:$F$17)</f>
        <v>2</v>
      </c>
      <c r="C1971" s="14">
        <f>_xlfn.XLOOKUP(Table1[[#This Row], [TEAM]],Sheet1!$A$12:$A$17,Sheet1!$G$12:$G$17)</f>
        <v>6082800</v>
      </c>
      <c r="D1971" t="s">
        <v>19</v>
      </c>
      <c r="E1971" s="4">
        <f>_xlfn.XLOOKUP(Table1[[#This Row], [ROOM]],Sheet1!$A$47:$A$66,Sheet1!$B$47:$B$66)</f>
        <v>135</v>
      </c>
      <c r="F1971" t="s">
        <v>62</v>
      </c>
      <c r="G197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1" s="13" t="s">
        <v>63</v>
      </c>
      <c r="I1971" s="4">
        <f>_xlfn.XLOOKUP(Table1[[#This Row], [WEAPON]],Sheet1!$A$27:$A$29,Sheet1!$B$27:$B$29)*Table1[[#This Row], [NUM OF MEM]]*(1+_xlfn.XLOOKUP(Table1[[#This Row], [WEAPON]],Sheet1!$A$27:$A$29,Sheet1!$C$27:$C$29))</f>
        <v>46000</v>
      </c>
      <c r="J1971" t="s">
        <v>64</v>
      </c>
      <c r="K1971" s="9">
        <f>Table1[[#This Row], [NUM OF MEM]]*Table1[[#This Row], [TOTAL TIME TAKEN]]*_xlfn.XLOOKUP(Table1[[#This Row], [EXIT]],Sheet1!$A$70:$A$71,Sheet1!$B$70:$B$71)*(1+_xlfn.XLOOKUP(Table1[[#This Row], [EXIT]],Sheet1!$A$70:$A$71,Sheet1!$C$70:$C$71))</f>
        <v>1768910.3999999994</v>
      </c>
      <c r="L1971" s="13" t="s">
        <v>61</v>
      </c>
      <c r="M1971" s="4">
        <f>IF(Table1[[#This Row], [EQUIPMENT]]="YES",Sheet1!$C$44*(1+Sheet1!$D$44),0)</f>
        <v>0</v>
      </c>
      <c r="N1971" s="4">
        <f>_xlfn.XLOOKUP(Table1[[#This Row], [ROOM]],Sheet1!$A$47:$A$66,Sheet1!$F$47:$F$66)</f>
        <v>17950000</v>
      </c>
      <c r="O1971" s="9">
        <f>_xlfn.XLOOKUP(_xlfn.CONCAT(Table1[[#This Row], [TEAM]],Table1[[#This Row], [ROOM]]),'ROOM TIME'!$H$2:$H$121,'ROOM TIME'!$J$2:$J$121)</f>
        <v>60.819999999999979</v>
      </c>
      <c r="P1971" s="9">
        <f>(INDEX(Sheet1!$X$48:$Z$67,MATCH(Table1[[#This Row], [ROOM]],Sheet1!$P$48:$P$67,0),MATCH(Table1[[#This Row], [WEAPON]],Sheet1!$X$47:$Z$47,0)))/Table1[[#This Row], [NUM OF MEM]]</f>
        <v>7.4250000000000007</v>
      </c>
      <c r="Q1971" s="9">
        <f>Table1[[#This Row], [ROOM TIME]]+Table1[[#This Row], [GUARD TIME]]</f>
        <v>68.244999999999976</v>
      </c>
      <c r="R1971" s="4">
        <f>Sheet1!$K$3*_xlfn.XLOOKUP(Table1[[#This Row], [DISGUISE]],Sheet1!$A$21:$A$23,Sheet1!$D$21:$D$23)</f>
        <v>66</v>
      </c>
      <c r="S1971" s="9">
        <f>Table1[[#This Row], [TOTAL TIME]]-Table1[[#This Row], [TOTAL TIME TAKEN]]</f>
        <v>-2.2449999999999761</v>
      </c>
      <c r="T1971" t="str">
        <f>IF(Table1[[#This Row], [TIME DIFFERENCE]]&gt;=0,"PASS","FAIL")</f>
        <v>FAIL</v>
      </c>
      <c r="U1971" s="9">
        <f>Table1[[#This Row], [TRC]]+Table1[[#This Row], [DRC]]+Table1[[#This Row], [WRC]]+Table1[[#This Row], [ERC]]+Table1[[#This Row], [EQRC]]</f>
        <v>7908110.3999999994</v>
      </c>
      <c r="V1971" s="9">
        <f>Table1[[#This Row], [TOTAL COST]]+_xlfn.XLOOKUP(Table1[[#This Row], [TEAM]],Sheet1!$A$12:$A$17,Sheet1!$I$12:$I$17)</f>
        <v>8212250.3999999994</v>
      </c>
      <c r="W1971" s="9">
        <f>Table1[[#This Row], [LOOT]]-Table1[[#This Row], [TOTAL COST]]</f>
        <v>10041889.600000001</v>
      </c>
      <c r="X1971" s="4">
        <f>IF(Table1[[#This Row], [PASS/FAIL]]="FAIL",0,Table1[[#This Row], [PROFIT]])</f>
        <v>0</v>
      </c>
    </row>
    <row r="1972" spans="1:24" ht="19.5" customHeight="1" x14ac:dyDescent="0.45">
      <c r="A1972" t="s">
        <v>16</v>
      </c>
      <c r="B1972" s="14">
        <f>_xlfn.XLOOKUP(Table1[[#This Row], [TEAM]],Sheet1!$A$12:$A$17,Sheet1!$F$12:$F$17)</f>
        <v>2</v>
      </c>
      <c r="C1972" s="14">
        <f>_xlfn.XLOOKUP(Table1[[#This Row], [TEAM]],Sheet1!$A$12:$A$17,Sheet1!$G$12:$G$17)</f>
        <v>6082800</v>
      </c>
      <c r="D1972" t="s">
        <v>19</v>
      </c>
      <c r="E1972" s="4">
        <f>_xlfn.XLOOKUP(Table1[[#This Row], [ROOM]],Sheet1!$A$47:$A$66,Sheet1!$B$47:$B$66)</f>
        <v>135</v>
      </c>
      <c r="F1972" t="s">
        <v>62</v>
      </c>
      <c r="G197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2" s="13" t="s">
        <v>63</v>
      </c>
      <c r="I1972" s="4">
        <f>_xlfn.XLOOKUP(Table1[[#This Row], [WEAPON]],Sheet1!$A$27:$A$29,Sheet1!$B$27:$B$29)*Table1[[#This Row], [NUM OF MEM]]*(1+_xlfn.XLOOKUP(Table1[[#This Row], [WEAPON]],Sheet1!$A$27:$A$29,Sheet1!$C$27:$C$29))</f>
        <v>46000</v>
      </c>
      <c r="J1972" t="s">
        <v>60</v>
      </c>
      <c r="K1972" s="9">
        <f>Table1[[#This Row], [NUM OF MEM]]*Table1[[#This Row], [TOTAL TIME TAKEN]]*_xlfn.XLOOKUP(Table1[[#This Row], [EXIT]],Sheet1!$A$70:$A$71,Sheet1!$B$70:$B$71)*(1+_xlfn.XLOOKUP(Table1[[#This Row], [EXIT]],Sheet1!$A$70:$A$71,Sheet1!$C$70:$C$71))</f>
        <v>1751507.9249999993</v>
      </c>
      <c r="L1972" s="13" t="s">
        <v>65</v>
      </c>
      <c r="M1972" s="4">
        <f>IF(Table1[[#This Row], [EQUIPMENT]]="YES",Sheet1!$C$44*(1+Sheet1!$D$44),0)</f>
        <v>307500</v>
      </c>
      <c r="N1972" s="4">
        <f>_xlfn.XLOOKUP(Table1[[#This Row], [ROOM]],Sheet1!$A$47:$A$66,Sheet1!$F$47:$F$66)</f>
        <v>17950000</v>
      </c>
      <c r="O1972" s="9">
        <f>_xlfn.XLOOKUP(_xlfn.CONCAT(Table1[[#This Row], [TEAM]],Table1[[#This Row], [ROOM]]),'ROOM TIME'!$H$2:$H$121,'ROOM TIME'!$J$2:$J$121)</f>
        <v>60.819999999999979</v>
      </c>
      <c r="P1972" s="9">
        <f>(INDEX(Sheet1!$X$48:$Z$67,MATCH(Table1[[#This Row], [ROOM]],Sheet1!$P$48:$P$67,0),MATCH(Table1[[#This Row], [WEAPON]],Sheet1!$X$47:$Z$47,0)))/Table1[[#This Row], [NUM OF MEM]]</f>
        <v>7.4250000000000007</v>
      </c>
      <c r="Q1972" s="9">
        <f>Table1[[#This Row], [ROOM TIME]]+Table1[[#This Row], [GUARD TIME]]</f>
        <v>68.244999999999976</v>
      </c>
      <c r="R1972" s="4">
        <f>Sheet1!$K$3*_xlfn.XLOOKUP(Table1[[#This Row], [DISGUISE]],Sheet1!$A$21:$A$23,Sheet1!$D$21:$D$23)</f>
        <v>66</v>
      </c>
      <c r="S1972" s="9">
        <f>Table1[[#This Row], [TOTAL TIME]]-Table1[[#This Row], [TOTAL TIME TAKEN]]</f>
        <v>-2.2449999999999761</v>
      </c>
      <c r="T1972" t="str">
        <f>IF(Table1[[#This Row], [TIME DIFFERENCE]]&gt;=0,"PASS","FAIL")</f>
        <v>FAIL</v>
      </c>
      <c r="U1972" s="9">
        <f>Table1[[#This Row], [TRC]]+Table1[[#This Row], [DRC]]+Table1[[#This Row], [WRC]]+Table1[[#This Row], [ERC]]+Table1[[#This Row], [EQRC]]</f>
        <v>8198207.9249999989</v>
      </c>
      <c r="V1972" s="9">
        <f>Table1[[#This Row], [TOTAL COST]]+_xlfn.XLOOKUP(Table1[[#This Row], [TEAM]],Sheet1!$A$12:$A$17,Sheet1!$I$12:$I$17)</f>
        <v>8502347.9249999989</v>
      </c>
      <c r="W1972" s="9">
        <f>Table1[[#This Row], [LOOT]]-Table1[[#This Row], [TOTAL COST]]</f>
        <v>9751792.0750000011</v>
      </c>
      <c r="X1972" s="4">
        <f>IF(Table1[[#This Row], [PASS/FAIL]]="FAIL",0,Table1[[#This Row], [PROFIT]])</f>
        <v>0</v>
      </c>
    </row>
    <row r="1973" spans="1:24" ht="19.5" customHeight="1" x14ac:dyDescent="0.45">
      <c r="A1973" t="s">
        <v>16</v>
      </c>
      <c r="B1973" s="14">
        <f>_xlfn.XLOOKUP(Table1[[#This Row], [TEAM]],Sheet1!$A$12:$A$17,Sheet1!$F$12:$F$17)</f>
        <v>2</v>
      </c>
      <c r="C1973" s="14">
        <f>_xlfn.XLOOKUP(Table1[[#This Row], [TEAM]],Sheet1!$A$12:$A$17,Sheet1!$G$12:$G$17)</f>
        <v>6082800</v>
      </c>
      <c r="D1973" t="s">
        <v>19</v>
      </c>
      <c r="E1973" s="4">
        <f>_xlfn.XLOOKUP(Table1[[#This Row], [ROOM]],Sheet1!$A$47:$A$66,Sheet1!$B$47:$B$66)</f>
        <v>135</v>
      </c>
      <c r="F1973" t="s">
        <v>62</v>
      </c>
      <c r="G197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3" s="13" t="s">
        <v>63</v>
      </c>
      <c r="I1973" s="4">
        <f>_xlfn.XLOOKUP(Table1[[#This Row], [WEAPON]],Sheet1!$A$27:$A$29,Sheet1!$B$27:$B$29)*Table1[[#This Row], [NUM OF MEM]]*(1+_xlfn.XLOOKUP(Table1[[#This Row], [WEAPON]],Sheet1!$A$27:$A$29,Sheet1!$C$27:$C$29))</f>
        <v>46000</v>
      </c>
      <c r="J1973" t="s">
        <v>64</v>
      </c>
      <c r="K1973" s="9">
        <f>Table1[[#This Row], [NUM OF MEM]]*Table1[[#This Row], [TOTAL TIME TAKEN]]*_xlfn.XLOOKUP(Table1[[#This Row], [EXIT]],Sheet1!$A$70:$A$71,Sheet1!$B$70:$B$71)*(1+_xlfn.XLOOKUP(Table1[[#This Row], [EXIT]],Sheet1!$A$70:$A$71,Sheet1!$C$70:$C$71))</f>
        <v>1768910.3999999994</v>
      </c>
      <c r="L1973" s="13" t="s">
        <v>65</v>
      </c>
      <c r="M1973" s="4">
        <f>IF(Table1[[#This Row], [EQUIPMENT]]="YES",Sheet1!$C$44*(1+Sheet1!$D$44),0)</f>
        <v>307500</v>
      </c>
      <c r="N1973" s="4">
        <f>_xlfn.XLOOKUP(Table1[[#This Row], [ROOM]],Sheet1!$A$47:$A$66,Sheet1!$F$47:$F$66)</f>
        <v>17950000</v>
      </c>
      <c r="O1973" s="9">
        <f>_xlfn.XLOOKUP(_xlfn.CONCAT(Table1[[#This Row], [TEAM]],Table1[[#This Row], [ROOM]]),'ROOM TIME'!$H$2:$H$121,'ROOM TIME'!$J$2:$J$121)</f>
        <v>60.819999999999979</v>
      </c>
      <c r="P1973" s="9">
        <f>(INDEX(Sheet1!$X$48:$Z$67,MATCH(Table1[[#This Row], [ROOM]],Sheet1!$P$48:$P$67,0),MATCH(Table1[[#This Row], [WEAPON]],Sheet1!$X$47:$Z$47,0)))/Table1[[#This Row], [NUM OF MEM]]</f>
        <v>7.4250000000000007</v>
      </c>
      <c r="Q1973" s="9">
        <f>Table1[[#This Row], [ROOM TIME]]+Table1[[#This Row], [GUARD TIME]]</f>
        <v>68.244999999999976</v>
      </c>
      <c r="R1973" s="4">
        <f>Sheet1!$K$3*_xlfn.XLOOKUP(Table1[[#This Row], [DISGUISE]],Sheet1!$A$21:$A$23,Sheet1!$D$21:$D$23)</f>
        <v>66</v>
      </c>
      <c r="S1973" s="9">
        <f>Table1[[#This Row], [TOTAL TIME]]-Table1[[#This Row], [TOTAL TIME TAKEN]]</f>
        <v>-2.2449999999999761</v>
      </c>
      <c r="T1973" t="str">
        <f>IF(Table1[[#This Row], [TIME DIFFERENCE]]&gt;=0,"PASS","FAIL")</f>
        <v>FAIL</v>
      </c>
      <c r="U1973" s="9">
        <f>Table1[[#This Row], [TRC]]+Table1[[#This Row], [DRC]]+Table1[[#This Row], [WRC]]+Table1[[#This Row], [ERC]]+Table1[[#This Row], [EQRC]]</f>
        <v>8215610.3999999994</v>
      </c>
      <c r="V1973" s="9">
        <f>Table1[[#This Row], [TOTAL COST]]+_xlfn.XLOOKUP(Table1[[#This Row], [TEAM]],Sheet1!$A$12:$A$17,Sheet1!$I$12:$I$17)</f>
        <v>8519750.3999999985</v>
      </c>
      <c r="W1973" s="9">
        <f>Table1[[#This Row], [LOOT]]-Table1[[#This Row], [TOTAL COST]]</f>
        <v>9734389.6000000015</v>
      </c>
      <c r="X1973" s="4">
        <f>IF(Table1[[#This Row], [PASS/FAIL]]="FAIL",0,Table1[[#This Row], [PROFIT]])</f>
        <v>0</v>
      </c>
    </row>
    <row r="1974" spans="1:24" ht="19.5" customHeight="1" x14ac:dyDescent="0.45">
      <c r="A1974" t="s">
        <v>16</v>
      </c>
      <c r="B1974" s="14">
        <f>_xlfn.XLOOKUP(Table1[[#This Row], [TEAM]],Sheet1!$A$12:$A$17,Sheet1!$F$12:$F$17)</f>
        <v>2</v>
      </c>
      <c r="C1974" s="14">
        <f>_xlfn.XLOOKUP(Table1[[#This Row], [TEAM]],Sheet1!$A$12:$A$17,Sheet1!$G$12:$G$17)</f>
        <v>6082800</v>
      </c>
      <c r="D1974" t="s">
        <v>19</v>
      </c>
      <c r="E1974" s="4">
        <f>_xlfn.XLOOKUP(Table1[[#This Row], [ROOM]],Sheet1!$A$47:$A$66,Sheet1!$B$47:$B$66)</f>
        <v>135</v>
      </c>
      <c r="F1974" t="s">
        <v>62</v>
      </c>
      <c r="G197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4" s="13" t="s">
        <v>66</v>
      </c>
      <c r="I1974" s="4">
        <f>_xlfn.XLOOKUP(Table1[[#This Row], [WEAPON]],Sheet1!$A$27:$A$29,Sheet1!$B$27:$B$29)*Table1[[#This Row], [NUM OF MEM]]*(1+_xlfn.XLOOKUP(Table1[[#This Row], [WEAPON]],Sheet1!$A$27:$A$29,Sheet1!$C$27:$C$29))</f>
        <v>72000</v>
      </c>
      <c r="J1974" t="s">
        <v>60</v>
      </c>
      <c r="K1974" s="9">
        <f>Table1[[#This Row], [NUM OF MEM]]*Table1[[#This Row], [TOTAL TIME TAKEN]]*_xlfn.XLOOKUP(Table1[[#This Row], [EXIT]],Sheet1!$A$70:$A$71,Sheet1!$B$70:$B$71)*(1+_xlfn.XLOOKUP(Table1[[#This Row], [EXIT]],Sheet1!$A$70:$A$71,Sheet1!$C$70:$C$71))</f>
        <v>1737392.1749999993</v>
      </c>
      <c r="L1974" s="13" t="s">
        <v>61</v>
      </c>
      <c r="M1974" s="4">
        <f>IF(Table1[[#This Row], [EQUIPMENT]]="YES",Sheet1!$C$44*(1+Sheet1!$D$44),0)</f>
        <v>0</v>
      </c>
      <c r="N1974" s="4">
        <f>_xlfn.XLOOKUP(Table1[[#This Row], [ROOM]],Sheet1!$A$47:$A$66,Sheet1!$F$47:$F$66)</f>
        <v>17950000</v>
      </c>
      <c r="O1974" s="9">
        <f>_xlfn.XLOOKUP(_xlfn.CONCAT(Table1[[#This Row], [TEAM]],Table1[[#This Row], [ROOM]]),'ROOM TIME'!$H$2:$H$121,'ROOM TIME'!$J$2:$J$121)</f>
        <v>60.819999999999979</v>
      </c>
      <c r="P1974" s="9">
        <f>(INDEX(Sheet1!$X$48:$Z$67,MATCH(Table1[[#This Row], [ROOM]],Sheet1!$P$48:$P$67,0),MATCH(Table1[[#This Row], [WEAPON]],Sheet1!$X$47:$Z$47,0)))/Table1[[#This Row], [NUM OF MEM]]</f>
        <v>6.875</v>
      </c>
      <c r="Q1974" s="9">
        <f>Table1[[#This Row], [ROOM TIME]]+Table1[[#This Row], [GUARD TIME]]</f>
        <v>67.694999999999979</v>
      </c>
      <c r="R1974" s="4">
        <f>Sheet1!$K$3*_xlfn.XLOOKUP(Table1[[#This Row], [DISGUISE]],Sheet1!$A$21:$A$23,Sheet1!$D$21:$D$23)</f>
        <v>66</v>
      </c>
      <c r="S1974" s="9">
        <f>Table1[[#This Row], [TOTAL TIME]]-Table1[[#This Row], [TOTAL TIME TAKEN]]</f>
        <v>-1.694999999999979</v>
      </c>
      <c r="T1974" t="str">
        <f>IF(Table1[[#This Row], [TIME DIFFERENCE]]&gt;=0,"PASS","FAIL")</f>
        <v>FAIL</v>
      </c>
      <c r="U1974" s="9">
        <f>Table1[[#This Row], [TRC]]+Table1[[#This Row], [DRC]]+Table1[[#This Row], [WRC]]+Table1[[#This Row], [ERC]]+Table1[[#This Row], [EQRC]]</f>
        <v>7902592.1749999989</v>
      </c>
      <c r="V1974" s="9">
        <f>Table1[[#This Row], [TOTAL COST]]+_xlfn.XLOOKUP(Table1[[#This Row], [TEAM]],Sheet1!$A$12:$A$17,Sheet1!$I$12:$I$17)</f>
        <v>8206732.1749999989</v>
      </c>
      <c r="W1974" s="9">
        <f>Table1[[#This Row], [LOOT]]-Table1[[#This Row], [TOTAL COST]]</f>
        <v>10047407.825000001</v>
      </c>
      <c r="X1974" s="4">
        <f>IF(Table1[[#This Row], [PASS/FAIL]]="FAIL",0,Table1[[#This Row], [PROFIT]])</f>
        <v>0</v>
      </c>
    </row>
    <row r="1975" spans="1:24" ht="19.5" customHeight="1" x14ac:dyDescent="0.45">
      <c r="A1975" t="s">
        <v>16</v>
      </c>
      <c r="B1975" s="14">
        <f>_xlfn.XLOOKUP(Table1[[#This Row], [TEAM]],Sheet1!$A$12:$A$17,Sheet1!$F$12:$F$17)</f>
        <v>2</v>
      </c>
      <c r="C1975" s="14">
        <f>_xlfn.XLOOKUP(Table1[[#This Row], [TEAM]],Sheet1!$A$12:$A$17,Sheet1!$G$12:$G$17)</f>
        <v>6082800</v>
      </c>
      <c r="D1975" t="s">
        <v>19</v>
      </c>
      <c r="E1975" s="4">
        <f>_xlfn.XLOOKUP(Table1[[#This Row], [ROOM]],Sheet1!$A$47:$A$66,Sheet1!$B$47:$B$66)</f>
        <v>135</v>
      </c>
      <c r="F1975" t="s">
        <v>62</v>
      </c>
      <c r="G197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5" s="13" t="s">
        <v>66</v>
      </c>
      <c r="I1975" s="4">
        <f>_xlfn.XLOOKUP(Table1[[#This Row], [WEAPON]],Sheet1!$A$27:$A$29,Sheet1!$B$27:$B$29)*Table1[[#This Row], [NUM OF MEM]]*(1+_xlfn.XLOOKUP(Table1[[#This Row], [WEAPON]],Sheet1!$A$27:$A$29,Sheet1!$C$27:$C$29))</f>
        <v>72000</v>
      </c>
      <c r="J1975" t="s">
        <v>64</v>
      </c>
      <c r="K1975" s="9">
        <f>Table1[[#This Row], [NUM OF MEM]]*Table1[[#This Row], [TOTAL TIME TAKEN]]*_xlfn.XLOOKUP(Table1[[#This Row], [EXIT]],Sheet1!$A$70:$A$71,Sheet1!$B$70:$B$71)*(1+_xlfn.XLOOKUP(Table1[[#This Row], [EXIT]],Sheet1!$A$70:$A$71,Sheet1!$C$70:$C$71))</f>
        <v>1754654.3999999994</v>
      </c>
      <c r="L1975" s="13" t="s">
        <v>61</v>
      </c>
      <c r="M1975" s="4">
        <f>IF(Table1[[#This Row], [EQUIPMENT]]="YES",Sheet1!$C$44*(1+Sheet1!$D$44),0)</f>
        <v>0</v>
      </c>
      <c r="N1975" s="4">
        <f>_xlfn.XLOOKUP(Table1[[#This Row], [ROOM]],Sheet1!$A$47:$A$66,Sheet1!$F$47:$F$66)</f>
        <v>17950000</v>
      </c>
      <c r="O1975" s="9">
        <f>_xlfn.XLOOKUP(_xlfn.CONCAT(Table1[[#This Row], [TEAM]],Table1[[#This Row], [ROOM]]),'ROOM TIME'!$H$2:$H$121,'ROOM TIME'!$J$2:$J$121)</f>
        <v>60.819999999999979</v>
      </c>
      <c r="P1975" s="9">
        <f>(INDEX(Sheet1!$X$48:$Z$67,MATCH(Table1[[#This Row], [ROOM]],Sheet1!$P$48:$P$67,0),MATCH(Table1[[#This Row], [WEAPON]],Sheet1!$X$47:$Z$47,0)))/Table1[[#This Row], [NUM OF MEM]]</f>
        <v>6.875</v>
      </c>
      <c r="Q1975" s="9">
        <f>Table1[[#This Row], [ROOM TIME]]+Table1[[#This Row], [GUARD TIME]]</f>
        <v>67.694999999999979</v>
      </c>
      <c r="R1975" s="4">
        <f>Sheet1!$K$3*_xlfn.XLOOKUP(Table1[[#This Row], [DISGUISE]],Sheet1!$A$21:$A$23,Sheet1!$D$21:$D$23)</f>
        <v>66</v>
      </c>
      <c r="S1975" s="9">
        <f>Table1[[#This Row], [TOTAL TIME]]-Table1[[#This Row], [TOTAL TIME TAKEN]]</f>
        <v>-1.694999999999979</v>
      </c>
      <c r="T1975" t="str">
        <f>IF(Table1[[#This Row], [TIME DIFFERENCE]]&gt;=0,"PASS","FAIL")</f>
        <v>FAIL</v>
      </c>
      <c r="U1975" s="9">
        <f>Table1[[#This Row], [TRC]]+Table1[[#This Row], [DRC]]+Table1[[#This Row], [WRC]]+Table1[[#This Row], [ERC]]+Table1[[#This Row], [EQRC]]</f>
        <v>7919854.3999999994</v>
      </c>
      <c r="V1975" s="9">
        <f>Table1[[#This Row], [TOTAL COST]]+_xlfn.XLOOKUP(Table1[[#This Row], [TEAM]],Sheet1!$A$12:$A$17,Sheet1!$I$12:$I$17)</f>
        <v>8223994.3999999994</v>
      </c>
      <c r="W1975" s="9">
        <f>Table1[[#This Row], [LOOT]]-Table1[[#This Row], [TOTAL COST]]</f>
        <v>10030145.600000001</v>
      </c>
      <c r="X1975" s="4">
        <f>IF(Table1[[#This Row], [PASS/FAIL]]="FAIL",0,Table1[[#This Row], [PROFIT]])</f>
        <v>0</v>
      </c>
    </row>
    <row r="1976" spans="1:24" ht="19.5" customHeight="1" x14ac:dyDescent="0.45">
      <c r="A1976" t="s">
        <v>16</v>
      </c>
      <c r="B1976" s="14">
        <f>_xlfn.XLOOKUP(Table1[[#This Row], [TEAM]],Sheet1!$A$12:$A$17,Sheet1!$F$12:$F$17)</f>
        <v>2</v>
      </c>
      <c r="C1976" s="14">
        <f>_xlfn.XLOOKUP(Table1[[#This Row], [TEAM]],Sheet1!$A$12:$A$17,Sheet1!$G$12:$G$17)</f>
        <v>6082800</v>
      </c>
      <c r="D1976" t="s">
        <v>19</v>
      </c>
      <c r="E1976" s="4">
        <f>_xlfn.XLOOKUP(Table1[[#This Row], [ROOM]],Sheet1!$A$47:$A$66,Sheet1!$B$47:$B$66)</f>
        <v>135</v>
      </c>
      <c r="F1976" t="s">
        <v>62</v>
      </c>
      <c r="G197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6" s="13" t="s">
        <v>66</v>
      </c>
      <c r="I1976" s="4">
        <f>_xlfn.XLOOKUP(Table1[[#This Row], [WEAPON]],Sheet1!$A$27:$A$29,Sheet1!$B$27:$B$29)*Table1[[#This Row], [NUM OF MEM]]*(1+_xlfn.XLOOKUP(Table1[[#This Row], [WEAPON]],Sheet1!$A$27:$A$29,Sheet1!$C$27:$C$29))</f>
        <v>72000</v>
      </c>
      <c r="J1976" t="s">
        <v>60</v>
      </c>
      <c r="K1976" s="9">
        <f>Table1[[#This Row], [NUM OF MEM]]*Table1[[#This Row], [TOTAL TIME TAKEN]]*_xlfn.XLOOKUP(Table1[[#This Row], [EXIT]],Sheet1!$A$70:$A$71,Sheet1!$B$70:$B$71)*(1+_xlfn.XLOOKUP(Table1[[#This Row], [EXIT]],Sheet1!$A$70:$A$71,Sheet1!$C$70:$C$71))</f>
        <v>1737392.1749999993</v>
      </c>
      <c r="L1976" s="13" t="s">
        <v>65</v>
      </c>
      <c r="M1976" s="4">
        <f>IF(Table1[[#This Row], [EQUIPMENT]]="YES",Sheet1!$C$44*(1+Sheet1!$D$44),0)</f>
        <v>307500</v>
      </c>
      <c r="N1976" s="4">
        <f>_xlfn.XLOOKUP(Table1[[#This Row], [ROOM]],Sheet1!$A$47:$A$66,Sheet1!$F$47:$F$66)</f>
        <v>17950000</v>
      </c>
      <c r="O1976" s="9">
        <f>_xlfn.XLOOKUP(_xlfn.CONCAT(Table1[[#This Row], [TEAM]],Table1[[#This Row], [ROOM]]),'ROOM TIME'!$H$2:$H$121,'ROOM TIME'!$J$2:$J$121)</f>
        <v>60.819999999999979</v>
      </c>
      <c r="P1976" s="9">
        <f>(INDEX(Sheet1!$X$48:$Z$67,MATCH(Table1[[#This Row], [ROOM]],Sheet1!$P$48:$P$67,0),MATCH(Table1[[#This Row], [WEAPON]],Sheet1!$X$47:$Z$47,0)))/Table1[[#This Row], [NUM OF MEM]]</f>
        <v>6.875</v>
      </c>
      <c r="Q1976" s="9">
        <f>Table1[[#This Row], [ROOM TIME]]+Table1[[#This Row], [GUARD TIME]]</f>
        <v>67.694999999999979</v>
      </c>
      <c r="R1976" s="4">
        <f>Sheet1!$K$3*_xlfn.XLOOKUP(Table1[[#This Row], [DISGUISE]],Sheet1!$A$21:$A$23,Sheet1!$D$21:$D$23)</f>
        <v>66</v>
      </c>
      <c r="S1976" s="9">
        <f>Table1[[#This Row], [TOTAL TIME]]-Table1[[#This Row], [TOTAL TIME TAKEN]]</f>
        <v>-1.694999999999979</v>
      </c>
      <c r="T1976" t="str">
        <f>IF(Table1[[#This Row], [TIME DIFFERENCE]]&gt;=0,"PASS","FAIL")</f>
        <v>FAIL</v>
      </c>
      <c r="U1976" s="9">
        <f>Table1[[#This Row], [TRC]]+Table1[[#This Row], [DRC]]+Table1[[#This Row], [WRC]]+Table1[[#This Row], [ERC]]+Table1[[#This Row], [EQRC]]</f>
        <v>8210092.1749999989</v>
      </c>
      <c r="V1976" s="9">
        <f>Table1[[#This Row], [TOTAL COST]]+_xlfn.XLOOKUP(Table1[[#This Row], [TEAM]],Sheet1!$A$12:$A$17,Sheet1!$I$12:$I$17)</f>
        <v>8514232.1749999989</v>
      </c>
      <c r="W1976" s="9">
        <f>Table1[[#This Row], [LOOT]]-Table1[[#This Row], [TOTAL COST]]</f>
        <v>9739907.8250000011</v>
      </c>
      <c r="X1976" s="4">
        <f>IF(Table1[[#This Row], [PASS/FAIL]]="FAIL",0,Table1[[#This Row], [PROFIT]])</f>
        <v>0</v>
      </c>
    </row>
    <row r="1977" spans="1:24" ht="19.5" customHeight="1" x14ac:dyDescent="0.45">
      <c r="A1977" t="s">
        <v>16</v>
      </c>
      <c r="B1977" s="14">
        <f>_xlfn.XLOOKUP(Table1[[#This Row], [TEAM]],Sheet1!$A$12:$A$17,Sheet1!$F$12:$F$17)</f>
        <v>2</v>
      </c>
      <c r="C1977" s="14">
        <f>_xlfn.XLOOKUP(Table1[[#This Row], [TEAM]],Sheet1!$A$12:$A$17,Sheet1!$G$12:$G$17)</f>
        <v>6082800</v>
      </c>
      <c r="D1977" t="s">
        <v>19</v>
      </c>
      <c r="E1977" s="4">
        <f>_xlfn.XLOOKUP(Table1[[#This Row], [ROOM]],Sheet1!$A$47:$A$66,Sheet1!$B$47:$B$66)</f>
        <v>135</v>
      </c>
      <c r="F1977" t="s">
        <v>62</v>
      </c>
      <c r="G197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7" s="13" t="s">
        <v>66</v>
      </c>
      <c r="I1977" s="4">
        <f>_xlfn.XLOOKUP(Table1[[#This Row], [WEAPON]],Sheet1!$A$27:$A$29,Sheet1!$B$27:$B$29)*Table1[[#This Row], [NUM OF MEM]]*(1+_xlfn.XLOOKUP(Table1[[#This Row], [WEAPON]],Sheet1!$A$27:$A$29,Sheet1!$C$27:$C$29))</f>
        <v>72000</v>
      </c>
      <c r="J1977" t="s">
        <v>64</v>
      </c>
      <c r="K1977" s="9">
        <f>Table1[[#This Row], [NUM OF MEM]]*Table1[[#This Row], [TOTAL TIME TAKEN]]*_xlfn.XLOOKUP(Table1[[#This Row], [EXIT]],Sheet1!$A$70:$A$71,Sheet1!$B$70:$B$71)*(1+_xlfn.XLOOKUP(Table1[[#This Row], [EXIT]],Sheet1!$A$70:$A$71,Sheet1!$C$70:$C$71))</f>
        <v>1754654.3999999994</v>
      </c>
      <c r="L1977" s="13" t="s">
        <v>65</v>
      </c>
      <c r="M1977" s="4">
        <f>IF(Table1[[#This Row], [EQUIPMENT]]="YES",Sheet1!$C$44*(1+Sheet1!$D$44),0)</f>
        <v>307500</v>
      </c>
      <c r="N1977" s="4">
        <f>_xlfn.XLOOKUP(Table1[[#This Row], [ROOM]],Sheet1!$A$47:$A$66,Sheet1!$F$47:$F$66)</f>
        <v>17950000</v>
      </c>
      <c r="O1977" s="9">
        <f>_xlfn.XLOOKUP(_xlfn.CONCAT(Table1[[#This Row], [TEAM]],Table1[[#This Row], [ROOM]]),'ROOM TIME'!$H$2:$H$121,'ROOM TIME'!$J$2:$J$121)</f>
        <v>60.819999999999979</v>
      </c>
      <c r="P1977" s="9">
        <f>(INDEX(Sheet1!$X$48:$Z$67,MATCH(Table1[[#This Row], [ROOM]],Sheet1!$P$48:$P$67,0),MATCH(Table1[[#This Row], [WEAPON]],Sheet1!$X$47:$Z$47,0)))/Table1[[#This Row], [NUM OF MEM]]</f>
        <v>6.875</v>
      </c>
      <c r="Q1977" s="9">
        <f>Table1[[#This Row], [ROOM TIME]]+Table1[[#This Row], [GUARD TIME]]</f>
        <v>67.694999999999979</v>
      </c>
      <c r="R1977" s="4">
        <f>Sheet1!$K$3*_xlfn.XLOOKUP(Table1[[#This Row], [DISGUISE]],Sheet1!$A$21:$A$23,Sheet1!$D$21:$D$23)</f>
        <v>66</v>
      </c>
      <c r="S1977" s="9">
        <f>Table1[[#This Row], [TOTAL TIME]]-Table1[[#This Row], [TOTAL TIME TAKEN]]</f>
        <v>-1.694999999999979</v>
      </c>
      <c r="T1977" t="str">
        <f>IF(Table1[[#This Row], [TIME DIFFERENCE]]&gt;=0,"PASS","FAIL")</f>
        <v>FAIL</v>
      </c>
      <c r="U1977" s="9">
        <f>Table1[[#This Row], [TRC]]+Table1[[#This Row], [DRC]]+Table1[[#This Row], [WRC]]+Table1[[#This Row], [ERC]]+Table1[[#This Row], [EQRC]]</f>
        <v>8227354.3999999994</v>
      </c>
      <c r="V1977" s="9">
        <f>Table1[[#This Row], [TOTAL COST]]+_xlfn.XLOOKUP(Table1[[#This Row], [TEAM]],Sheet1!$A$12:$A$17,Sheet1!$I$12:$I$17)</f>
        <v>8531494.3999999985</v>
      </c>
      <c r="W1977" s="9">
        <f>Table1[[#This Row], [LOOT]]-Table1[[#This Row], [TOTAL COST]]</f>
        <v>9722645.6000000015</v>
      </c>
      <c r="X1977" s="4">
        <f>IF(Table1[[#This Row], [PASS/FAIL]]="FAIL",0,Table1[[#This Row], [PROFIT]])</f>
        <v>0</v>
      </c>
    </row>
    <row r="1978" spans="1:24" ht="19.5" customHeight="1" x14ac:dyDescent="0.45">
      <c r="A1978" t="s">
        <v>14</v>
      </c>
      <c r="B1978" s="14">
        <f>_xlfn.XLOOKUP(Table1[[#This Row], [TEAM]],Sheet1!$A$12:$A$17,Sheet1!$F$12:$F$17)</f>
        <v>2</v>
      </c>
      <c r="C1978" s="14">
        <f>_xlfn.XLOOKUP(Table1[[#This Row], [TEAM]],Sheet1!$A$12:$A$17,Sheet1!$G$12:$G$17)</f>
        <v>5949600</v>
      </c>
      <c r="D1978" t="s">
        <v>20</v>
      </c>
      <c r="E1978" s="4">
        <f>_xlfn.XLOOKUP(Table1[[#This Row], [ROOM]],Sheet1!$A$47:$A$66,Sheet1!$B$47:$B$66)</f>
        <v>145</v>
      </c>
      <c r="F1978" t="s">
        <v>62</v>
      </c>
      <c r="G197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8" s="13" t="s">
        <v>63</v>
      </c>
      <c r="I1978" s="4">
        <f>_xlfn.XLOOKUP(Table1[[#This Row], [WEAPON]],Sheet1!$A$27:$A$29,Sheet1!$B$27:$B$29)*Table1[[#This Row], [NUM OF MEM]]*(1+_xlfn.XLOOKUP(Table1[[#This Row], [WEAPON]],Sheet1!$A$27:$A$29,Sheet1!$C$27:$C$29))</f>
        <v>46000</v>
      </c>
      <c r="J1978" t="s">
        <v>60</v>
      </c>
      <c r="K1978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1710315.5999999996</v>
      </c>
      <c r="L1978" s="13" t="s">
        <v>61</v>
      </c>
      <c r="M1978" s="4">
        <f>IF(Table1[[#This Row], [EQUIPMENT]]="YES",Sheet1!$C$44*(1+Sheet1!$D$44),0)</f>
        <v>0</v>
      </c>
      <c r="N1978" s="4">
        <f>_xlfn.XLOOKUP(Table1[[#This Row], [ROOM]],Sheet1!$A$47:$A$66,Sheet1!$F$47:$F$66)</f>
        <v>17550000</v>
      </c>
      <c r="O1978" s="9">
        <f>_xlfn.XLOOKUP(_xlfn.CONCAT(Table1[[#This Row], [TEAM]],Table1[[#This Row], [ROOM]]),'ROOM TIME'!$H$2:$H$121,'ROOM TIME'!$J$2:$J$121)</f>
        <v>59.889999999999986</v>
      </c>
      <c r="P1978" s="9">
        <f>(INDEX(Sheet1!$X$48:$Z$67,MATCH(Table1[[#This Row], [ROOM]],Sheet1!$P$48:$P$67,0),MATCH(Table1[[#This Row], [WEAPON]],Sheet1!$X$47:$Z$47,0)))/Table1[[#This Row], [NUM OF MEM]]</f>
        <v>6.75</v>
      </c>
      <c r="Q1978" s="9">
        <f>Table1[[#This Row], [ROOM TIME]]+Table1[[#This Row], [GUARD TIME]]</f>
        <v>66.639999999999986</v>
      </c>
      <c r="R1978" s="4">
        <f>Sheet1!$K$3*_xlfn.XLOOKUP(Table1[[#This Row], [DISGUISE]],Sheet1!$A$21:$A$23,Sheet1!$D$21:$D$23)</f>
        <v>66</v>
      </c>
      <c r="S1978" s="9">
        <f>Table1[[#This Row], [TOTAL TIME]]-Table1[[#This Row], [TOTAL TIME TAKEN]]</f>
        <v>-0.63999999999998636</v>
      </c>
      <c r="T1978" t="str">
        <f>IF(Table1[[#This Row], [TIME DIFFERENCE]]&gt;=0,"PASS","FAIL")</f>
        <v>FAIL</v>
      </c>
      <c r="U1978" s="9">
        <f>Table1[[#This Row], [TRC]]+Table1[[#This Row], [DRC]]+Table1[[#This Row], [WRC]]+Table1[[#This Row], [ERC]]+Table1[[#This Row], [EQRC]]</f>
        <v>7716315.5999999996</v>
      </c>
      <c r="V1978" s="9">
        <f>Table1[[#This Row], [TOTAL COST]]+_xlfn.XLOOKUP(Table1[[#This Row], [TEAM]],Sheet1!$A$12:$A$17,Sheet1!$I$12:$I$17)</f>
        <v>8013795.5999999996</v>
      </c>
      <c r="W1978" s="9">
        <f>Table1[[#This Row], [LOOT]]-Table1[[#This Row], [TOTAL COST]]</f>
        <v>9833684.4000000004</v>
      </c>
      <c r="X1978" s="4">
        <f>IF(Table1[[#This Row], [PASS/FAIL]]="FAIL",0,Table1[[#This Row], [PROFIT]])</f>
        <v>0</v>
      </c>
    </row>
    <row r="1979" spans="1:24" ht="19.5" customHeight="1" x14ac:dyDescent="0.45">
      <c r="A1979" t="s">
        <v>14</v>
      </c>
      <c r="B1979" s="14">
        <f>_xlfn.XLOOKUP(Table1[[#This Row], [TEAM]],Sheet1!$A$12:$A$17,Sheet1!$F$12:$F$17)</f>
        <v>2</v>
      </c>
      <c r="C1979" s="14">
        <f>_xlfn.XLOOKUP(Table1[[#This Row], [TEAM]],Sheet1!$A$12:$A$17,Sheet1!$G$12:$G$17)</f>
        <v>5949600</v>
      </c>
      <c r="D1979" t="s">
        <v>20</v>
      </c>
      <c r="E1979" s="4">
        <f>_xlfn.XLOOKUP(Table1[[#This Row], [ROOM]],Sheet1!$A$47:$A$66,Sheet1!$B$47:$B$66)</f>
        <v>145</v>
      </c>
      <c r="F1979" t="s">
        <v>62</v>
      </c>
      <c r="G197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79" s="13" t="s">
        <v>63</v>
      </c>
      <c r="I1979" s="4">
        <f>_xlfn.XLOOKUP(Table1[[#This Row], [WEAPON]],Sheet1!$A$27:$A$29,Sheet1!$B$27:$B$29)*Table1[[#This Row], [NUM OF MEM]]*(1+_xlfn.XLOOKUP(Table1[[#This Row], [WEAPON]],Sheet1!$A$27:$A$29,Sheet1!$C$27:$C$29))</f>
        <v>46000</v>
      </c>
      <c r="J1979" t="s">
        <v>64</v>
      </c>
      <c r="K1979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1727308.7999999996</v>
      </c>
      <c r="L1979" s="13" t="s">
        <v>61</v>
      </c>
      <c r="M1979" s="4">
        <f>IF(Table1[[#This Row], [EQUIPMENT]]="YES",Sheet1!$C$44*(1+Sheet1!$D$44),0)</f>
        <v>0</v>
      </c>
      <c r="N1979" s="4">
        <f>_xlfn.XLOOKUP(Table1[[#This Row], [ROOM]],Sheet1!$A$47:$A$66,Sheet1!$F$47:$F$66)</f>
        <v>17550000</v>
      </c>
      <c r="O1979" s="9">
        <f>_xlfn.XLOOKUP(_xlfn.CONCAT(Table1[[#This Row], [TEAM]],Table1[[#This Row], [ROOM]]),'ROOM TIME'!$H$2:$H$121,'ROOM TIME'!$J$2:$J$121)</f>
        <v>59.889999999999986</v>
      </c>
      <c r="P1979" s="9">
        <f>(INDEX(Sheet1!$X$48:$Z$67,MATCH(Table1[[#This Row], [ROOM]],Sheet1!$P$48:$P$67,0),MATCH(Table1[[#This Row], [WEAPON]],Sheet1!$X$47:$Z$47,0)))/Table1[[#This Row], [NUM OF MEM]]</f>
        <v>6.75</v>
      </c>
      <c r="Q1979" s="9">
        <f>Table1[[#This Row], [ROOM TIME]]+Table1[[#This Row], [GUARD TIME]]</f>
        <v>66.639999999999986</v>
      </c>
      <c r="R1979" s="4">
        <f>Sheet1!$K$3*_xlfn.XLOOKUP(Table1[[#This Row], [DISGUISE]],Sheet1!$A$21:$A$23,Sheet1!$D$21:$D$23)</f>
        <v>66</v>
      </c>
      <c r="S1979" s="9">
        <f>Table1[[#This Row], [TOTAL TIME]]-Table1[[#This Row], [TOTAL TIME TAKEN]]</f>
        <v>-0.63999999999998636</v>
      </c>
      <c r="T1979" t="str">
        <f>IF(Table1[[#This Row], [TIME DIFFERENCE]]&gt;=0,"PASS","FAIL")</f>
        <v>FAIL</v>
      </c>
      <c r="U1979" s="9">
        <f>Table1[[#This Row], [TRC]]+Table1[[#This Row], [DRC]]+Table1[[#This Row], [WRC]]+Table1[[#This Row], [ERC]]+Table1[[#This Row], [EQRC]]</f>
        <v>7733308.7999999998</v>
      </c>
      <c r="V1979" s="9">
        <f>Table1[[#This Row], [TOTAL COST]]+_xlfn.XLOOKUP(Table1[[#This Row], [TEAM]],Sheet1!$A$12:$A$17,Sheet1!$I$12:$I$17)</f>
        <v>8030788.7999999998</v>
      </c>
      <c r="W1979" s="9">
        <f>Table1[[#This Row], [LOOT]]-Table1[[#This Row], [TOTAL COST]]</f>
        <v>9816691.1999999993</v>
      </c>
      <c r="X1979" s="4">
        <f>IF(Table1[[#This Row], [PASS/FAIL]]="FAIL",0,Table1[[#This Row], [PROFIT]])</f>
        <v>0</v>
      </c>
    </row>
    <row r="1980" spans="1:24" ht="19.5" customHeight="1" x14ac:dyDescent="0.45">
      <c r="A1980" t="s">
        <v>14</v>
      </c>
      <c r="B1980" s="14">
        <f>_xlfn.XLOOKUP(Table1[[#This Row], [TEAM]],Sheet1!$A$12:$A$17,Sheet1!$F$12:$F$17)</f>
        <v>2</v>
      </c>
      <c r="C1980" s="14">
        <f>_xlfn.XLOOKUP(Table1[[#This Row], [TEAM]],Sheet1!$A$12:$A$17,Sheet1!$G$12:$G$17)</f>
        <v>5949600</v>
      </c>
      <c r="D1980" t="s">
        <v>20</v>
      </c>
      <c r="E1980" s="4">
        <f>_xlfn.XLOOKUP(Table1[[#This Row], [ROOM]],Sheet1!$A$47:$A$66,Sheet1!$B$47:$B$66)</f>
        <v>145</v>
      </c>
      <c r="F1980" t="s">
        <v>62</v>
      </c>
      <c r="G198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0" s="13" t="s">
        <v>63</v>
      </c>
      <c r="I1980" s="4">
        <f>_xlfn.XLOOKUP(Table1[[#This Row], [WEAPON]],Sheet1!$A$27:$A$29,Sheet1!$B$27:$B$29)*Table1[[#This Row], [NUM OF MEM]]*(1+_xlfn.XLOOKUP(Table1[[#This Row], [WEAPON]],Sheet1!$A$27:$A$29,Sheet1!$C$27:$C$29))</f>
        <v>46000</v>
      </c>
      <c r="J1980" t="s">
        <v>60</v>
      </c>
      <c r="K1980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1710315.5999999996</v>
      </c>
      <c r="L1980" s="13" t="s">
        <v>65</v>
      </c>
      <c r="M1980" s="4">
        <f>IF(Table1[[#This Row], [EQUIPMENT]]="YES",Sheet1!$C$44*(1+Sheet1!$D$44),0)</f>
        <v>307500</v>
      </c>
      <c r="N1980" s="4">
        <f>_xlfn.XLOOKUP(Table1[[#This Row], [ROOM]],Sheet1!$A$47:$A$66,Sheet1!$F$47:$F$66)</f>
        <v>17550000</v>
      </c>
      <c r="O1980" s="9">
        <f>_xlfn.XLOOKUP(_xlfn.CONCAT(Table1[[#This Row], [TEAM]],Table1[[#This Row], [ROOM]]),'ROOM TIME'!$H$2:$H$121,'ROOM TIME'!$J$2:$J$121)</f>
        <v>59.889999999999986</v>
      </c>
      <c r="P1980" s="9">
        <f>(INDEX(Sheet1!$X$48:$Z$67,MATCH(Table1[[#This Row], [ROOM]],Sheet1!$P$48:$P$67,0),MATCH(Table1[[#This Row], [WEAPON]],Sheet1!$X$47:$Z$47,0)))/Table1[[#This Row], [NUM OF MEM]]</f>
        <v>6.75</v>
      </c>
      <c r="Q1980" s="9">
        <f>Table1[[#This Row], [ROOM TIME]]+Table1[[#This Row], [GUARD TIME]]</f>
        <v>66.639999999999986</v>
      </c>
      <c r="R1980" s="4">
        <f>Sheet1!$K$3*_xlfn.XLOOKUP(Table1[[#This Row], [DISGUISE]],Sheet1!$A$21:$A$23,Sheet1!$D$21:$D$23)</f>
        <v>66</v>
      </c>
      <c r="S1980" s="9">
        <f>Table1[[#This Row], [TOTAL TIME]]-Table1[[#This Row], [TOTAL TIME TAKEN]]</f>
        <v>-0.63999999999998636</v>
      </c>
      <c r="T1980" t="str">
        <f>IF(Table1[[#This Row], [TIME DIFFERENCE]]&gt;=0,"PASS","FAIL")</f>
        <v>FAIL</v>
      </c>
      <c r="U1980" s="9">
        <f>Table1[[#This Row], [TRC]]+Table1[[#This Row], [DRC]]+Table1[[#This Row], [WRC]]+Table1[[#This Row], [ERC]]+Table1[[#This Row], [EQRC]]</f>
        <v>8023815.5999999996</v>
      </c>
      <c r="V1980" s="9">
        <f>Table1[[#This Row], [TOTAL COST]]+_xlfn.XLOOKUP(Table1[[#This Row], [TEAM]],Sheet1!$A$12:$A$17,Sheet1!$I$12:$I$17)</f>
        <v>8321295.5999999996</v>
      </c>
      <c r="W1980" s="9">
        <f>Table1[[#This Row], [LOOT]]-Table1[[#This Row], [TOTAL COST]]</f>
        <v>9526184.4000000004</v>
      </c>
      <c r="X1980" s="4">
        <f>IF(Table1[[#This Row], [PASS/FAIL]]="FAIL",0,Table1[[#This Row], [PROFIT]])</f>
        <v>0</v>
      </c>
    </row>
    <row r="1981" spans="1:24" ht="19.5" customHeight="1" x14ac:dyDescent="0.45">
      <c r="A1981" t="s">
        <v>14</v>
      </c>
      <c r="B1981" s="14">
        <f>_xlfn.XLOOKUP(Table1[[#This Row], [TEAM]],Sheet1!$A$12:$A$17,Sheet1!$F$12:$F$17)</f>
        <v>2</v>
      </c>
      <c r="C1981" s="14">
        <f>_xlfn.XLOOKUP(Table1[[#This Row], [TEAM]],Sheet1!$A$12:$A$17,Sheet1!$G$12:$G$17)</f>
        <v>5949600</v>
      </c>
      <c r="D1981" t="s">
        <v>20</v>
      </c>
      <c r="E1981" s="4">
        <f>_xlfn.XLOOKUP(Table1[[#This Row], [ROOM]],Sheet1!$A$47:$A$66,Sheet1!$B$47:$B$66)</f>
        <v>145</v>
      </c>
      <c r="F1981" t="s">
        <v>62</v>
      </c>
      <c r="G198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1" s="13" t="s">
        <v>63</v>
      </c>
      <c r="I1981" s="4">
        <f>_xlfn.XLOOKUP(Table1[[#This Row], [WEAPON]],Sheet1!$A$27:$A$29,Sheet1!$B$27:$B$29)*Table1[[#This Row], [NUM OF MEM]]*(1+_xlfn.XLOOKUP(Table1[[#This Row], [WEAPON]],Sheet1!$A$27:$A$29,Sheet1!$C$27:$C$29))</f>
        <v>46000</v>
      </c>
      <c r="J1981" t="s">
        <v>64</v>
      </c>
      <c r="K1981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1727308.7999999996</v>
      </c>
      <c r="L1981" s="13" t="s">
        <v>65</v>
      </c>
      <c r="M1981" s="4">
        <f>IF(Table1[[#This Row], [EQUIPMENT]]="YES",Sheet1!$C$44*(1+Sheet1!$D$44),0)</f>
        <v>307500</v>
      </c>
      <c r="N1981" s="4">
        <f>_xlfn.XLOOKUP(Table1[[#This Row], [ROOM]],Sheet1!$A$47:$A$66,Sheet1!$F$47:$F$66)</f>
        <v>17550000</v>
      </c>
      <c r="O1981" s="9">
        <f>_xlfn.XLOOKUP(_xlfn.CONCAT(Table1[[#This Row], [TEAM]],Table1[[#This Row], [ROOM]]),'ROOM TIME'!$H$2:$H$121,'ROOM TIME'!$J$2:$J$121)</f>
        <v>59.889999999999986</v>
      </c>
      <c r="P1981" s="9">
        <f>(INDEX(Sheet1!$X$48:$Z$67,MATCH(Table1[[#This Row], [ROOM]],Sheet1!$P$48:$P$67,0),MATCH(Table1[[#This Row], [WEAPON]],Sheet1!$X$47:$Z$47,0)))/Table1[[#This Row], [NUM OF MEM]]</f>
        <v>6.75</v>
      </c>
      <c r="Q1981" s="9">
        <f>Table1[[#This Row], [ROOM TIME]]+Table1[[#This Row], [GUARD TIME]]</f>
        <v>66.639999999999986</v>
      </c>
      <c r="R1981" s="4">
        <f>Sheet1!$K$3*_xlfn.XLOOKUP(Table1[[#This Row], [DISGUISE]],Sheet1!$A$21:$A$23,Sheet1!$D$21:$D$23)</f>
        <v>66</v>
      </c>
      <c r="S1981" s="9">
        <f>Table1[[#This Row], [TOTAL TIME]]-Table1[[#This Row], [TOTAL TIME TAKEN]]</f>
        <v>-0.63999999999998636</v>
      </c>
      <c r="T1981" t="str">
        <f>IF(Table1[[#This Row], [TIME DIFFERENCE]]&gt;=0,"PASS","FAIL")</f>
        <v>FAIL</v>
      </c>
      <c r="U1981" s="9">
        <f>Table1[[#This Row], [TRC]]+Table1[[#This Row], [DRC]]+Table1[[#This Row], [WRC]]+Table1[[#This Row], [ERC]]+Table1[[#This Row], [EQRC]]</f>
        <v>8040808.7999999998</v>
      </c>
      <c r="V1981" s="9">
        <f>Table1[[#This Row], [TOTAL COST]]+_xlfn.XLOOKUP(Table1[[#This Row], [TEAM]],Sheet1!$A$12:$A$17,Sheet1!$I$12:$I$17)</f>
        <v>8338288.7999999998</v>
      </c>
      <c r="W1981" s="9">
        <f>Table1[[#This Row], [LOOT]]-Table1[[#This Row], [TOTAL COST]]</f>
        <v>9509191.1999999993</v>
      </c>
      <c r="X1981" s="4">
        <f>IF(Table1[[#This Row], [PASS/FAIL]]="FAIL",0,Table1[[#This Row], [PROFIT]])</f>
        <v>0</v>
      </c>
    </row>
    <row r="1982" spans="1:24" ht="19.5" customHeight="1" x14ac:dyDescent="0.45">
      <c r="A1982" t="s">
        <v>14</v>
      </c>
      <c r="B1982" s="14">
        <f>_xlfn.XLOOKUP(Table1[[#This Row], [TEAM]],Sheet1!$A$12:$A$17,Sheet1!$F$12:$F$17)</f>
        <v>2</v>
      </c>
      <c r="C1982" s="14">
        <f>_xlfn.XLOOKUP(Table1[[#This Row], [TEAM]],Sheet1!$A$12:$A$17,Sheet1!$G$12:$G$17)</f>
        <v>5949600</v>
      </c>
      <c r="D1982" t="s">
        <v>20</v>
      </c>
      <c r="E1982" s="4">
        <f>_xlfn.XLOOKUP(Table1[[#This Row], [ROOM]],Sheet1!$A$47:$A$66,Sheet1!$B$47:$B$66)</f>
        <v>145</v>
      </c>
      <c r="F1982" t="s">
        <v>62</v>
      </c>
      <c r="G198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2" s="13" t="s">
        <v>66</v>
      </c>
      <c r="I1982" s="4">
        <f>_xlfn.XLOOKUP(Table1[[#This Row], [WEAPON]],Sheet1!$A$27:$A$29,Sheet1!$B$27:$B$29)*Table1[[#This Row], [NUM OF MEM]]*(1+_xlfn.XLOOKUP(Table1[[#This Row], [WEAPON]],Sheet1!$A$27:$A$29,Sheet1!$C$27:$C$29))</f>
        <v>72000</v>
      </c>
      <c r="J1982" t="s">
        <v>60</v>
      </c>
      <c r="K1982" s="9">
        <f>Table1[[#This Row], [NUM OF MEM]]*Table1[[#This Row], [TOTAL TIME TAKEN]]*_xlfn.XLOOKUP(Table1[[#This Row], [EXIT]],Sheet1!$A$70:$A$71,Sheet1!$B$70:$B$71)*(1+_xlfn.XLOOKUP(Table1[[#This Row], [EXIT]],Sheet1!$A$70:$A$71,Sheet1!$C$70:$C$71))</f>
        <v>1697483.0999999996</v>
      </c>
      <c r="L1982" s="13" t="s">
        <v>61</v>
      </c>
      <c r="M1982" s="4">
        <f>IF(Table1[[#This Row], [EQUIPMENT]]="YES",Sheet1!$C$44*(1+Sheet1!$D$44),0)</f>
        <v>0</v>
      </c>
      <c r="N1982" s="4">
        <f>_xlfn.XLOOKUP(Table1[[#This Row], [ROOM]],Sheet1!$A$47:$A$66,Sheet1!$F$47:$F$66)</f>
        <v>17550000</v>
      </c>
      <c r="O1982" s="9">
        <f>_xlfn.XLOOKUP(_xlfn.CONCAT(Table1[[#This Row], [TEAM]],Table1[[#This Row], [ROOM]]),'ROOM TIME'!$H$2:$H$121,'ROOM TIME'!$J$2:$J$121)</f>
        <v>59.889999999999986</v>
      </c>
      <c r="P1982" s="9">
        <f>(INDEX(Sheet1!$X$48:$Z$67,MATCH(Table1[[#This Row], [ROOM]],Sheet1!$P$48:$P$67,0),MATCH(Table1[[#This Row], [WEAPON]],Sheet1!$X$47:$Z$47,0)))/Table1[[#This Row], [NUM OF MEM]]</f>
        <v>6.25</v>
      </c>
      <c r="Q1982" s="9">
        <f>Table1[[#This Row], [ROOM TIME]]+Table1[[#This Row], [GUARD TIME]]</f>
        <v>66.139999999999986</v>
      </c>
      <c r="R1982" s="4">
        <f>Sheet1!$K$3*_xlfn.XLOOKUP(Table1[[#This Row], [DISGUISE]],Sheet1!$A$21:$A$23,Sheet1!$D$21:$D$23)</f>
        <v>66</v>
      </c>
      <c r="S1982" s="9">
        <f>Table1[[#This Row], [TOTAL TIME]]-Table1[[#This Row], [TOTAL TIME TAKEN]]</f>
        <v>-0.13999999999998636</v>
      </c>
      <c r="T1982" t="str">
        <f>IF(Table1[[#This Row], [TIME DIFFERENCE]]&gt;=0,"PASS","FAIL")</f>
        <v>FAIL</v>
      </c>
      <c r="U1982" s="9">
        <f>Table1[[#This Row], [TRC]]+Table1[[#This Row], [DRC]]+Table1[[#This Row], [WRC]]+Table1[[#This Row], [ERC]]+Table1[[#This Row], [EQRC]]</f>
        <v>7729483.0999999996</v>
      </c>
      <c r="V1982" s="9">
        <f>Table1[[#This Row], [TOTAL COST]]+_xlfn.XLOOKUP(Table1[[#This Row], [TEAM]],Sheet1!$A$12:$A$17,Sheet1!$I$12:$I$17)</f>
        <v>8026963.0999999996</v>
      </c>
      <c r="W1982" s="9">
        <f>Table1[[#This Row], [LOOT]]-Table1[[#This Row], [TOTAL COST]]</f>
        <v>9820516.9000000004</v>
      </c>
      <c r="X1982" s="4">
        <f>IF(Table1[[#This Row], [PASS/FAIL]]="FAIL",0,Table1[[#This Row], [PROFIT]])</f>
        <v>0</v>
      </c>
    </row>
    <row r="1983" spans="1:24" ht="19.5" customHeight="1" x14ac:dyDescent="0.45">
      <c r="A1983" t="s">
        <v>14</v>
      </c>
      <c r="B1983" s="14">
        <f>_xlfn.XLOOKUP(Table1[[#This Row], [TEAM]],Sheet1!$A$12:$A$17,Sheet1!$F$12:$F$17)</f>
        <v>2</v>
      </c>
      <c r="C1983" s="14">
        <f>_xlfn.XLOOKUP(Table1[[#This Row], [TEAM]],Sheet1!$A$12:$A$17,Sheet1!$G$12:$G$17)</f>
        <v>5949600</v>
      </c>
      <c r="D1983" t="s">
        <v>20</v>
      </c>
      <c r="E1983" s="4">
        <f>_xlfn.XLOOKUP(Table1[[#This Row], [ROOM]],Sheet1!$A$47:$A$66,Sheet1!$B$47:$B$66)</f>
        <v>145</v>
      </c>
      <c r="F1983" t="s">
        <v>62</v>
      </c>
      <c r="G198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3" s="13" t="s">
        <v>66</v>
      </c>
      <c r="I1983" s="4">
        <f>_xlfn.XLOOKUP(Table1[[#This Row], [WEAPON]],Sheet1!$A$27:$A$29,Sheet1!$B$27:$B$29)*Table1[[#This Row], [NUM OF MEM]]*(1+_xlfn.XLOOKUP(Table1[[#This Row], [WEAPON]],Sheet1!$A$27:$A$29,Sheet1!$C$27:$C$29))</f>
        <v>72000</v>
      </c>
      <c r="J1983" t="s">
        <v>64</v>
      </c>
      <c r="K1983" s="9">
        <f>Table1[[#This Row], [NUM OF MEM]]*Table1[[#This Row], [TOTAL TIME TAKEN]]*_xlfn.XLOOKUP(Table1[[#This Row], [EXIT]],Sheet1!$A$70:$A$71,Sheet1!$B$70:$B$71)*(1+_xlfn.XLOOKUP(Table1[[#This Row], [EXIT]],Sheet1!$A$70:$A$71,Sheet1!$C$70:$C$71))</f>
        <v>1714348.7999999996</v>
      </c>
      <c r="L1983" s="13" t="s">
        <v>61</v>
      </c>
      <c r="M1983" s="4">
        <f>IF(Table1[[#This Row], [EQUIPMENT]]="YES",Sheet1!$C$44*(1+Sheet1!$D$44),0)</f>
        <v>0</v>
      </c>
      <c r="N1983" s="4">
        <f>_xlfn.XLOOKUP(Table1[[#This Row], [ROOM]],Sheet1!$A$47:$A$66,Sheet1!$F$47:$F$66)</f>
        <v>17550000</v>
      </c>
      <c r="O1983" s="9">
        <f>_xlfn.XLOOKUP(_xlfn.CONCAT(Table1[[#This Row], [TEAM]],Table1[[#This Row], [ROOM]]),'ROOM TIME'!$H$2:$H$121,'ROOM TIME'!$J$2:$J$121)</f>
        <v>59.889999999999986</v>
      </c>
      <c r="P1983" s="9">
        <f>(INDEX(Sheet1!$X$48:$Z$67,MATCH(Table1[[#This Row], [ROOM]],Sheet1!$P$48:$P$67,0),MATCH(Table1[[#This Row], [WEAPON]],Sheet1!$X$47:$Z$47,0)))/Table1[[#This Row], [NUM OF MEM]]</f>
        <v>6.25</v>
      </c>
      <c r="Q1983" s="9">
        <f>Table1[[#This Row], [ROOM TIME]]+Table1[[#This Row], [GUARD TIME]]</f>
        <v>66.139999999999986</v>
      </c>
      <c r="R1983" s="4">
        <f>Sheet1!$K$3*_xlfn.XLOOKUP(Table1[[#This Row], [DISGUISE]],Sheet1!$A$21:$A$23,Sheet1!$D$21:$D$23)</f>
        <v>66</v>
      </c>
      <c r="S1983" s="9">
        <f>Table1[[#This Row], [TOTAL TIME]]-Table1[[#This Row], [TOTAL TIME TAKEN]]</f>
        <v>-0.13999999999998636</v>
      </c>
      <c r="T1983" t="str">
        <f>IF(Table1[[#This Row], [TIME DIFFERENCE]]&gt;=0,"PASS","FAIL")</f>
        <v>FAIL</v>
      </c>
      <c r="U1983" s="9">
        <f>Table1[[#This Row], [TRC]]+Table1[[#This Row], [DRC]]+Table1[[#This Row], [WRC]]+Table1[[#This Row], [ERC]]+Table1[[#This Row], [EQRC]]</f>
        <v>7746348.7999999998</v>
      </c>
      <c r="V1983" s="9">
        <f>Table1[[#This Row], [TOTAL COST]]+_xlfn.XLOOKUP(Table1[[#This Row], [TEAM]],Sheet1!$A$12:$A$17,Sheet1!$I$12:$I$17)</f>
        <v>8043828.7999999998</v>
      </c>
      <c r="W1983" s="9">
        <f>Table1[[#This Row], [LOOT]]-Table1[[#This Row], [TOTAL COST]]</f>
        <v>9803651.1999999993</v>
      </c>
      <c r="X1983" s="4">
        <f>IF(Table1[[#This Row], [PASS/FAIL]]="FAIL",0,Table1[[#This Row], [PROFIT]])</f>
        <v>0</v>
      </c>
    </row>
    <row r="1984" spans="1:24" ht="19.5" customHeight="1" x14ac:dyDescent="0.45">
      <c r="A1984" t="s">
        <v>14</v>
      </c>
      <c r="B1984" s="14">
        <f>_xlfn.XLOOKUP(Table1[[#This Row], [TEAM]],Sheet1!$A$12:$A$17,Sheet1!$F$12:$F$17)</f>
        <v>2</v>
      </c>
      <c r="C1984" s="14">
        <f>_xlfn.XLOOKUP(Table1[[#This Row], [TEAM]],Sheet1!$A$12:$A$17,Sheet1!$G$12:$G$17)</f>
        <v>5949600</v>
      </c>
      <c r="D1984" t="s">
        <v>20</v>
      </c>
      <c r="E1984" s="4">
        <f>_xlfn.XLOOKUP(Table1[[#This Row], [ROOM]],Sheet1!$A$47:$A$66,Sheet1!$B$47:$B$66)</f>
        <v>145</v>
      </c>
      <c r="F1984" t="s">
        <v>62</v>
      </c>
      <c r="G198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4" s="13" t="s">
        <v>66</v>
      </c>
      <c r="I1984" s="4">
        <f>_xlfn.XLOOKUP(Table1[[#This Row], [WEAPON]],Sheet1!$A$27:$A$29,Sheet1!$B$27:$B$29)*Table1[[#This Row], [NUM OF MEM]]*(1+_xlfn.XLOOKUP(Table1[[#This Row], [WEAPON]],Sheet1!$A$27:$A$29,Sheet1!$C$27:$C$29))</f>
        <v>72000</v>
      </c>
      <c r="J1984" t="s">
        <v>60</v>
      </c>
      <c r="K1984" s="9">
        <f>Table1[[#This Row], [NUM OF MEM]]*Table1[[#This Row], [TOTAL TIME TAKEN]]*_xlfn.XLOOKUP(Table1[[#This Row], [EXIT]],Sheet1!$A$70:$A$71,Sheet1!$B$70:$B$71)*(1+_xlfn.XLOOKUP(Table1[[#This Row], [EXIT]],Sheet1!$A$70:$A$71,Sheet1!$C$70:$C$71))</f>
        <v>1697483.0999999996</v>
      </c>
      <c r="L1984" s="13" t="s">
        <v>65</v>
      </c>
      <c r="M1984" s="4">
        <f>IF(Table1[[#This Row], [EQUIPMENT]]="YES",Sheet1!$C$44*(1+Sheet1!$D$44),0)</f>
        <v>307500</v>
      </c>
      <c r="N1984" s="4">
        <f>_xlfn.XLOOKUP(Table1[[#This Row], [ROOM]],Sheet1!$A$47:$A$66,Sheet1!$F$47:$F$66)</f>
        <v>17550000</v>
      </c>
      <c r="O1984" s="9">
        <f>_xlfn.XLOOKUP(_xlfn.CONCAT(Table1[[#This Row], [TEAM]],Table1[[#This Row], [ROOM]]),'ROOM TIME'!$H$2:$H$121,'ROOM TIME'!$J$2:$J$121)</f>
        <v>59.889999999999986</v>
      </c>
      <c r="P1984" s="9">
        <f>(INDEX(Sheet1!$X$48:$Z$67,MATCH(Table1[[#This Row], [ROOM]],Sheet1!$P$48:$P$67,0),MATCH(Table1[[#This Row], [WEAPON]],Sheet1!$X$47:$Z$47,0)))/Table1[[#This Row], [NUM OF MEM]]</f>
        <v>6.25</v>
      </c>
      <c r="Q1984" s="9">
        <f>Table1[[#This Row], [ROOM TIME]]+Table1[[#This Row], [GUARD TIME]]</f>
        <v>66.139999999999986</v>
      </c>
      <c r="R1984" s="4">
        <f>Sheet1!$K$3*_xlfn.XLOOKUP(Table1[[#This Row], [DISGUISE]],Sheet1!$A$21:$A$23,Sheet1!$D$21:$D$23)</f>
        <v>66</v>
      </c>
      <c r="S1984" s="9">
        <f>Table1[[#This Row], [TOTAL TIME]]-Table1[[#This Row], [TOTAL TIME TAKEN]]</f>
        <v>-0.13999999999998636</v>
      </c>
      <c r="T1984" t="str">
        <f>IF(Table1[[#This Row], [TIME DIFFERENCE]]&gt;=0,"PASS","FAIL")</f>
        <v>FAIL</v>
      </c>
      <c r="U1984" s="9">
        <f>Table1[[#This Row], [TRC]]+Table1[[#This Row], [DRC]]+Table1[[#This Row], [WRC]]+Table1[[#This Row], [ERC]]+Table1[[#This Row], [EQRC]]</f>
        <v>8036983.0999999996</v>
      </c>
      <c r="V1984" s="9">
        <f>Table1[[#This Row], [TOTAL COST]]+_xlfn.XLOOKUP(Table1[[#This Row], [TEAM]],Sheet1!$A$12:$A$17,Sheet1!$I$12:$I$17)</f>
        <v>8334463.0999999996</v>
      </c>
      <c r="W1984" s="9">
        <f>Table1[[#This Row], [LOOT]]-Table1[[#This Row], [TOTAL COST]]</f>
        <v>9513016.9000000004</v>
      </c>
      <c r="X1984" s="4">
        <f>IF(Table1[[#This Row], [PASS/FAIL]]="FAIL",0,Table1[[#This Row], [PROFIT]])</f>
        <v>0</v>
      </c>
    </row>
    <row r="1985" spans="1:24" ht="19.5" customHeight="1" x14ac:dyDescent="0.45">
      <c r="A1985" t="s">
        <v>14</v>
      </c>
      <c r="B1985" s="14">
        <f>_xlfn.XLOOKUP(Table1[[#This Row], [TEAM]],Sheet1!$A$12:$A$17,Sheet1!$F$12:$F$17)</f>
        <v>2</v>
      </c>
      <c r="C1985" s="14">
        <f>_xlfn.XLOOKUP(Table1[[#This Row], [TEAM]],Sheet1!$A$12:$A$17,Sheet1!$G$12:$G$17)</f>
        <v>5949600</v>
      </c>
      <c r="D1985" t="s">
        <v>20</v>
      </c>
      <c r="E1985" s="4">
        <f>_xlfn.XLOOKUP(Table1[[#This Row], [ROOM]],Sheet1!$A$47:$A$66,Sheet1!$B$47:$B$66)</f>
        <v>145</v>
      </c>
      <c r="F1985" t="s">
        <v>62</v>
      </c>
      <c r="G198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5" s="13" t="s">
        <v>66</v>
      </c>
      <c r="I1985" s="4">
        <f>_xlfn.XLOOKUP(Table1[[#This Row], [WEAPON]],Sheet1!$A$27:$A$29,Sheet1!$B$27:$B$29)*Table1[[#This Row], [NUM OF MEM]]*(1+_xlfn.XLOOKUP(Table1[[#This Row], [WEAPON]],Sheet1!$A$27:$A$29,Sheet1!$C$27:$C$29))</f>
        <v>72000</v>
      </c>
      <c r="J1985" t="s">
        <v>64</v>
      </c>
      <c r="K1985" s="9">
        <f>Table1[[#This Row], [NUM OF MEM]]*Table1[[#This Row], [TOTAL TIME TAKEN]]*_xlfn.XLOOKUP(Table1[[#This Row], [EXIT]],Sheet1!$A$70:$A$71,Sheet1!$B$70:$B$71)*(1+_xlfn.XLOOKUP(Table1[[#This Row], [EXIT]],Sheet1!$A$70:$A$71,Sheet1!$C$70:$C$71))</f>
        <v>1714348.7999999996</v>
      </c>
      <c r="L1985" s="13" t="s">
        <v>65</v>
      </c>
      <c r="M1985" s="4">
        <f>IF(Table1[[#This Row], [EQUIPMENT]]="YES",Sheet1!$C$44*(1+Sheet1!$D$44),0)</f>
        <v>307500</v>
      </c>
      <c r="N1985" s="4">
        <f>_xlfn.XLOOKUP(Table1[[#This Row], [ROOM]],Sheet1!$A$47:$A$66,Sheet1!$F$47:$F$66)</f>
        <v>17550000</v>
      </c>
      <c r="O1985" s="9">
        <f>_xlfn.XLOOKUP(_xlfn.CONCAT(Table1[[#This Row], [TEAM]],Table1[[#This Row], [ROOM]]),'ROOM TIME'!$H$2:$H$121,'ROOM TIME'!$J$2:$J$121)</f>
        <v>59.889999999999986</v>
      </c>
      <c r="P1985" s="9">
        <f>(INDEX(Sheet1!$X$48:$Z$67,MATCH(Table1[[#This Row], [ROOM]],Sheet1!$P$48:$P$67,0),MATCH(Table1[[#This Row], [WEAPON]],Sheet1!$X$47:$Z$47,0)))/Table1[[#This Row], [NUM OF MEM]]</f>
        <v>6.25</v>
      </c>
      <c r="Q1985" s="9">
        <f>Table1[[#This Row], [ROOM TIME]]+Table1[[#This Row], [GUARD TIME]]</f>
        <v>66.139999999999986</v>
      </c>
      <c r="R1985" s="4">
        <f>Sheet1!$K$3*_xlfn.XLOOKUP(Table1[[#This Row], [DISGUISE]],Sheet1!$A$21:$A$23,Sheet1!$D$21:$D$23)</f>
        <v>66</v>
      </c>
      <c r="S1985" s="9">
        <f>Table1[[#This Row], [TOTAL TIME]]-Table1[[#This Row], [TOTAL TIME TAKEN]]</f>
        <v>-0.13999999999998636</v>
      </c>
      <c r="T1985" t="str">
        <f>IF(Table1[[#This Row], [TIME DIFFERENCE]]&gt;=0,"PASS","FAIL")</f>
        <v>FAIL</v>
      </c>
      <c r="U1985" s="9">
        <f>Table1[[#This Row], [TRC]]+Table1[[#This Row], [DRC]]+Table1[[#This Row], [WRC]]+Table1[[#This Row], [ERC]]+Table1[[#This Row], [EQRC]]</f>
        <v>8053848.7999999998</v>
      </c>
      <c r="V1985" s="9">
        <f>Table1[[#This Row], [TOTAL COST]]+_xlfn.XLOOKUP(Table1[[#This Row], [TEAM]],Sheet1!$A$12:$A$17,Sheet1!$I$12:$I$17)</f>
        <v>8351328.7999999998</v>
      </c>
      <c r="W1985" s="9">
        <f>Table1[[#This Row], [LOOT]]-Table1[[#This Row], [TOTAL COST]]</f>
        <v>9496151.1999999993</v>
      </c>
      <c r="X1985" s="4">
        <f>IF(Table1[[#This Row], [PASS/FAIL]]="FAIL",0,Table1[[#This Row], [PROFIT]])</f>
        <v>0</v>
      </c>
    </row>
    <row r="1986" spans="1:24" ht="19.5" customHeight="1" x14ac:dyDescent="0.45">
      <c r="A1986" t="s">
        <v>15</v>
      </c>
      <c r="B1986" s="14">
        <f>_xlfn.XLOOKUP(Table1[[#This Row], [TEAM]],Sheet1!$A$12:$A$17,Sheet1!$F$12:$F$17)</f>
        <v>2</v>
      </c>
      <c r="C1986" s="14">
        <f>_xlfn.XLOOKUP(Table1[[#This Row], [TEAM]],Sheet1!$A$12:$A$17,Sheet1!$G$12:$G$17)</f>
        <v>5932950</v>
      </c>
      <c r="D1986" t="s">
        <v>20</v>
      </c>
      <c r="E1986" s="4">
        <f>_xlfn.XLOOKUP(Table1[[#This Row], [ROOM]],Sheet1!$A$47:$A$66,Sheet1!$B$47:$B$66)</f>
        <v>145</v>
      </c>
      <c r="F1986" t="s">
        <v>62</v>
      </c>
      <c r="G198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6" s="13" t="s">
        <v>63</v>
      </c>
      <c r="I1986" s="4">
        <f>_xlfn.XLOOKUP(Table1[[#This Row], [WEAPON]],Sheet1!$A$27:$A$29,Sheet1!$B$27:$B$29)*Table1[[#This Row], [NUM OF MEM]]*(1+_xlfn.XLOOKUP(Table1[[#This Row], [WEAPON]],Sheet1!$A$27:$A$29,Sheet1!$C$27:$C$29))</f>
        <v>46000</v>
      </c>
      <c r="J1986" t="s">
        <v>60</v>
      </c>
      <c r="K1986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1702648.1812499992</v>
      </c>
      <c r="L1986" s="13" t="s">
        <v>61</v>
      </c>
      <c r="M1986" s="4">
        <f>IF(Table1[[#This Row], [EQUIPMENT]]="YES",Sheet1!$C$44*(1+Sheet1!$D$44),0)</f>
        <v>0</v>
      </c>
      <c r="N1986" s="4">
        <f>_xlfn.XLOOKUP(Table1[[#This Row], [ROOM]],Sheet1!$A$47:$A$66,Sheet1!$F$47:$F$66)</f>
        <v>17550000</v>
      </c>
      <c r="O1986" s="9">
        <f>_xlfn.XLOOKUP(_xlfn.CONCAT(Table1[[#This Row], [TEAM]],Table1[[#This Row], [ROOM]]),'ROOM TIME'!$H$2:$H$121,'ROOM TIME'!$J$2:$J$121)</f>
        <v>59.591249999999981</v>
      </c>
      <c r="P1986" s="9">
        <f>(INDEX(Sheet1!$X$48:$Z$67,MATCH(Table1[[#This Row], [ROOM]],Sheet1!$P$48:$P$67,0),MATCH(Table1[[#This Row], [WEAPON]],Sheet1!$X$47:$Z$47,0)))/Table1[[#This Row], [NUM OF MEM]]</f>
        <v>6.75</v>
      </c>
      <c r="Q1986" s="9">
        <f>Table1[[#This Row], [ROOM TIME]]+Table1[[#This Row], [GUARD TIME]]</f>
        <v>66.341249999999974</v>
      </c>
      <c r="R1986" s="4">
        <f>Sheet1!$K$3*_xlfn.XLOOKUP(Table1[[#This Row], [DISGUISE]],Sheet1!$A$21:$A$23,Sheet1!$D$21:$D$23)</f>
        <v>66</v>
      </c>
      <c r="S1986" s="9">
        <f>Table1[[#This Row], [TOTAL TIME]]-Table1[[#This Row], [TOTAL TIME TAKEN]]</f>
        <v>-0.34124999999997385</v>
      </c>
      <c r="T1986" t="str">
        <f>IF(Table1[[#This Row], [TIME DIFFERENCE]]&gt;=0,"PASS","FAIL")</f>
        <v>FAIL</v>
      </c>
      <c r="U1986" s="9">
        <f>Table1[[#This Row], [TRC]]+Table1[[#This Row], [DRC]]+Table1[[#This Row], [WRC]]+Table1[[#This Row], [ERC]]+Table1[[#This Row], [EQRC]]</f>
        <v>7691998.1812499994</v>
      </c>
      <c r="V1986" s="9">
        <f>Table1[[#This Row], [TOTAL COST]]+_xlfn.XLOOKUP(Table1[[#This Row], [TEAM]],Sheet1!$A$12:$A$17,Sheet1!$I$12:$I$17)</f>
        <v>7988645.6812499994</v>
      </c>
      <c r="W1986" s="9">
        <f>Table1[[#This Row], [LOOT]]-Table1[[#This Row], [TOTAL COST]]</f>
        <v>9858001.8187500015</v>
      </c>
      <c r="X1986" s="4">
        <f>IF(Table1[[#This Row], [PASS/FAIL]]="FAIL",0,Table1[[#This Row], [PROFIT]])</f>
        <v>0</v>
      </c>
    </row>
    <row r="1987" spans="1:24" ht="19.5" customHeight="1" x14ac:dyDescent="0.45">
      <c r="A1987" t="s">
        <v>15</v>
      </c>
      <c r="B1987" s="14">
        <f>_xlfn.XLOOKUP(Table1[[#This Row], [TEAM]],Sheet1!$A$12:$A$17,Sheet1!$F$12:$F$17)</f>
        <v>2</v>
      </c>
      <c r="C1987" s="14">
        <f>_xlfn.XLOOKUP(Table1[[#This Row], [TEAM]],Sheet1!$A$12:$A$17,Sheet1!$G$12:$G$17)</f>
        <v>5932950</v>
      </c>
      <c r="D1987" t="s">
        <v>20</v>
      </c>
      <c r="E1987" s="4">
        <f>_xlfn.XLOOKUP(Table1[[#This Row], [ROOM]],Sheet1!$A$47:$A$66,Sheet1!$B$47:$B$66)</f>
        <v>145</v>
      </c>
      <c r="F1987" t="s">
        <v>62</v>
      </c>
      <c r="G198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7" s="13" t="s">
        <v>63</v>
      </c>
      <c r="I1987" s="4">
        <f>_xlfn.XLOOKUP(Table1[[#This Row], [WEAPON]],Sheet1!$A$27:$A$29,Sheet1!$B$27:$B$29)*Table1[[#This Row], [NUM OF MEM]]*(1+_xlfn.XLOOKUP(Table1[[#This Row], [WEAPON]],Sheet1!$A$27:$A$29,Sheet1!$C$27:$C$29))</f>
        <v>46000</v>
      </c>
      <c r="J1987" t="s">
        <v>64</v>
      </c>
      <c r="K1987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1719565.1999999995</v>
      </c>
      <c r="L1987" s="13" t="s">
        <v>61</v>
      </c>
      <c r="M1987" s="4">
        <f>IF(Table1[[#This Row], [EQUIPMENT]]="YES",Sheet1!$C$44*(1+Sheet1!$D$44),0)</f>
        <v>0</v>
      </c>
      <c r="N1987" s="4">
        <f>_xlfn.XLOOKUP(Table1[[#This Row], [ROOM]],Sheet1!$A$47:$A$66,Sheet1!$F$47:$F$66)</f>
        <v>17550000</v>
      </c>
      <c r="O1987" s="9">
        <f>_xlfn.XLOOKUP(_xlfn.CONCAT(Table1[[#This Row], [TEAM]],Table1[[#This Row], [ROOM]]),'ROOM TIME'!$H$2:$H$121,'ROOM TIME'!$J$2:$J$121)</f>
        <v>59.591249999999981</v>
      </c>
      <c r="P1987" s="9">
        <f>(INDEX(Sheet1!$X$48:$Z$67,MATCH(Table1[[#This Row], [ROOM]],Sheet1!$P$48:$P$67,0),MATCH(Table1[[#This Row], [WEAPON]],Sheet1!$X$47:$Z$47,0)))/Table1[[#This Row], [NUM OF MEM]]</f>
        <v>6.75</v>
      </c>
      <c r="Q1987" s="9">
        <f>Table1[[#This Row], [ROOM TIME]]+Table1[[#This Row], [GUARD TIME]]</f>
        <v>66.341249999999974</v>
      </c>
      <c r="R1987" s="4">
        <f>Sheet1!$K$3*_xlfn.XLOOKUP(Table1[[#This Row], [DISGUISE]],Sheet1!$A$21:$A$23,Sheet1!$D$21:$D$23)</f>
        <v>66</v>
      </c>
      <c r="S1987" s="9">
        <f>Table1[[#This Row], [TOTAL TIME]]-Table1[[#This Row], [TOTAL TIME TAKEN]]</f>
        <v>-0.34124999999997385</v>
      </c>
      <c r="T1987" t="str">
        <f>IF(Table1[[#This Row], [TIME DIFFERENCE]]&gt;=0,"PASS","FAIL")</f>
        <v>FAIL</v>
      </c>
      <c r="U1987" s="9">
        <f>Table1[[#This Row], [TRC]]+Table1[[#This Row], [DRC]]+Table1[[#This Row], [WRC]]+Table1[[#This Row], [ERC]]+Table1[[#This Row], [EQRC]]</f>
        <v>7708915.1999999993</v>
      </c>
      <c r="V1987" s="9">
        <f>Table1[[#This Row], [TOTAL COST]]+_xlfn.XLOOKUP(Table1[[#This Row], [TEAM]],Sheet1!$A$12:$A$17,Sheet1!$I$12:$I$17)</f>
        <v>8005562.6999999993</v>
      </c>
      <c r="W1987" s="9">
        <f>Table1[[#This Row], [LOOT]]-Table1[[#This Row], [TOTAL COST]]</f>
        <v>9841084.8000000007</v>
      </c>
      <c r="X1987" s="4">
        <f>IF(Table1[[#This Row], [PASS/FAIL]]="FAIL",0,Table1[[#This Row], [PROFIT]])</f>
        <v>0</v>
      </c>
    </row>
    <row r="1988" spans="1:24" ht="19.5" customHeight="1" x14ac:dyDescent="0.45">
      <c r="A1988" t="s">
        <v>15</v>
      </c>
      <c r="B1988" s="14">
        <f>_xlfn.XLOOKUP(Table1[[#This Row], [TEAM]],Sheet1!$A$12:$A$17,Sheet1!$F$12:$F$17)</f>
        <v>2</v>
      </c>
      <c r="C1988" s="14">
        <f>_xlfn.XLOOKUP(Table1[[#This Row], [TEAM]],Sheet1!$A$12:$A$17,Sheet1!$G$12:$G$17)</f>
        <v>5932950</v>
      </c>
      <c r="D1988" t="s">
        <v>20</v>
      </c>
      <c r="E1988" s="4">
        <f>_xlfn.XLOOKUP(Table1[[#This Row], [ROOM]],Sheet1!$A$47:$A$66,Sheet1!$B$47:$B$66)</f>
        <v>145</v>
      </c>
      <c r="F1988" t="s">
        <v>62</v>
      </c>
      <c r="G198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8" s="13" t="s">
        <v>63</v>
      </c>
      <c r="I1988" s="4">
        <f>_xlfn.XLOOKUP(Table1[[#This Row], [WEAPON]],Sheet1!$A$27:$A$29,Sheet1!$B$27:$B$29)*Table1[[#This Row], [NUM OF MEM]]*(1+_xlfn.XLOOKUP(Table1[[#This Row], [WEAPON]],Sheet1!$A$27:$A$29,Sheet1!$C$27:$C$29))</f>
        <v>46000</v>
      </c>
      <c r="J1988" t="s">
        <v>60</v>
      </c>
      <c r="K1988" s="9">
        <f>Table1[[#This Row], [NUM OF MEM]]*Table1[[#This Row], [TOTAL TIME TAKEN]]*_xlfn.XLOOKUP(Table1[[#This Row], [EXIT]],Sheet1!$A$70:$A$71,Sheet1!$B$70:$B$71)*(1+_xlfn.XLOOKUP(Table1[[#This Row], [EXIT]],Sheet1!$A$70:$A$71,Sheet1!$C$70:$C$71))</f>
        <v>1702648.1812499992</v>
      </c>
      <c r="L1988" s="13" t="s">
        <v>65</v>
      </c>
      <c r="M1988" s="4">
        <f>IF(Table1[[#This Row], [EQUIPMENT]]="YES",Sheet1!$C$44*(1+Sheet1!$D$44),0)</f>
        <v>307500</v>
      </c>
      <c r="N1988" s="4">
        <f>_xlfn.XLOOKUP(Table1[[#This Row], [ROOM]],Sheet1!$A$47:$A$66,Sheet1!$F$47:$F$66)</f>
        <v>17550000</v>
      </c>
      <c r="O1988" s="9">
        <f>_xlfn.XLOOKUP(_xlfn.CONCAT(Table1[[#This Row], [TEAM]],Table1[[#This Row], [ROOM]]),'ROOM TIME'!$H$2:$H$121,'ROOM TIME'!$J$2:$J$121)</f>
        <v>59.591249999999981</v>
      </c>
      <c r="P1988" s="9">
        <f>(INDEX(Sheet1!$X$48:$Z$67,MATCH(Table1[[#This Row], [ROOM]],Sheet1!$P$48:$P$67,0),MATCH(Table1[[#This Row], [WEAPON]],Sheet1!$X$47:$Z$47,0)))/Table1[[#This Row], [NUM OF MEM]]</f>
        <v>6.75</v>
      </c>
      <c r="Q1988" s="9">
        <f>Table1[[#This Row], [ROOM TIME]]+Table1[[#This Row], [GUARD TIME]]</f>
        <v>66.341249999999974</v>
      </c>
      <c r="R1988" s="4">
        <f>Sheet1!$K$3*_xlfn.XLOOKUP(Table1[[#This Row], [DISGUISE]],Sheet1!$A$21:$A$23,Sheet1!$D$21:$D$23)</f>
        <v>66</v>
      </c>
      <c r="S1988" s="9">
        <f>Table1[[#This Row], [TOTAL TIME]]-Table1[[#This Row], [TOTAL TIME TAKEN]]</f>
        <v>-0.34124999999997385</v>
      </c>
      <c r="T1988" t="str">
        <f>IF(Table1[[#This Row], [TIME DIFFERENCE]]&gt;=0,"PASS","FAIL")</f>
        <v>FAIL</v>
      </c>
      <c r="U1988" s="9">
        <f>Table1[[#This Row], [TRC]]+Table1[[#This Row], [DRC]]+Table1[[#This Row], [WRC]]+Table1[[#This Row], [ERC]]+Table1[[#This Row], [EQRC]]</f>
        <v>7999498.1812499994</v>
      </c>
      <c r="V1988" s="9">
        <f>Table1[[#This Row], [TOTAL COST]]+_xlfn.XLOOKUP(Table1[[#This Row], [TEAM]],Sheet1!$A$12:$A$17,Sheet1!$I$12:$I$17)</f>
        <v>8296145.6812499994</v>
      </c>
      <c r="W1988" s="9">
        <f>Table1[[#This Row], [LOOT]]-Table1[[#This Row], [TOTAL COST]]</f>
        <v>9550501.8187500015</v>
      </c>
      <c r="X1988" s="4">
        <f>IF(Table1[[#This Row], [PASS/FAIL]]="FAIL",0,Table1[[#This Row], [PROFIT]])</f>
        <v>0</v>
      </c>
    </row>
    <row r="1989" spans="1:24" ht="19.5" customHeight="1" x14ac:dyDescent="0.45">
      <c r="A1989" t="s">
        <v>15</v>
      </c>
      <c r="B1989" s="14">
        <f>_xlfn.XLOOKUP(Table1[[#This Row], [TEAM]],Sheet1!$A$12:$A$17,Sheet1!$F$12:$F$17)</f>
        <v>2</v>
      </c>
      <c r="C1989" s="14">
        <f>_xlfn.XLOOKUP(Table1[[#This Row], [TEAM]],Sheet1!$A$12:$A$17,Sheet1!$G$12:$G$17)</f>
        <v>5932950</v>
      </c>
      <c r="D1989" t="s">
        <v>20</v>
      </c>
      <c r="E1989" s="4">
        <f>_xlfn.XLOOKUP(Table1[[#This Row], [ROOM]],Sheet1!$A$47:$A$66,Sheet1!$B$47:$B$66)</f>
        <v>145</v>
      </c>
      <c r="F1989" t="s">
        <v>62</v>
      </c>
      <c r="G1989" s="4">
        <f>_xlfn.XLOOKUP(Table1[[#This Row], [DISGUISE]],Sheet1!$A$21:$A$23,Sheet1!$B$21:$B$23)*Table1[[#This Row], [NUM OF MEM]]*(1+_xlfn.XLOOKUP(Table1[[#This Row], [DISGUISE]],Sheet1!$A$21:$A$23,Sheet1!$C$21:$C$23))</f>
        <v>10400</v>
      </c>
      <c r="H1989" s="13" t="s">
        <v>63</v>
      </c>
      <c r="I1989" s="4">
        <f>_xlfn.XLOOKUP(Table1[[#This Row], [WEAPON]],Sheet1!$A$27:$A$29,Sheet1!$B$27:$B$29)*Table1[[#This Row], [NUM OF MEM]]*(1+_xlfn.XLOOKUP(Table1[[#This Row], [WEAPON]],Sheet1!$A$27:$A$29,Sheet1!$C$27:$C$29))</f>
        <v>46000</v>
      </c>
      <c r="J1989" t="s">
        <v>64</v>
      </c>
      <c r="K1989" s="9">
        <f>Table1[[#This Row], [NUM OF MEM]]*Table1[[#This Row], [TOTAL TIME TAKEN]]*_xlfn.XLOOKUP(Table1[[#This Row], [EXIT]],Sheet1!$A$70:$A$71,Sheet1!$B$70:$B$71)*(1+_xlfn.XLOOKUP(Table1[[#This Row], [EXIT]],Sheet1!$A$70:$A$71,Sheet1!$C$70:$C$71))</f>
        <v>1719565.1999999995</v>
      </c>
      <c r="L1989" s="13" t="s">
        <v>65</v>
      </c>
      <c r="M1989" s="4">
        <f>IF(Table1[[#This Row], [EQUIPMENT]]="YES",Sheet1!$C$44*(1+Sheet1!$D$44),0)</f>
        <v>307500</v>
      </c>
      <c r="N1989" s="4">
        <f>_xlfn.XLOOKUP(Table1[[#This Row], [ROOM]],Sheet1!$A$47:$A$66,Sheet1!$F$47:$F$66)</f>
        <v>17550000</v>
      </c>
      <c r="O1989" s="9">
        <f>_xlfn.XLOOKUP(_xlfn.CONCAT(Table1[[#This Row], [TEAM]],Table1[[#This Row], [ROOM]]),'ROOM TIME'!$H$2:$H$121,'ROOM TIME'!$J$2:$J$121)</f>
        <v>59.591249999999981</v>
      </c>
      <c r="P1989" s="9">
        <f>(INDEX(Sheet1!$X$48:$Z$67,MATCH(Table1[[#This Row], [ROOM]],Sheet1!$P$48:$P$67,0),MATCH(Table1[[#This Row], [WEAPON]],Sheet1!$X$47:$Z$47,0)))/Table1[[#This Row], [NUM OF MEM]]</f>
        <v>6.75</v>
      </c>
      <c r="Q1989" s="9">
        <f>Table1[[#This Row], [ROOM TIME]]+Table1[[#This Row], [GUARD TIME]]</f>
        <v>66.341249999999974</v>
      </c>
      <c r="R1989" s="4">
        <f>Sheet1!$K$3*_xlfn.XLOOKUP(Table1[[#This Row], [DISGUISE]],Sheet1!$A$21:$A$23,Sheet1!$D$21:$D$23)</f>
        <v>66</v>
      </c>
      <c r="S1989" s="9">
        <f>Table1[[#This Row], [TOTAL TIME]]-Table1[[#This Row], [TOTAL TIME TAKEN]]</f>
        <v>-0.34124999999997385</v>
      </c>
      <c r="T1989" t="str">
        <f>IF(Table1[[#This Row], [TIME DIFFERENCE]]&gt;=0,"PASS","FAIL")</f>
        <v>FAIL</v>
      </c>
      <c r="U1989" s="9">
        <f>Table1[[#This Row], [TRC]]+Table1[[#This Row], [DRC]]+Table1[[#This Row], [WRC]]+Table1[[#This Row], [ERC]]+Table1[[#This Row], [EQRC]]</f>
        <v>8016415.1999999993</v>
      </c>
      <c r="V1989" s="9">
        <f>Table1[[#This Row], [TOTAL COST]]+_xlfn.XLOOKUP(Table1[[#This Row], [TEAM]],Sheet1!$A$12:$A$17,Sheet1!$I$12:$I$17)</f>
        <v>8313062.6999999993</v>
      </c>
      <c r="W1989" s="9">
        <f>Table1[[#This Row], [LOOT]]-Table1[[#This Row], [TOTAL COST]]</f>
        <v>9533584.8000000007</v>
      </c>
      <c r="X1989" s="4">
        <f>IF(Table1[[#This Row], [PASS/FAIL]]="FAIL",0,Table1[[#This Row], [PROFIT]])</f>
        <v>0</v>
      </c>
    </row>
    <row r="1990" spans="1:24" ht="19.5" customHeight="1" x14ac:dyDescent="0.45">
      <c r="A1990" t="s">
        <v>16</v>
      </c>
      <c r="B1990" s="14">
        <f>_xlfn.XLOOKUP(Table1[[#This Row], [TEAM]],Sheet1!$A$12:$A$17,Sheet1!$F$12:$F$17)</f>
        <v>2</v>
      </c>
      <c r="C1990" s="14">
        <f>_xlfn.XLOOKUP(Table1[[#This Row], [TEAM]],Sheet1!$A$12:$A$17,Sheet1!$G$12:$G$17)</f>
        <v>6082800</v>
      </c>
      <c r="D1990" t="s">
        <v>20</v>
      </c>
      <c r="E1990" s="4">
        <f>_xlfn.XLOOKUP(Table1[[#This Row], [ROOM]],Sheet1!$A$47:$A$66,Sheet1!$B$47:$B$66)</f>
        <v>145</v>
      </c>
      <c r="F1990" t="s">
        <v>62</v>
      </c>
      <c r="G1990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0" s="13" t="s">
        <v>63</v>
      </c>
      <c r="I1990" s="4">
        <f>_xlfn.XLOOKUP(Table1[[#This Row], [WEAPON]],Sheet1!$A$27:$A$29,Sheet1!$B$27:$B$29)*Table1[[#This Row], [NUM OF MEM]]*(1+_xlfn.XLOOKUP(Table1[[#This Row], [WEAPON]],Sheet1!$A$27:$A$29,Sheet1!$C$27:$C$29))</f>
        <v>46000</v>
      </c>
      <c r="J1990" t="s">
        <v>60</v>
      </c>
      <c r="K1990" s="9">
        <f>Table1[[#This Row], [NUM OF MEM]]*Table1[[#This Row], [TOTAL TIME TAKEN]]*_xlfn.XLOOKUP(Table1[[#This Row], [EXIT]],Sheet1!$A$70:$A$71,Sheet1!$B$70:$B$71)*(1+_xlfn.XLOOKUP(Table1[[#This Row], [EXIT]],Sheet1!$A$70:$A$71,Sheet1!$C$70:$C$71))</f>
        <v>1710604.3312499993</v>
      </c>
      <c r="L1990" s="13" t="s">
        <v>61</v>
      </c>
      <c r="M1990" s="4">
        <f>IF(Table1[[#This Row], [EQUIPMENT]]="YES",Sheet1!$C$44*(1+Sheet1!$D$44),0)</f>
        <v>0</v>
      </c>
      <c r="N1990" s="4">
        <f>_xlfn.XLOOKUP(Table1[[#This Row], [ROOM]],Sheet1!$A$47:$A$66,Sheet1!$F$47:$F$66)</f>
        <v>17550000</v>
      </c>
      <c r="O1990" s="9">
        <f>_xlfn.XLOOKUP(_xlfn.CONCAT(Table1[[#This Row], [TEAM]],Table1[[#This Row], [ROOM]]),'ROOM TIME'!$H$2:$H$121,'ROOM TIME'!$J$2:$J$121)</f>
        <v>59.901249999999983</v>
      </c>
      <c r="P1990" s="9">
        <f>(INDEX(Sheet1!$X$48:$Z$67,MATCH(Table1[[#This Row], [ROOM]],Sheet1!$P$48:$P$67,0),MATCH(Table1[[#This Row], [WEAPON]],Sheet1!$X$47:$Z$47,0)))/Table1[[#This Row], [NUM OF MEM]]</f>
        <v>6.75</v>
      </c>
      <c r="Q1990" s="9">
        <f>Table1[[#This Row], [ROOM TIME]]+Table1[[#This Row], [GUARD TIME]]</f>
        <v>66.651249999999976</v>
      </c>
      <c r="R1990" s="4">
        <f>Sheet1!$K$3*_xlfn.XLOOKUP(Table1[[#This Row], [DISGUISE]],Sheet1!$A$21:$A$23,Sheet1!$D$21:$D$23)</f>
        <v>66</v>
      </c>
      <c r="S1990" s="9">
        <f>Table1[[#This Row], [TOTAL TIME]]-Table1[[#This Row], [TOTAL TIME TAKEN]]</f>
        <v>-0.65124999999997613</v>
      </c>
      <c r="T1990" t="str">
        <f>IF(Table1[[#This Row], [TIME DIFFERENCE]]&gt;=0,"PASS","FAIL")</f>
        <v>FAIL</v>
      </c>
      <c r="U1990" s="9">
        <f>Table1[[#This Row], [TRC]]+Table1[[#This Row], [DRC]]+Table1[[#This Row], [WRC]]+Table1[[#This Row], [ERC]]+Table1[[#This Row], [EQRC]]</f>
        <v>7849804.3312499989</v>
      </c>
      <c r="V1990" s="9">
        <f>Table1[[#This Row], [TOTAL COST]]+_xlfn.XLOOKUP(Table1[[#This Row], [TEAM]],Sheet1!$A$12:$A$17,Sheet1!$I$12:$I$17)</f>
        <v>8153944.3312499989</v>
      </c>
      <c r="W1990" s="9">
        <f>Table1[[#This Row], [LOOT]]-Table1[[#This Row], [TOTAL COST]]</f>
        <v>9700195.6687500011</v>
      </c>
      <c r="X1990" s="4">
        <f>IF(Table1[[#This Row], [PASS/FAIL]]="FAIL",0,Table1[[#This Row], [PROFIT]])</f>
        <v>0</v>
      </c>
    </row>
    <row r="1991" spans="1:24" ht="19.5" customHeight="1" x14ac:dyDescent="0.45">
      <c r="A1991" t="s">
        <v>16</v>
      </c>
      <c r="B1991" s="14">
        <f>_xlfn.XLOOKUP(Table1[[#This Row], [TEAM]],Sheet1!$A$12:$A$17,Sheet1!$F$12:$F$17)</f>
        <v>2</v>
      </c>
      <c r="C1991" s="14">
        <f>_xlfn.XLOOKUP(Table1[[#This Row], [TEAM]],Sheet1!$A$12:$A$17,Sheet1!$G$12:$G$17)</f>
        <v>6082800</v>
      </c>
      <c r="D1991" t="s">
        <v>20</v>
      </c>
      <c r="E1991" s="4">
        <f>_xlfn.XLOOKUP(Table1[[#This Row], [ROOM]],Sheet1!$A$47:$A$66,Sheet1!$B$47:$B$66)</f>
        <v>145</v>
      </c>
      <c r="F1991" t="s">
        <v>62</v>
      </c>
      <c r="G1991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1" s="13" t="s">
        <v>63</v>
      </c>
      <c r="I1991" s="4">
        <f>_xlfn.XLOOKUP(Table1[[#This Row], [WEAPON]],Sheet1!$A$27:$A$29,Sheet1!$B$27:$B$29)*Table1[[#This Row], [NUM OF MEM]]*(1+_xlfn.XLOOKUP(Table1[[#This Row], [WEAPON]],Sheet1!$A$27:$A$29,Sheet1!$C$27:$C$29))</f>
        <v>46000</v>
      </c>
      <c r="J1991" t="s">
        <v>64</v>
      </c>
      <c r="K1991" s="9">
        <f>Table1[[#This Row], [NUM OF MEM]]*Table1[[#This Row], [TOTAL TIME TAKEN]]*_xlfn.XLOOKUP(Table1[[#This Row], [EXIT]],Sheet1!$A$70:$A$71,Sheet1!$B$70:$B$71)*(1+_xlfn.XLOOKUP(Table1[[#This Row], [EXIT]],Sheet1!$A$70:$A$71,Sheet1!$C$70:$C$71))</f>
        <v>1727600.3999999994</v>
      </c>
      <c r="L1991" s="13" t="s">
        <v>61</v>
      </c>
      <c r="M1991" s="4">
        <f>IF(Table1[[#This Row], [EQUIPMENT]]="YES",Sheet1!$C$44*(1+Sheet1!$D$44),0)</f>
        <v>0</v>
      </c>
      <c r="N1991" s="4">
        <f>_xlfn.XLOOKUP(Table1[[#This Row], [ROOM]],Sheet1!$A$47:$A$66,Sheet1!$F$47:$F$66)</f>
        <v>17550000</v>
      </c>
      <c r="O1991" s="9">
        <f>_xlfn.XLOOKUP(_xlfn.CONCAT(Table1[[#This Row], [TEAM]],Table1[[#This Row], [ROOM]]),'ROOM TIME'!$H$2:$H$121,'ROOM TIME'!$J$2:$J$121)</f>
        <v>59.901249999999983</v>
      </c>
      <c r="P1991" s="9">
        <f>(INDEX(Sheet1!$X$48:$Z$67,MATCH(Table1[[#This Row], [ROOM]],Sheet1!$P$48:$P$67,0),MATCH(Table1[[#This Row], [WEAPON]],Sheet1!$X$47:$Z$47,0)))/Table1[[#This Row], [NUM OF MEM]]</f>
        <v>6.75</v>
      </c>
      <c r="Q1991" s="9">
        <f>Table1[[#This Row], [ROOM TIME]]+Table1[[#This Row], [GUARD TIME]]</f>
        <v>66.651249999999976</v>
      </c>
      <c r="R1991" s="4">
        <f>Sheet1!$K$3*_xlfn.XLOOKUP(Table1[[#This Row], [DISGUISE]],Sheet1!$A$21:$A$23,Sheet1!$D$21:$D$23)</f>
        <v>66</v>
      </c>
      <c r="S1991" s="9">
        <f>Table1[[#This Row], [TOTAL TIME]]-Table1[[#This Row], [TOTAL TIME TAKEN]]</f>
        <v>-0.65124999999997613</v>
      </c>
      <c r="T1991" t="str">
        <f>IF(Table1[[#This Row], [TIME DIFFERENCE]]&gt;=0,"PASS","FAIL")</f>
        <v>FAIL</v>
      </c>
      <c r="U1991" s="9">
        <f>Table1[[#This Row], [TRC]]+Table1[[#This Row], [DRC]]+Table1[[#This Row], [WRC]]+Table1[[#This Row], [ERC]]+Table1[[#This Row], [EQRC]]</f>
        <v>7866800.3999999994</v>
      </c>
      <c r="V1991" s="9">
        <f>Table1[[#This Row], [TOTAL COST]]+_xlfn.XLOOKUP(Table1[[#This Row], [TEAM]],Sheet1!$A$12:$A$17,Sheet1!$I$12:$I$17)</f>
        <v>8170940.3999999994</v>
      </c>
      <c r="W1991" s="9">
        <f>Table1[[#This Row], [LOOT]]-Table1[[#This Row], [TOTAL COST]]</f>
        <v>9683199.6000000015</v>
      </c>
      <c r="X1991" s="4">
        <f>IF(Table1[[#This Row], [PASS/FAIL]]="FAIL",0,Table1[[#This Row], [PROFIT]])</f>
        <v>0</v>
      </c>
    </row>
    <row r="1992" spans="1:24" ht="19.5" customHeight="1" x14ac:dyDescent="0.45">
      <c r="A1992" t="s">
        <v>16</v>
      </c>
      <c r="B1992" s="14">
        <f>_xlfn.XLOOKUP(Table1[[#This Row], [TEAM]],Sheet1!$A$12:$A$17,Sheet1!$F$12:$F$17)</f>
        <v>2</v>
      </c>
      <c r="C1992" s="14">
        <f>_xlfn.XLOOKUP(Table1[[#This Row], [TEAM]],Sheet1!$A$12:$A$17,Sheet1!$G$12:$G$17)</f>
        <v>6082800</v>
      </c>
      <c r="D1992" t="s">
        <v>20</v>
      </c>
      <c r="E1992" s="4">
        <f>_xlfn.XLOOKUP(Table1[[#This Row], [ROOM]],Sheet1!$A$47:$A$66,Sheet1!$B$47:$B$66)</f>
        <v>145</v>
      </c>
      <c r="F1992" t="s">
        <v>62</v>
      </c>
      <c r="G1992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2" s="13" t="s">
        <v>63</v>
      </c>
      <c r="I1992" s="4">
        <f>_xlfn.XLOOKUP(Table1[[#This Row], [WEAPON]],Sheet1!$A$27:$A$29,Sheet1!$B$27:$B$29)*Table1[[#This Row], [NUM OF MEM]]*(1+_xlfn.XLOOKUP(Table1[[#This Row], [WEAPON]],Sheet1!$A$27:$A$29,Sheet1!$C$27:$C$29))</f>
        <v>46000</v>
      </c>
      <c r="J1992" t="s">
        <v>60</v>
      </c>
      <c r="K1992" s="9">
        <f>Table1[[#This Row], [NUM OF MEM]]*Table1[[#This Row], [TOTAL TIME TAKEN]]*_xlfn.XLOOKUP(Table1[[#This Row], [EXIT]],Sheet1!$A$70:$A$71,Sheet1!$B$70:$B$71)*(1+_xlfn.XLOOKUP(Table1[[#This Row], [EXIT]],Sheet1!$A$70:$A$71,Sheet1!$C$70:$C$71))</f>
        <v>1710604.3312499993</v>
      </c>
      <c r="L1992" s="13" t="s">
        <v>65</v>
      </c>
      <c r="M1992" s="4">
        <f>IF(Table1[[#This Row], [EQUIPMENT]]="YES",Sheet1!$C$44*(1+Sheet1!$D$44),0)</f>
        <v>307500</v>
      </c>
      <c r="N1992" s="4">
        <f>_xlfn.XLOOKUP(Table1[[#This Row], [ROOM]],Sheet1!$A$47:$A$66,Sheet1!$F$47:$F$66)</f>
        <v>17550000</v>
      </c>
      <c r="O1992" s="9">
        <f>_xlfn.XLOOKUP(_xlfn.CONCAT(Table1[[#This Row], [TEAM]],Table1[[#This Row], [ROOM]]),'ROOM TIME'!$H$2:$H$121,'ROOM TIME'!$J$2:$J$121)</f>
        <v>59.901249999999983</v>
      </c>
      <c r="P1992" s="9">
        <f>(INDEX(Sheet1!$X$48:$Z$67,MATCH(Table1[[#This Row], [ROOM]],Sheet1!$P$48:$P$67,0),MATCH(Table1[[#This Row], [WEAPON]],Sheet1!$X$47:$Z$47,0)))/Table1[[#This Row], [NUM OF MEM]]</f>
        <v>6.75</v>
      </c>
      <c r="Q1992" s="9">
        <f>Table1[[#This Row], [ROOM TIME]]+Table1[[#This Row], [GUARD TIME]]</f>
        <v>66.651249999999976</v>
      </c>
      <c r="R1992" s="4">
        <f>Sheet1!$K$3*_xlfn.XLOOKUP(Table1[[#This Row], [DISGUISE]],Sheet1!$A$21:$A$23,Sheet1!$D$21:$D$23)</f>
        <v>66</v>
      </c>
      <c r="S1992" s="9">
        <f>Table1[[#This Row], [TOTAL TIME]]-Table1[[#This Row], [TOTAL TIME TAKEN]]</f>
        <v>-0.65124999999997613</v>
      </c>
      <c r="T1992" t="str">
        <f>IF(Table1[[#This Row], [TIME DIFFERENCE]]&gt;=0,"PASS","FAIL")</f>
        <v>FAIL</v>
      </c>
      <c r="U1992" s="9">
        <f>Table1[[#This Row], [TRC]]+Table1[[#This Row], [DRC]]+Table1[[#This Row], [WRC]]+Table1[[#This Row], [ERC]]+Table1[[#This Row], [EQRC]]</f>
        <v>8157304.3312499989</v>
      </c>
      <c r="V1992" s="9">
        <f>Table1[[#This Row], [TOTAL COST]]+_xlfn.XLOOKUP(Table1[[#This Row], [TEAM]],Sheet1!$A$12:$A$17,Sheet1!$I$12:$I$17)</f>
        <v>8461444.3312499989</v>
      </c>
      <c r="W1992" s="9">
        <f>Table1[[#This Row], [LOOT]]-Table1[[#This Row], [TOTAL COST]]</f>
        <v>9392695.6687500011</v>
      </c>
      <c r="X1992" s="4">
        <f>IF(Table1[[#This Row], [PASS/FAIL]]="FAIL",0,Table1[[#This Row], [PROFIT]])</f>
        <v>0</v>
      </c>
    </row>
    <row r="1993" spans="1:24" ht="19.5" customHeight="1" x14ac:dyDescent="0.45">
      <c r="A1993" t="s">
        <v>16</v>
      </c>
      <c r="B1993" s="14">
        <f>_xlfn.XLOOKUP(Table1[[#This Row], [TEAM]],Sheet1!$A$12:$A$17,Sheet1!$F$12:$F$17)</f>
        <v>2</v>
      </c>
      <c r="C1993" s="14">
        <f>_xlfn.XLOOKUP(Table1[[#This Row], [TEAM]],Sheet1!$A$12:$A$17,Sheet1!$G$12:$G$17)</f>
        <v>6082800</v>
      </c>
      <c r="D1993" t="s">
        <v>20</v>
      </c>
      <c r="E1993" s="4">
        <f>_xlfn.XLOOKUP(Table1[[#This Row], [ROOM]],Sheet1!$A$47:$A$66,Sheet1!$B$47:$B$66)</f>
        <v>145</v>
      </c>
      <c r="F1993" t="s">
        <v>62</v>
      </c>
      <c r="G1993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3" s="13" t="s">
        <v>63</v>
      </c>
      <c r="I1993" s="4">
        <f>_xlfn.XLOOKUP(Table1[[#This Row], [WEAPON]],Sheet1!$A$27:$A$29,Sheet1!$B$27:$B$29)*Table1[[#This Row], [NUM OF MEM]]*(1+_xlfn.XLOOKUP(Table1[[#This Row], [WEAPON]],Sheet1!$A$27:$A$29,Sheet1!$C$27:$C$29))</f>
        <v>46000</v>
      </c>
      <c r="J1993" t="s">
        <v>64</v>
      </c>
      <c r="K1993" s="9">
        <f>Table1[[#This Row], [NUM OF MEM]]*Table1[[#This Row], [TOTAL TIME TAKEN]]*_xlfn.XLOOKUP(Table1[[#This Row], [EXIT]],Sheet1!$A$70:$A$71,Sheet1!$B$70:$B$71)*(1+_xlfn.XLOOKUP(Table1[[#This Row], [EXIT]],Sheet1!$A$70:$A$71,Sheet1!$C$70:$C$71))</f>
        <v>1727600.3999999994</v>
      </c>
      <c r="L1993" s="13" t="s">
        <v>65</v>
      </c>
      <c r="M1993" s="4">
        <f>IF(Table1[[#This Row], [EQUIPMENT]]="YES",Sheet1!$C$44*(1+Sheet1!$D$44),0)</f>
        <v>307500</v>
      </c>
      <c r="N1993" s="4">
        <f>_xlfn.XLOOKUP(Table1[[#This Row], [ROOM]],Sheet1!$A$47:$A$66,Sheet1!$F$47:$F$66)</f>
        <v>17550000</v>
      </c>
      <c r="O1993" s="9">
        <f>_xlfn.XLOOKUP(_xlfn.CONCAT(Table1[[#This Row], [TEAM]],Table1[[#This Row], [ROOM]]),'ROOM TIME'!$H$2:$H$121,'ROOM TIME'!$J$2:$J$121)</f>
        <v>59.901249999999983</v>
      </c>
      <c r="P1993" s="9">
        <f>(INDEX(Sheet1!$X$48:$Z$67,MATCH(Table1[[#This Row], [ROOM]],Sheet1!$P$48:$P$67,0),MATCH(Table1[[#This Row], [WEAPON]],Sheet1!$X$47:$Z$47,0)))/Table1[[#This Row], [NUM OF MEM]]</f>
        <v>6.75</v>
      </c>
      <c r="Q1993" s="9">
        <f>Table1[[#This Row], [ROOM TIME]]+Table1[[#This Row], [GUARD TIME]]</f>
        <v>66.651249999999976</v>
      </c>
      <c r="R1993" s="4">
        <f>Sheet1!$K$3*_xlfn.XLOOKUP(Table1[[#This Row], [DISGUISE]],Sheet1!$A$21:$A$23,Sheet1!$D$21:$D$23)</f>
        <v>66</v>
      </c>
      <c r="S1993" s="9">
        <f>Table1[[#This Row], [TOTAL TIME]]-Table1[[#This Row], [TOTAL TIME TAKEN]]</f>
        <v>-0.65124999999997613</v>
      </c>
      <c r="T1993" t="str">
        <f>IF(Table1[[#This Row], [TIME DIFFERENCE]]&gt;=0,"PASS","FAIL")</f>
        <v>FAIL</v>
      </c>
      <c r="U1993" s="9">
        <f>Table1[[#This Row], [TRC]]+Table1[[#This Row], [DRC]]+Table1[[#This Row], [WRC]]+Table1[[#This Row], [ERC]]+Table1[[#This Row], [EQRC]]</f>
        <v>8174300.3999999994</v>
      </c>
      <c r="V1993" s="9">
        <f>Table1[[#This Row], [TOTAL COST]]+_xlfn.XLOOKUP(Table1[[#This Row], [TEAM]],Sheet1!$A$12:$A$17,Sheet1!$I$12:$I$17)</f>
        <v>8478440.3999999985</v>
      </c>
      <c r="W1993" s="9">
        <f>Table1[[#This Row], [LOOT]]-Table1[[#This Row], [TOTAL COST]]</f>
        <v>9375699.6000000015</v>
      </c>
      <c r="X1993" s="4">
        <f>IF(Table1[[#This Row], [PASS/FAIL]]="FAIL",0,Table1[[#This Row], [PROFIT]])</f>
        <v>0</v>
      </c>
    </row>
    <row r="1994" spans="1:24" ht="19.5" customHeight="1" x14ac:dyDescent="0.45">
      <c r="A1994" t="s">
        <v>16</v>
      </c>
      <c r="B1994" s="14">
        <f>_xlfn.XLOOKUP(Table1[[#This Row], [TEAM]],Sheet1!$A$12:$A$17,Sheet1!$F$12:$F$17)</f>
        <v>2</v>
      </c>
      <c r="C1994" s="14">
        <f>_xlfn.XLOOKUP(Table1[[#This Row], [TEAM]],Sheet1!$A$12:$A$17,Sheet1!$G$12:$G$17)</f>
        <v>6082800</v>
      </c>
      <c r="D1994" t="s">
        <v>20</v>
      </c>
      <c r="E1994" s="4">
        <f>_xlfn.XLOOKUP(Table1[[#This Row], [ROOM]],Sheet1!$A$47:$A$66,Sheet1!$B$47:$B$66)</f>
        <v>145</v>
      </c>
      <c r="F1994" t="s">
        <v>62</v>
      </c>
      <c r="G1994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4" s="13" t="s">
        <v>66</v>
      </c>
      <c r="I1994" s="4">
        <f>_xlfn.XLOOKUP(Table1[[#This Row], [WEAPON]],Sheet1!$A$27:$A$29,Sheet1!$B$27:$B$29)*Table1[[#This Row], [NUM OF MEM]]*(1+_xlfn.XLOOKUP(Table1[[#This Row], [WEAPON]],Sheet1!$A$27:$A$29,Sheet1!$C$27:$C$29))</f>
        <v>72000</v>
      </c>
      <c r="J1994" t="s">
        <v>60</v>
      </c>
      <c r="K1994" s="9">
        <f>Table1[[#This Row], [NUM OF MEM]]*Table1[[#This Row], [TOTAL TIME TAKEN]]*_xlfn.XLOOKUP(Table1[[#This Row], [EXIT]],Sheet1!$A$70:$A$71,Sheet1!$B$70:$B$71)*(1+_xlfn.XLOOKUP(Table1[[#This Row], [EXIT]],Sheet1!$A$70:$A$71,Sheet1!$C$70:$C$71))</f>
        <v>1697771.8312499993</v>
      </c>
      <c r="L1994" s="13" t="s">
        <v>61</v>
      </c>
      <c r="M1994" s="4">
        <f>IF(Table1[[#This Row], [EQUIPMENT]]="YES",Sheet1!$C$44*(1+Sheet1!$D$44),0)</f>
        <v>0</v>
      </c>
      <c r="N1994" s="4">
        <f>_xlfn.XLOOKUP(Table1[[#This Row], [ROOM]],Sheet1!$A$47:$A$66,Sheet1!$F$47:$F$66)</f>
        <v>17550000</v>
      </c>
      <c r="O1994" s="9">
        <f>_xlfn.XLOOKUP(_xlfn.CONCAT(Table1[[#This Row], [TEAM]],Table1[[#This Row], [ROOM]]),'ROOM TIME'!$H$2:$H$121,'ROOM TIME'!$J$2:$J$121)</f>
        <v>59.901249999999983</v>
      </c>
      <c r="P1994" s="9">
        <f>(INDEX(Sheet1!$X$48:$Z$67,MATCH(Table1[[#This Row], [ROOM]],Sheet1!$P$48:$P$67,0),MATCH(Table1[[#This Row], [WEAPON]],Sheet1!$X$47:$Z$47,0)))/Table1[[#This Row], [NUM OF MEM]]</f>
        <v>6.25</v>
      </c>
      <c r="Q1994" s="9">
        <f>Table1[[#This Row], [ROOM TIME]]+Table1[[#This Row], [GUARD TIME]]</f>
        <v>66.151249999999976</v>
      </c>
      <c r="R1994" s="4">
        <f>Sheet1!$K$3*_xlfn.XLOOKUP(Table1[[#This Row], [DISGUISE]],Sheet1!$A$21:$A$23,Sheet1!$D$21:$D$23)</f>
        <v>66</v>
      </c>
      <c r="S1994" s="9">
        <f>Table1[[#This Row], [TOTAL TIME]]-Table1[[#This Row], [TOTAL TIME TAKEN]]</f>
        <v>-0.15124999999997613</v>
      </c>
      <c r="T1994" t="str">
        <f>IF(Table1[[#This Row], [TIME DIFFERENCE]]&gt;=0,"PASS","FAIL")</f>
        <v>FAIL</v>
      </c>
      <c r="U1994" s="9">
        <f>Table1[[#This Row], [TRC]]+Table1[[#This Row], [DRC]]+Table1[[#This Row], [WRC]]+Table1[[#This Row], [ERC]]+Table1[[#This Row], [EQRC]]</f>
        <v>7862971.8312499989</v>
      </c>
      <c r="V1994" s="9">
        <f>Table1[[#This Row], [TOTAL COST]]+_xlfn.XLOOKUP(Table1[[#This Row], [TEAM]],Sheet1!$A$12:$A$17,Sheet1!$I$12:$I$17)</f>
        <v>8167111.8312499989</v>
      </c>
      <c r="W1994" s="9">
        <f>Table1[[#This Row], [LOOT]]-Table1[[#This Row], [TOTAL COST]]</f>
        <v>9687028.1687500011</v>
      </c>
      <c r="X1994" s="4">
        <f>IF(Table1[[#This Row], [PASS/FAIL]]="FAIL",0,Table1[[#This Row], [PROFIT]])</f>
        <v>0</v>
      </c>
    </row>
    <row r="1995" spans="1:24" ht="19.5" customHeight="1" x14ac:dyDescent="0.45">
      <c r="A1995" t="s">
        <v>16</v>
      </c>
      <c r="B1995" s="14">
        <f>_xlfn.XLOOKUP(Table1[[#This Row], [TEAM]],Sheet1!$A$12:$A$17,Sheet1!$F$12:$F$17)</f>
        <v>2</v>
      </c>
      <c r="C1995" s="14">
        <f>_xlfn.XLOOKUP(Table1[[#This Row], [TEAM]],Sheet1!$A$12:$A$17,Sheet1!$G$12:$G$17)</f>
        <v>6082800</v>
      </c>
      <c r="D1995" t="s">
        <v>20</v>
      </c>
      <c r="E1995" s="4">
        <f>_xlfn.XLOOKUP(Table1[[#This Row], [ROOM]],Sheet1!$A$47:$A$66,Sheet1!$B$47:$B$66)</f>
        <v>145</v>
      </c>
      <c r="F1995" t="s">
        <v>62</v>
      </c>
      <c r="G1995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5" s="13" t="s">
        <v>66</v>
      </c>
      <c r="I1995" s="4">
        <f>_xlfn.XLOOKUP(Table1[[#This Row], [WEAPON]],Sheet1!$A$27:$A$29,Sheet1!$B$27:$B$29)*Table1[[#This Row], [NUM OF MEM]]*(1+_xlfn.XLOOKUP(Table1[[#This Row], [WEAPON]],Sheet1!$A$27:$A$29,Sheet1!$C$27:$C$29))</f>
        <v>72000</v>
      </c>
      <c r="J1995" t="s">
        <v>64</v>
      </c>
      <c r="K1995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1714640.3999999994</v>
      </c>
      <c r="L1995" s="13" t="s">
        <v>61</v>
      </c>
      <c r="M1995" s="4">
        <f>IF(Table1[[#This Row], [EQUIPMENT]]="YES",Sheet1!$C$44*(1+Sheet1!$D$44),0)</f>
        <v>0</v>
      </c>
      <c r="N1995" s="4">
        <f>_xlfn.XLOOKUP(Table1[[#This Row], [ROOM]],Sheet1!$A$47:$A$66,Sheet1!$F$47:$F$66)</f>
        <v>17550000</v>
      </c>
      <c r="O1995" s="9">
        <f>_xlfn.XLOOKUP(_xlfn.CONCAT(Table1[[#This Row], [TEAM]],Table1[[#This Row], [ROOM]]),'ROOM TIME'!$H$2:$H$121,'ROOM TIME'!$J$2:$J$121)</f>
        <v>59.901249999999983</v>
      </c>
      <c r="P1995" s="9">
        <f>(INDEX(Sheet1!$X$48:$Z$67,MATCH(Table1[[#This Row], [ROOM]],Sheet1!$P$48:$P$67,0),MATCH(Table1[[#This Row], [WEAPON]],Sheet1!$X$47:$Z$47,0)))/Table1[[#This Row], [NUM OF MEM]]</f>
        <v>6.25</v>
      </c>
      <c r="Q1995" s="9">
        <f>Table1[[#This Row], [ROOM TIME]]+Table1[[#This Row], [GUARD TIME]]</f>
        <v>66.151249999999976</v>
      </c>
      <c r="R1995" s="4">
        <f>Sheet1!$K$3*_xlfn.XLOOKUP(Table1[[#This Row], [DISGUISE]],Sheet1!$A$21:$A$23,Sheet1!$D$21:$D$23)</f>
        <v>66</v>
      </c>
      <c r="S1995" s="9">
        <f>Table1[[#This Row], [TOTAL TIME]]-Table1[[#This Row], [TOTAL TIME TAKEN]]</f>
        <v>-0.15124999999997613</v>
      </c>
      <c r="T1995" t="str">
        <f>IF(Table1[[#This Row], [TIME DIFFERENCE]]&gt;=0,"PASS","FAIL")</f>
        <v>FAIL</v>
      </c>
      <c r="U1995" s="9">
        <f>Table1[[#This Row], [TRC]]+Table1[[#This Row], [DRC]]+Table1[[#This Row], [WRC]]+Table1[[#This Row], [ERC]]+Table1[[#This Row], [EQRC]]</f>
        <v>7879840.3999999994</v>
      </c>
      <c r="V1995" s="9">
        <f>Table1[[#This Row], [TOTAL COST]]+_xlfn.XLOOKUP(Table1[[#This Row], [TEAM]],Sheet1!$A$12:$A$17,Sheet1!$I$12:$I$17)</f>
        <v>8183980.3999999994</v>
      </c>
      <c r="W1995" s="9">
        <f>Table1[[#This Row], [LOOT]]-Table1[[#This Row], [TOTAL COST]]</f>
        <v>9670159.6000000015</v>
      </c>
      <c r="X1995" s="4">
        <f>IF(Table1[[#This Row], [PASS/FAIL]]="FAIL",0,Table1[[#This Row], [PROFIT]])</f>
        <v>0</v>
      </c>
    </row>
    <row r="1996" spans="1:24" ht="19.5" customHeight="1" x14ac:dyDescent="0.45">
      <c r="A1996" t="s">
        <v>16</v>
      </c>
      <c r="B1996" s="14">
        <f>_xlfn.XLOOKUP(Table1[[#This Row], [TEAM]],Sheet1!$A$12:$A$17,Sheet1!$F$12:$F$17)</f>
        <v>2</v>
      </c>
      <c r="C1996" s="14">
        <f>_xlfn.XLOOKUP(Table1[[#This Row], [TEAM]],Sheet1!$A$12:$A$17,Sheet1!$G$12:$G$17)</f>
        <v>6082800</v>
      </c>
      <c r="D1996" t="s">
        <v>20</v>
      </c>
      <c r="E1996" s="4">
        <f>_xlfn.XLOOKUP(Table1[[#This Row], [ROOM]],Sheet1!$A$47:$A$66,Sheet1!$B$47:$B$66)</f>
        <v>145</v>
      </c>
      <c r="F1996" t="s">
        <v>62</v>
      </c>
      <c r="G1996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6" s="13" t="s">
        <v>66</v>
      </c>
      <c r="I1996" s="4">
        <f>_xlfn.XLOOKUP(Table1[[#This Row], [WEAPON]],Sheet1!$A$27:$A$29,Sheet1!$B$27:$B$29)*Table1[[#This Row], [NUM OF MEM]]*(1+_xlfn.XLOOKUP(Table1[[#This Row], [WEAPON]],Sheet1!$A$27:$A$29,Sheet1!$C$27:$C$29))</f>
        <v>72000</v>
      </c>
      <c r="J1996" t="s">
        <v>60</v>
      </c>
      <c r="K1996" s="9">
        <f>Table1[[#This Row], [NUM OF MEM]]*Table1[[#This Row], [TOTAL TIME TAKEN]]*_xlfn.XLOOKUP(Table1[[#This Row], [EXIT]],Sheet1!$A$70:$A$71,Sheet1!$B$70:$B$71)*(1+_xlfn.XLOOKUP(Table1[[#This Row], [EXIT]],Sheet1!$A$70:$A$71,Sheet1!$C$70:$C$71))</f>
        <v>1697771.8312499993</v>
      </c>
      <c r="L1996" s="13" t="s">
        <v>65</v>
      </c>
      <c r="M1996" s="4">
        <f>IF(Table1[[#This Row], [EQUIPMENT]]="YES",Sheet1!$C$44*(1+Sheet1!$D$44),0)</f>
        <v>307500</v>
      </c>
      <c r="N1996" s="4">
        <f>_xlfn.XLOOKUP(Table1[[#This Row], [ROOM]],Sheet1!$A$47:$A$66,Sheet1!$F$47:$F$66)</f>
        <v>17550000</v>
      </c>
      <c r="O1996" s="9">
        <f>_xlfn.XLOOKUP(_xlfn.CONCAT(Table1[[#This Row], [TEAM]],Table1[[#This Row], [ROOM]]),'ROOM TIME'!$H$2:$H$121,'ROOM TIME'!$J$2:$J$121)</f>
        <v>59.901249999999983</v>
      </c>
      <c r="P1996" s="9">
        <f>(INDEX(Sheet1!$X$48:$Z$67,MATCH(Table1[[#This Row], [ROOM]],Sheet1!$P$48:$P$67,0),MATCH(Table1[[#This Row], [WEAPON]],Sheet1!$X$47:$Z$47,0)))/Table1[[#This Row], [NUM OF MEM]]</f>
        <v>6.25</v>
      </c>
      <c r="Q1996" s="9">
        <f>Table1[[#This Row], [ROOM TIME]]+Table1[[#This Row], [GUARD TIME]]</f>
        <v>66.151249999999976</v>
      </c>
      <c r="R1996" s="4">
        <f>Sheet1!$K$3*_xlfn.XLOOKUP(Table1[[#This Row], [DISGUISE]],Sheet1!$A$21:$A$23,Sheet1!$D$21:$D$23)</f>
        <v>66</v>
      </c>
      <c r="S1996" s="9">
        <f>Table1[[#This Row], [TOTAL TIME]]-Table1[[#This Row], [TOTAL TIME TAKEN]]</f>
        <v>-0.15124999999997613</v>
      </c>
      <c r="T1996" t="str">
        <f>IF(Table1[[#This Row], [TIME DIFFERENCE]]&gt;=0,"PASS","FAIL")</f>
        <v>FAIL</v>
      </c>
      <c r="U1996" s="9">
        <f>Table1[[#This Row], [TRC]]+Table1[[#This Row], [DRC]]+Table1[[#This Row], [WRC]]+Table1[[#This Row], [ERC]]+Table1[[#This Row], [EQRC]]</f>
        <v>8170471.8312499989</v>
      </c>
      <c r="V1996" s="9">
        <f>Table1[[#This Row], [TOTAL COST]]+_xlfn.XLOOKUP(Table1[[#This Row], [TEAM]],Sheet1!$A$12:$A$17,Sheet1!$I$12:$I$17)</f>
        <v>8474611.8312499989</v>
      </c>
      <c r="W1996" s="9">
        <f>Table1[[#This Row], [LOOT]]-Table1[[#This Row], [TOTAL COST]]</f>
        <v>9379528.1687500011</v>
      </c>
      <c r="X1996" s="4">
        <f>IF(Table1[[#This Row], [PASS/FAIL]]="FAIL",0,Table1[[#This Row], [PROFIT]])</f>
        <v>0</v>
      </c>
    </row>
    <row r="1997" spans="1:24" ht="19.5" customHeight="1" x14ac:dyDescent="0.45">
      <c r="A1997" t="s">
        <v>16</v>
      </c>
      <c r="B1997" s="14">
        <f>_xlfn.XLOOKUP(Table1[[#This Row], [TEAM]],Sheet1!$A$12:$A$17,Sheet1!$F$12:$F$17)</f>
        <v>2</v>
      </c>
      <c r="C1997" s="14">
        <f>_xlfn.XLOOKUP(Table1[[#This Row], [TEAM]],Sheet1!$A$12:$A$17,Sheet1!$G$12:$G$17)</f>
        <v>6082800</v>
      </c>
      <c r="D1997" t="s">
        <v>20</v>
      </c>
      <c r="E1997" s="4">
        <f>_xlfn.XLOOKUP(Table1[[#This Row], [ROOM]],Sheet1!$A$47:$A$66,Sheet1!$B$47:$B$66)</f>
        <v>145</v>
      </c>
      <c r="F1997" t="s">
        <v>62</v>
      </c>
      <c r="G1997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7" s="13" t="s">
        <v>66</v>
      </c>
      <c r="I1997" s="4">
        <f>_xlfn.XLOOKUP(Table1[[#This Row], [WEAPON]],Sheet1!$A$27:$A$29,Sheet1!$B$27:$B$29)*Table1[[#This Row], [NUM OF MEM]]*(1+_xlfn.XLOOKUP(Table1[[#This Row], [WEAPON]],Sheet1!$A$27:$A$29,Sheet1!$C$27:$C$29))</f>
        <v>72000</v>
      </c>
      <c r="J1997" t="s">
        <v>64</v>
      </c>
      <c r="K1997" s="9">
        <f>Table1[[#This Row], [NUM OF MEM]]*Table1[[#This Row], [TOTAL TIME TAKEN]]*_xlfn.XLOOKUP(Table1[[#This Row], [EXIT]],Sheet1!$A$70:$A$71,Sheet1!$B$70:$B$71)*(1+_xlfn.XLOOKUP(Table1[[#This Row], [EXIT]],Sheet1!$A$70:$A$71,Sheet1!$C$70:$C$71))</f>
        <v>1714640.3999999994</v>
      </c>
      <c r="L1997" s="13" t="s">
        <v>65</v>
      </c>
      <c r="M1997" s="4">
        <f>IF(Table1[[#This Row], [EQUIPMENT]]="YES",Sheet1!$C$44*(1+Sheet1!$D$44),0)</f>
        <v>307500</v>
      </c>
      <c r="N1997" s="4">
        <f>_xlfn.XLOOKUP(Table1[[#This Row], [ROOM]],Sheet1!$A$47:$A$66,Sheet1!$F$47:$F$66)</f>
        <v>17550000</v>
      </c>
      <c r="O1997" s="9">
        <f>_xlfn.XLOOKUP(_xlfn.CONCAT(Table1[[#This Row], [TEAM]],Table1[[#This Row], [ROOM]]),'ROOM TIME'!$H$2:$H$121,'ROOM TIME'!$J$2:$J$121)</f>
        <v>59.901249999999983</v>
      </c>
      <c r="P1997" s="9">
        <f>(INDEX(Sheet1!$X$48:$Z$67,MATCH(Table1[[#This Row], [ROOM]],Sheet1!$P$48:$P$67,0),MATCH(Table1[[#This Row], [WEAPON]],Sheet1!$X$47:$Z$47,0)))/Table1[[#This Row], [NUM OF MEM]]</f>
        <v>6.25</v>
      </c>
      <c r="Q1997" s="9">
        <f>Table1[[#This Row], [ROOM TIME]]+Table1[[#This Row], [GUARD TIME]]</f>
        <v>66.151249999999976</v>
      </c>
      <c r="R1997" s="4">
        <f>Sheet1!$K$3*_xlfn.XLOOKUP(Table1[[#This Row], [DISGUISE]],Sheet1!$A$21:$A$23,Sheet1!$D$21:$D$23)</f>
        <v>66</v>
      </c>
      <c r="S1997" s="9">
        <f>Table1[[#This Row], [TOTAL TIME]]-Table1[[#This Row], [TOTAL TIME TAKEN]]</f>
        <v>-0.15124999999997613</v>
      </c>
      <c r="T1997" t="str">
        <f>IF(Table1[[#This Row], [TIME DIFFERENCE]]&gt;=0,"PASS","FAIL")</f>
        <v>FAIL</v>
      </c>
      <c r="U1997" s="9">
        <f>Table1[[#This Row], [TRC]]+Table1[[#This Row], [DRC]]+Table1[[#This Row], [WRC]]+Table1[[#This Row], [ERC]]+Table1[[#This Row], [EQRC]]</f>
        <v>8187340.3999999994</v>
      </c>
      <c r="V1997" s="9">
        <f>Table1[[#This Row], [TOTAL COST]]+_xlfn.XLOOKUP(Table1[[#This Row], [TEAM]],Sheet1!$A$12:$A$17,Sheet1!$I$12:$I$17)</f>
        <v>8491480.3999999985</v>
      </c>
      <c r="W1997" s="9">
        <f>Table1[[#This Row], [LOOT]]-Table1[[#This Row], [TOTAL COST]]</f>
        <v>9362659.6000000015</v>
      </c>
      <c r="X1997" s="4">
        <f>IF(Table1[[#This Row], [PASS/FAIL]]="FAIL",0,Table1[[#This Row], [PROFIT]])</f>
        <v>0</v>
      </c>
    </row>
    <row r="1998" spans="1:24" ht="19.5" customHeight="1" x14ac:dyDescent="0.45">
      <c r="A1998" t="s">
        <v>14</v>
      </c>
      <c r="B1998" s="14">
        <f>_xlfn.XLOOKUP(Table1[[#This Row], [TEAM]],Sheet1!$A$12:$A$17,Sheet1!$F$12:$F$17)</f>
        <v>2</v>
      </c>
      <c r="C1998" s="14">
        <f>_xlfn.XLOOKUP(Table1[[#This Row], [TEAM]],Sheet1!$A$12:$A$17,Sheet1!$G$12:$G$17)</f>
        <v>5949600</v>
      </c>
      <c r="D1998" t="s">
        <v>21</v>
      </c>
      <c r="E1998" s="4">
        <f>_xlfn.XLOOKUP(Table1[[#This Row], [ROOM]],Sheet1!$A$47:$A$66,Sheet1!$B$47:$B$66)</f>
        <v>234</v>
      </c>
      <c r="F1998" t="s">
        <v>62</v>
      </c>
      <c r="G1998" s="4">
        <f>_xlfn.XLOOKUP(Table1[[#This Row], [DISGUISE]],Sheet1!$A$21:$A$23,Sheet1!$B$21:$B$23)*Table1[[#This Row], [NUM OF MEM]]*(1+_xlfn.XLOOKUP(Table1[[#This Row], [DISGUISE]],Sheet1!$A$21:$A$23,Sheet1!$C$21:$C$23))</f>
        <v>10400</v>
      </c>
      <c r="H1998" s="13" t="s">
        <v>59</v>
      </c>
      <c r="I1998" s="4">
        <f>_xlfn.XLOOKUP(Table1[[#This Row], [WEAPON]],Sheet1!$A$27:$A$29,Sheet1!$B$27:$B$29)*Table1[[#This Row], [NUM OF MEM]]*(1+_xlfn.XLOOKUP(Table1[[#This Row], [WEAPON]],Sheet1!$A$27:$A$29,Sheet1!$C$27:$C$29))</f>
        <v>91000</v>
      </c>
      <c r="J1998" t="s">
        <v>60</v>
      </c>
      <c r="K1998" s="9">
        <f>Table1[[#This Row], [NUM OF MEM]]*Table1[[#This Row], [TOTAL TIME TAKEN]]*_xlfn.XLOOKUP(Table1[[#This Row], [EXIT]],Sheet1!$A$70:$A$71,Sheet1!$B$70:$B$71)*(1+_xlfn.XLOOKUP(Table1[[#This Row], [EXIT]],Sheet1!$A$70:$A$71,Sheet1!$C$70:$C$71))</f>
        <v>1801843.4062499995</v>
      </c>
      <c r="L1998" s="13" t="s">
        <v>61</v>
      </c>
      <c r="M1998" s="4">
        <f>IF(Table1[[#This Row], [EQUIPMENT]]="YES",Sheet1!$C$44*(1+Sheet1!$D$44),0)</f>
        <v>0</v>
      </c>
      <c r="N1998" s="4">
        <f>_xlfn.XLOOKUP(Table1[[#This Row], [ROOM]],Sheet1!$A$47:$A$66,Sheet1!$F$47:$F$66)</f>
        <v>17900000</v>
      </c>
      <c r="O1998" s="9">
        <f>_xlfn.XLOOKUP(_xlfn.CONCAT(Table1[[#This Row], [TEAM]],Table1[[#This Row], [ROOM]]),'ROOM TIME'!$H$2:$H$121,'ROOM TIME'!$J$2:$J$121)</f>
        <v>62.731249999999989</v>
      </c>
      <c r="P1998" s="9">
        <f>(INDEX(Sheet1!$X$48:$Z$67,MATCH(Table1[[#This Row], [ROOM]],Sheet1!$P$48:$P$67,0),MATCH(Table1[[#This Row], [WEAPON]],Sheet1!$X$47:$Z$47,0)))/Table1[[#This Row], [NUM OF MEM]]</f>
        <v>7.4749999999999996</v>
      </c>
      <c r="Q1998" s="9">
        <f>Table1[[#This Row], [ROOM TIME]]+Table1[[#This Row], [GUARD TIME]]</f>
        <v>70.206249999999983</v>
      </c>
      <c r="R1998" s="4">
        <f>Sheet1!$K$3*_xlfn.XLOOKUP(Table1[[#This Row], [DISGUISE]],Sheet1!$A$21:$A$23,Sheet1!$D$21:$D$23)</f>
        <v>66</v>
      </c>
      <c r="S1998" s="9">
        <f>Table1[[#This Row], [TOTAL TIME]]-Table1[[#This Row], [TOTAL TIME TAKEN]]</f>
        <v>-4.2062499999999829</v>
      </c>
      <c r="T1998" t="str">
        <f>IF(Table1[[#This Row], [TIME DIFFERENCE]]&gt;=0,"PASS","FAIL")</f>
        <v>FAIL</v>
      </c>
      <c r="U1998" s="9">
        <f>Table1[[#This Row], [TRC]]+Table1[[#This Row], [DRC]]+Table1[[#This Row], [WRC]]+Table1[[#This Row], [ERC]]+Table1[[#This Row], [EQRC]]</f>
        <v>7852843.40625</v>
      </c>
      <c r="V1998" s="9">
        <f>Table1[[#This Row], [TOTAL COST]]+_xlfn.XLOOKUP(Table1[[#This Row], [TEAM]],Sheet1!$A$12:$A$17,Sheet1!$I$12:$I$17)</f>
        <v>8150323.40625</v>
      </c>
      <c r="W1998" s="9">
        <f>Table1[[#This Row], [LOOT]]-Table1[[#This Row], [TOTAL COST]]</f>
        <v>10047156.59375</v>
      </c>
      <c r="X1998" s="4">
        <f>IF(Table1[[#This Row], [PASS/FAIL]]="FAIL",0,Table1[[#This Row], [PROFIT]])</f>
        <v>0</v>
      </c>
    </row>
    <row r="1999" spans="1:24" ht="19.5" customHeight="1" x14ac:dyDescent="0.45">
      <c r="A1999" t="s">
        <v>14</v>
      </c>
      <c r="B1999" s="14">
        <f>_xlfn.XLOOKUP(Table1[[#This Row], [TEAM]],Sheet1!$A$12:$A$17,Sheet1!$F$12:$F$17)</f>
        <v>2</v>
      </c>
      <c r="C1999" s="14">
        <f>_xlfn.XLOOKUP(Table1[[#This Row], [TEAM]],Sheet1!$A$12:$A$17,Sheet1!$G$12:$G$17)</f>
        <v>5949600</v>
      </c>
      <c r="D1999" t="s">
        <v>21</v>
      </c>
      <c r="E1999" s="4">
        <f>_xlfn.XLOOKUP(Table1[[#This Row], [ROOM]],Sheet1!$A$47:$A$66,Sheet1!$B$47:$B$66)</f>
        <v>234</v>
      </c>
      <c r="F1999" t="s">
        <v>58</v>
      </c>
      <c r="G1999" s="4">
        <f>_xlfn.XLOOKUP(Table1[[#This Row], [DISGUISE]],Sheet1!$A$21:$A$23,Sheet1!$B$21:$B$23)*Table1[[#This Row], [NUM OF MEM]]*(1+_xlfn.XLOOKUP(Table1[[#This Row], [DISGUISE]],Sheet1!$A$21:$A$23,Sheet1!$C$21:$C$23))</f>
        <v>25600</v>
      </c>
      <c r="H1999" s="13" t="s">
        <v>59</v>
      </c>
      <c r="I1999" s="4">
        <f>_xlfn.XLOOKUP(Table1[[#This Row], [WEAPON]],Sheet1!$A$27:$A$29,Sheet1!$B$27:$B$29)*Table1[[#This Row], [NUM OF MEM]]*(1+_xlfn.XLOOKUP(Table1[[#This Row], [WEAPON]],Sheet1!$A$27:$A$29,Sheet1!$C$27:$C$29))</f>
        <v>91000</v>
      </c>
      <c r="J1999" t="s">
        <v>60</v>
      </c>
      <c r="K1999" s="9">
        <f>Table1[[#This Row], [NUM OF MEM]]*Table1[[#This Row], [TOTAL TIME TAKEN]]*_xlfn.XLOOKUP(Table1[[#This Row], [EXIT]],Sheet1!$A$70:$A$71,Sheet1!$B$70:$B$71)*(1+_xlfn.XLOOKUP(Table1[[#This Row], [EXIT]],Sheet1!$A$70:$A$71,Sheet1!$C$70:$C$71))</f>
        <v>1801843.4062499995</v>
      </c>
      <c r="L1999" s="13" t="s">
        <v>61</v>
      </c>
      <c r="M1999" s="4">
        <f>IF(Table1[[#This Row], [EQUIPMENT]]="YES",Sheet1!$C$44*(1+Sheet1!$D$44),0)</f>
        <v>0</v>
      </c>
      <c r="N1999" s="4">
        <f>_xlfn.XLOOKUP(Table1[[#This Row], [ROOM]],Sheet1!$A$47:$A$66,Sheet1!$F$47:$F$66)</f>
        <v>17900000</v>
      </c>
      <c r="O1999" s="9">
        <f>_xlfn.XLOOKUP(_xlfn.CONCAT(Table1[[#This Row], [TEAM]],Table1[[#This Row], [ROOM]]),'ROOM TIME'!$H$2:$H$121,'ROOM TIME'!$J$2:$J$121)</f>
        <v>62.731249999999989</v>
      </c>
      <c r="P1999" s="9">
        <f>(INDEX(Sheet1!$X$48:$Z$67,MATCH(Table1[[#This Row], [ROOM]],Sheet1!$P$48:$P$67,0),MATCH(Table1[[#This Row], [WEAPON]],Sheet1!$X$47:$Z$47,0)))/Table1[[#This Row], [NUM OF MEM]]</f>
        <v>7.4749999999999996</v>
      </c>
      <c r="Q1999" s="9">
        <f>Table1[[#This Row], [ROOM TIME]]+Table1[[#This Row], [GUARD TIME]]</f>
        <v>70.206249999999983</v>
      </c>
      <c r="R1999" s="4">
        <f>Sheet1!$K$3*_xlfn.XLOOKUP(Table1[[#This Row], [DISGUISE]],Sheet1!$A$21:$A$23,Sheet1!$D$21:$D$23)</f>
        <v>69</v>
      </c>
      <c r="S1999" s="9">
        <f>Table1[[#This Row], [TOTAL TIME]]-Table1[[#This Row], [TOTAL TIME TAKEN]]</f>
        <v>-1.2062499999999829</v>
      </c>
      <c r="T1999" t="str">
        <f>IF(Table1[[#This Row], [TIME DIFFERENCE]]&gt;=0,"PASS","FAIL")</f>
        <v>FAIL</v>
      </c>
      <c r="U1999" s="9">
        <f>Table1[[#This Row], [TRC]]+Table1[[#This Row], [DRC]]+Table1[[#This Row], [WRC]]+Table1[[#This Row], [ERC]]+Table1[[#This Row], [EQRC]]</f>
        <v>7868043.40625</v>
      </c>
      <c r="V1999" s="9">
        <f>Table1[[#This Row], [TOTAL COST]]+_xlfn.XLOOKUP(Table1[[#This Row], [TEAM]],Sheet1!$A$12:$A$17,Sheet1!$I$12:$I$17)</f>
        <v>8165523.40625</v>
      </c>
      <c r="W1999" s="9">
        <f>Table1[[#This Row], [LOOT]]-Table1[[#This Row], [TOTAL COST]]</f>
        <v>10031956.59375</v>
      </c>
      <c r="X1999" s="4">
        <f>IF(Table1[[#This Row], [PASS/FAIL]]="FAIL",0,Table1[[#This Row], [PROFIT]])</f>
        <v>0</v>
      </c>
    </row>
    <row r="2000" spans="1:24" ht="19.5" customHeight="1" x14ac:dyDescent="0.45">
      <c r="A2000" t="s">
        <v>14</v>
      </c>
      <c r="B2000" s="14">
        <f>_xlfn.XLOOKUP(Table1[[#This Row], [TEAM]],Sheet1!$A$12:$A$17,Sheet1!$F$12:$F$17)</f>
        <v>2</v>
      </c>
      <c r="C2000" s="14">
        <f>_xlfn.XLOOKUP(Table1[[#This Row], [TEAM]],Sheet1!$A$12:$A$17,Sheet1!$G$12:$G$17)</f>
        <v>5949600</v>
      </c>
      <c r="D2000" t="s">
        <v>21</v>
      </c>
      <c r="E2000" s="4">
        <f>_xlfn.XLOOKUP(Table1[[#This Row], [ROOM]],Sheet1!$A$47:$A$66,Sheet1!$B$47:$B$66)</f>
        <v>234</v>
      </c>
      <c r="F2000" t="s">
        <v>62</v>
      </c>
      <c r="G200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00" s="13" t="s">
        <v>59</v>
      </c>
      <c r="I2000" s="4">
        <f>_xlfn.XLOOKUP(Table1[[#This Row], [WEAPON]],Sheet1!$A$27:$A$29,Sheet1!$B$27:$B$29)*Table1[[#This Row], [NUM OF MEM]]*(1+_xlfn.XLOOKUP(Table1[[#This Row], [WEAPON]],Sheet1!$A$27:$A$29,Sheet1!$C$27:$C$29))</f>
        <v>91000</v>
      </c>
      <c r="J2000" t="s">
        <v>64</v>
      </c>
      <c r="K2000" s="9">
        <f>Table1[[#This Row], [NUM OF MEM]]*Table1[[#This Row], [TOTAL TIME TAKEN]]*_xlfn.XLOOKUP(Table1[[#This Row], [EXIT]],Sheet1!$A$70:$A$71,Sheet1!$B$70:$B$71)*(1+_xlfn.XLOOKUP(Table1[[#This Row], [EXIT]],Sheet1!$A$70:$A$71,Sheet1!$C$70:$C$71))</f>
        <v>1819745.9999999993</v>
      </c>
      <c r="L2000" s="13" t="s">
        <v>61</v>
      </c>
      <c r="M2000" s="4">
        <f>IF(Table1[[#This Row], [EQUIPMENT]]="YES",Sheet1!$C$44*(1+Sheet1!$D$44),0)</f>
        <v>0</v>
      </c>
      <c r="N2000" s="4">
        <f>_xlfn.XLOOKUP(Table1[[#This Row], [ROOM]],Sheet1!$A$47:$A$66,Sheet1!$F$47:$F$66)</f>
        <v>17900000</v>
      </c>
      <c r="O2000" s="9">
        <f>_xlfn.XLOOKUP(_xlfn.CONCAT(Table1[[#This Row], [TEAM]],Table1[[#This Row], [ROOM]]),'ROOM TIME'!$H$2:$H$121,'ROOM TIME'!$J$2:$J$121)</f>
        <v>62.731249999999989</v>
      </c>
      <c r="P2000" s="9">
        <f>(INDEX(Sheet1!$X$48:$Z$67,MATCH(Table1[[#This Row], [ROOM]],Sheet1!$P$48:$P$67,0),MATCH(Table1[[#This Row], [WEAPON]],Sheet1!$X$47:$Z$47,0)))/Table1[[#This Row], [NUM OF MEM]]</f>
        <v>7.4749999999999996</v>
      </c>
      <c r="Q2000" s="9">
        <f>Table1[[#This Row], [ROOM TIME]]+Table1[[#This Row], [GUARD TIME]]</f>
        <v>70.206249999999983</v>
      </c>
      <c r="R2000" s="4">
        <f>Sheet1!$K$3*_xlfn.XLOOKUP(Table1[[#This Row], [DISGUISE]],Sheet1!$A$21:$A$23,Sheet1!$D$21:$D$23)</f>
        <v>66</v>
      </c>
      <c r="S2000" s="9">
        <f>Table1[[#This Row], [TOTAL TIME]]-Table1[[#This Row], [TOTAL TIME TAKEN]]</f>
        <v>-4.2062499999999829</v>
      </c>
      <c r="T2000" t="str">
        <f>IF(Table1[[#This Row], [TIME DIFFERENCE]]&gt;=0,"PASS","FAIL")</f>
        <v>FAIL</v>
      </c>
      <c r="U2000" s="9">
        <f>Table1[[#This Row], [TRC]]+Table1[[#This Row], [DRC]]+Table1[[#This Row], [WRC]]+Table1[[#This Row], [ERC]]+Table1[[#This Row], [EQRC]]</f>
        <v>7870745.9999999991</v>
      </c>
      <c r="V2000" s="9">
        <f>Table1[[#This Row], [TOTAL COST]]+_xlfn.XLOOKUP(Table1[[#This Row], [TEAM]],Sheet1!$A$12:$A$17,Sheet1!$I$12:$I$17)</f>
        <v>8168225.9999999991</v>
      </c>
      <c r="W2000" s="4">
        <f>Table1[[#This Row], [LOOT]]-Table1[[#This Row], [TOTAL COST]]</f>
        <v>10029254</v>
      </c>
      <c r="X2000" s="4">
        <f>IF(Table1[[#This Row], [PASS/FAIL]]="FAIL",0,Table1[[#This Row], [PROFIT]])</f>
        <v>0</v>
      </c>
    </row>
    <row r="2001" spans="1:24" ht="19.5" customHeight="1" x14ac:dyDescent="0.45">
      <c r="A2001" t="s">
        <v>14</v>
      </c>
      <c r="B2001" s="14">
        <f>_xlfn.XLOOKUP(Table1[[#This Row], [TEAM]],Sheet1!$A$12:$A$17,Sheet1!$F$12:$F$17)</f>
        <v>2</v>
      </c>
      <c r="C2001" s="14">
        <f>_xlfn.XLOOKUP(Table1[[#This Row], [TEAM]],Sheet1!$A$12:$A$17,Sheet1!$G$12:$G$17)</f>
        <v>5949600</v>
      </c>
      <c r="D2001" t="s">
        <v>21</v>
      </c>
      <c r="E2001" s="4">
        <f>_xlfn.XLOOKUP(Table1[[#This Row], [ROOM]],Sheet1!$A$47:$A$66,Sheet1!$B$47:$B$66)</f>
        <v>234</v>
      </c>
      <c r="F2001" t="s">
        <v>58</v>
      </c>
      <c r="G200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01" s="13" t="s">
        <v>59</v>
      </c>
      <c r="I2001" s="4">
        <f>_xlfn.XLOOKUP(Table1[[#This Row], [WEAPON]],Sheet1!$A$27:$A$29,Sheet1!$B$27:$B$29)*Table1[[#This Row], [NUM OF MEM]]*(1+_xlfn.XLOOKUP(Table1[[#This Row], [WEAPON]],Sheet1!$A$27:$A$29,Sheet1!$C$27:$C$29))</f>
        <v>91000</v>
      </c>
      <c r="J2001" t="s">
        <v>64</v>
      </c>
      <c r="K2001" s="9">
        <f>Table1[[#This Row], [NUM OF MEM]]*Table1[[#This Row], [TOTAL TIME TAKEN]]*_xlfn.XLOOKUP(Table1[[#This Row], [EXIT]],Sheet1!$A$70:$A$71,Sheet1!$B$70:$B$71)*(1+_xlfn.XLOOKUP(Table1[[#This Row], [EXIT]],Sheet1!$A$70:$A$71,Sheet1!$C$70:$C$71))</f>
        <v>1819745.9999999993</v>
      </c>
      <c r="L2001" s="13" t="s">
        <v>61</v>
      </c>
      <c r="M2001" s="4">
        <f>IF(Table1[[#This Row], [EQUIPMENT]]="YES",Sheet1!$C$44*(1+Sheet1!$D$44),0)</f>
        <v>0</v>
      </c>
      <c r="N2001" s="4">
        <f>_xlfn.XLOOKUP(Table1[[#This Row], [ROOM]],Sheet1!$A$47:$A$66,Sheet1!$F$47:$F$66)</f>
        <v>17900000</v>
      </c>
      <c r="O2001" s="9">
        <f>_xlfn.XLOOKUP(_xlfn.CONCAT(Table1[[#This Row], [TEAM]],Table1[[#This Row], [ROOM]]),'ROOM TIME'!$H$2:$H$121,'ROOM TIME'!$J$2:$J$121)</f>
        <v>62.731249999999989</v>
      </c>
      <c r="P2001" s="9">
        <f>(INDEX(Sheet1!$X$48:$Z$67,MATCH(Table1[[#This Row], [ROOM]],Sheet1!$P$48:$P$67,0),MATCH(Table1[[#This Row], [WEAPON]],Sheet1!$X$47:$Z$47,0)))/Table1[[#This Row], [NUM OF MEM]]</f>
        <v>7.4749999999999996</v>
      </c>
      <c r="Q2001" s="9">
        <f>Table1[[#This Row], [ROOM TIME]]+Table1[[#This Row], [GUARD TIME]]</f>
        <v>70.206249999999983</v>
      </c>
      <c r="R2001" s="4">
        <f>Sheet1!$K$3*_xlfn.XLOOKUP(Table1[[#This Row], [DISGUISE]],Sheet1!$A$21:$A$23,Sheet1!$D$21:$D$23)</f>
        <v>69</v>
      </c>
      <c r="S2001" s="9">
        <f>Table1[[#This Row], [TOTAL TIME]]-Table1[[#This Row], [TOTAL TIME TAKEN]]</f>
        <v>-1.2062499999999829</v>
      </c>
      <c r="T2001" t="str">
        <f>IF(Table1[[#This Row], [TIME DIFFERENCE]]&gt;=0,"PASS","FAIL")</f>
        <v>FAIL</v>
      </c>
      <c r="U2001" s="9">
        <f>Table1[[#This Row], [TRC]]+Table1[[#This Row], [DRC]]+Table1[[#This Row], [WRC]]+Table1[[#This Row], [ERC]]+Table1[[#This Row], [EQRC]]</f>
        <v>7885945.9999999991</v>
      </c>
      <c r="V2001" s="9">
        <f>Table1[[#This Row], [TOTAL COST]]+_xlfn.XLOOKUP(Table1[[#This Row], [TEAM]],Sheet1!$A$12:$A$17,Sheet1!$I$12:$I$17)</f>
        <v>8183425.9999999991</v>
      </c>
      <c r="W2001" s="4">
        <f>Table1[[#This Row], [LOOT]]-Table1[[#This Row], [TOTAL COST]]</f>
        <v>10014054</v>
      </c>
      <c r="X2001" s="4">
        <f>IF(Table1[[#This Row], [PASS/FAIL]]="FAIL",0,Table1[[#This Row], [PROFIT]])</f>
        <v>0</v>
      </c>
    </row>
    <row r="2002" spans="1:24" ht="19.5" customHeight="1" x14ac:dyDescent="0.45">
      <c r="A2002" t="s">
        <v>14</v>
      </c>
      <c r="B2002" s="14">
        <f>_xlfn.XLOOKUP(Table1[[#This Row], [TEAM]],Sheet1!$A$12:$A$17,Sheet1!$F$12:$F$17)</f>
        <v>2</v>
      </c>
      <c r="C2002" s="14">
        <f>_xlfn.XLOOKUP(Table1[[#This Row], [TEAM]],Sheet1!$A$12:$A$17,Sheet1!$G$12:$G$17)</f>
        <v>5949600</v>
      </c>
      <c r="D2002" t="s">
        <v>21</v>
      </c>
      <c r="E2002" s="4">
        <f>_xlfn.XLOOKUP(Table1[[#This Row], [ROOM]],Sheet1!$A$47:$A$66,Sheet1!$B$47:$B$66)</f>
        <v>234</v>
      </c>
      <c r="F2002" t="s">
        <v>62</v>
      </c>
      <c r="G200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02" s="13" t="s">
        <v>59</v>
      </c>
      <c r="I2002" s="4">
        <f>_xlfn.XLOOKUP(Table1[[#This Row], [WEAPON]],Sheet1!$A$27:$A$29,Sheet1!$B$27:$B$29)*Table1[[#This Row], [NUM OF MEM]]*(1+_xlfn.XLOOKUP(Table1[[#This Row], [WEAPON]],Sheet1!$A$27:$A$29,Sheet1!$C$27:$C$29))</f>
        <v>91000</v>
      </c>
      <c r="J2002" t="s">
        <v>60</v>
      </c>
      <c r="K2002" s="9">
        <f>Table1[[#This Row], [NUM OF MEM]]*Table1[[#This Row], [TOTAL TIME TAKEN]]*_xlfn.XLOOKUP(Table1[[#This Row], [EXIT]],Sheet1!$A$70:$A$71,Sheet1!$B$70:$B$71)*(1+_xlfn.XLOOKUP(Table1[[#This Row], [EXIT]],Sheet1!$A$70:$A$71,Sheet1!$C$70:$C$71))</f>
        <v>1801843.4062499995</v>
      </c>
      <c r="L2002" s="13" t="s">
        <v>65</v>
      </c>
      <c r="M2002" s="4">
        <f>IF(Table1[[#This Row], [EQUIPMENT]]="YES",Sheet1!$C$44*(1+Sheet1!$D$44),0)</f>
        <v>307500</v>
      </c>
      <c r="N2002" s="4">
        <f>_xlfn.XLOOKUP(Table1[[#This Row], [ROOM]],Sheet1!$A$47:$A$66,Sheet1!$F$47:$F$66)</f>
        <v>17900000</v>
      </c>
      <c r="O2002" s="9">
        <f>_xlfn.XLOOKUP(_xlfn.CONCAT(Table1[[#This Row], [TEAM]],Table1[[#This Row], [ROOM]]),'ROOM TIME'!$H$2:$H$121,'ROOM TIME'!$J$2:$J$121)</f>
        <v>62.731249999999989</v>
      </c>
      <c r="P2002" s="9">
        <f>(INDEX(Sheet1!$X$48:$Z$67,MATCH(Table1[[#This Row], [ROOM]],Sheet1!$P$48:$P$67,0),MATCH(Table1[[#This Row], [WEAPON]],Sheet1!$X$47:$Z$47,0)))/Table1[[#This Row], [NUM OF MEM]]</f>
        <v>7.4749999999999996</v>
      </c>
      <c r="Q2002" s="9">
        <f>Table1[[#This Row], [ROOM TIME]]+Table1[[#This Row], [GUARD TIME]]</f>
        <v>70.206249999999983</v>
      </c>
      <c r="R2002" s="4">
        <f>Sheet1!$K$3*_xlfn.XLOOKUP(Table1[[#This Row], [DISGUISE]],Sheet1!$A$21:$A$23,Sheet1!$D$21:$D$23)</f>
        <v>66</v>
      </c>
      <c r="S2002" s="9">
        <f>Table1[[#This Row], [TOTAL TIME]]-Table1[[#This Row], [TOTAL TIME TAKEN]]</f>
        <v>-4.2062499999999829</v>
      </c>
      <c r="T2002" t="str">
        <f>IF(Table1[[#This Row], [TIME DIFFERENCE]]&gt;=0,"PASS","FAIL")</f>
        <v>FAIL</v>
      </c>
      <c r="U2002" s="9">
        <f>Table1[[#This Row], [TRC]]+Table1[[#This Row], [DRC]]+Table1[[#This Row], [WRC]]+Table1[[#This Row], [ERC]]+Table1[[#This Row], [EQRC]]</f>
        <v>8160343.40625</v>
      </c>
      <c r="V2002" s="9">
        <f>Table1[[#This Row], [TOTAL COST]]+_xlfn.XLOOKUP(Table1[[#This Row], [TEAM]],Sheet1!$A$12:$A$17,Sheet1!$I$12:$I$17)</f>
        <v>8457823.40625</v>
      </c>
      <c r="W2002" s="9">
        <f>Table1[[#This Row], [LOOT]]-Table1[[#This Row], [TOTAL COST]]</f>
        <v>9739656.59375</v>
      </c>
      <c r="X2002" s="4">
        <f>IF(Table1[[#This Row], [PASS/FAIL]]="FAIL",0,Table1[[#This Row], [PROFIT]])</f>
        <v>0</v>
      </c>
    </row>
    <row r="2003" spans="1:24" ht="19.5" customHeight="1" x14ac:dyDescent="0.45">
      <c r="A2003" t="s">
        <v>14</v>
      </c>
      <c r="B2003" s="14">
        <f>_xlfn.XLOOKUP(Table1[[#This Row], [TEAM]],Sheet1!$A$12:$A$17,Sheet1!$F$12:$F$17)</f>
        <v>2</v>
      </c>
      <c r="C2003" s="14">
        <f>_xlfn.XLOOKUP(Table1[[#This Row], [TEAM]],Sheet1!$A$12:$A$17,Sheet1!$G$12:$G$17)</f>
        <v>5949600</v>
      </c>
      <c r="D2003" t="s">
        <v>21</v>
      </c>
      <c r="E2003" s="4">
        <f>_xlfn.XLOOKUP(Table1[[#This Row], [ROOM]],Sheet1!$A$47:$A$66,Sheet1!$B$47:$B$66)</f>
        <v>234</v>
      </c>
      <c r="F2003" t="s">
        <v>58</v>
      </c>
      <c r="G200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03" s="13" t="s">
        <v>59</v>
      </c>
      <c r="I2003" s="4">
        <f>_xlfn.XLOOKUP(Table1[[#This Row], [WEAPON]],Sheet1!$A$27:$A$29,Sheet1!$B$27:$B$29)*Table1[[#This Row], [NUM OF MEM]]*(1+_xlfn.XLOOKUP(Table1[[#This Row], [WEAPON]],Sheet1!$A$27:$A$29,Sheet1!$C$27:$C$29))</f>
        <v>91000</v>
      </c>
      <c r="J2003" t="s">
        <v>60</v>
      </c>
      <c r="K2003" s="9">
        <f>Table1[[#This Row], [NUM OF MEM]]*Table1[[#This Row], [TOTAL TIME TAKEN]]*_xlfn.XLOOKUP(Table1[[#This Row], [EXIT]],Sheet1!$A$70:$A$71,Sheet1!$B$70:$B$71)*(1+_xlfn.XLOOKUP(Table1[[#This Row], [EXIT]],Sheet1!$A$70:$A$71,Sheet1!$C$70:$C$71))</f>
        <v>1801843.4062499995</v>
      </c>
      <c r="L2003" s="13" t="s">
        <v>65</v>
      </c>
      <c r="M2003" s="4">
        <f>IF(Table1[[#This Row], [EQUIPMENT]]="YES",Sheet1!$C$44*(1+Sheet1!$D$44),0)</f>
        <v>307500</v>
      </c>
      <c r="N2003" s="4">
        <f>_xlfn.XLOOKUP(Table1[[#This Row], [ROOM]],Sheet1!$A$47:$A$66,Sheet1!$F$47:$F$66)</f>
        <v>17900000</v>
      </c>
      <c r="O2003" s="9">
        <f>_xlfn.XLOOKUP(_xlfn.CONCAT(Table1[[#This Row], [TEAM]],Table1[[#This Row], [ROOM]]),'ROOM TIME'!$H$2:$H$121,'ROOM TIME'!$J$2:$J$121)</f>
        <v>62.731249999999989</v>
      </c>
      <c r="P2003" s="9">
        <f>(INDEX(Sheet1!$X$48:$Z$67,MATCH(Table1[[#This Row], [ROOM]],Sheet1!$P$48:$P$67,0),MATCH(Table1[[#This Row], [WEAPON]],Sheet1!$X$47:$Z$47,0)))/Table1[[#This Row], [NUM OF MEM]]</f>
        <v>7.4749999999999996</v>
      </c>
      <c r="Q2003" s="9">
        <f>Table1[[#This Row], [ROOM TIME]]+Table1[[#This Row], [GUARD TIME]]</f>
        <v>70.206249999999983</v>
      </c>
      <c r="R2003" s="4">
        <f>Sheet1!$K$3*_xlfn.XLOOKUP(Table1[[#This Row], [DISGUISE]],Sheet1!$A$21:$A$23,Sheet1!$D$21:$D$23)</f>
        <v>69</v>
      </c>
      <c r="S2003" s="9">
        <f>Table1[[#This Row], [TOTAL TIME]]-Table1[[#This Row], [TOTAL TIME TAKEN]]</f>
        <v>-1.2062499999999829</v>
      </c>
      <c r="T2003" t="str">
        <f>IF(Table1[[#This Row], [TIME DIFFERENCE]]&gt;=0,"PASS","FAIL")</f>
        <v>FAIL</v>
      </c>
      <c r="U2003" s="9">
        <f>Table1[[#This Row], [TRC]]+Table1[[#This Row], [DRC]]+Table1[[#This Row], [WRC]]+Table1[[#This Row], [ERC]]+Table1[[#This Row], [EQRC]]</f>
        <v>8175543.40625</v>
      </c>
      <c r="V2003" s="9">
        <f>Table1[[#This Row], [TOTAL COST]]+_xlfn.XLOOKUP(Table1[[#This Row], [TEAM]],Sheet1!$A$12:$A$17,Sheet1!$I$12:$I$17)</f>
        <v>8473023.40625</v>
      </c>
      <c r="W2003" s="9">
        <f>Table1[[#This Row], [LOOT]]-Table1[[#This Row], [TOTAL COST]]</f>
        <v>9724456.59375</v>
      </c>
      <c r="X2003" s="4">
        <f>IF(Table1[[#This Row], [PASS/FAIL]]="FAIL",0,Table1[[#This Row], [PROFIT]])</f>
        <v>0</v>
      </c>
    </row>
    <row r="2004" spans="1:24" ht="19.5" customHeight="1" x14ac:dyDescent="0.45">
      <c r="A2004" t="s">
        <v>14</v>
      </c>
      <c r="B2004" s="14">
        <f>_xlfn.XLOOKUP(Table1[[#This Row], [TEAM]],Sheet1!$A$12:$A$17,Sheet1!$F$12:$F$17)</f>
        <v>2</v>
      </c>
      <c r="C2004" s="14">
        <f>_xlfn.XLOOKUP(Table1[[#This Row], [TEAM]],Sheet1!$A$12:$A$17,Sheet1!$G$12:$G$17)</f>
        <v>5949600</v>
      </c>
      <c r="D2004" t="s">
        <v>21</v>
      </c>
      <c r="E2004" s="4">
        <f>_xlfn.XLOOKUP(Table1[[#This Row], [ROOM]],Sheet1!$A$47:$A$66,Sheet1!$B$47:$B$66)</f>
        <v>234</v>
      </c>
      <c r="F2004" t="s">
        <v>62</v>
      </c>
      <c r="G200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04" s="13" t="s">
        <v>63</v>
      </c>
      <c r="I2004" s="4">
        <f>_xlfn.XLOOKUP(Table1[[#This Row], [WEAPON]],Sheet1!$A$27:$A$29,Sheet1!$B$27:$B$29)*Table1[[#This Row], [NUM OF MEM]]*(1+_xlfn.XLOOKUP(Table1[[#This Row], [WEAPON]],Sheet1!$A$27:$A$29,Sheet1!$C$27:$C$29))</f>
        <v>46000</v>
      </c>
      <c r="J2004" t="s">
        <v>60</v>
      </c>
      <c r="K2004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1835207.90625</v>
      </c>
      <c r="L2004" s="13" t="s">
        <v>61</v>
      </c>
      <c r="M2004" s="4">
        <f>IF(Table1[[#This Row], [EQUIPMENT]]="YES",Sheet1!$C$44*(1+Sheet1!$D$44),0)</f>
        <v>0</v>
      </c>
      <c r="N2004" s="4">
        <f>_xlfn.XLOOKUP(Table1[[#This Row], [ROOM]],Sheet1!$A$47:$A$66,Sheet1!$F$47:$F$66)</f>
        <v>17900000</v>
      </c>
      <c r="O2004" s="9">
        <f>_xlfn.XLOOKUP(_xlfn.CONCAT(Table1[[#This Row], [TEAM]],Table1[[#This Row], [ROOM]]),'ROOM TIME'!$H$2:$H$121,'ROOM TIME'!$J$2:$J$121)</f>
        <v>62.731249999999989</v>
      </c>
      <c r="P2004" s="9">
        <f>(INDEX(Sheet1!$X$48:$Z$67,MATCH(Table1[[#This Row], [ROOM]],Sheet1!$P$48:$P$67,0),MATCH(Table1[[#This Row], [WEAPON]],Sheet1!$X$47:$Z$47,0)))/Table1[[#This Row], [NUM OF MEM]]</f>
        <v>8.7750000000000004</v>
      </c>
      <c r="Q2004" s="9">
        <f>Table1[[#This Row], [ROOM TIME]]+Table1[[#This Row], [GUARD TIME]]</f>
        <v>71.506249999999994</v>
      </c>
      <c r="R2004" s="4">
        <f>Sheet1!$K$3*_xlfn.XLOOKUP(Table1[[#This Row], [DISGUISE]],Sheet1!$A$21:$A$23,Sheet1!$D$21:$D$23)</f>
        <v>66</v>
      </c>
      <c r="S2004" s="9">
        <f>Table1[[#This Row], [TOTAL TIME]]-Table1[[#This Row], [TOTAL TIME TAKEN]]</f>
        <v>-5.5062499999999943</v>
      </c>
      <c r="T2004" t="str">
        <f>IF(Table1[[#This Row], [TIME DIFFERENCE]]&gt;=0,"PASS","FAIL")</f>
        <v>FAIL</v>
      </c>
      <c r="U2004" s="9">
        <f>Table1[[#This Row], [TRC]]+Table1[[#This Row], [DRC]]+Table1[[#This Row], [WRC]]+Table1[[#This Row], [ERC]]+Table1[[#This Row], [EQRC]]</f>
        <v>7841207.90625</v>
      </c>
      <c r="V2004" s="9">
        <f>Table1[[#This Row], [TOTAL COST]]+_xlfn.XLOOKUP(Table1[[#This Row], [TEAM]],Sheet1!$A$12:$A$17,Sheet1!$I$12:$I$17)</f>
        <v>8138687.90625</v>
      </c>
      <c r="W2004" s="9">
        <f>Table1[[#This Row], [LOOT]]-Table1[[#This Row], [TOTAL COST]]</f>
        <v>10058792.09375</v>
      </c>
      <c r="X2004" s="4">
        <f>IF(Table1[[#This Row], [PASS/FAIL]]="FAIL",0,Table1[[#This Row], [PROFIT]])</f>
        <v>0</v>
      </c>
    </row>
    <row r="2005" spans="1:24" ht="19.5" customHeight="1" x14ac:dyDescent="0.45">
      <c r="A2005" t="s">
        <v>14</v>
      </c>
      <c r="B2005" s="14">
        <f>_xlfn.XLOOKUP(Table1[[#This Row], [TEAM]],Sheet1!$A$12:$A$17,Sheet1!$F$12:$F$17)</f>
        <v>2</v>
      </c>
      <c r="C2005" s="14">
        <f>_xlfn.XLOOKUP(Table1[[#This Row], [TEAM]],Sheet1!$A$12:$A$17,Sheet1!$G$12:$G$17)</f>
        <v>5949600</v>
      </c>
      <c r="D2005" t="s">
        <v>21</v>
      </c>
      <c r="E2005" s="4">
        <f>_xlfn.XLOOKUP(Table1[[#This Row], [ROOM]],Sheet1!$A$47:$A$66,Sheet1!$B$47:$B$66)</f>
        <v>234</v>
      </c>
      <c r="F2005" t="s">
        <v>58</v>
      </c>
      <c r="G200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05" s="13" t="s">
        <v>63</v>
      </c>
      <c r="I2005" s="4">
        <f>_xlfn.XLOOKUP(Table1[[#This Row], [WEAPON]],Sheet1!$A$27:$A$29,Sheet1!$B$27:$B$29)*Table1[[#This Row], [NUM OF MEM]]*(1+_xlfn.XLOOKUP(Table1[[#This Row], [WEAPON]],Sheet1!$A$27:$A$29,Sheet1!$C$27:$C$29))</f>
        <v>46000</v>
      </c>
      <c r="J2005" t="s">
        <v>60</v>
      </c>
      <c r="K2005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1835207.90625</v>
      </c>
      <c r="L2005" s="13" t="s">
        <v>61</v>
      </c>
      <c r="M2005" s="4">
        <f>IF(Table1[[#This Row], [EQUIPMENT]]="YES",Sheet1!$C$44*(1+Sheet1!$D$44),0)</f>
        <v>0</v>
      </c>
      <c r="N2005" s="4">
        <f>_xlfn.XLOOKUP(Table1[[#This Row], [ROOM]],Sheet1!$A$47:$A$66,Sheet1!$F$47:$F$66)</f>
        <v>17900000</v>
      </c>
      <c r="O2005" s="9">
        <f>_xlfn.XLOOKUP(_xlfn.CONCAT(Table1[[#This Row], [TEAM]],Table1[[#This Row], [ROOM]]),'ROOM TIME'!$H$2:$H$121,'ROOM TIME'!$J$2:$J$121)</f>
        <v>62.731249999999989</v>
      </c>
      <c r="P2005" s="9">
        <f>(INDEX(Sheet1!$X$48:$Z$67,MATCH(Table1[[#This Row], [ROOM]],Sheet1!$P$48:$P$67,0),MATCH(Table1[[#This Row], [WEAPON]],Sheet1!$X$47:$Z$47,0)))/Table1[[#This Row], [NUM OF MEM]]</f>
        <v>8.7750000000000004</v>
      </c>
      <c r="Q2005" s="9">
        <f>Table1[[#This Row], [ROOM TIME]]+Table1[[#This Row], [GUARD TIME]]</f>
        <v>71.506249999999994</v>
      </c>
      <c r="R2005" s="4">
        <f>Sheet1!$K$3*_xlfn.XLOOKUP(Table1[[#This Row], [DISGUISE]],Sheet1!$A$21:$A$23,Sheet1!$D$21:$D$23)</f>
        <v>69</v>
      </c>
      <c r="S2005" s="9">
        <f>Table1[[#This Row], [TOTAL TIME]]-Table1[[#This Row], [TOTAL TIME TAKEN]]</f>
        <v>-2.5062499999999943</v>
      </c>
      <c r="T2005" t="str">
        <f>IF(Table1[[#This Row], [TIME DIFFERENCE]]&gt;=0,"PASS","FAIL")</f>
        <v>FAIL</v>
      </c>
      <c r="U2005" s="9">
        <f>Table1[[#This Row], [TRC]]+Table1[[#This Row], [DRC]]+Table1[[#This Row], [WRC]]+Table1[[#This Row], [ERC]]+Table1[[#This Row], [EQRC]]</f>
        <v>7856407.90625</v>
      </c>
      <c r="V2005" s="9">
        <f>Table1[[#This Row], [TOTAL COST]]+_xlfn.XLOOKUP(Table1[[#This Row], [TEAM]],Sheet1!$A$12:$A$17,Sheet1!$I$12:$I$17)</f>
        <v>8153887.90625</v>
      </c>
      <c r="W2005" s="9">
        <f>Table1[[#This Row], [LOOT]]-Table1[[#This Row], [TOTAL COST]]</f>
        <v>10043592.09375</v>
      </c>
      <c r="X2005" s="4">
        <f>IF(Table1[[#This Row], [PASS/FAIL]]="FAIL",0,Table1[[#This Row], [PROFIT]])</f>
        <v>0</v>
      </c>
    </row>
    <row r="2006" spans="1:24" ht="19.5" customHeight="1" x14ac:dyDescent="0.45">
      <c r="A2006" t="s">
        <v>14</v>
      </c>
      <c r="B2006" s="14">
        <f>_xlfn.XLOOKUP(Table1[[#This Row], [TEAM]],Sheet1!$A$12:$A$17,Sheet1!$F$12:$F$17)</f>
        <v>2</v>
      </c>
      <c r="C2006" s="14">
        <f>_xlfn.XLOOKUP(Table1[[#This Row], [TEAM]],Sheet1!$A$12:$A$17,Sheet1!$G$12:$G$17)</f>
        <v>5949600</v>
      </c>
      <c r="D2006" t="s">
        <v>21</v>
      </c>
      <c r="E2006" s="4">
        <f>_xlfn.XLOOKUP(Table1[[#This Row], [ROOM]],Sheet1!$A$47:$A$66,Sheet1!$B$47:$B$66)</f>
        <v>234</v>
      </c>
      <c r="F2006" t="s">
        <v>62</v>
      </c>
      <c r="G200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06" s="13" t="s">
        <v>59</v>
      </c>
      <c r="I2006" s="4">
        <f>_xlfn.XLOOKUP(Table1[[#This Row], [WEAPON]],Sheet1!$A$27:$A$29,Sheet1!$B$27:$B$29)*Table1[[#This Row], [NUM OF MEM]]*(1+_xlfn.XLOOKUP(Table1[[#This Row], [WEAPON]],Sheet1!$A$27:$A$29,Sheet1!$C$27:$C$29))</f>
        <v>91000</v>
      </c>
      <c r="J2006" t="s">
        <v>64</v>
      </c>
      <c r="K2006" s="9">
        <f>Table1[[#This Row], [NUM OF MEM]]*Table1[[#This Row], [TOTAL TIME TAKEN]]*_xlfn.XLOOKUP(Table1[[#This Row], [EXIT]],Sheet1!$A$70:$A$71,Sheet1!$B$70:$B$71)*(1+_xlfn.XLOOKUP(Table1[[#This Row], [EXIT]],Sheet1!$A$70:$A$71,Sheet1!$C$70:$C$71))</f>
        <v>1819745.9999999993</v>
      </c>
      <c r="L2006" s="13" t="s">
        <v>65</v>
      </c>
      <c r="M2006" s="4">
        <f>IF(Table1[[#This Row], [EQUIPMENT]]="YES",Sheet1!$C$44*(1+Sheet1!$D$44),0)</f>
        <v>307500</v>
      </c>
      <c r="N2006" s="4">
        <f>_xlfn.XLOOKUP(Table1[[#This Row], [ROOM]],Sheet1!$A$47:$A$66,Sheet1!$F$47:$F$66)</f>
        <v>17900000</v>
      </c>
      <c r="O2006" s="9">
        <f>_xlfn.XLOOKUP(_xlfn.CONCAT(Table1[[#This Row], [TEAM]],Table1[[#This Row], [ROOM]]),'ROOM TIME'!$H$2:$H$121,'ROOM TIME'!$J$2:$J$121)</f>
        <v>62.731249999999989</v>
      </c>
      <c r="P2006" s="9">
        <f>(INDEX(Sheet1!$X$48:$Z$67,MATCH(Table1[[#This Row], [ROOM]],Sheet1!$P$48:$P$67,0),MATCH(Table1[[#This Row], [WEAPON]],Sheet1!$X$47:$Z$47,0)))/Table1[[#This Row], [NUM OF MEM]]</f>
        <v>7.4749999999999996</v>
      </c>
      <c r="Q2006" s="9">
        <f>Table1[[#This Row], [ROOM TIME]]+Table1[[#This Row], [GUARD TIME]]</f>
        <v>70.206249999999983</v>
      </c>
      <c r="R2006" s="4">
        <f>Sheet1!$K$3*_xlfn.XLOOKUP(Table1[[#This Row], [DISGUISE]],Sheet1!$A$21:$A$23,Sheet1!$D$21:$D$23)</f>
        <v>66</v>
      </c>
      <c r="S2006" s="9">
        <f>Table1[[#This Row], [TOTAL TIME]]-Table1[[#This Row], [TOTAL TIME TAKEN]]</f>
        <v>-4.2062499999999829</v>
      </c>
      <c r="T2006" t="str">
        <f>IF(Table1[[#This Row], [TIME DIFFERENCE]]&gt;=0,"PASS","FAIL")</f>
        <v>FAIL</v>
      </c>
      <c r="U2006" s="9">
        <f>Table1[[#This Row], [TRC]]+Table1[[#This Row], [DRC]]+Table1[[#This Row], [WRC]]+Table1[[#This Row], [ERC]]+Table1[[#This Row], [EQRC]]</f>
        <v>8178245.9999999991</v>
      </c>
      <c r="V2006" s="4">
        <f>Table1[[#This Row], [TOTAL COST]]+_xlfn.XLOOKUP(Table1[[#This Row], [TEAM]],Sheet1!$A$12:$A$17,Sheet1!$I$12:$I$17)</f>
        <v>8475726</v>
      </c>
      <c r="W2006" s="4">
        <f>Table1[[#This Row], [LOOT]]-Table1[[#This Row], [TOTAL COST]]</f>
        <v>9721754</v>
      </c>
      <c r="X2006" s="4">
        <f>IF(Table1[[#This Row], [PASS/FAIL]]="FAIL",0,Table1[[#This Row], [PROFIT]])</f>
        <v>0</v>
      </c>
    </row>
    <row r="2007" spans="1:24" ht="19.5" customHeight="1" x14ac:dyDescent="0.45">
      <c r="A2007" t="s">
        <v>14</v>
      </c>
      <c r="B2007" s="14">
        <f>_xlfn.XLOOKUP(Table1[[#This Row], [TEAM]],Sheet1!$A$12:$A$17,Sheet1!$F$12:$F$17)</f>
        <v>2</v>
      </c>
      <c r="C2007" s="14">
        <f>_xlfn.XLOOKUP(Table1[[#This Row], [TEAM]],Sheet1!$A$12:$A$17,Sheet1!$G$12:$G$17)</f>
        <v>5949600</v>
      </c>
      <c r="D2007" t="s">
        <v>21</v>
      </c>
      <c r="E2007" s="4">
        <f>_xlfn.XLOOKUP(Table1[[#This Row], [ROOM]],Sheet1!$A$47:$A$66,Sheet1!$B$47:$B$66)</f>
        <v>234</v>
      </c>
      <c r="F2007" t="s">
        <v>58</v>
      </c>
      <c r="G200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07" s="13" t="s">
        <v>59</v>
      </c>
      <c r="I2007" s="4">
        <f>_xlfn.XLOOKUP(Table1[[#This Row], [WEAPON]],Sheet1!$A$27:$A$29,Sheet1!$B$27:$B$29)*Table1[[#This Row], [NUM OF MEM]]*(1+_xlfn.XLOOKUP(Table1[[#This Row], [WEAPON]],Sheet1!$A$27:$A$29,Sheet1!$C$27:$C$29))</f>
        <v>91000</v>
      </c>
      <c r="J2007" t="s">
        <v>64</v>
      </c>
      <c r="K2007" s="9">
        <f>Table1[[#This Row], [NUM OF MEM]]*Table1[[#This Row], [TOTAL TIME TAKEN]]*_xlfn.XLOOKUP(Table1[[#This Row], [EXIT]],Sheet1!$A$70:$A$71,Sheet1!$B$70:$B$71)*(1+_xlfn.XLOOKUP(Table1[[#This Row], [EXIT]],Sheet1!$A$70:$A$71,Sheet1!$C$70:$C$71))</f>
        <v>1819745.9999999993</v>
      </c>
      <c r="L2007" s="13" t="s">
        <v>65</v>
      </c>
      <c r="M2007" s="4">
        <f>IF(Table1[[#This Row], [EQUIPMENT]]="YES",Sheet1!$C$44*(1+Sheet1!$D$44),0)</f>
        <v>307500</v>
      </c>
      <c r="N2007" s="4">
        <f>_xlfn.XLOOKUP(Table1[[#This Row], [ROOM]],Sheet1!$A$47:$A$66,Sheet1!$F$47:$F$66)</f>
        <v>17900000</v>
      </c>
      <c r="O2007" s="9">
        <f>_xlfn.XLOOKUP(_xlfn.CONCAT(Table1[[#This Row], [TEAM]],Table1[[#This Row], [ROOM]]),'ROOM TIME'!$H$2:$H$121,'ROOM TIME'!$J$2:$J$121)</f>
        <v>62.731249999999989</v>
      </c>
      <c r="P2007" s="9">
        <f>(INDEX(Sheet1!$X$48:$Z$67,MATCH(Table1[[#This Row], [ROOM]],Sheet1!$P$48:$P$67,0),MATCH(Table1[[#This Row], [WEAPON]],Sheet1!$X$47:$Z$47,0)))/Table1[[#This Row], [NUM OF MEM]]</f>
        <v>7.4749999999999996</v>
      </c>
      <c r="Q2007" s="9">
        <f>Table1[[#This Row], [ROOM TIME]]+Table1[[#This Row], [GUARD TIME]]</f>
        <v>70.206249999999983</v>
      </c>
      <c r="R2007" s="4">
        <f>Sheet1!$K$3*_xlfn.XLOOKUP(Table1[[#This Row], [DISGUISE]],Sheet1!$A$21:$A$23,Sheet1!$D$21:$D$23)</f>
        <v>69</v>
      </c>
      <c r="S2007" s="9">
        <f>Table1[[#This Row], [TOTAL TIME]]-Table1[[#This Row], [TOTAL TIME TAKEN]]</f>
        <v>-1.2062499999999829</v>
      </c>
      <c r="T2007" t="str">
        <f>IF(Table1[[#This Row], [TIME DIFFERENCE]]&gt;=0,"PASS","FAIL")</f>
        <v>FAIL</v>
      </c>
      <c r="U2007" s="9">
        <f>Table1[[#This Row], [TRC]]+Table1[[#This Row], [DRC]]+Table1[[#This Row], [WRC]]+Table1[[#This Row], [ERC]]+Table1[[#This Row], [EQRC]]</f>
        <v>8193445.9999999991</v>
      </c>
      <c r="V2007" s="4">
        <f>Table1[[#This Row], [TOTAL COST]]+_xlfn.XLOOKUP(Table1[[#This Row], [TEAM]],Sheet1!$A$12:$A$17,Sheet1!$I$12:$I$17)</f>
        <v>8490926</v>
      </c>
      <c r="W2007" s="4">
        <f>Table1[[#This Row], [LOOT]]-Table1[[#This Row], [TOTAL COST]]</f>
        <v>9706554</v>
      </c>
      <c r="X2007" s="4">
        <f>IF(Table1[[#This Row], [PASS/FAIL]]="FAIL",0,Table1[[#This Row], [PROFIT]])</f>
        <v>0</v>
      </c>
    </row>
    <row r="2008" spans="1:24" ht="19.5" customHeight="1" x14ac:dyDescent="0.45">
      <c r="A2008" t="s">
        <v>14</v>
      </c>
      <c r="B2008" s="14">
        <f>_xlfn.XLOOKUP(Table1[[#This Row], [TEAM]],Sheet1!$A$12:$A$17,Sheet1!$F$12:$F$17)</f>
        <v>2</v>
      </c>
      <c r="C2008" s="14">
        <f>_xlfn.XLOOKUP(Table1[[#This Row], [TEAM]],Sheet1!$A$12:$A$17,Sheet1!$G$12:$G$17)</f>
        <v>5949600</v>
      </c>
      <c r="D2008" t="s">
        <v>21</v>
      </c>
      <c r="E2008" s="4">
        <f>_xlfn.XLOOKUP(Table1[[#This Row], [ROOM]],Sheet1!$A$47:$A$66,Sheet1!$B$47:$B$66)</f>
        <v>234</v>
      </c>
      <c r="F2008" t="s">
        <v>62</v>
      </c>
      <c r="G200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08" s="13" t="s">
        <v>63</v>
      </c>
      <c r="I2008" s="4">
        <f>_xlfn.XLOOKUP(Table1[[#This Row], [WEAPON]],Sheet1!$A$27:$A$29,Sheet1!$B$27:$B$29)*Table1[[#This Row], [NUM OF MEM]]*(1+_xlfn.XLOOKUP(Table1[[#This Row], [WEAPON]],Sheet1!$A$27:$A$29,Sheet1!$C$27:$C$29))</f>
        <v>46000</v>
      </c>
      <c r="J2008" t="s">
        <v>64</v>
      </c>
      <c r="K2008" s="9">
        <f>Table1[[#This Row], [NUM OF MEM]]*Table1[[#This Row], [TOTAL TIME TAKEN]]*_xlfn.XLOOKUP(Table1[[#This Row], [EXIT]],Sheet1!$A$70:$A$71,Sheet1!$B$70:$B$71)*(1+_xlfn.XLOOKUP(Table1[[#This Row], [EXIT]],Sheet1!$A$70:$A$71,Sheet1!$C$70:$C$71))</f>
        <v>1853441.9999999998</v>
      </c>
      <c r="L2008" s="13" t="s">
        <v>61</v>
      </c>
      <c r="M2008" s="4">
        <f>IF(Table1[[#This Row], [EQUIPMENT]]="YES",Sheet1!$C$44*(1+Sheet1!$D$44),0)</f>
        <v>0</v>
      </c>
      <c r="N2008" s="4">
        <f>_xlfn.XLOOKUP(Table1[[#This Row], [ROOM]],Sheet1!$A$47:$A$66,Sheet1!$F$47:$F$66)</f>
        <v>17900000</v>
      </c>
      <c r="O2008" s="9">
        <f>_xlfn.XLOOKUP(_xlfn.CONCAT(Table1[[#This Row], [TEAM]],Table1[[#This Row], [ROOM]]),'ROOM TIME'!$H$2:$H$121,'ROOM TIME'!$J$2:$J$121)</f>
        <v>62.731249999999989</v>
      </c>
      <c r="P2008" s="9">
        <f>(INDEX(Sheet1!$X$48:$Z$67,MATCH(Table1[[#This Row], [ROOM]],Sheet1!$P$48:$P$67,0),MATCH(Table1[[#This Row], [WEAPON]],Sheet1!$X$47:$Z$47,0)))/Table1[[#This Row], [NUM OF MEM]]</f>
        <v>8.7750000000000004</v>
      </c>
      <c r="Q2008" s="9">
        <f>Table1[[#This Row], [ROOM TIME]]+Table1[[#This Row], [GUARD TIME]]</f>
        <v>71.506249999999994</v>
      </c>
      <c r="R2008" s="4">
        <f>Sheet1!$K$3*_xlfn.XLOOKUP(Table1[[#This Row], [DISGUISE]],Sheet1!$A$21:$A$23,Sheet1!$D$21:$D$23)</f>
        <v>66</v>
      </c>
      <c r="S2008" s="9">
        <f>Table1[[#This Row], [TOTAL TIME]]-Table1[[#This Row], [TOTAL TIME TAKEN]]</f>
        <v>-5.5062499999999943</v>
      </c>
      <c r="T2008" t="str">
        <f>IF(Table1[[#This Row], [TIME DIFFERENCE]]&gt;=0,"PASS","FAIL")</f>
        <v>FAIL</v>
      </c>
      <c r="U2008" s="4">
        <f>Table1[[#This Row], [TRC]]+Table1[[#This Row], [DRC]]+Table1[[#This Row], [WRC]]+Table1[[#This Row], [ERC]]+Table1[[#This Row], [EQRC]]</f>
        <v>7859442</v>
      </c>
      <c r="V2008" s="4">
        <f>Table1[[#This Row], [TOTAL COST]]+_xlfn.XLOOKUP(Table1[[#This Row], [TEAM]],Sheet1!$A$12:$A$17,Sheet1!$I$12:$I$17)</f>
        <v>8156922</v>
      </c>
      <c r="W2008" s="4">
        <f>Table1[[#This Row], [LOOT]]-Table1[[#This Row], [TOTAL COST]]</f>
        <v>10040558</v>
      </c>
      <c r="X2008" s="4">
        <f>IF(Table1[[#This Row], [PASS/FAIL]]="FAIL",0,Table1[[#This Row], [PROFIT]])</f>
        <v>0</v>
      </c>
    </row>
    <row r="2009" spans="1:24" ht="19.5" customHeight="1" x14ac:dyDescent="0.45">
      <c r="A2009" t="s">
        <v>14</v>
      </c>
      <c r="B2009" s="14">
        <f>_xlfn.XLOOKUP(Table1[[#This Row], [TEAM]],Sheet1!$A$12:$A$17,Sheet1!$F$12:$F$17)</f>
        <v>2</v>
      </c>
      <c r="C2009" s="14">
        <f>_xlfn.XLOOKUP(Table1[[#This Row], [TEAM]],Sheet1!$A$12:$A$17,Sheet1!$G$12:$G$17)</f>
        <v>5949600</v>
      </c>
      <c r="D2009" t="s">
        <v>21</v>
      </c>
      <c r="E2009" s="4">
        <f>_xlfn.XLOOKUP(Table1[[#This Row], [ROOM]],Sheet1!$A$47:$A$66,Sheet1!$B$47:$B$66)</f>
        <v>234</v>
      </c>
      <c r="F2009" t="s">
        <v>58</v>
      </c>
      <c r="G200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09" s="13" t="s">
        <v>63</v>
      </c>
      <c r="I2009" s="4">
        <f>_xlfn.XLOOKUP(Table1[[#This Row], [WEAPON]],Sheet1!$A$27:$A$29,Sheet1!$B$27:$B$29)*Table1[[#This Row], [NUM OF MEM]]*(1+_xlfn.XLOOKUP(Table1[[#This Row], [WEAPON]],Sheet1!$A$27:$A$29,Sheet1!$C$27:$C$29))</f>
        <v>46000</v>
      </c>
      <c r="J2009" t="s">
        <v>64</v>
      </c>
      <c r="K2009" s="9">
        <f>Table1[[#This Row], [NUM OF MEM]]*Table1[[#This Row], [TOTAL TIME TAKEN]]*_xlfn.XLOOKUP(Table1[[#This Row], [EXIT]],Sheet1!$A$70:$A$71,Sheet1!$B$70:$B$71)*(1+_xlfn.XLOOKUP(Table1[[#This Row], [EXIT]],Sheet1!$A$70:$A$71,Sheet1!$C$70:$C$71))</f>
        <v>1853441.9999999998</v>
      </c>
      <c r="L2009" s="13" t="s">
        <v>61</v>
      </c>
      <c r="M2009" s="4">
        <f>IF(Table1[[#This Row], [EQUIPMENT]]="YES",Sheet1!$C$44*(1+Sheet1!$D$44),0)</f>
        <v>0</v>
      </c>
      <c r="N2009" s="4">
        <f>_xlfn.XLOOKUP(Table1[[#This Row], [ROOM]],Sheet1!$A$47:$A$66,Sheet1!$F$47:$F$66)</f>
        <v>17900000</v>
      </c>
      <c r="O2009" s="9">
        <f>_xlfn.XLOOKUP(_xlfn.CONCAT(Table1[[#This Row], [TEAM]],Table1[[#This Row], [ROOM]]),'ROOM TIME'!$H$2:$H$121,'ROOM TIME'!$J$2:$J$121)</f>
        <v>62.731249999999989</v>
      </c>
      <c r="P2009" s="9">
        <f>(INDEX(Sheet1!$X$48:$Z$67,MATCH(Table1[[#This Row], [ROOM]],Sheet1!$P$48:$P$67,0),MATCH(Table1[[#This Row], [WEAPON]],Sheet1!$X$47:$Z$47,0)))/Table1[[#This Row], [NUM OF MEM]]</f>
        <v>8.7750000000000004</v>
      </c>
      <c r="Q2009" s="9">
        <f>Table1[[#This Row], [ROOM TIME]]+Table1[[#This Row], [GUARD TIME]]</f>
        <v>71.506249999999994</v>
      </c>
      <c r="R2009" s="4">
        <f>Sheet1!$K$3*_xlfn.XLOOKUP(Table1[[#This Row], [DISGUISE]],Sheet1!$A$21:$A$23,Sheet1!$D$21:$D$23)</f>
        <v>69</v>
      </c>
      <c r="S2009" s="9">
        <f>Table1[[#This Row], [TOTAL TIME]]-Table1[[#This Row], [TOTAL TIME TAKEN]]</f>
        <v>-2.5062499999999943</v>
      </c>
      <c r="T2009" t="str">
        <f>IF(Table1[[#This Row], [TIME DIFFERENCE]]&gt;=0,"PASS","FAIL")</f>
        <v>FAIL</v>
      </c>
      <c r="U2009" s="4">
        <f>Table1[[#This Row], [TRC]]+Table1[[#This Row], [DRC]]+Table1[[#This Row], [WRC]]+Table1[[#This Row], [ERC]]+Table1[[#This Row], [EQRC]]</f>
        <v>7874642</v>
      </c>
      <c r="V2009" s="4">
        <f>Table1[[#This Row], [TOTAL COST]]+_xlfn.XLOOKUP(Table1[[#This Row], [TEAM]],Sheet1!$A$12:$A$17,Sheet1!$I$12:$I$17)</f>
        <v>8172122</v>
      </c>
      <c r="W2009" s="4">
        <f>Table1[[#This Row], [LOOT]]-Table1[[#This Row], [TOTAL COST]]</f>
        <v>10025358</v>
      </c>
      <c r="X2009" s="4">
        <f>IF(Table1[[#This Row], [PASS/FAIL]]="FAIL",0,Table1[[#This Row], [PROFIT]])</f>
        <v>0</v>
      </c>
    </row>
    <row r="2010" spans="1:24" ht="19.5" customHeight="1" x14ac:dyDescent="0.45">
      <c r="A2010" t="s">
        <v>14</v>
      </c>
      <c r="B2010" s="14">
        <f>_xlfn.XLOOKUP(Table1[[#This Row], [TEAM]],Sheet1!$A$12:$A$17,Sheet1!$F$12:$F$17)</f>
        <v>2</v>
      </c>
      <c r="C2010" s="14">
        <f>_xlfn.XLOOKUP(Table1[[#This Row], [TEAM]],Sheet1!$A$12:$A$17,Sheet1!$G$12:$G$17)</f>
        <v>5949600</v>
      </c>
      <c r="D2010" t="s">
        <v>21</v>
      </c>
      <c r="E2010" s="4">
        <f>_xlfn.XLOOKUP(Table1[[#This Row], [ROOM]],Sheet1!$A$47:$A$66,Sheet1!$B$47:$B$66)</f>
        <v>234</v>
      </c>
      <c r="F2010" t="s">
        <v>62</v>
      </c>
      <c r="G201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10" s="13" t="s">
        <v>63</v>
      </c>
      <c r="I2010" s="4">
        <f>_xlfn.XLOOKUP(Table1[[#This Row], [WEAPON]],Sheet1!$A$27:$A$29,Sheet1!$B$27:$B$29)*Table1[[#This Row], [NUM OF MEM]]*(1+_xlfn.XLOOKUP(Table1[[#This Row], [WEAPON]],Sheet1!$A$27:$A$29,Sheet1!$C$27:$C$29))</f>
        <v>46000</v>
      </c>
      <c r="J2010" t="s">
        <v>60</v>
      </c>
      <c r="K2010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1835207.90625</v>
      </c>
      <c r="L2010" s="13" t="s">
        <v>65</v>
      </c>
      <c r="M2010" s="4">
        <f>IF(Table1[[#This Row], [EQUIPMENT]]="YES",Sheet1!$C$44*(1+Sheet1!$D$44),0)</f>
        <v>307500</v>
      </c>
      <c r="N2010" s="4">
        <f>_xlfn.XLOOKUP(Table1[[#This Row], [ROOM]],Sheet1!$A$47:$A$66,Sheet1!$F$47:$F$66)</f>
        <v>17900000</v>
      </c>
      <c r="O2010" s="9">
        <f>_xlfn.XLOOKUP(_xlfn.CONCAT(Table1[[#This Row], [TEAM]],Table1[[#This Row], [ROOM]]),'ROOM TIME'!$H$2:$H$121,'ROOM TIME'!$J$2:$J$121)</f>
        <v>62.731249999999989</v>
      </c>
      <c r="P2010" s="9">
        <f>(INDEX(Sheet1!$X$48:$Z$67,MATCH(Table1[[#This Row], [ROOM]],Sheet1!$P$48:$P$67,0),MATCH(Table1[[#This Row], [WEAPON]],Sheet1!$X$47:$Z$47,0)))/Table1[[#This Row], [NUM OF MEM]]</f>
        <v>8.7750000000000004</v>
      </c>
      <c r="Q2010" s="9">
        <f>Table1[[#This Row], [ROOM TIME]]+Table1[[#This Row], [GUARD TIME]]</f>
        <v>71.506249999999994</v>
      </c>
      <c r="R2010" s="4">
        <f>Sheet1!$K$3*_xlfn.XLOOKUP(Table1[[#This Row], [DISGUISE]],Sheet1!$A$21:$A$23,Sheet1!$D$21:$D$23)</f>
        <v>66</v>
      </c>
      <c r="S2010" s="9">
        <f>Table1[[#This Row], [TOTAL TIME]]-Table1[[#This Row], [TOTAL TIME TAKEN]]</f>
        <v>-5.5062499999999943</v>
      </c>
      <c r="T2010" t="str">
        <f>IF(Table1[[#This Row], [TIME DIFFERENCE]]&gt;=0,"PASS","FAIL")</f>
        <v>FAIL</v>
      </c>
      <c r="U2010" s="9">
        <f>Table1[[#This Row], [TRC]]+Table1[[#This Row], [DRC]]+Table1[[#This Row], [WRC]]+Table1[[#This Row], [ERC]]+Table1[[#This Row], [EQRC]]</f>
        <v>8148707.90625</v>
      </c>
      <c r="V2010" s="9">
        <f>Table1[[#This Row], [TOTAL COST]]+_xlfn.XLOOKUP(Table1[[#This Row], [TEAM]],Sheet1!$A$12:$A$17,Sheet1!$I$12:$I$17)</f>
        <v>8446187.90625</v>
      </c>
      <c r="W2010" s="9">
        <f>Table1[[#This Row], [LOOT]]-Table1[[#This Row], [TOTAL COST]]</f>
        <v>9751292.09375</v>
      </c>
      <c r="X2010" s="4">
        <f>IF(Table1[[#This Row], [PASS/FAIL]]="FAIL",0,Table1[[#This Row], [PROFIT]])</f>
        <v>0</v>
      </c>
    </row>
    <row r="2011" spans="1:24" ht="19.5" customHeight="1" x14ac:dyDescent="0.45">
      <c r="A2011" t="s">
        <v>14</v>
      </c>
      <c r="B2011" s="14">
        <f>_xlfn.XLOOKUP(Table1[[#This Row], [TEAM]],Sheet1!$A$12:$A$17,Sheet1!$F$12:$F$17)</f>
        <v>2</v>
      </c>
      <c r="C2011" s="14">
        <f>_xlfn.XLOOKUP(Table1[[#This Row], [TEAM]],Sheet1!$A$12:$A$17,Sheet1!$G$12:$G$17)</f>
        <v>5949600</v>
      </c>
      <c r="D2011" t="s">
        <v>21</v>
      </c>
      <c r="E2011" s="4">
        <f>_xlfn.XLOOKUP(Table1[[#This Row], [ROOM]],Sheet1!$A$47:$A$66,Sheet1!$B$47:$B$66)</f>
        <v>234</v>
      </c>
      <c r="F2011" t="s">
        <v>58</v>
      </c>
      <c r="G201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1" s="13" t="s">
        <v>63</v>
      </c>
      <c r="I2011" s="4">
        <f>_xlfn.XLOOKUP(Table1[[#This Row], [WEAPON]],Sheet1!$A$27:$A$29,Sheet1!$B$27:$B$29)*Table1[[#This Row], [NUM OF MEM]]*(1+_xlfn.XLOOKUP(Table1[[#This Row], [WEAPON]],Sheet1!$A$27:$A$29,Sheet1!$C$27:$C$29))</f>
        <v>46000</v>
      </c>
      <c r="J2011" t="s">
        <v>60</v>
      </c>
      <c r="K2011" s="9">
        <f>Table1[[#This Row], [NUM OF MEM]]*Table1[[#This Row], [TOTAL TIME TAKEN]]*_xlfn.XLOOKUP(Table1[[#This Row], [EXIT]],Sheet1!$A$70:$A$71,Sheet1!$B$70:$B$71)*(1+_xlfn.XLOOKUP(Table1[[#This Row], [EXIT]],Sheet1!$A$70:$A$71,Sheet1!$C$70:$C$71))</f>
        <v>1835207.90625</v>
      </c>
      <c r="L2011" s="13" t="s">
        <v>65</v>
      </c>
      <c r="M2011" s="4">
        <f>IF(Table1[[#This Row], [EQUIPMENT]]="YES",Sheet1!$C$44*(1+Sheet1!$D$44),0)</f>
        <v>307500</v>
      </c>
      <c r="N2011" s="4">
        <f>_xlfn.XLOOKUP(Table1[[#This Row], [ROOM]],Sheet1!$A$47:$A$66,Sheet1!$F$47:$F$66)</f>
        <v>17900000</v>
      </c>
      <c r="O2011" s="9">
        <f>_xlfn.XLOOKUP(_xlfn.CONCAT(Table1[[#This Row], [TEAM]],Table1[[#This Row], [ROOM]]),'ROOM TIME'!$H$2:$H$121,'ROOM TIME'!$J$2:$J$121)</f>
        <v>62.731249999999989</v>
      </c>
      <c r="P2011" s="9">
        <f>(INDEX(Sheet1!$X$48:$Z$67,MATCH(Table1[[#This Row], [ROOM]],Sheet1!$P$48:$P$67,0),MATCH(Table1[[#This Row], [WEAPON]],Sheet1!$X$47:$Z$47,0)))/Table1[[#This Row], [NUM OF MEM]]</f>
        <v>8.7750000000000004</v>
      </c>
      <c r="Q2011" s="9">
        <f>Table1[[#This Row], [ROOM TIME]]+Table1[[#This Row], [GUARD TIME]]</f>
        <v>71.506249999999994</v>
      </c>
      <c r="R2011" s="4">
        <f>Sheet1!$K$3*_xlfn.XLOOKUP(Table1[[#This Row], [DISGUISE]],Sheet1!$A$21:$A$23,Sheet1!$D$21:$D$23)</f>
        <v>69</v>
      </c>
      <c r="S2011" s="9">
        <f>Table1[[#This Row], [TOTAL TIME]]-Table1[[#This Row], [TOTAL TIME TAKEN]]</f>
        <v>-2.5062499999999943</v>
      </c>
      <c r="T2011" t="str">
        <f>IF(Table1[[#This Row], [TIME DIFFERENCE]]&gt;=0,"PASS","FAIL")</f>
        <v>FAIL</v>
      </c>
      <c r="U2011" s="9">
        <f>Table1[[#This Row], [TRC]]+Table1[[#This Row], [DRC]]+Table1[[#This Row], [WRC]]+Table1[[#This Row], [ERC]]+Table1[[#This Row], [EQRC]]</f>
        <v>8163907.90625</v>
      </c>
      <c r="V2011" s="9">
        <f>Table1[[#This Row], [TOTAL COST]]+_xlfn.XLOOKUP(Table1[[#This Row], [TEAM]],Sheet1!$A$12:$A$17,Sheet1!$I$12:$I$17)</f>
        <v>8461387.90625</v>
      </c>
      <c r="W2011" s="9">
        <f>Table1[[#This Row], [LOOT]]-Table1[[#This Row], [TOTAL COST]]</f>
        <v>9736092.09375</v>
      </c>
      <c r="X2011" s="4">
        <f>IF(Table1[[#This Row], [PASS/FAIL]]="FAIL",0,Table1[[#This Row], [PROFIT]])</f>
        <v>0</v>
      </c>
    </row>
    <row r="2012" spans="1:24" ht="19.5" customHeight="1" x14ac:dyDescent="0.45">
      <c r="A2012" t="s">
        <v>14</v>
      </c>
      <c r="B2012" s="14">
        <f>_xlfn.XLOOKUP(Table1[[#This Row], [TEAM]],Sheet1!$A$12:$A$17,Sheet1!$F$12:$F$17)</f>
        <v>2</v>
      </c>
      <c r="C2012" s="14">
        <f>_xlfn.XLOOKUP(Table1[[#This Row], [TEAM]],Sheet1!$A$12:$A$17,Sheet1!$G$12:$G$17)</f>
        <v>5949600</v>
      </c>
      <c r="D2012" t="s">
        <v>21</v>
      </c>
      <c r="E2012" s="4">
        <f>_xlfn.XLOOKUP(Table1[[#This Row], [ROOM]],Sheet1!$A$47:$A$66,Sheet1!$B$47:$B$66)</f>
        <v>234</v>
      </c>
      <c r="F2012" t="s">
        <v>62</v>
      </c>
      <c r="G201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12" s="13" t="s">
        <v>63</v>
      </c>
      <c r="I2012" s="4">
        <f>_xlfn.XLOOKUP(Table1[[#This Row], [WEAPON]],Sheet1!$A$27:$A$29,Sheet1!$B$27:$B$29)*Table1[[#This Row], [NUM OF MEM]]*(1+_xlfn.XLOOKUP(Table1[[#This Row], [WEAPON]],Sheet1!$A$27:$A$29,Sheet1!$C$27:$C$29))</f>
        <v>46000</v>
      </c>
      <c r="J2012" t="s">
        <v>64</v>
      </c>
      <c r="K2012" s="9">
        <f>Table1[[#This Row], [NUM OF MEM]]*Table1[[#This Row], [TOTAL TIME TAKEN]]*_xlfn.XLOOKUP(Table1[[#This Row], [EXIT]],Sheet1!$A$70:$A$71,Sheet1!$B$70:$B$71)*(1+_xlfn.XLOOKUP(Table1[[#This Row], [EXIT]],Sheet1!$A$70:$A$71,Sheet1!$C$70:$C$71))</f>
        <v>1853441.9999999998</v>
      </c>
      <c r="L2012" s="13" t="s">
        <v>65</v>
      </c>
      <c r="M2012" s="4">
        <f>IF(Table1[[#This Row], [EQUIPMENT]]="YES",Sheet1!$C$44*(1+Sheet1!$D$44),0)</f>
        <v>307500</v>
      </c>
      <c r="N2012" s="4">
        <f>_xlfn.XLOOKUP(Table1[[#This Row], [ROOM]],Sheet1!$A$47:$A$66,Sheet1!$F$47:$F$66)</f>
        <v>17900000</v>
      </c>
      <c r="O2012" s="9">
        <f>_xlfn.XLOOKUP(_xlfn.CONCAT(Table1[[#This Row], [TEAM]],Table1[[#This Row], [ROOM]]),'ROOM TIME'!$H$2:$H$121,'ROOM TIME'!$J$2:$J$121)</f>
        <v>62.731249999999989</v>
      </c>
      <c r="P2012" s="9">
        <f>(INDEX(Sheet1!$X$48:$Z$67,MATCH(Table1[[#This Row], [ROOM]],Sheet1!$P$48:$P$67,0),MATCH(Table1[[#This Row], [WEAPON]],Sheet1!$X$47:$Z$47,0)))/Table1[[#This Row], [NUM OF MEM]]</f>
        <v>8.7750000000000004</v>
      </c>
      <c r="Q2012" s="9">
        <f>Table1[[#This Row], [ROOM TIME]]+Table1[[#This Row], [GUARD TIME]]</f>
        <v>71.506249999999994</v>
      </c>
      <c r="R2012" s="4">
        <f>Sheet1!$K$3*_xlfn.XLOOKUP(Table1[[#This Row], [DISGUISE]],Sheet1!$A$21:$A$23,Sheet1!$D$21:$D$23)</f>
        <v>66</v>
      </c>
      <c r="S2012" s="9">
        <f>Table1[[#This Row], [TOTAL TIME]]-Table1[[#This Row], [TOTAL TIME TAKEN]]</f>
        <v>-5.5062499999999943</v>
      </c>
      <c r="T2012" t="str">
        <f>IF(Table1[[#This Row], [TIME DIFFERENCE]]&gt;=0,"PASS","FAIL")</f>
        <v>FAIL</v>
      </c>
      <c r="U2012" s="4">
        <f>Table1[[#This Row], [TRC]]+Table1[[#This Row], [DRC]]+Table1[[#This Row], [WRC]]+Table1[[#This Row], [ERC]]+Table1[[#This Row], [EQRC]]</f>
        <v>8166942</v>
      </c>
      <c r="V2012" s="4">
        <f>Table1[[#This Row], [TOTAL COST]]+_xlfn.XLOOKUP(Table1[[#This Row], [TEAM]],Sheet1!$A$12:$A$17,Sheet1!$I$12:$I$17)</f>
        <v>8464422</v>
      </c>
      <c r="W2012" s="4">
        <f>Table1[[#This Row], [LOOT]]-Table1[[#This Row], [TOTAL COST]]</f>
        <v>9733058</v>
      </c>
      <c r="X2012" s="4">
        <f>IF(Table1[[#This Row], [PASS/FAIL]]="FAIL",0,Table1[[#This Row], [PROFIT]])</f>
        <v>0</v>
      </c>
    </row>
    <row r="2013" spans="1:24" ht="19.5" customHeight="1" x14ac:dyDescent="0.45">
      <c r="A2013" t="s">
        <v>14</v>
      </c>
      <c r="B2013" s="14">
        <f>_xlfn.XLOOKUP(Table1[[#This Row], [TEAM]],Sheet1!$A$12:$A$17,Sheet1!$F$12:$F$17)</f>
        <v>2</v>
      </c>
      <c r="C2013" s="14">
        <f>_xlfn.XLOOKUP(Table1[[#This Row], [TEAM]],Sheet1!$A$12:$A$17,Sheet1!$G$12:$G$17)</f>
        <v>5949600</v>
      </c>
      <c r="D2013" t="s">
        <v>21</v>
      </c>
      <c r="E2013" s="4">
        <f>_xlfn.XLOOKUP(Table1[[#This Row], [ROOM]],Sheet1!$A$47:$A$66,Sheet1!$B$47:$B$66)</f>
        <v>234</v>
      </c>
      <c r="F2013" t="s">
        <v>58</v>
      </c>
      <c r="G201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3" s="13" t="s">
        <v>63</v>
      </c>
      <c r="I2013" s="4">
        <f>_xlfn.XLOOKUP(Table1[[#This Row], [WEAPON]],Sheet1!$A$27:$A$29,Sheet1!$B$27:$B$29)*Table1[[#This Row], [NUM OF MEM]]*(1+_xlfn.XLOOKUP(Table1[[#This Row], [WEAPON]],Sheet1!$A$27:$A$29,Sheet1!$C$27:$C$29))</f>
        <v>46000</v>
      </c>
      <c r="J2013" t="s">
        <v>64</v>
      </c>
      <c r="K2013" s="9">
        <f>Table1[[#This Row], [NUM OF MEM]]*Table1[[#This Row], [TOTAL TIME TAKEN]]*_xlfn.XLOOKUP(Table1[[#This Row], [EXIT]],Sheet1!$A$70:$A$71,Sheet1!$B$70:$B$71)*(1+_xlfn.XLOOKUP(Table1[[#This Row], [EXIT]],Sheet1!$A$70:$A$71,Sheet1!$C$70:$C$71))</f>
        <v>1853441.9999999998</v>
      </c>
      <c r="L2013" s="13" t="s">
        <v>65</v>
      </c>
      <c r="M2013" s="4">
        <f>IF(Table1[[#This Row], [EQUIPMENT]]="YES",Sheet1!$C$44*(1+Sheet1!$D$44),0)</f>
        <v>307500</v>
      </c>
      <c r="N2013" s="4">
        <f>_xlfn.XLOOKUP(Table1[[#This Row], [ROOM]],Sheet1!$A$47:$A$66,Sheet1!$F$47:$F$66)</f>
        <v>17900000</v>
      </c>
      <c r="O2013" s="9">
        <f>_xlfn.XLOOKUP(_xlfn.CONCAT(Table1[[#This Row], [TEAM]],Table1[[#This Row], [ROOM]]),'ROOM TIME'!$H$2:$H$121,'ROOM TIME'!$J$2:$J$121)</f>
        <v>62.731249999999989</v>
      </c>
      <c r="P2013" s="9">
        <f>(INDEX(Sheet1!$X$48:$Z$67,MATCH(Table1[[#This Row], [ROOM]],Sheet1!$P$48:$P$67,0),MATCH(Table1[[#This Row], [WEAPON]],Sheet1!$X$47:$Z$47,0)))/Table1[[#This Row], [NUM OF MEM]]</f>
        <v>8.7750000000000004</v>
      </c>
      <c r="Q2013" s="9">
        <f>Table1[[#This Row], [ROOM TIME]]+Table1[[#This Row], [GUARD TIME]]</f>
        <v>71.506249999999994</v>
      </c>
      <c r="R2013" s="4">
        <f>Sheet1!$K$3*_xlfn.XLOOKUP(Table1[[#This Row], [DISGUISE]],Sheet1!$A$21:$A$23,Sheet1!$D$21:$D$23)</f>
        <v>69</v>
      </c>
      <c r="S2013" s="9">
        <f>Table1[[#This Row], [TOTAL TIME]]-Table1[[#This Row], [TOTAL TIME TAKEN]]</f>
        <v>-2.5062499999999943</v>
      </c>
      <c r="T2013" t="str">
        <f>IF(Table1[[#This Row], [TIME DIFFERENCE]]&gt;=0,"PASS","FAIL")</f>
        <v>FAIL</v>
      </c>
      <c r="U2013" s="4">
        <f>Table1[[#This Row], [TRC]]+Table1[[#This Row], [DRC]]+Table1[[#This Row], [WRC]]+Table1[[#This Row], [ERC]]+Table1[[#This Row], [EQRC]]</f>
        <v>8182142</v>
      </c>
      <c r="V2013" s="4">
        <f>Table1[[#This Row], [TOTAL COST]]+_xlfn.XLOOKUP(Table1[[#This Row], [TEAM]],Sheet1!$A$12:$A$17,Sheet1!$I$12:$I$17)</f>
        <v>8479622</v>
      </c>
      <c r="W2013" s="4">
        <f>Table1[[#This Row], [LOOT]]-Table1[[#This Row], [TOTAL COST]]</f>
        <v>9717858</v>
      </c>
      <c r="X2013" s="4">
        <f>IF(Table1[[#This Row], [PASS/FAIL]]="FAIL",0,Table1[[#This Row], [PROFIT]])</f>
        <v>0</v>
      </c>
    </row>
    <row r="2014" spans="1:24" ht="19.5" customHeight="1" x14ac:dyDescent="0.45">
      <c r="A2014" t="s">
        <v>14</v>
      </c>
      <c r="B2014" s="14">
        <f>_xlfn.XLOOKUP(Table1[[#This Row], [TEAM]],Sheet1!$A$12:$A$17,Sheet1!$F$12:$F$17)</f>
        <v>2</v>
      </c>
      <c r="C2014" s="14">
        <f>_xlfn.XLOOKUP(Table1[[#This Row], [TEAM]],Sheet1!$A$12:$A$17,Sheet1!$G$12:$G$17)</f>
        <v>5949600</v>
      </c>
      <c r="D2014" t="s">
        <v>21</v>
      </c>
      <c r="E2014" s="4">
        <f>_xlfn.XLOOKUP(Table1[[#This Row], [ROOM]],Sheet1!$A$47:$A$66,Sheet1!$B$47:$B$66)</f>
        <v>234</v>
      </c>
      <c r="F2014" t="s">
        <v>58</v>
      </c>
      <c r="G2014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4" s="13" t="s">
        <v>66</v>
      </c>
      <c r="I2014" s="4">
        <f>_xlfn.XLOOKUP(Table1[[#This Row], [WEAPON]],Sheet1!$A$27:$A$29,Sheet1!$B$27:$B$29)*Table1[[#This Row], [NUM OF MEM]]*(1+_xlfn.XLOOKUP(Table1[[#This Row], [WEAPON]],Sheet1!$A$27:$A$29,Sheet1!$C$27:$C$29))</f>
        <v>72000</v>
      </c>
      <c r="J2014" t="s">
        <v>60</v>
      </c>
      <c r="K2014" s="9">
        <f>Table1[[#This Row], [NUM OF MEM]]*Table1[[#This Row], [TOTAL TIME TAKEN]]*_xlfn.XLOOKUP(Table1[[#This Row], [EXIT]],Sheet1!$A$70:$A$71,Sheet1!$B$70:$B$71)*(1+_xlfn.XLOOKUP(Table1[[#This Row], [EXIT]],Sheet1!$A$70:$A$71,Sheet1!$C$70:$C$71))</f>
        <v>1818525.6562499995</v>
      </c>
      <c r="L2014" s="13" t="s">
        <v>61</v>
      </c>
      <c r="M2014" s="4">
        <f>IF(Table1[[#This Row], [EQUIPMENT]]="YES",Sheet1!$C$44*(1+Sheet1!$D$44),0)</f>
        <v>0</v>
      </c>
      <c r="N2014" s="4">
        <f>_xlfn.XLOOKUP(Table1[[#This Row], [ROOM]],Sheet1!$A$47:$A$66,Sheet1!$F$47:$F$66)</f>
        <v>17900000</v>
      </c>
      <c r="O2014" s="9">
        <f>_xlfn.XLOOKUP(_xlfn.CONCAT(Table1[[#This Row], [TEAM]],Table1[[#This Row], [ROOM]]),'ROOM TIME'!$H$2:$H$121,'ROOM TIME'!$J$2:$J$121)</f>
        <v>62.731249999999989</v>
      </c>
      <c r="P2014" s="9">
        <f>(INDEX(Sheet1!$X$48:$Z$67,MATCH(Table1[[#This Row], [ROOM]],Sheet1!$P$48:$P$67,0),MATCH(Table1[[#This Row], [WEAPON]],Sheet1!$X$47:$Z$47,0)))/Table1[[#This Row], [NUM OF MEM]]</f>
        <v>8.125</v>
      </c>
      <c r="Q2014" s="9">
        <f>Table1[[#This Row], [ROOM TIME]]+Table1[[#This Row], [GUARD TIME]]</f>
        <v>70.856249999999989</v>
      </c>
      <c r="R2014" s="4">
        <f>Sheet1!$K$3*_xlfn.XLOOKUP(Table1[[#This Row], [DISGUISE]],Sheet1!$A$21:$A$23,Sheet1!$D$21:$D$23)</f>
        <v>69</v>
      </c>
      <c r="S2014" s="9">
        <f>Table1[[#This Row], [TOTAL TIME]]-Table1[[#This Row], [TOTAL TIME TAKEN]]</f>
        <v>-1.8562499999999886</v>
      </c>
      <c r="T2014" t="str">
        <f>IF(Table1[[#This Row], [TIME DIFFERENCE]]&gt;=0,"PASS","FAIL")</f>
        <v>FAIL</v>
      </c>
      <c r="U2014" s="9">
        <f>Table1[[#This Row], [TRC]]+Table1[[#This Row], [DRC]]+Table1[[#This Row], [WRC]]+Table1[[#This Row], [ERC]]+Table1[[#This Row], [EQRC]]</f>
        <v>7865725.65625</v>
      </c>
      <c r="V2014" s="9">
        <f>Table1[[#This Row], [TOTAL COST]]+_xlfn.XLOOKUP(Table1[[#This Row], [TEAM]],Sheet1!$A$12:$A$17,Sheet1!$I$12:$I$17)</f>
        <v>8163205.65625</v>
      </c>
      <c r="W2014" s="9">
        <f>Table1[[#This Row], [LOOT]]-Table1[[#This Row], [TOTAL COST]]</f>
        <v>10034274.34375</v>
      </c>
      <c r="X2014" s="4">
        <f>IF(Table1[[#This Row], [PASS/FAIL]]="FAIL",0,Table1[[#This Row], [PROFIT]])</f>
        <v>0</v>
      </c>
    </row>
    <row r="2015" spans="1:24" ht="19.5" customHeight="1" x14ac:dyDescent="0.45">
      <c r="A2015" t="s">
        <v>14</v>
      </c>
      <c r="B2015" s="14">
        <f>_xlfn.XLOOKUP(Table1[[#This Row], [TEAM]],Sheet1!$A$12:$A$17,Sheet1!$F$12:$F$17)</f>
        <v>2</v>
      </c>
      <c r="C2015" s="14">
        <f>_xlfn.XLOOKUP(Table1[[#This Row], [TEAM]],Sheet1!$A$12:$A$17,Sheet1!$G$12:$G$17)</f>
        <v>5949600</v>
      </c>
      <c r="D2015" t="s">
        <v>21</v>
      </c>
      <c r="E2015" s="4">
        <f>_xlfn.XLOOKUP(Table1[[#This Row], [ROOM]],Sheet1!$A$47:$A$66,Sheet1!$B$47:$B$66)</f>
        <v>234</v>
      </c>
      <c r="F2015" t="s">
        <v>58</v>
      </c>
      <c r="G201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5" s="13" t="s">
        <v>66</v>
      </c>
      <c r="I2015" s="4">
        <f>_xlfn.XLOOKUP(Table1[[#This Row], [WEAPON]],Sheet1!$A$27:$A$29,Sheet1!$B$27:$B$29)*Table1[[#This Row], [NUM OF MEM]]*(1+_xlfn.XLOOKUP(Table1[[#This Row], [WEAPON]],Sheet1!$A$27:$A$29,Sheet1!$C$27:$C$29))</f>
        <v>72000</v>
      </c>
      <c r="J2015" t="s">
        <v>64</v>
      </c>
      <c r="K2015" s="9">
        <f>Table1[[#This Row], [NUM OF MEM]]*Table1[[#This Row], [TOTAL TIME TAKEN]]*_xlfn.XLOOKUP(Table1[[#This Row], [EXIT]],Sheet1!$A$70:$A$71,Sheet1!$B$70:$B$71)*(1+_xlfn.XLOOKUP(Table1[[#This Row], [EXIT]],Sheet1!$A$70:$A$71,Sheet1!$C$70:$C$71))</f>
        <v>1836593.9999999998</v>
      </c>
      <c r="L2015" s="13" t="s">
        <v>61</v>
      </c>
      <c r="M2015" s="4">
        <f>IF(Table1[[#This Row], [EQUIPMENT]]="YES",Sheet1!$C$44*(1+Sheet1!$D$44),0)</f>
        <v>0</v>
      </c>
      <c r="N2015" s="4">
        <f>_xlfn.XLOOKUP(Table1[[#This Row], [ROOM]],Sheet1!$A$47:$A$66,Sheet1!$F$47:$F$66)</f>
        <v>17900000</v>
      </c>
      <c r="O2015" s="9">
        <f>_xlfn.XLOOKUP(_xlfn.CONCAT(Table1[[#This Row], [TEAM]],Table1[[#This Row], [ROOM]]),'ROOM TIME'!$H$2:$H$121,'ROOM TIME'!$J$2:$J$121)</f>
        <v>62.731249999999989</v>
      </c>
      <c r="P2015" s="9">
        <f>(INDEX(Sheet1!$X$48:$Z$67,MATCH(Table1[[#This Row], [ROOM]],Sheet1!$P$48:$P$67,0),MATCH(Table1[[#This Row], [WEAPON]],Sheet1!$X$47:$Z$47,0)))/Table1[[#This Row], [NUM OF MEM]]</f>
        <v>8.125</v>
      </c>
      <c r="Q2015" s="9">
        <f>Table1[[#This Row], [ROOM TIME]]+Table1[[#This Row], [GUARD TIME]]</f>
        <v>70.856249999999989</v>
      </c>
      <c r="R2015" s="4">
        <f>Sheet1!$K$3*_xlfn.XLOOKUP(Table1[[#This Row], [DISGUISE]],Sheet1!$A$21:$A$23,Sheet1!$D$21:$D$23)</f>
        <v>69</v>
      </c>
      <c r="S2015" s="9">
        <f>Table1[[#This Row], [TOTAL TIME]]-Table1[[#This Row], [TOTAL TIME TAKEN]]</f>
        <v>-1.8562499999999886</v>
      </c>
      <c r="T2015" t="str">
        <f>IF(Table1[[#This Row], [TIME DIFFERENCE]]&gt;=0,"PASS","FAIL")</f>
        <v>FAIL</v>
      </c>
      <c r="U2015" s="4">
        <f>Table1[[#This Row], [TRC]]+Table1[[#This Row], [DRC]]+Table1[[#This Row], [WRC]]+Table1[[#This Row], [ERC]]+Table1[[#This Row], [EQRC]]</f>
        <v>7883794</v>
      </c>
      <c r="V2015" s="4">
        <f>Table1[[#This Row], [TOTAL COST]]+_xlfn.XLOOKUP(Table1[[#This Row], [TEAM]],Sheet1!$A$12:$A$17,Sheet1!$I$12:$I$17)</f>
        <v>8181274</v>
      </c>
      <c r="W2015" s="4">
        <f>Table1[[#This Row], [LOOT]]-Table1[[#This Row], [TOTAL COST]]</f>
        <v>10016206</v>
      </c>
      <c r="X2015" s="4">
        <f>IF(Table1[[#This Row], [PASS/FAIL]]="FAIL",0,Table1[[#This Row], [PROFIT]])</f>
        <v>0</v>
      </c>
    </row>
    <row r="2016" spans="1:24" ht="19.5" customHeight="1" x14ac:dyDescent="0.45">
      <c r="A2016" t="s">
        <v>14</v>
      </c>
      <c r="B2016" s="14">
        <f>_xlfn.XLOOKUP(Table1[[#This Row], [TEAM]],Sheet1!$A$12:$A$17,Sheet1!$F$12:$F$17)</f>
        <v>2</v>
      </c>
      <c r="C2016" s="14">
        <f>_xlfn.XLOOKUP(Table1[[#This Row], [TEAM]],Sheet1!$A$12:$A$17,Sheet1!$G$12:$G$17)</f>
        <v>5949600</v>
      </c>
      <c r="D2016" t="s">
        <v>21</v>
      </c>
      <c r="E2016" s="4">
        <f>_xlfn.XLOOKUP(Table1[[#This Row], [ROOM]],Sheet1!$A$47:$A$66,Sheet1!$B$47:$B$66)</f>
        <v>234</v>
      </c>
      <c r="F2016" t="s">
        <v>58</v>
      </c>
      <c r="G2016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6" s="13" t="s">
        <v>66</v>
      </c>
      <c r="I2016" s="4">
        <f>_xlfn.XLOOKUP(Table1[[#This Row], [WEAPON]],Sheet1!$A$27:$A$29,Sheet1!$B$27:$B$29)*Table1[[#This Row], [NUM OF MEM]]*(1+_xlfn.XLOOKUP(Table1[[#This Row], [WEAPON]],Sheet1!$A$27:$A$29,Sheet1!$C$27:$C$29))</f>
        <v>72000</v>
      </c>
      <c r="J2016" t="s">
        <v>60</v>
      </c>
      <c r="K2016" s="9">
        <f>Table1[[#This Row], [NUM OF MEM]]*Table1[[#This Row], [TOTAL TIME TAKEN]]*_xlfn.XLOOKUP(Table1[[#This Row], [EXIT]],Sheet1!$A$70:$A$71,Sheet1!$B$70:$B$71)*(1+_xlfn.XLOOKUP(Table1[[#This Row], [EXIT]],Sheet1!$A$70:$A$71,Sheet1!$C$70:$C$71))</f>
        <v>1818525.6562499995</v>
      </c>
      <c r="L2016" s="13" t="s">
        <v>65</v>
      </c>
      <c r="M2016" s="4">
        <f>IF(Table1[[#This Row], [EQUIPMENT]]="YES",Sheet1!$C$44*(1+Sheet1!$D$44),0)</f>
        <v>307500</v>
      </c>
      <c r="N2016" s="4">
        <f>_xlfn.XLOOKUP(Table1[[#This Row], [ROOM]],Sheet1!$A$47:$A$66,Sheet1!$F$47:$F$66)</f>
        <v>17900000</v>
      </c>
      <c r="O2016" s="9">
        <f>_xlfn.XLOOKUP(_xlfn.CONCAT(Table1[[#This Row], [TEAM]],Table1[[#This Row], [ROOM]]),'ROOM TIME'!$H$2:$H$121,'ROOM TIME'!$J$2:$J$121)</f>
        <v>62.731249999999989</v>
      </c>
      <c r="P2016" s="9">
        <f>(INDEX(Sheet1!$X$48:$Z$67,MATCH(Table1[[#This Row], [ROOM]],Sheet1!$P$48:$P$67,0),MATCH(Table1[[#This Row], [WEAPON]],Sheet1!$X$47:$Z$47,0)))/Table1[[#This Row], [NUM OF MEM]]</f>
        <v>8.125</v>
      </c>
      <c r="Q2016" s="9">
        <f>Table1[[#This Row], [ROOM TIME]]+Table1[[#This Row], [GUARD TIME]]</f>
        <v>70.856249999999989</v>
      </c>
      <c r="R2016" s="4">
        <f>Sheet1!$K$3*_xlfn.XLOOKUP(Table1[[#This Row], [DISGUISE]],Sheet1!$A$21:$A$23,Sheet1!$D$21:$D$23)</f>
        <v>69</v>
      </c>
      <c r="S2016" s="9">
        <f>Table1[[#This Row], [TOTAL TIME]]-Table1[[#This Row], [TOTAL TIME TAKEN]]</f>
        <v>-1.8562499999999886</v>
      </c>
      <c r="T2016" t="str">
        <f>IF(Table1[[#This Row], [TIME DIFFERENCE]]&gt;=0,"PASS","FAIL")</f>
        <v>FAIL</v>
      </c>
      <c r="U2016" s="9">
        <f>Table1[[#This Row], [TRC]]+Table1[[#This Row], [DRC]]+Table1[[#This Row], [WRC]]+Table1[[#This Row], [ERC]]+Table1[[#This Row], [EQRC]]</f>
        <v>8173225.65625</v>
      </c>
      <c r="V2016" s="9">
        <f>Table1[[#This Row], [TOTAL COST]]+_xlfn.XLOOKUP(Table1[[#This Row], [TEAM]],Sheet1!$A$12:$A$17,Sheet1!$I$12:$I$17)</f>
        <v>8470705.65625</v>
      </c>
      <c r="W2016" s="9">
        <f>Table1[[#This Row], [LOOT]]-Table1[[#This Row], [TOTAL COST]]</f>
        <v>9726774.34375</v>
      </c>
      <c r="X2016" s="4">
        <f>IF(Table1[[#This Row], [PASS/FAIL]]="FAIL",0,Table1[[#This Row], [PROFIT]])</f>
        <v>0</v>
      </c>
    </row>
    <row r="2017" spans="1:24" ht="19.5" customHeight="1" x14ac:dyDescent="0.45">
      <c r="A2017" t="s">
        <v>14</v>
      </c>
      <c r="B2017" s="14">
        <f>_xlfn.XLOOKUP(Table1[[#This Row], [TEAM]],Sheet1!$A$12:$A$17,Sheet1!$F$12:$F$17)</f>
        <v>2</v>
      </c>
      <c r="C2017" s="14">
        <f>_xlfn.XLOOKUP(Table1[[#This Row], [TEAM]],Sheet1!$A$12:$A$17,Sheet1!$G$12:$G$17)</f>
        <v>5949600</v>
      </c>
      <c r="D2017" t="s">
        <v>21</v>
      </c>
      <c r="E2017" s="4">
        <f>_xlfn.XLOOKUP(Table1[[#This Row], [ROOM]],Sheet1!$A$47:$A$66,Sheet1!$B$47:$B$66)</f>
        <v>234</v>
      </c>
      <c r="F2017" t="s">
        <v>58</v>
      </c>
      <c r="G201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17" s="13" t="s">
        <v>66</v>
      </c>
      <c r="I2017" s="4">
        <f>_xlfn.XLOOKUP(Table1[[#This Row], [WEAPON]],Sheet1!$A$27:$A$29,Sheet1!$B$27:$B$29)*Table1[[#This Row], [NUM OF MEM]]*(1+_xlfn.XLOOKUP(Table1[[#This Row], [WEAPON]],Sheet1!$A$27:$A$29,Sheet1!$C$27:$C$29))</f>
        <v>72000</v>
      </c>
      <c r="J2017" t="s">
        <v>64</v>
      </c>
      <c r="K2017" s="9">
        <f>Table1[[#This Row], [NUM OF MEM]]*Table1[[#This Row], [TOTAL TIME TAKEN]]*_xlfn.XLOOKUP(Table1[[#This Row], [EXIT]],Sheet1!$A$70:$A$71,Sheet1!$B$70:$B$71)*(1+_xlfn.XLOOKUP(Table1[[#This Row], [EXIT]],Sheet1!$A$70:$A$71,Sheet1!$C$70:$C$71))</f>
        <v>1836593.9999999998</v>
      </c>
      <c r="L2017" s="13" t="s">
        <v>65</v>
      </c>
      <c r="M2017" s="4">
        <f>IF(Table1[[#This Row], [EQUIPMENT]]="YES",Sheet1!$C$44*(1+Sheet1!$D$44),0)</f>
        <v>307500</v>
      </c>
      <c r="N2017" s="4">
        <f>_xlfn.XLOOKUP(Table1[[#This Row], [ROOM]],Sheet1!$A$47:$A$66,Sheet1!$F$47:$F$66)</f>
        <v>17900000</v>
      </c>
      <c r="O2017" s="9">
        <f>_xlfn.XLOOKUP(_xlfn.CONCAT(Table1[[#This Row], [TEAM]],Table1[[#This Row], [ROOM]]),'ROOM TIME'!$H$2:$H$121,'ROOM TIME'!$J$2:$J$121)</f>
        <v>62.731249999999989</v>
      </c>
      <c r="P2017" s="9">
        <f>(INDEX(Sheet1!$X$48:$Z$67,MATCH(Table1[[#This Row], [ROOM]],Sheet1!$P$48:$P$67,0),MATCH(Table1[[#This Row], [WEAPON]],Sheet1!$X$47:$Z$47,0)))/Table1[[#This Row], [NUM OF MEM]]</f>
        <v>8.125</v>
      </c>
      <c r="Q2017" s="9">
        <f>Table1[[#This Row], [ROOM TIME]]+Table1[[#This Row], [GUARD TIME]]</f>
        <v>70.856249999999989</v>
      </c>
      <c r="R2017" s="4">
        <f>Sheet1!$K$3*_xlfn.XLOOKUP(Table1[[#This Row], [DISGUISE]],Sheet1!$A$21:$A$23,Sheet1!$D$21:$D$23)</f>
        <v>69</v>
      </c>
      <c r="S2017" s="9">
        <f>Table1[[#This Row], [TOTAL TIME]]-Table1[[#This Row], [TOTAL TIME TAKEN]]</f>
        <v>-1.8562499999999886</v>
      </c>
      <c r="T2017" t="str">
        <f>IF(Table1[[#This Row], [TIME DIFFERENCE]]&gt;=0,"PASS","FAIL")</f>
        <v>FAIL</v>
      </c>
      <c r="U2017" s="4">
        <f>Table1[[#This Row], [TRC]]+Table1[[#This Row], [DRC]]+Table1[[#This Row], [WRC]]+Table1[[#This Row], [ERC]]+Table1[[#This Row], [EQRC]]</f>
        <v>8191294</v>
      </c>
      <c r="V2017" s="4">
        <f>Table1[[#This Row], [TOTAL COST]]+_xlfn.XLOOKUP(Table1[[#This Row], [TEAM]],Sheet1!$A$12:$A$17,Sheet1!$I$12:$I$17)</f>
        <v>8488774</v>
      </c>
      <c r="W2017" s="4">
        <f>Table1[[#This Row], [LOOT]]-Table1[[#This Row], [TOTAL COST]]</f>
        <v>9708706</v>
      </c>
      <c r="X2017" s="4">
        <f>IF(Table1[[#This Row], [PASS/FAIL]]="FAIL",0,Table1[[#This Row], [PROFIT]])</f>
        <v>0</v>
      </c>
    </row>
    <row r="2018" spans="1:24" ht="19.5" customHeight="1" x14ac:dyDescent="0.45">
      <c r="A2018" t="s">
        <v>14</v>
      </c>
      <c r="B2018" s="14">
        <f>_xlfn.XLOOKUP(Table1[[#This Row], [TEAM]],Sheet1!$A$12:$A$17,Sheet1!$F$12:$F$17)</f>
        <v>2</v>
      </c>
      <c r="C2018" s="14">
        <f>_xlfn.XLOOKUP(Table1[[#This Row], [TEAM]],Sheet1!$A$12:$A$17,Sheet1!$G$12:$G$17)</f>
        <v>5949600</v>
      </c>
      <c r="D2018" t="s">
        <v>21</v>
      </c>
      <c r="E2018" s="4">
        <f>_xlfn.XLOOKUP(Table1[[#This Row], [ROOM]],Sheet1!$A$47:$A$66,Sheet1!$B$47:$B$66)</f>
        <v>234</v>
      </c>
      <c r="F2018" t="s">
        <v>62</v>
      </c>
      <c r="G201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18" s="13" t="s">
        <v>66</v>
      </c>
      <c r="I2018" s="4">
        <f>_xlfn.XLOOKUP(Table1[[#This Row], [WEAPON]],Sheet1!$A$27:$A$29,Sheet1!$B$27:$B$29)*Table1[[#This Row], [NUM OF MEM]]*(1+_xlfn.XLOOKUP(Table1[[#This Row], [WEAPON]],Sheet1!$A$27:$A$29,Sheet1!$C$27:$C$29))</f>
        <v>72000</v>
      </c>
      <c r="J2018" t="s">
        <v>60</v>
      </c>
      <c r="K2018" s="9">
        <f>Table1[[#This Row], [NUM OF MEM]]*Table1[[#This Row], [TOTAL TIME TAKEN]]*_xlfn.XLOOKUP(Table1[[#This Row], [EXIT]],Sheet1!$A$70:$A$71,Sheet1!$B$70:$B$71)*(1+_xlfn.XLOOKUP(Table1[[#This Row], [EXIT]],Sheet1!$A$70:$A$71,Sheet1!$C$70:$C$71))</f>
        <v>1818525.6562499995</v>
      </c>
      <c r="L2018" s="13" t="s">
        <v>61</v>
      </c>
      <c r="M2018" s="4">
        <f>IF(Table1[[#This Row], [EQUIPMENT]]="YES",Sheet1!$C$44*(1+Sheet1!$D$44),0)</f>
        <v>0</v>
      </c>
      <c r="N2018" s="4">
        <f>_xlfn.XLOOKUP(Table1[[#This Row], [ROOM]],Sheet1!$A$47:$A$66,Sheet1!$F$47:$F$66)</f>
        <v>17900000</v>
      </c>
      <c r="O2018" s="9">
        <f>_xlfn.XLOOKUP(_xlfn.CONCAT(Table1[[#This Row], [TEAM]],Table1[[#This Row], [ROOM]]),'ROOM TIME'!$H$2:$H$121,'ROOM TIME'!$J$2:$J$121)</f>
        <v>62.731249999999989</v>
      </c>
      <c r="P2018" s="9">
        <f>(INDEX(Sheet1!$X$48:$Z$67,MATCH(Table1[[#This Row], [ROOM]],Sheet1!$P$48:$P$67,0),MATCH(Table1[[#This Row], [WEAPON]],Sheet1!$X$47:$Z$47,0)))/Table1[[#This Row], [NUM OF MEM]]</f>
        <v>8.125</v>
      </c>
      <c r="Q2018" s="9">
        <f>Table1[[#This Row], [ROOM TIME]]+Table1[[#This Row], [GUARD TIME]]</f>
        <v>70.856249999999989</v>
      </c>
      <c r="R2018" s="4">
        <f>Sheet1!$K$3*_xlfn.XLOOKUP(Table1[[#This Row], [DISGUISE]],Sheet1!$A$21:$A$23,Sheet1!$D$21:$D$23)</f>
        <v>66</v>
      </c>
      <c r="S2018" s="9">
        <f>Table1[[#This Row], [TOTAL TIME]]-Table1[[#This Row], [TOTAL TIME TAKEN]]</f>
        <v>-4.8562499999999886</v>
      </c>
      <c r="T2018" t="str">
        <f>IF(Table1[[#This Row], [TIME DIFFERENCE]]&gt;=0,"PASS","FAIL")</f>
        <v>FAIL</v>
      </c>
      <c r="U2018" s="9">
        <f>Table1[[#This Row], [TRC]]+Table1[[#This Row], [DRC]]+Table1[[#This Row], [WRC]]+Table1[[#This Row], [ERC]]+Table1[[#This Row], [EQRC]]</f>
        <v>7850525.65625</v>
      </c>
      <c r="V2018" s="9">
        <f>Table1[[#This Row], [TOTAL COST]]+_xlfn.XLOOKUP(Table1[[#This Row], [TEAM]],Sheet1!$A$12:$A$17,Sheet1!$I$12:$I$17)</f>
        <v>8148005.65625</v>
      </c>
      <c r="W2018" s="9">
        <f>Table1[[#This Row], [LOOT]]-Table1[[#This Row], [TOTAL COST]]</f>
        <v>10049474.34375</v>
      </c>
      <c r="X2018" s="4">
        <f>IF(Table1[[#This Row], [PASS/FAIL]]="FAIL",0,Table1[[#This Row], [PROFIT]])</f>
        <v>0</v>
      </c>
    </row>
    <row r="2019" spans="1:24" ht="19.5" customHeight="1" x14ac:dyDescent="0.45">
      <c r="A2019" t="s">
        <v>14</v>
      </c>
      <c r="B2019" s="14">
        <f>_xlfn.XLOOKUP(Table1[[#This Row], [TEAM]],Sheet1!$A$12:$A$17,Sheet1!$F$12:$F$17)</f>
        <v>2</v>
      </c>
      <c r="C2019" s="14">
        <f>_xlfn.XLOOKUP(Table1[[#This Row], [TEAM]],Sheet1!$A$12:$A$17,Sheet1!$G$12:$G$17)</f>
        <v>5949600</v>
      </c>
      <c r="D2019" t="s">
        <v>21</v>
      </c>
      <c r="E2019" s="4">
        <f>_xlfn.XLOOKUP(Table1[[#This Row], [ROOM]],Sheet1!$A$47:$A$66,Sheet1!$B$47:$B$66)</f>
        <v>234</v>
      </c>
      <c r="F2019" t="s">
        <v>62</v>
      </c>
      <c r="G2019" s="4">
        <f>_xlfn.XLOOKUP(Table1[[#This Row], [DISGUISE]],Sheet1!$A$21:$A$23,Sheet1!$B$21:$B$23)*Table1[[#This Row], [NUM OF MEM]]*(1+_xlfn.XLOOKUP(Table1[[#This Row], [DISGUISE]],Sheet1!$A$21:$A$23,Sheet1!$C$21:$C$23))</f>
        <v>10400</v>
      </c>
      <c r="H2019" s="13" t="s">
        <v>66</v>
      </c>
      <c r="I2019" s="4">
        <f>_xlfn.XLOOKUP(Table1[[#This Row], [WEAPON]],Sheet1!$A$27:$A$29,Sheet1!$B$27:$B$29)*Table1[[#This Row], [NUM OF MEM]]*(1+_xlfn.XLOOKUP(Table1[[#This Row], [WEAPON]],Sheet1!$A$27:$A$29,Sheet1!$C$27:$C$29))</f>
        <v>72000</v>
      </c>
      <c r="J2019" t="s">
        <v>64</v>
      </c>
      <c r="K2019" s="9">
        <f>Table1[[#This Row], [NUM OF MEM]]*Table1[[#This Row], [TOTAL TIME TAKEN]]*_xlfn.XLOOKUP(Table1[[#This Row], [EXIT]],Sheet1!$A$70:$A$71,Sheet1!$B$70:$B$71)*(1+_xlfn.XLOOKUP(Table1[[#This Row], [EXIT]],Sheet1!$A$70:$A$71,Sheet1!$C$70:$C$71))</f>
        <v>1836593.9999999998</v>
      </c>
      <c r="L2019" s="13" t="s">
        <v>61</v>
      </c>
      <c r="M2019" s="4">
        <f>IF(Table1[[#This Row], [EQUIPMENT]]="YES",Sheet1!$C$44*(1+Sheet1!$D$44),0)</f>
        <v>0</v>
      </c>
      <c r="N2019" s="4">
        <f>_xlfn.XLOOKUP(Table1[[#This Row], [ROOM]],Sheet1!$A$47:$A$66,Sheet1!$F$47:$F$66)</f>
        <v>17900000</v>
      </c>
      <c r="O2019" s="9">
        <f>_xlfn.XLOOKUP(_xlfn.CONCAT(Table1[[#This Row], [TEAM]],Table1[[#This Row], [ROOM]]),'ROOM TIME'!$H$2:$H$121,'ROOM TIME'!$J$2:$J$121)</f>
        <v>62.731249999999989</v>
      </c>
      <c r="P2019" s="9">
        <f>(INDEX(Sheet1!$X$48:$Z$67,MATCH(Table1[[#This Row], [ROOM]],Sheet1!$P$48:$P$67,0),MATCH(Table1[[#This Row], [WEAPON]],Sheet1!$X$47:$Z$47,0)))/Table1[[#This Row], [NUM OF MEM]]</f>
        <v>8.125</v>
      </c>
      <c r="Q2019" s="9">
        <f>Table1[[#This Row], [ROOM TIME]]+Table1[[#This Row], [GUARD TIME]]</f>
        <v>70.856249999999989</v>
      </c>
      <c r="R2019" s="4">
        <f>Sheet1!$K$3*_xlfn.XLOOKUP(Table1[[#This Row], [DISGUISE]],Sheet1!$A$21:$A$23,Sheet1!$D$21:$D$23)</f>
        <v>66</v>
      </c>
      <c r="S2019" s="9">
        <f>Table1[[#This Row], [TOTAL TIME]]-Table1[[#This Row], [TOTAL TIME TAKEN]]</f>
        <v>-4.8562499999999886</v>
      </c>
      <c r="T2019" t="str">
        <f>IF(Table1[[#This Row], [TIME DIFFERENCE]]&gt;=0,"PASS","FAIL")</f>
        <v>FAIL</v>
      </c>
      <c r="U2019" s="4">
        <f>Table1[[#This Row], [TRC]]+Table1[[#This Row], [DRC]]+Table1[[#This Row], [WRC]]+Table1[[#This Row], [ERC]]+Table1[[#This Row], [EQRC]]</f>
        <v>7868594</v>
      </c>
      <c r="V2019" s="4">
        <f>Table1[[#This Row], [TOTAL COST]]+_xlfn.XLOOKUP(Table1[[#This Row], [TEAM]],Sheet1!$A$12:$A$17,Sheet1!$I$12:$I$17)</f>
        <v>8166074</v>
      </c>
      <c r="W2019" s="4">
        <f>Table1[[#This Row], [LOOT]]-Table1[[#This Row], [TOTAL COST]]</f>
        <v>10031406</v>
      </c>
      <c r="X2019" s="4">
        <f>IF(Table1[[#This Row], [PASS/FAIL]]="FAIL",0,Table1[[#This Row], [PROFIT]])</f>
        <v>0</v>
      </c>
    </row>
    <row r="2020" spans="1:24" ht="19.5" customHeight="1" x14ac:dyDescent="0.45">
      <c r="A2020" t="s">
        <v>14</v>
      </c>
      <c r="B2020" s="14">
        <f>_xlfn.XLOOKUP(Table1[[#This Row], [TEAM]],Sheet1!$A$12:$A$17,Sheet1!$F$12:$F$17)</f>
        <v>2</v>
      </c>
      <c r="C2020" s="14">
        <f>_xlfn.XLOOKUP(Table1[[#This Row], [TEAM]],Sheet1!$A$12:$A$17,Sheet1!$G$12:$G$17)</f>
        <v>5949600</v>
      </c>
      <c r="D2020" t="s">
        <v>21</v>
      </c>
      <c r="E2020" s="4">
        <f>_xlfn.XLOOKUP(Table1[[#This Row], [ROOM]],Sheet1!$A$47:$A$66,Sheet1!$B$47:$B$66)</f>
        <v>234</v>
      </c>
      <c r="F2020" t="s">
        <v>62</v>
      </c>
      <c r="G202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0" s="13" t="s">
        <v>66</v>
      </c>
      <c r="I2020" s="4">
        <f>_xlfn.XLOOKUP(Table1[[#This Row], [WEAPON]],Sheet1!$A$27:$A$29,Sheet1!$B$27:$B$29)*Table1[[#This Row], [NUM OF MEM]]*(1+_xlfn.XLOOKUP(Table1[[#This Row], [WEAPON]],Sheet1!$A$27:$A$29,Sheet1!$C$27:$C$29))</f>
        <v>72000</v>
      </c>
      <c r="J2020" t="s">
        <v>60</v>
      </c>
      <c r="K2020" s="9">
        <f>Table1[[#This Row], [NUM OF MEM]]*Table1[[#This Row], [TOTAL TIME TAKEN]]*_xlfn.XLOOKUP(Table1[[#This Row], [EXIT]],Sheet1!$A$70:$A$71,Sheet1!$B$70:$B$71)*(1+_xlfn.XLOOKUP(Table1[[#This Row], [EXIT]],Sheet1!$A$70:$A$71,Sheet1!$C$70:$C$71))</f>
        <v>1818525.6562499995</v>
      </c>
      <c r="L2020" s="13" t="s">
        <v>65</v>
      </c>
      <c r="M2020" s="4">
        <f>IF(Table1[[#This Row], [EQUIPMENT]]="YES",Sheet1!$C$44*(1+Sheet1!$D$44),0)</f>
        <v>307500</v>
      </c>
      <c r="N2020" s="4">
        <f>_xlfn.XLOOKUP(Table1[[#This Row], [ROOM]],Sheet1!$A$47:$A$66,Sheet1!$F$47:$F$66)</f>
        <v>17900000</v>
      </c>
      <c r="O2020" s="9">
        <f>_xlfn.XLOOKUP(_xlfn.CONCAT(Table1[[#This Row], [TEAM]],Table1[[#This Row], [ROOM]]),'ROOM TIME'!$H$2:$H$121,'ROOM TIME'!$J$2:$J$121)</f>
        <v>62.731249999999989</v>
      </c>
      <c r="P2020" s="9">
        <f>(INDEX(Sheet1!$X$48:$Z$67,MATCH(Table1[[#This Row], [ROOM]],Sheet1!$P$48:$P$67,0),MATCH(Table1[[#This Row], [WEAPON]],Sheet1!$X$47:$Z$47,0)))/Table1[[#This Row], [NUM OF MEM]]</f>
        <v>8.125</v>
      </c>
      <c r="Q2020" s="9">
        <f>Table1[[#This Row], [ROOM TIME]]+Table1[[#This Row], [GUARD TIME]]</f>
        <v>70.856249999999989</v>
      </c>
      <c r="R2020" s="4">
        <f>Sheet1!$K$3*_xlfn.XLOOKUP(Table1[[#This Row], [DISGUISE]],Sheet1!$A$21:$A$23,Sheet1!$D$21:$D$23)</f>
        <v>66</v>
      </c>
      <c r="S2020" s="9">
        <f>Table1[[#This Row], [TOTAL TIME]]-Table1[[#This Row], [TOTAL TIME TAKEN]]</f>
        <v>-4.8562499999999886</v>
      </c>
      <c r="T2020" t="str">
        <f>IF(Table1[[#This Row], [TIME DIFFERENCE]]&gt;=0,"PASS","FAIL")</f>
        <v>FAIL</v>
      </c>
      <c r="U2020" s="9">
        <f>Table1[[#This Row], [TRC]]+Table1[[#This Row], [DRC]]+Table1[[#This Row], [WRC]]+Table1[[#This Row], [ERC]]+Table1[[#This Row], [EQRC]]</f>
        <v>8158025.65625</v>
      </c>
      <c r="V2020" s="9">
        <f>Table1[[#This Row], [TOTAL COST]]+_xlfn.XLOOKUP(Table1[[#This Row], [TEAM]],Sheet1!$A$12:$A$17,Sheet1!$I$12:$I$17)</f>
        <v>8455505.65625</v>
      </c>
      <c r="W2020" s="9">
        <f>Table1[[#This Row], [LOOT]]-Table1[[#This Row], [TOTAL COST]]</f>
        <v>9741974.34375</v>
      </c>
      <c r="X2020" s="4">
        <f>IF(Table1[[#This Row], [PASS/FAIL]]="FAIL",0,Table1[[#This Row], [PROFIT]])</f>
        <v>0</v>
      </c>
    </row>
    <row r="2021" spans="1:24" ht="19.5" customHeight="1" x14ac:dyDescent="0.45">
      <c r="A2021" t="s">
        <v>14</v>
      </c>
      <c r="B2021" s="14">
        <f>_xlfn.XLOOKUP(Table1[[#This Row], [TEAM]],Sheet1!$A$12:$A$17,Sheet1!$F$12:$F$17)</f>
        <v>2</v>
      </c>
      <c r="C2021" s="14">
        <f>_xlfn.XLOOKUP(Table1[[#This Row], [TEAM]],Sheet1!$A$12:$A$17,Sheet1!$G$12:$G$17)</f>
        <v>5949600</v>
      </c>
      <c r="D2021" t="s">
        <v>21</v>
      </c>
      <c r="E2021" s="4">
        <f>_xlfn.XLOOKUP(Table1[[#This Row], [ROOM]],Sheet1!$A$47:$A$66,Sheet1!$B$47:$B$66)</f>
        <v>234</v>
      </c>
      <c r="F2021" t="s">
        <v>62</v>
      </c>
      <c r="G2021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1" s="13" t="s">
        <v>66</v>
      </c>
      <c r="I2021" s="4">
        <f>_xlfn.XLOOKUP(Table1[[#This Row], [WEAPON]],Sheet1!$A$27:$A$29,Sheet1!$B$27:$B$29)*Table1[[#This Row], [NUM OF MEM]]*(1+_xlfn.XLOOKUP(Table1[[#This Row], [WEAPON]],Sheet1!$A$27:$A$29,Sheet1!$C$27:$C$29))</f>
        <v>72000</v>
      </c>
      <c r="J2021" t="s">
        <v>64</v>
      </c>
      <c r="K2021" s="9">
        <f>Table1[[#This Row], [NUM OF MEM]]*Table1[[#This Row], [TOTAL TIME TAKEN]]*_xlfn.XLOOKUP(Table1[[#This Row], [EXIT]],Sheet1!$A$70:$A$71,Sheet1!$B$70:$B$71)*(1+_xlfn.XLOOKUP(Table1[[#This Row], [EXIT]],Sheet1!$A$70:$A$71,Sheet1!$C$70:$C$71))</f>
        <v>1836593.9999999998</v>
      </c>
      <c r="L2021" s="13" t="s">
        <v>65</v>
      </c>
      <c r="M2021" s="4">
        <f>IF(Table1[[#This Row], [EQUIPMENT]]="YES",Sheet1!$C$44*(1+Sheet1!$D$44),0)</f>
        <v>307500</v>
      </c>
      <c r="N2021" s="4">
        <f>_xlfn.XLOOKUP(Table1[[#This Row], [ROOM]],Sheet1!$A$47:$A$66,Sheet1!$F$47:$F$66)</f>
        <v>17900000</v>
      </c>
      <c r="O2021" s="9">
        <f>_xlfn.XLOOKUP(_xlfn.CONCAT(Table1[[#This Row], [TEAM]],Table1[[#This Row], [ROOM]]),'ROOM TIME'!$H$2:$H$121,'ROOM TIME'!$J$2:$J$121)</f>
        <v>62.731249999999989</v>
      </c>
      <c r="P2021" s="9">
        <f>(INDEX(Sheet1!$X$48:$Z$67,MATCH(Table1[[#This Row], [ROOM]],Sheet1!$P$48:$P$67,0),MATCH(Table1[[#This Row], [WEAPON]],Sheet1!$X$47:$Z$47,0)))/Table1[[#This Row], [NUM OF MEM]]</f>
        <v>8.125</v>
      </c>
      <c r="Q2021" s="9">
        <f>Table1[[#This Row], [ROOM TIME]]+Table1[[#This Row], [GUARD TIME]]</f>
        <v>70.856249999999989</v>
      </c>
      <c r="R2021" s="4">
        <f>Sheet1!$K$3*_xlfn.XLOOKUP(Table1[[#This Row], [DISGUISE]],Sheet1!$A$21:$A$23,Sheet1!$D$21:$D$23)</f>
        <v>66</v>
      </c>
      <c r="S2021" s="9">
        <f>Table1[[#This Row], [TOTAL TIME]]-Table1[[#This Row], [TOTAL TIME TAKEN]]</f>
        <v>-4.8562499999999886</v>
      </c>
      <c r="T2021" t="str">
        <f>IF(Table1[[#This Row], [TIME DIFFERENCE]]&gt;=0,"PASS","FAIL")</f>
        <v>FAIL</v>
      </c>
      <c r="U2021" s="4">
        <f>Table1[[#This Row], [TRC]]+Table1[[#This Row], [DRC]]+Table1[[#This Row], [WRC]]+Table1[[#This Row], [ERC]]+Table1[[#This Row], [EQRC]]</f>
        <v>8176094</v>
      </c>
      <c r="V2021" s="4">
        <f>Table1[[#This Row], [TOTAL COST]]+_xlfn.XLOOKUP(Table1[[#This Row], [TEAM]],Sheet1!$A$12:$A$17,Sheet1!$I$12:$I$17)</f>
        <v>8473574</v>
      </c>
      <c r="W2021" s="4">
        <f>Table1[[#This Row], [LOOT]]-Table1[[#This Row], [TOTAL COST]]</f>
        <v>9723906</v>
      </c>
      <c r="X2021" s="4">
        <f>IF(Table1[[#This Row], [PASS/FAIL]]="FAIL",0,Table1[[#This Row], [PROFIT]])</f>
        <v>0</v>
      </c>
    </row>
    <row r="2022" spans="1:24" ht="19.5" customHeight="1" x14ac:dyDescent="0.45">
      <c r="A2022" t="s">
        <v>15</v>
      </c>
      <c r="B2022" s="14">
        <f>_xlfn.XLOOKUP(Table1[[#This Row], [TEAM]],Sheet1!$A$12:$A$17,Sheet1!$F$12:$F$17)</f>
        <v>2</v>
      </c>
      <c r="C2022" s="14">
        <f>_xlfn.XLOOKUP(Table1[[#This Row], [TEAM]],Sheet1!$A$12:$A$17,Sheet1!$G$12:$G$17)</f>
        <v>5932950</v>
      </c>
      <c r="D2022" t="s">
        <v>21</v>
      </c>
      <c r="E2022" s="4">
        <f>_xlfn.XLOOKUP(Table1[[#This Row], [ROOM]],Sheet1!$A$47:$A$66,Sheet1!$B$47:$B$66)</f>
        <v>234</v>
      </c>
      <c r="F2022" t="s">
        <v>62</v>
      </c>
      <c r="G202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2" s="13" t="s">
        <v>59</v>
      </c>
      <c r="I2022" s="4">
        <f>_xlfn.XLOOKUP(Table1[[#This Row], [WEAPON]],Sheet1!$A$27:$A$29,Sheet1!$B$27:$B$29)*Table1[[#This Row], [NUM OF MEM]]*(1+_xlfn.XLOOKUP(Table1[[#This Row], [WEAPON]],Sheet1!$A$27:$A$29,Sheet1!$C$27:$C$29))</f>
        <v>91000</v>
      </c>
      <c r="J2022" t="s">
        <v>60</v>
      </c>
      <c r="K2022" s="9">
        <f>Table1[[#This Row], [NUM OF MEM]]*Table1[[#This Row], [TOTAL TIME TAKEN]]*_xlfn.XLOOKUP(Table1[[#This Row], [EXIT]],Sheet1!$A$70:$A$71,Sheet1!$B$70:$B$71)*(1+_xlfn.XLOOKUP(Table1[[#This Row], [EXIT]],Sheet1!$A$70:$A$71,Sheet1!$C$70:$C$71))</f>
        <v>1816729.106249999</v>
      </c>
      <c r="L2022" s="13" t="s">
        <v>61</v>
      </c>
      <c r="M2022" s="4">
        <f>IF(Table1[[#This Row], [EQUIPMENT]]="YES",Sheet1!$C$44*(1+Sheet1!$D$44),0)</f>
        <v>0</v>
      </c>
      <c r="N2022" s="4">
        <f>_xlfn.XLOOKUP(Table1[[#This Row], [ROOM]],Sheet1!$A$47:$A$66,Sheet1!$F$47:$F$66)</f>
        <v>17900000</v>
      </c>
      <c r="O2022" s="9">
        <f>_xlfn.XLOOKUP(_xlfn.CONCAT(Table1[[#This Row], [TEAM]],Table1[[#This Row], [ROOM]]),'ROOM TIME'!$H$2:$H$121,'ROOM TIME'!$J$2:$J$121)</f>
        <v>63.311249999999973</v>
      </c>
      <c r="P2022" s="9">
        <f>(INDEX(Sheet1!$X$48:$Z$67,MATCH(Table1[[#This Row], [ROOM]],Sheet1!$P$48:$P$67,0),MATCH(Table1[[#This Row], [WEAPON]],Sheet1!$X$47:$Z$47,0)))/Table1[[#This Row], [NUM OF MEM]]</f>
        <v>7.4749999999999996</v>
      </c>
      <c r="Q2022" s="9">
        <f>Table1[[#This Row], [ROOM TIME]]+Table1[[#This Row], [GUARD TIME]]</f>
        <v>70.786249999999967</v>
      </c>
      <c r="R2022" s="4">
        <f>Sheet1!$K$3*_xlfn.XLOOKUP(Table1[[#This Row], [DISGUISE]],Sheet1!$A$21:$A$23,Sheet1!$D$21:$D$23)</f>
        <v>66</v>
      </c>
      <c r="S2022" s="9">
        <f>Table1[[#This Row], [TOTAL TIME]]-Table1[[#This Row], [TOTAL TIME TAKEN]]</f>
        <v>-4.786249999999967</v>
      </c>
      <c r="T2022" t="str">
        <f>IF(Table1[[#This Row], [TIME DIFFERENCE]]&gt;=0,"PASS","FAIL")</f>
        <v>FAIL</v>
      </c>
      <c r="U2022" s="9">
        <f>Table1[[#This Row], [TRC]]+Table1[[#This Row], [DRC]]+Table1[[#This Row], [WRC]]+Table1[[#This Row], [ERC]]+Table1[[#This Row], [EQRC]]</f>
        <v>7851079.1062499993</v>
      </c>
      <c r="V2022" s="9">
        <f>Table1[[#This Row], [TOTAL COST]]+_xlfn.XLOOKUP(Table1[[#This Row], [TEAM]],Sheet1!$A$12:$A$17,Sheet1!$I$12:$I$17)</f>
        <v>8147726.6062499993</v>
      </c>
      <c r="W2022" s="9">
        <f>Table1[[#This Row], [LOOT]]-Table1[[#This Row], [TOTAL COST]]</f>
        <v>10048920.893750001</v>
      </c>
      <c r="X2022" s="4">
        <f>IF(Table1[[#This Row], [PASS/FAIL]]="FAIL",0,Table1[[#This Row], [PROFIT]])</f>
        <v>0</v>
      </c>
    </row>
    <row r="2023" spans="1:24" ht="19.5" customHeight="1" x14ac:dyDescent="0.45">
      <c r="A2023" t="s">
        <v>15</v>
      </c>
      <c r="B2023" s="14">
        <f>_xlfn.XLOOKUP(Table1[[#This Row], [TEAM]],Sheet1!$A$12:$A$17,Sheet1!$F$12:$F$17)</f>
        <v>2</v>
      </c>
      <c r="C2023" s="14">
        <f>_xlfn.XLOOKUP(Table1[[#This Row], [TEAM]],Sheet1!$A$12:$A$17,Sheet1!$G$12:$G$17)</f>
        <v>5932950</v>
      </c>
      <c r="D2023" t="s">
        <v>21</v>
      </c>
      <c r="E2023" s="4">
        <f>_xlfn.XLOOKUP(Table1[[#This Row], [ROOM]],Sheet1!$A$47:$A$66,Sheet1!$B$47:$B$66)</f>
        <v>234</v>
      </c>
      <c r="F2023" t="s">
        <v>58</v>
      </c>
      <c r="G202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23" s="13" t="s">
        <v>59</v>
      </c>
      <c r="I2023" s="4">
        <f>_xlfn.XLOOKUP(Table1[[#This Row], [WEAPON]],Sheet1!$A$27:$A$29,Sheet1!$B$27:$B$29)*Table1[[#This Row], [NUM OF MEM]]*(1+_xlfn.XLOOKUP(Table1[[#This Row], [WEAPON]],Sheet1!$A$27:$A$29,Sheet1!$C$27:$C$29))</f>
        <v>91000</v>
      </c>
      <c r="J2023" t="s">
        <v>60</v>
      </c>
      <c r="K2023" s="9">
        <f>Table1[[#This Row], [NUM OF MEM]]*Table1[[#This Row], [TOTAL TIME TAKEN]]*_xlfn.XLOOKUP(Table1[[#This Row], [EXIT]],Sheet1!$A$70:$A$71,Sheet1!$B$70:$B$71)*(1+_xlfn.XLOOKUP(Table1[[#This Row], [EXIT]],Sheet1!$A$70:$A$71,Sheet1!$C$70:$C$71))</f>
        <v>1816729.106249999</v>
      </c>
      <c r="L2023" s="13" t="s">
        <v>61</v>
      </c>
      <c r="M2023" s="4">
        <f>IF(Table1[[#This Row], [EQUIPMENT]]="YES",Sheet1!$C$44*(1+Sheet1!$D$44),0)</f>
        <v>0</v>
      </c>
      <c r="N2023" s="4">
        <f>_xlfn.XLOOKUP(Table1[[#This Row], [ROOM]],Sheet1!$A$47:$A$66,Sheet1!$F$47:$F$66)</f>
        <v>17900000</v>
      </c>
      <c r="O2023" s="9">
        <f>_xlfn.XLOOKUP(_xlfn.CONCAT(Table1[[#This Row], [TEAM]],Table1[[#This Row], [ROOM]]),'ROOM TIME'!$H$2:$H$121,'ROOM TIME'!$J$2:$J$121)</f>
        <v>63.311249999999973</v>
      </c>
      <c r="P2023" s="9">
        <f>(INDEX(Sheet1!$X$48:$Z$67,MATCH(Table1[[#This Row], [ROOM]],Sheet1!$P$48:$P$67,0),MATCH(Table1[[#This Row], [WEAPON]],Sheet1!$X$47:$Z$47,0)))/Table1[[#This Row], [NUM OF MEM]]</f>
        <v>7.4749999999999996</v>
      </c>
      <c r="Q2023" s="9">
        <f>Table1[[#This Row], [ROOM TIME]]+Table1[[#This Row], [GUARD TIME]]</f>
        <v>70.786249999999967</v>
      </c>
      <c r="R2023" s="4">
        <f>Sheet1!$K$3*_xlfn.XLOOKUP(Table1[[#This Row], [DISGUISE]],Sheet1!$A$21:$A$23,Sheet1!$D$21:$D$23)</f>
        <v>69</v>
      </c>
      <c r="S2023" s="9">
        <f>Table1[[#This Row], [TOTAL TIME]]-Table1[[#This Row], [TOTAL TIME TAKEN]]</f>
        <v>-1.786249999999967</v>
      </c>
      <c r="T2023" t="str">
        <f>IF(Table1[[#This Row], [TIME DIFFERENCE]]&gt;=0,"PASS","FAIL")</f>
        <v>FAIL</v>
      </c>
      <c r="U2023" s="9">
        <f>Table1[[#This Row], [TRC]]+Table1[[#This Row], [DRC]]+Table1[[#This Row], [WRC]]+Table1[[#This Row], [ERC]]+Table1[[#This Row], [EQRC]]</f>
        <v>7866279.1062499993</v>
      </c>
      <c r="V2023" s="9">
        <f>Table1[[#This Row], [TOTAL COST]]+_xlfn.XLOOKUP(Table1[[#This Row], [TEAM]],Sheet1!$A$12:$A$17,Sheet1!$I$12:$I$17)</f>
        <v>8162926.6062499993</v>
      </c>
      <c r="W2023" s="9">
        <f>Table1[[#This Row], [LOOT]]-Table1[[#This Row], [TOTAL COST]]</f>
        <v>10033720.893750001</v>
      </c>
      <c r="X2023" s="4">
        <f>IF(Table1[[#This Row], [PASS/FAIL]]="FAIL",0,Table1[[#This Row], [PROFIT]])</f>
        <v>0</v>
      </c>
    </row>
    <row r="2024" spans="1:24" ht="19.5" customHeight="1" x14ac:dyDescent="0.45">
      <c r="A2024" t="s">
        <v>15</v>
      </c>
      <c r="B2024" s="14">
        <f>_xlfn.XLOOKUP(Table1[[#This Row], [TEAM]],Sheet1!$A$12:$A$17,Sheet1!$F$12:$F$17)</f>
        <v>2</v>
      </c>
      <c r="C2024" s="14">
        <f>_xlfn.XLOOKUP(Table1[[#This Row], [TEAM]],Sheet1!$A$12:$A$17,Sheet1!$G$12:$G$17)</f>
        <v>5932950</v>
      </c>
      <c r="D2024" t="s">
        <v>21</v>
      </c>
      <c r="E2024" s="4">
        <f>_xlfn.XLOOKUP(Table1[[#This Row], [ROOM]],Sheet1!$A$47:$A$66,Sheet1!$B$47:$B$66)</f>
        <v>234</v>
      </c>
      <c r="F2024" t="s">
        <v>62</v>
      </c>
      <c r="G202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4" s="13" t="s">
        <v>59</v>
      </c>
      <c r="I2024" s="4">
        <f>_xlfn.XLOOKUP(Table1[[#This Row], [WEAPON]],Sheet1!$A$27:$A$29,Sheet1!$B$27:$B$29)*Table1[[#This Row], [NUM OF MEM]]*(1+_xlfn.XLOOKUP(Table1[[#This Row], [WEAPON]],Sheet1!$A$27:$A$29,Sheet1!$C$27:$C$29))</f>
        <v>91000</v>
      </c>
      <c r="J2024" t="s">
        <v>64</v>
      </c>
      <c r="K2024" s="9">
        <f>Table1[[#This Row], [NUM OF MEM]]*Table1[[#This Row], [TOTAL TIME TAKEN]]*_xlfn.XLOOKUP(Table1[[#This Row], [EXIT]],Sheet1!$A$70:$A$71,Sheet1!$B$70:$B$71)*(1+_xlfn.XLOOKUP(Table1[[#This Row], [EXIT]],Sheet1!$A$70:$A$71,Sheet1!$C$70:$C$71))</f>
        <v>1834779.5999999992</v>
      </c>
      <c r="L2024" s="13" t="s">
        <v>61</v>
      </c>
      <c r="M2024" s="4">
        <f>IF(Table1[[#This Row], [EQUIPMENT]]="YES",Sheet1!$C$44*(1+Sheet1!$D$44),0)</f>
        <v>0</v>
      </c>
      <c r="N2024" s="4">
        <f>_xlfn.XLOOKUP(Table1[[#This Row], [ROOM]],Sheet1!$A$47:$A$66,Sheet1!$F$47:$F$66)</f>
        <v>17900000</v>
      </c>
      <c r="O2024" s="9">
        <f>_xlfn.XLOOKUP(_xlfn.CONCAT(Table1[[#This Row], [TEAM]],Table1[[#This Row], [ROOM]]),'ROOM TIME'!$H$2:$H$121,'ROOM TIME'!$J$2:$J$121)</f>
        <v>63.311249999999973</v>
      </c>
      <c r="P2024" s="9">
        <f>(INDEX(Sheet1!$X$48:$Z$67,MATCH(Table1[[#This Row], [ROOM]],Sheet1!$P$48:$P$67,0),MATCH(Table1[[#This Row], [WEAPON]],Sheet1!$X$47:$Z$47,0)))/Table1[[#This Row], [NUM OF MEM]]</f>
        <v>7.4749999999999996</v>
      </c>
      <c r="Q2024" s="9">
        <f>Table1[[#This Row], [ROOM TIME]]+Table1[[#This Row], [GUARD TIME]]</f>
        <v>70.786249999999967</v>
      </c>
      <c r="R2024" s="4">
        <f>Sheet1!$K$3*_xlfn.XLOOKUP(Table1[[#This Row], [DISGUISE]],Sheet1!$A$21:$A$23,Sheet1!$D$21:$D$23)</f>
        <v>66</v>
      </c>
      <c r="S2024" s="9">
        <f>Table1[[#This Row], [TOTAL TIME]]-Table1[[#This Row], [TOTAL TIME TAKEN]]</f>
        <v>-4.786249999999967</v>
      </c>
      <c r="T2024" t="str">
        <f>IF(Table1[[#This Row], [TIME DIFFERENCE]]&gt;=0,"PASS","FAIL")</f>
        <v>FAIL</v>
      </c>
      <c r="U2024" s="9">
        <f>Table1[[#This Row], [TRC]]+Table1[[#This Row], [DRC]]+Table1[[#This Row], [WRC]]+Table1[[#This Row], [ERC]]+Table1[[#This Row], [EQRC]]</f>
        <v>7869129.5999999996</v>
      </c>
      <c r="V2024" s="9">
        <f>Table1[[#This Row], [TOTAL COST]]+_xlfn.XLOOKUP(Table1[[#This Row], [TEAM]],Sheet1!$A$12:$A$17,Sheet1!$I$12:$I$17)</f>
        <v>8165777.0999999996</v>
      </c>
      <c r="W2024" s="9">
        <f>Table1[[#This Row], [LOOT]]-Table1[[#This Row], [TOTAL COST]]</f>
        <v>10030870.4</v>
      </c>
      <c r="X2024" s="4">
        <f>IF(Table1[[#This Row], [PASS/FAIL]]="FAIL",0,Table1[[#This Row], [PROFIT]])</f>
        <v>0</v>
      </c>
    </row>
    <row r="2025" spans="1:24" ht="19.5" customHeight="1" x14ac:dyDescent="0.45">
      <c r="A2025" t="s">
        <v>15</v>
      </c>
      <c r="B2025" s="14">
        <f>_xlfn.XLOOKUP(Table1[[#This Row], [TEAM]],Sheet1!$A$12:$A$17,Sheet1!$F$12:$F$17)</f>
        <v>2</v>
      </c>
      <c r="C2025" s="14">
        <f>_xlfn.XLOOKUP(Table1[[#This Row], [TEAM]],Sheet1!$A$12:$A$17,Sheet1!$G$12:$G$17)</f>
        <v>5932950</v>
      </c>
      <c r="D2025" t="s">
        <v>21</v>
      </c>
      <c r="E2025" s="4">
        <f>_xlfn.XLOOKUP(Table1[[#This Row], [ROOM]],Sheet1!$A$47:$A$66,Sheet1!$B$47:$B$66)</f>
        <v>234</v>
      </c>
      <c r="F2025" t="s">
        <v>58</v>
      </c>
      <c r="G202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25" s="13" t="s">
        <v>59</v>
      </c>
      <c r="I2025" s="4">
        <f>_xlfn.XLOOKUP(Table1[[#This Row], [WEAPON]],Sheet1!$A$27:$A$29,Sheet1!$B$27:$B$29)*Table1[[#This Row], [NUM OF MEM]]*(1+_xlfn.XLOOKUP(Table1[[#This Row], [WEAPON]],Sheet1!$A$27:$A$29,Sheet1!$C$27:$C$29))</f>
        <v>91000</v>
      </c>
      <c r="J2025" t="s">
        <v>64</v>
      </c>
      <c r="K2025" s="9">
        <f>Table1[[#This Row], [NUM OF MEM]]*Table1[[#This Row], [TOTAL TIME TAKEN]]*_xlfn.XLOOKUP(Table1[[#This Row], [EXIT]],Sheet1!$A$70:$A$71,Sheet1!$B$70:$B$71)*(1+_xlfn.XLOOKUP(Table1[[#This Row], [EXIT]],Sheet1!$A$70:$A$71,Sheet1!$C$70:$C$71))</f>
        <v>1834779.5999999992</v>
      </c>
      <c r="L2025" s="13" t="s">
        <v>61</v>
      </c>
      <c r="M2025" s="4">
        <f>IF(Table1[[#This Row], [EQUIPMENT]]="YES",Sheet1!$C$44*(1+Sheet1!$D$44),0)</f>
        <v>0</v>
      </c>
      <c r="N2025" s="4">
        <f>_xlfn.XLOOKUP(Table1[[#This Row], [ROOM]],Sheet1!$A$47:$A$66,Sheet1!$F$47:$F$66)</f>
        <v>17900000</v>
      </c>
      <c r="O2025" s="9">
        <f>_xlfn.XLOOKUP(_xlfn.CONCAT(Table1[[#This Row], [TEAM]],Table1[[#This Row], [ROOM]]),'ROOM TIME'!$H$2:$H$121,'ROOM TIME'!$J$2:$J$121)</f>
        <v>63.311249999999973</v>
      </c>
      <c r="P2025" s="9">
        <f>(INDEX(Sheet1!$X$48:$Z$67,MATCH(Table1[[#This Row], [ROOM]],Sheet1!$P$48:$P$67,0),MATCH(Table1[[#This Row], [WEAPON]],Sheet1!$X$47:$Z$47,0)))/Table1[[#This Row], [NUM OF MEM]]</f>
        <v>7.4749999999999996</v>
      </c>
      <c r="Q2025" s="9">
        <f>Table1[[#This Row], [ROOM TIME]]+Table1[[#This Row], [GUARD TIME]]</f>
        <v>70.786249999999967</v>
      </c>
      <c r="R2025" s="4">
        <f>Sheet1!$K$3*_xlfn.XLOOKUP(Table1[[#This Row], [DISGUISE]],Sheet1!$A$21:$A$23,Sheet1!$D$21:$D$23)</f>
        <v>69</v>
      </c>
      <c r="S2025" s="9">
        <f>Table1[[#This Row], [TOTAL TIME]]-Table1[[#This Row], [TOTAL TIME TAKEN]]</f>
        <v>-1.786249999999967</v>
      </c>
      <c r="T2025" t="str">
        <f>IF(Table1[[#This Row], [TIME DIFFERENCE]]&gt;=0,"PASS","FAIL")</f>
        <v>FAIL</v>
      </c>
      <c r="U2025" s="9">
        <f>Table1[[#This Row], [TRC]]+Table1[[#This Row], [DRC]]+Table1[[#This Row], [WRC]]+Table1[[#This Row], [ERC]]+Table1[[#This Row], [EQRC]]</f>
        <v>7884329.5999999996</v>
      </c>
      <c r="V2025" s="9">
        <f>Table1[[#This Row], [TOTAL COST]]+_xlfn.XLOOKUP(Table1[[#This Row], [TEAM]],Sheet1!$A$12:$A$17,Sheet1!$I$12:$I$17)</f>
        <v>8180977.0999999996</v>
      </c>
      <c r="W2025" s="9">
        <f>Table1[[#This Row], [LOOT]]-Table1[[#This Row], [TOTAL COST]]</f>
        <v>10015670.4</v>
      </c>
      <c r="X2025" s="4">
        <f>IF(Table1[[#This Row], [PASS/FAIL]]="FAIL",0,Table1[[#This Row], [PROFIT]])</f>
        <v>0</v>
      </c>
    </row>
    <row r="2026" spans="1:24" ht="19.5" customHeight="1" x14ac:dyDescent="0.45">
      <c r="A2026" t="s">
        <v>15</v>
      </c>
      <c r="B2026" s="14">
        <f>_xlfn.XLOOKUP(Table1[[#This Row], [TEAM]],Sheet1!$A$12:$A$17,Sheet1!$F$12:$F$17)</f>
        <v>2</v>
      </c>
      <c r="C2026" s="14">
        <f>_xlfn.XLOOKUP(Table1[[#This Row], [TEAM]],Sheet1!$A$12:$A$17,Sheet1!$G$12:$G$17)</f>
        <v>5932950</v>
      </c>
      <c r="D2026" t="s">
        <v>21</v>
      </c>
      <c r="E2026" s="4">
        <f>_xlfn.XLOOKUP(Table1[[#This Row], [ROOM]],Sheet1!$A$47:$A$66,Sheet1!$B$47:$B$66)</f>
        <v>234</v>
      </c>
      <c r="F2026" t="s">
        <v>62</v>
      </c>
      <c r="G202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6" s="13" t="s">
        <v>59</v>
      </c>
      <c r="I2026" s="4">
        <f>_xlfn.XLOOKUP(Table1[[#This Row], [WEAPON]],Sheet1!$A$27:$A$29,Sheet1!$B$27:$B$29)*Table1[[#This Row], [NUM OF MEM]]*(1+_xlfn.XLOOKUP(Table1[[#This Row], [WEAPON]],Sheet1!$A$27:$A$29,Sheet1!$C$27:$C$29))</f>
        <v>91000</v>
      </c>
      <c r="J2026" t="s">
        <v>60</v>
      </c>
      <c r="K2026" s="9">
        <f>Table1[[#This Row], [NUM OF MEM]]*Table1[[#This Row], [TOTAL TIME TAKEN]]*_xlfn.XLOOKUP(Table1[[#This Row], [EXIT]],Sheet1!$A$70:$A$71,Sheet1!$B$70:$B$71)*(1+_xlfn.XLOOKUP(Table1[[#This Row], [EXIT]],Sheet1!$A$70:$A$71,Sheet1!$C$70:$C$71))</f>
        <v>1816729.106249999</v>
      </c>
      <c r="L2026" s="13" t="s">
        <v>65</v>
      </c>
      <c r="M2026" s="4">
        <f>IF(Table1[[#This Row], [EQUIPMENT]]="YES",Sheet1!$C$44*(1+Sheet1!$D$44),0)</f>
        <v>307500</v>
      </c>
      <c r="N2026" s="4">
        <f>_xlfn.XLOOKUP(Table1[[#This Row], [ROOM]],Sheet1!$A$47:$A$66,Sheet1!$F$47:$F$66)</f>
        <v>17900000</v>
      </c>
      <c r="O2026" s="9">
        <f>_xlfn.XLOOKUP(_xlfn.CONCAT(Table1[[#This Row], [TEAM]],Table1[[#This Row], [ROOM]]),'ROOM TIME'!$H$2:$H$121,'ROOM TIME'!$J$2:$J$121)</f>
        <v>63.311249999999973</v>
      </c>
      <c r="P2026" s="9">
        <f>(INDEX(Sheet1!$X$48:$Z$67,MATCH(Table1[[#This Row], [ROOM]],Sheet1!$P$48:$P$67,0),MATCH(Table1[[#This Row], [WEAPON]],Sheet1!$X$47:$Z$47,0)))/Table1[[#This Row], [NUM OF MEM]]</f>
        <v>7.4749999999999996</v>
      </c>
      <c r="Q2026" s="9">
        <f>Table1[[#This Row], [ROOM TIME]]+Table1[[#This Row], [GUARD TIME]]</f>
        <v>70.786249999999967</v>
      </c>
      <c r="R2026" s="4">
        <f>Sheet1!$K$3*_xlfn.XLOOKUP(Table1[[#This Row], [DISGUISE]],Sheet1!$A$21:$A$23,Sheet1!$D$21:$D$23)</f>
        <v>66</v>
      </c>
      <c r="S2026" s="9">
        <f>Table1[[#This Row], [TOTAL TIME]]-Table1[[#This Row], [TOTAL TIME TAKEN]]</f>
        <v>-4.786249999999967</v>
      </c>
      <c r="T2026" t="str">
        <f>IF(Table1[[#This Row], [TIME DIFFERENCE]]&gt;=0,"PASS","FAIL")</f>
        <v>FAIL</v>
      </c>
      <c r="U2026" s="9">
        <f>Table1[[#This Row], [TRC]]+Table1[[#This Row], [DRC]]+Table1[[#This Row], [WRC]]+Table1[[#This Row], [ERC]]+Table1[[#This Row], [EQRC]]</f>
        <v>8158579.1062499993</v>
      </c>
      <c r="V2026" s="9">
        <f>Table1[[#This Row], [TOTAL COST]]+_xlfn.XLOOKUP(Table1[[#This Row], [TEAM]],Sheet1!$A$12:$A$17,Sheet1!$I$12:$I$17)</f>
        <v>8455226.6062499993</v>
      </c>
      <c r="W2026" s="9">
        <f>Table1[[#This Row], [LOOT]]-Table1[[#This Row], [TOTAL COST]]</f>
        <v>9741420.8937500007</v>
      </c>
      <c r="X2026" s="4">
        <f>IF(Table1[[#This Row], [PASS/FAIL]]="FAIL",0,Table1[[#This Row], [PROFIT]])</f>
        <v>0</v>
      </c>
    </row>
    <row r="2027" spans="1:24" ht="19.5" customHeight="1" x14ac:dyDescent="0.45">
      <c r="A2027" t="s">
        <v>15</v>
      </c>
      <c r="B2027" s="14">
        <f>_xlfn.XLOOKUP(Table1[[#This Row], [TEAM]],Sheet1!$A$12:$A$17,Sheet1!$F$12:$F$17)</f>
        <v>2</v>
      </c>
      <c r="C2027" s="14">
        <f>_xlfn.XLOOKUP(Table1[[#This Row], [TEAM]],Sheet1!$A$12:$A$17,Sheet1!$G$12:$G$17)</f>
        <v>5932950</v>
      </c>
      <c r="D2027" t="s">
        <v>21</v>
      </c>
      <c r="E2027" s="4">
        <f>_xlfn.XLOOKUP(Table1[[#This Row], [ROOM]],Sheet1!$A$47:$A$66,Sheet1!$B$47:$B$66)</f>
        <v>234</v>
      </c>
      <c r="F2027" t="s">
        <v>58</v>
      </c>
      <c r="G202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27" s="13" t="s">
        <v>59</v>
      </c>
      <c r="I2027" s="4">
        <f>_xlfn.XLOOKUP(Table1[[#This Row], [WEAPON]],Sheet1!$A$27:$A$29,Sheet1!$B$27:$B$29)*Table1[[#This Row], [NUM OF MEM]]*(1+_xlfn.XLOOKUP(Table1[[#This Row], [WEAPON]],Sheet1!$A$27:$A$29,Sheet1!$C$27:$C$29))</f>
        <v>91000</v>
      </c>
      <c r="J2027" t="s">
        <v>60</v>
      </c>
      <c r="K2027" s="9">
        <f>Table1[[#This Row], [NUM OF MEM]]*Table1[[#This Row], [TOTAL TIME TAKEN]]*_xlfn.XLOOKUP(Table1[[#This Row], [EXIT]],Sheet1!$A$70:$A$71,Sheet1!$B$70:$B$71)*(1+_xlfn.XLOOKUP(Table1[[#This Row], [EXIT]],Sheet1!$A$70:$A$71,Sheet1!$C$70:$C$71))</f>
        <v>1816729.106249999</v>
      </c>
      <c r="L2027" s="13" t="s">
        <v>65</v>
      </c>
      <c r="M2027" s="4">
        <f>IF(Table1[[#This Row], [EQUIPMENT]]="YES",Sheet1!$C$44*(1+Sheet1!$D$44),0)</f>
        <v>307500</v>
      </c>
      <c r="N2027" s="4">
        <f>_xlfn.XLOOKUP(Table1[[#This Row], [ROOM]],Sheet1!$A$47:$A$66,Sheet1!$F$47:$F$66)</f>
        <v>17900000</v>
      </c>
      <c r="O2027" s="9">
        <f>_xlfn.XLOOKUP(_xlfn.CONCAT(Table1[[#This Row], [TEAM]],Table1[[#This Row], [ROOM]]),'ROOM TIME'!$H$2:$H$121,'ROOM TIME'!$J$2:$J$121)</f>
        <v>63.311249999999973</v>
      </c>
      <c r="P2027" s="9">
        <f>(INDEX(Sheet1!$X$48:$Z$67,MATCH(Table1[[#This Row], [ROOM]],Sheet1!$P$48:$P$67,0),MATCH(Table1[[#This Row], [WEAPON]],Sheet1!$X$47:$Z$47,0)))/Table1[[#This Row], [NUM OF MEM]]</f>
        <v>7.4749999999999996</v>
      </c>
      <c r="Q2027" s="9">
        <f>Table1[[#This Row], [ROOM TIME]]+Table1[[#This Row], [GUARD TIME]]</f>
        <v>70.786249999999967</v>
      </c>
      <c r="R2027" s="4">
        <f>Sheet1!$K$3*_xlfn.XLOOKUP(Table1[[#This Row], [DISGUISE]],Sheet1!$A$21:$A$23,Sheet1!$D$21:$D$23)</f>
        <v>69</v>
      </c>
      <c r="S2027" s="9">
        <f>Table1[[#This Row], [TOTAL TIME]]-Table1[[#This Row], [TOTAL TIME TAKEN]]</f>
        <v>-1.786249999999967</v>
      </c>
      <c r="T2027" t="str">
        <f>IF(Table1[[#This Row], [TIME DIFFERENCE]]&gt;=0,"PASS","FAIL")</f>
        <v>FAIL</v>
      </c>
      <c r="U2027" s="9">
        <f>Table1[[#This Row], [TRC]]+Table1[[#This Row], [DRC]]+Table1[[#This Row], [WRC]]+Table1[[#This Row], [ERC]]+Table1[[#This Row], [EQRC]]</f>
        <v>8173779.1062499993</v>
      </c>
      <c r="V2027" s="9">
        <f>Table1[[#This Row], [TOTAL COST]]+_xlfn.XLOOKUP(Table1[[#This Row], [TEAM]],Sheet1!$A$12:$A$17,Sheet1!$I$12:$I$17)</f>
        <v>8470426.6062499993</v>
      </c>
      <c r="W2027" s="9">
        <f>Table1[[#This Row], [LOOT]]-Table1[[#This Row], [TOTAL COST]]</f>
        <v>9726220.8937500007</v>
      </c>
      <c r="X2027" s="4">
        <f>IF(Table1[[#This Row], [PASS/FAIL]]="FAIL",0,Table1[[#This Row], [PROFIT]])</f>
        <v>0</v>
      </c>
    </row>
    <row r="2028" spans="1:24" ht="19.5" customHeight="1" x14ac:dyDescent="0.45">
      <c r="A2028" t="s">
        <v>15</v>
      </c>
      <c r="B2028" s="14">
        <f>_xlfn.XLOOKUP(Table1[[#This Row], [TEAM]],Sheet1!$A$12:$A$17,Sheet1!$F$12:$F$17)</f>
        <v>2</v>
      </c>
      <c r="C2028" s="14">
        <f>_xlfn.XLOOKUP(Table1[[#This Row], [TEAM]],Sheet1!$A$12:$A$17,Sheet1!$G$12:$G$17)</f>
        <v>5932950</v>
      </c>
      <c r="D2028" t="s">
        <v>21</v>
      </c>
      <c r="E2028" s="4">
        <f>_xlfn.XLOOKUP(Table1[[#This Row], [ROOM]],Sheet1!$A$47:$A$66,Sheet1!$B$47:$B$66)</f>
        <v>234</v>
      </c>
      <c r="F2028" t="s">
        <v>62</v>
      </c>
      <c r="G202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28" s="13" t="s">
        <v>63</v>
      </c>
      <c r="I2028" s="4">
        <f>_xlfn.XLOOKUP(Table1[[#This Row], [WEAPON]],Sheet1!$A$27:$A$29,Sheet1!$B$27:$B$29)*Table1[[#This Row], [NUM OF MEM]]*(1+_xlfn.XLOOKUP(Table1[[#This Row], [WEAPON]],Sheet1!$A$27:$A$29,Sheet1!$C$27:$C$29))</f>
        <v>46000</v>
      </c>
      <c r="J2028" t="s">
        <v>60</v>
      </c>
      <c r="K2028" s="9">
        <f>Table1[[#This Row], [NUM OF MEM]]*Table1[[#This Row], [TOTAL TIME TAKEN]]*_xlfn.XLOOKUP(Table1[[#This Row], [EXIT]],Sheet1!$A$70:$A$71,Sheet1!$B$70:$B$71)*(1+_xlfn.XLOOKUP(Table1[[#This Row], [EXIT]],Sheet1!$A$70:$A$71,Sheet1!$C$70:$C$71))</f>
        <v>1850093.6062499993</v>
      </c>
      <c r="L2028" s="13" t="s">
        <v>61</v>
      </c>
      <c r="M2028" s="4">
        <f>IF(Table1[[#This Row], [EQUIPMENT]]="YES",Sheet1!$C$44*(1+Sheet1!$D$44),0)</f>
        <v>0</v>
      </c>
      <c r="N2028" s="4">
        <f>_xlfn.XLOOKUP(Table1[[#This Row], [ROOM]],Sheet1!$A$47:$A$66,Sheet1!$F$47:$F$66)</f>
        <v>17900000</v>
      </c>
      <c r="O2028" s="9">
        <f>_xlfn.XLOOKUP(_xlfn.CONCAT(Table1[[#This Row], [TEAM]],Table1[[#This Row], [ROOM]]),'ROOM TIME'!$H$2:$H$121,'ROOM TIME'!$J$2:$J$121)</f>
        <v>63.311249999999973</v>
      </c>
      <c r="P2028" s="9">
        <f>(INDEX(Sheet1!$X$48:$Z$67,MATCH(Table1[[#This Row], [ROOM]],Sheet1!$P$48:$P$67,0),MATCH(Table1[[#This Row], [WEAPON]],Sheet1!$X$47:$Z$47,0)))/Table1[[#This Row], [NUM OF MEM]]</f>
        <v>8.7750000000000004</v>
      </c>
      <c r="Q2028" s="9">
        <f>Table1[[#This Row], [ROOM TIME]]+Table1[[#This Row], [GUARD TIME]]</f>
        <v>72.086249999999978</v>
      </c>
      <c r="R2028" s="4">
        <f>Sheet1!$K$3*_xlfn.XLOOKUP(Table1[[#This Row], [DISGUISE]],Sheet1!$A$21:$A$23,Sheet1!$D$21:$D$23)</f>
        <v>66</v>
      </c>
      <c r="S2028" s="9">
        <f>Table1[[#This Row], [TOTAL TIME]]-Table1[[#This Row], [TOTAL TIME TAKEN]]</f>
        <v>-6.0862499999999784</v>
      </c>
      <c r="T2028" t="str">
        <f>IF(Table1[[#This Row], [TIME DIFFERENCE]]&gt;=0,"PASS","FAIL")</f>
        <v>FAIL</v>
      </c>
      <c r="U2028" s="9">
        <f>Table1[[#This Row], [TRC]]+Table1[[#This Row], [DRC]]+Table1[[#This Row], [WRC]]+Table1[[#This Row], [ERC]]+Table1[[#This Row], [EQRC]]</f>
        <v>7839443.6062499993</v>
      </c>
      <c r="V2028" s="9">
        <f>Table1[[#This Row], [TOTAL COST]]+_xlfn.XLOOKUP(Table1[[#This Row], [TEAM]],Sheet1!$A$12:$A$17,Sheet1!$I$12:$I$17)</f>
        <v>8136091.1062499993</v>
      </c>
      <c r="W2028" s="9">
        <f>Table1[[#This Row], [LOOT]]-Table1[[#This Row], [TOTAL COST]]</f>
        <v>10060556.393750001</v>
      </c>
      <c r="X2028" s="4">
        <f>IF(Table1[[#This Row], [PASS/FAIL]]="FAIL",0,Table1[[#This Row], [PROFIT]])</f>
        <v>0</v>
      </c>
    </row>
    <row r="2029" spans="1:24" ht="19.5" customHeight="1" x14ac:dyDescent="0.45">
      <c r="A2029" t="s">
        <v>15</v>
      </c>
      <c r="B2029" s="14">
        <f>_xlfn.XLOOKUP(Table1[[#This Row], [TEAM]],Sheet1!$A$12:$A$17,Sheet1!$F$12:$F$17)</f>
        <v>2</v>
      </c>
      <c r="C2029" s="14">
        <f>_xlfn.XLOOKUP(Table1[[#This Row], [TEAM]],Sheet1!$A$12:$A$17,Sheet1!$G$12:$G$17)</f>
        <v>5932950</v>
      </c>
      <c r="D2029" t="s">
        <v>21</v>
      </c>
      <c r="E2029" s="4">
        <f>_xlfn.XLOOKUP(Table1[[#This Row], [ROOM]],Sheet1!$A$47:$A$66,Sheet1!$B$47:$B$66)</f>
        <v>234</v>
      </c>
      <c r="F2029" t="s">
        <v>58</v>
      </c>
      <c r="G202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29" s="13" t="s">
        <v>63</v>
      </c>
      <c r="I2029" s="4">
        <f>_xlfn.XLOOKUP(Table1[[#This Row], [WEAPON]],Sheet1!$A$27:$A$29,Sheet1!$B$27:$B$29)*Table1[[#This Row], [NUM OF MEM]]*(1+_xlfn.XLOOKUP(Table1[[#This Row], [WEAPON]],Sheet1!$A$27:$A$29,Sheet1!$C$27:$C$29))</f>
        <v>46000</v>
      </c>
      <c r="J2029" t="s">
        <v>60</v>
      </c>
      <c r="K2029" s="9">
        <f>Table1[[#This Row], [NUM OF MEM]]*Table1[[#This Row], [TOTAL TIME TAKEN]]*_xlfn.XLOOKUP(Table1[[#This Row], [EXIT]],Sheet1!$A$70:$A$71,Sheet1!$B$70:$B$71)*(1+_xlfn.XLOOKUP(Table1[[#This Row], [EXIT]],Sheet1!$A$70:$A$71,Sheet1!$C$70:$C$71))</f>
        <v>1850093.6062499993</v>
      </c>
      <c r="L2029" s="13" t="s">
        <v>61</v>
      </c>
      <c r="M2029" s="4">
        <f>IF(Table1[[#This Row], [EQUIPMENT]]="YES",Sheet1!$C$44*(1+Sheet1!$D$44),0)</f>
        <v>0</v>
      </c>
      <c r="N2029" s="4">
        <f>_xlfn.XLOOKUP(Table1[[#This Row], [ROOM]],Sheet1!$A$47:$A$66,Sheet1!$F$47:$F$66)</f>
        <v>17900000</v>
      </c>
      <c r="O2029" s="9">
        <f>_xlfn.XLOOKUP(_xlfn.CONCAT(Table1[[#This Row], [TEAM]],Table1[[#This Row], [ROOM]]),'ROOM TIME'!$H$2:$H$121,'ROOM TIME'!$J$2:$J$121)</f>
        <v>63.311249999999973</v>
      </c>
      <c r="P2029" s="9">
        <f>(INDEX(Sheet1!$X$48:$Z$67,MATCH(Table1[[#This Row], [ROOM]],Sheet1!$P$48:$P$67,0),MATCH(Table1[[#This Row], [WEAPON]],Sheet1!$X$47:$Z$47,0)))/Table1[[#This Row], [NUM OF MEM]]</f>
        <v>8.7750000000000004</v>
      </c>
      <c r="Q2029" s="9">
        <f>Table1[[#This Row], [ROOM TIME]]+Table1[[#This Row], [GUARD TIME]]</f>
        <v>72.086249999999978</v>
      </c>
      <c r="R2029" s="4">
        <f>Sheet1!$K$3*_xlfn.XLOOKUP(Table1[[#This Row], [DISGUISE]],Sheet1!$A$21:$A$23,Sheet1!$D$21:$D$23)</f>
        <v>69</v>
      </c>
      <c r="S2029" s="9">
        <f>Table1[[#This Row], [TOTAL TIME]]-Table1[[#This Row], [TOTAL TIME TAKEN]]</f>
        <v>-3.0862499999999784</v>
      </c>
      <c r="T2029" t="str">
        <f>IF(Table1[[#This Row], [TIME DIFFERENCE]]&gt;=0,"PASS","FAIL")</f>
        <v>FAIL</v>
      </c>
      <c r="U2029" s="9">
        <f>Table1[[#This Row], [TRC]]+Table1[[#This Row], [DRC]]+Table1[[#This Row], [WRC]]+Table1[[#This Row], [ERC]]+Table1[[#This Row], [EQRC]]</f>
        <v>7854643.6062499993</v>
      </c>
      <c r="V2029" s="9">
        <f>Table1[[#This Row], [TOTAL COST]]+_xlfn.XLOOKUP(Table1[[#This Row], [TEAM]],Sheet1!$A$12:$A$17,Sheet1!$I$12:$I$17)</f>
        <v>8151291.1062499993</v>
      </c>
      <c r="W2029" s="9">
        <f>Table1[[#This Row], [LOOT]]-Table1[[#This Row], [TOTAL COST]]</f>
        <v>10045356.393750001</v>
      </c>
      <c r="X2029" s="4">
        <f>IF(Table1[[#This Row], [PASS/FAIL]]="FAIL",0,Table1[[#This Row], [PROFIT]])</f>
        <v>0</v>
      </c>
    </row>
    <row r="2030" spans="1:24" ht="19.5" customHeight="1" x14ac:dyDescent="0.45">
      <c r="A2030" t="s">
        <v>15</v>
      </c>
      <c r="B2030" s="14">
        <f>_xlfn.XLOOKUP(Table1[[#This Row], [TEAM]],Sheet1!$A$12:$A$17,Sheet1!$F$12:$F$17)</f>
        <v>2</v>
      </c>
      <c r="C2030" s="14">
        <f>_xlfn.XLOOKUP(Table1[[#This Row], [TEAM]],Sheet1!$A$12:$A$17,Sheet1!$G$12:$G$17)</f>
        <v>5932950</v>
      </c>
      <c r="D2030" t="s">
        <v>21</v>
      </c>
      <c r="E2030" s="4">
        <f>_xlfn.XLOOKUP(Table1[[#This Row], [ROOM]],Sheet1!$A$47:$A$66,Sheet1!$B$47:$B$66)</f>
        <v>234</v>
      </c>
      <c r="F2030" t="s">
        <v>62</v>
      </c>
      <c r="G203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30" s="13" t="s">
        <v>59</v>
      </c>
      <c r="I2030" s="4">
        <f>_xlfn.XLOOKUP(Table1[[#This Row], [WEAPON]],Sheet1!$A$27:$A$29,Sheet1!$B$27:$B$29)*Table1[[#This Row], [NUM OF MEM]]*(1+_xlfn.XLOOKUP(Table1[[#This Row], [WEAPON]],Sheet1!$A$27:$A$29,Sheet1!$C$27:$C$29))</f>
        <v>91000</v>
      </c>
      <c r="J2030" t="s">
        <v>64</v>
      </c>
      <c r="K2030" s="9">
        <f>Table1[[#This Row], [NUM OF MEM]]*Table1[[#This Row], [TOTAL TIME TAKEN]]*_xlfn.XLOOKUP(Table1[[#This Row], [EXIT]],Sheet1!$A$70:$A$71,Sheet1!$B$70:$B$71)*(1+_xlfn.XLOOKUP(Table1[[#This Row], [EXIT]],Sheet1!$A$70:$A$71,Sheet1!$C$70:$C$71))</f>
        <v>1834779.5999999992</v>
      </c>
      <c r="L2030" s="13" t="s">
        <v>65</v>
      </c>
      <c r="M2030" s="4">
        <f>IF(Table1[[#This Row], [EQUIPMENT]]="YES",Sheet1!$C$44*(1+Sheet1!$D$44),0)</f>
        <v>307500</v>
      </c>
      <c r="N2030" s="4">
        <f>_xlfn.XLOOKUP(Table1[[#This Row], [ROOM]],Sheet1!$A$47:$A$66,Sheet1!$F$47:$F$66)</f>
        <v>17900000</v>
      </c>
      <c r="O2030" s="9">
        <f>_xlfn.XLOOKUP(_xlfn.CONCAT(Table1[[#This Row], [TEAM]],Table1[[#This Row], [ROOM]]),'ROOM TIME'!$H$2:$H$121,'ROOM TIME'!$J$2:$J$121)</f>
        <v>63.311249999999973</v>
      </c>
      <c r="P2030" s="9">
        <f>(INDEX(Sheet1!$X$48:$Z$67,MATCH(Table1[[#This Row], [ROOM]],Sheet1!$P$48:$P$67,0),MATCH(Table1[[#This Row], [WEAPON]],Sheet1!$X$47:$Z$47,0)))/Table1[[#This Row], [NUM OF MEM]]</f>
        <v>7.4749999999999996</v>
      </c>
      <c r="Q2030" s="9">
        <f>Table1[[#This Row], [ROOM TIME]]+Table1[[#This Row], [GUARD TIME]]</f>
        <v>70.786249999999967</v>
      </c>
      <c r="R2030" s="4">
        <f>Sheet1!$K$3*_xlfn.XLOOKUP(Table1[[#This Row], [DISGUISE]],Sheet1!$A$21:$A$23,Sheet1!$D$21:$D$23)</f>
        <v>66</v>
      </c>
      <c r="S2030" s="9">
        <f>Table1[[#This Row], [TOTAL TIME]]-Table1[[#This Row], [TOTAL TIME TAKEN]]</f>
        <v>-4.786249999999967</v>
      </c>
      <c r="T2030" t="str">
        <f>IF(Table1[[#This Row], [TIME DIFFERENCE]]&gt;=0,"PASS","FAIL")</f>
        <v>FAIL</v>
      </c>
      <c r="U2030" s="9">
        <f>Table1[[#This Row], [TRC]]+Table1[[#This Row], [DRC]]+Table1[[#This Row], [WRC]]+Table1[[#This Row], [ERC]]+Table1[[#This Row], [EQRC]]</f>
        <v>8176629.5999999996</v>
      </c>
      <c r="V2030" s="9">
        <f>Table1[[#This Row], [TOTAL COST]]+_xlfn.XLOOKUP(Table1[[#This Row], [TEAM]],Sheet1!$A$12:$A$17,Sheet1!$I$12:$I$17)</f>
        <v>8473277.0999999996</v>
      </c>
      <c r="W2030" s="9">
        <f>Table1[[#This Row], [LOOT]]-Table1[[#This Row], [TOTAL COST]]</f>
        <v>9723370.4000000004</v>
      </c>
      <c r="X2030" s="4">
        <f>IF(Table1[[#This Row], [PASS/FAIL]]="FAIL",0,Table1[[#This Row], [PROFIT]])</f>
        <v>0</v>
      </c>
    </row>
    <row r="2031" spans="1:24" ht="19.5" customHeight="1" x14ac:dyDescent="0.45">
      <c r="A2031" t="s">
        <v>15</v>
      </c>
      <c r="B2031" s="14">
        <f>_xlfn.XLOOKUP(Table1[[#This Row], [TEAM]],Sheet1!$A$12:$A$17,Sheet1!$F$12:$F$17)</f>
        <v>2</v>
      </c>
      <c r="C2031" s="14">
        <f>_xlfn.XLOOKUP(Table1[[#This Row], [TEAM]],Sheet1!$A$12:$A$17,Sheet1!$G$12:$G$17)</f>
        <v>5932950</v>
      </c>
      <c r="D2031" t="s">
        <v>21</v>
      </c>
      <c r="E2031" s="4">
        <f>_xlfn.XLOOKUP(Table1[[#This Row], [ROOM]],Sheet1!$A$47:$A$66,Sheet1!$B$47:$B$66)</f>
        <v>234</v>
      </c>
      <c r="F2031" t="s">
        <v>58</v>
      </c>
      <c r="G203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31" s="13" t="s">
        <v>59</v>
      </c>
      <c r="I2031" s="4">
        <f>_xlfn.XLOOKUP(Table1[[#This Row], [WEAPON]],Sheet1!$A$27:$A$29,Sheet1!$B$27:$B$29)*Table1[[#This Row], [NUM OF MEM]]*(1+_xlfn.XLOOKUP(Table1[[#This Row], [WEAPON]],Sheet1!$A$27:$A$29,Sheet1!$C$27:$C$29))</f>
        <v>91000</v>
      </c>
      <c r="J2031" t="s">
        <v>64</v>
      </c>
      <c r="K2031" s="9">
        <f>Table1[[#This Row], [NUM OF MEM]]*Table1[[#This Row], [TOTAL TIME TAKEN]]*_xlfn.XLOOKUP(Table1[[#This Row], [EXIT]],Sheet1!$A$70:$A$71,Sheet1!$B$70:$B$71)*(1+_xlfn.XLOOKUP(Table1[[#This Row], [EXIT]],Sheet1!$A$70:$A$71,Sheet1!$C$70:$C$71))</f>
        <v>1834779.5999999992</v>
      </c>
      <c r="L2031" s="13" t="s">
        <v>65</v>
      </c>
      <c r="M2031" s="4">
        <f>IF(Table1[[#This Row], [EQUIPMENT]]="YES",Sheet1!$C$44*(1+Sheet1!$D$44),0)</f>
        <v>307500</v>
      </c>
      <c r="N2031" s="4">
        <f>_xlfn.XLOOKUP(Table1[[#This Row], [ROOM]],Sheet1!$A$47:$A$66,Sheet1!$F$47:$F$66)</f>
        <v>17900000</v>
      </c>
      <c r="O2031" s="9">
        <f>_xlfn.XLOOKUP(_xlfn.CONCAT(Table1[[#This Row], [TEAM]],Table1[[#This Row], [ROOM]]),'ROOM TIME'!$H$2:$H$121,'ROOM TIME'!$J$2:$J$121)</f>
        <v>63.311249999999973</v>
      </c>
      <c r="P2031" s="9">
        <f>(INDEX(Sheet1!$X$48:$Z$67,MATCH(Table1[[#This Row], [ROOM]],Sheet1!$P$48:$P$67,0),MATCH(Table1[[#This Row], [WEAPON]],Sheet1!$X$47:$Z$47,0)))/Table1[[#This Row], [NUM OF MEM]]</f>
        <v>7.4749999999999996</v>
      </c>
      <c r="Q2031" s="9">
        <f>Table1[[#This Row], [ROOM TIME]]+Table1[[#This Row], [GUARD TIME]]</f>
        <v>70.786249999999967</v>
      </c>
      <c r="R2031" s="4">
        <f>Sheet1!$K$3*_xlfn.XLOOKUP(Table1[[#This Row], [DISGUISE]],Sheet1!$A$21:$A$23,Sheet1!$D$21:$D$23)</f>
        <v>69</v>
      </c>
      <c r="S2031" s="9">
        <f>Table1[[#This Row], [TOTAL TIME]]-Table1[[#This Row], [TOTAL TIME TAKEN]]</f>
        <v>-1.786249999999967</v>
      </c>
      <c r="T2031" t="str">
        <f>IF(Table1[[#This Row], [TIME DIFFERENCE]]&gt;=0,"PASS","FAIL")</f>
        <v>FAIL</v>
      </c>
      <c r="U2031" s="9">
        <f>Table1[[#This Row], [TRC]]+Table1[[#This Row], [DRC]]+Table1[[#This Row], [WRC]]+Table1[[#This Row], [ERC]]+Table1[[#This Row], [EQRC]]</f>
        <v>8191829.5999999996</v>
      </c>
      <c r="V2031" s="9">
        <f>Table1[[#This Row], [TOTAL COST]]+_xlfn.XLOOKUP(Table1[[#This Row], [TEAM]],Sheet1!$A$12:$A$17,Sheet1!$I$12:$I$17)</f>
        <v>8488477.0999999996</v>
      </c>
      <c r="W2031" s="9">
        <f>Table1[[#This Row], [LOOT]]-Table1[[#This Row], [TOTAL COST]]</f>
        <v>9708170.4000000004</v>
      </c>
      <c r="X2031" s="4">
        <f>IF(Table1[[#This Row], [PASS/FAIL]]="FAIL",0,Table1[[#This Row], [PROFIT]])</f>
        <v>0</v>
      </c>
    </row>
    <row r="2032" spans="1:24" ht="19.5" customHeight="1" x14ac:dyDescent="0.45">
      <c r="A2032" t="s">
        <v>15</v>
      </c>
      <c r="B2032" s="14">
        <f>_xlfn.XLOOKUP(Table1[[#This Row], [TEAM]],Sheet1!$A$12:$A$17,Sheet1!$F$12:$F$17)</f>
        <v>2</v>
      </c>
      <c r="C2032" s="14">
        <f>_xlfn.XLOOKUP(Table1[[#This Row], [TEAM]],Sheet1!$A$12:$A$17,Sheet1!$G$12:$G$17)</f>
        <v>5932950</v>
      </c>
      <c r="D2032" t="s">
        <v>21</v>
      </c>
      <c r="E2032" s="4">
        <f>_xlfn.XLOOKUP(Table1[[#This Row], [ROOM]],Sheet1!$A$47:$A$66,Sheet1!$B$47:$B$66)</f>
        <v>234</v>
      </c>
      <c r="F2032" t="s">
        <v>62</v>
      </c>
      <c r="G203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32" s="13" t="s">
        <v>63</v>
      </c>
      <c r="I2032" s="4">
        <f>_xlfn.XLOOKUP(Table1[[#This Row], [WEAPON]],Sheet1!$A$27:$A$29,Sheet1!$B$27:$B$29)*Table1[[#This Row], [NUM OF MEM]]*(1+_xlfn.XLOOKUP(Table1[[#This Row], [WEAPON]],Sheet1!$A$27:$A$29,Sheet1!$C$27:$C$29))</f>
        <v>46000</v>
      </c>
      <c r="J2032" t="s">
        <v>64</v>
      </c>
      <c r="K2032" s="9">
        <f>Table1[[#This Row], [NUM OF MEM]]*Table1[[#This Row], [TOTAL TIME TAKEN]]*_xlfn.XLOOKUP(Table1[[#This Row], [EXIT]],Sheet1!$A$70:$A$71,Sheet1!$B$70:$B$71)*(1+_xlfn.XLOOKUP(Table1[[#This Row], [EXIT]],Sheet1!$A$70:$A$71,Sheet1!$C$70:$C$71))</f>
        <v>1868475.5999999994</v>
      </c>
      <c r="L2032" s="13" t="s">
        <v>61</v>
      </c>
      <c r="M2032" s="4">
        <f>IF(Table1[[#This Row], [EQUIPMENT]]="YES",Sheet1!$C$44*(1+Sheet1!$D$44),0)</f>
        <v>0</v>
      </c>
      <c r="N2032" s="4">
        <f>_xlfn.XLOOKUP(Table1[[#This Row], [ROOM]],Sheet1!$A$47:$A$66,Sheet1!$F$47:$F$66)</f>
        <v>17900000</v>
      </c>
      <c r="O2032" s="9">
        <f>_xlfn.XLOOKUP(_xlfn.CONCAT(Table1[[#This Row], [TEAM]],Table1[[#This Row], [ROOM]]),'ROOM TIME'!$H$2:$H$121,'ROOM TIME'!$J$2:$J$121)</f>
        <v>63.311249999999973</v>
      </c>
      <c r="P2032" s="9">
        <f>(INDEX(Sheet1!$X$48:$Z$67,MATCH(Table1[[#This Row], [ROOM]],Sheet1!$P$48:$P$67,0),MATCH(Table1[[#This Row], [WEAPON]],Sheet1!$X$47:$Z$47,0)))/Table1[[#This Row], [NUM OF MEM]]</f>
        <v>8.7750000000000004</v>
      </c>
      <c r="Q2032" s="9">
        <f>Table1[[#This Row], [ROOM TIME]]+Table1[[#This Row], [GUARD TIME]]</f>
        <v>72.086249999999978</v>
      </c>
      <c r="R2032" s="4">
        <f>Sheet1!$K$3*_xlfn.XLOOKUP(Table1[[#This Row], [DISGUISE]],Sheet1!$A$21:$A$23,Sheet1!$D$21:$D$23)</f>
        <v>66</v>
      </c>
      <c r="S2032" s="9">
        <f>Table1[[#This Row], [TOTAL TIME]]-Table1[[#This Row], [TOTAL TIME TAKEN]]</f>
        <v>-6.0862499999999784</v>
      </c>
      <c r="T2032" t="str">
        <f>IF(Table1[[#This Row], [TIME DIFFERENCE]]&gt;=0,"PASS","FAIL")</f>
        <v>FAIL</v>
      </c>
      <c r="U2032" s="9">
        <f>Table1[[#This Row], [TRC]]+Table1[[#This Row], [DRC]]+Table1[[#This Row], [WRC]]+Table1[[#This Row], [ERC]]+Table1[[#This Row], [EQRC]]</f>
        <v>7857825.5999999996</v>
      </c>
      <c r="V2032" s="9">
        <f>Table1[[#This Row], [TOTAL COST]]+_xlfn.XLOOKUP(Table1[[#This Row], [TEAM]],Sheet1!$A$12:$A$17,Sheet1!$I$12:$I$17)</f>
        <v>8154473.0999999996</v>
      </c>
      <c r="W2032" s="9">
        <f>Table1[[#This Row], [LOOT]]-Table1[[#This Row], [TOTAL COST]]</f>
        <v>10042174.4</v>
      </c>
      <c r="X2032" s="4">
        <f>IF(Table1[[#This Row], [PASS/FAIL]]="FAIL",0,Table1[[#This Row], [PROFIT]])</f>
        <v>0</v>
      </c>
    </row>
    <row r="2033" spans="1:24" ht="19.5" customHeight="1" x14ac:dyDescent="0.45">
      <c r="A2033" t="s">
        <v>15</v>
      </c>
      <c r="B2033" s="14">
        <f>_xlfn.XLOOKUP(Table1[[#This Row], [TEAM]],Sheet1!$A$12:$A$17,Sheet1!$F$12:$F$17)</f>
        <v>2</v>
      </c>
      <c r="C2033" s="14">
        <f>_xlfn.XLOOKUP(Table1[[#This Row], [TEAM]],Sheet1!$A$12:$A$17,Sheet1!$G$12:$G$17)</f>
        <v>5932950</v>
      </c>
      <c r="D2033" t="s">
        <v>21</v>
      </c>
      <c r="E2033" s="4">
        <f>_xlfn.XLOOKUP(Table1[[#This Row], [ROOM]],Sheet1!$A$47:$A$66,Sheet1!$B$47:$B$66)</f>
        <v>234</v>
      </c>
      <c r="F2033" t="s">
        <v>58</v>
      </c>
      <c r="G203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33" s="13" t="s">
        <v>63</v>
      </c>
      <c r="I2033" s="4">
        <f>_xlfn.XLOOKUP(Table1[[#This Row], [WEAPON]],Sheet1!$A$27:$A$29,Sheet1!$B$27:$B$29)*Table1[[#This Row], [NUM OF MEM]]*(1+_xlfn.XLOOKUP(Table1[[#This Row], [WEAPON]],Sheet1!$A$27:$A$29,Sheet1!$C$27:$C$29))</f>
        <v>46000</v>
      </c>
      <c r="J2033" t="s">
        <v>64</v>
      </c>
      <c r="K2033" s="9">
        <f>Table1[[#This Row], [NUM OF MEM]]*Table1[[#This Row], [TOTAL TIME TAKEN]]*_xlfn.XLOOKUP(Table1[[#This Row], [EXIT]],Sheet1!$A$70:$A$71,Sheet1!$B$70:$B$71)*(1+_xlfn.XLOOKUP(Table1[[#This Row], [EXIT]],Sheet1!$A$70:$A$71,Sheet1!$C$70:$C$71))</f>
        <v>1868475.5999999994</v>
      </c>
      <c r="L2033" s="13" t="s">
        <v>61</v>
      </c>
      <c r="M2033" s="4">
        <f>IF(Table1[[#This Row], [EQUIPMENT]]="YES",Sheet1!$C$44*(1+Sheet1!$D$44),0)</f>
        <v>0</v>
      </c>
      <c r="N2033" s="4">
        <f>_xlfn.XLOOKUP(Table1[[#This Row], [ROOM]],Sheet1!$A$47:$A$66,Sheet1!$F$47:$F$66)</f>
        <v>17900000</v>
      </c>
      <c r="O2033" s="9">
        <f>_xlfn.XLOOKUP(_xlfn.CONCAT(Table1[[#This Row], [TEAM]],Table1[[#This Row], [ROOM]]),'ROOM TIME'!$H$2:$H$121,'ROOM TIME'!$J$2:$J$121)</f>
        <v>63.311249999999973</v>
      </c>
      <c r="P2033" s="9">
        <f>(INDEX(Sheet1!$X$48:$Z$67,MATCH(Table1[[#This Row], [ROOM]],Sheet1!$P$48:$P$67,0),MATCH(Table1[[#This Row], [WEAPON]],Sheet1!$X$47:$Z$47,0)))/Table1[[#This Row], [NUM OF MEM]]</f>
        <v>8.7750000000000004</v>
      </c>
      <c r="Q2033" s="9">
        <f>Table1[[#This Row], [ROOM TIME]]+Table1[[#This Row], [GUARD TIME]]</f>
        <v>72.086249999999978</v>
      </c>
      <c r="R2033" s="4">
        <f>Sheet1!$K$3*_xlfn.XLOOKUP(Table1[[#This Row], [DISGUISE]],Sheet1!$A$21:$A$23,Sheet1!$D$21:$D$23)</f>
        <v>69</v>
      </c>
      <c r="S2033" s="9">
        <f>Table1[[#This Row], [TOTAL TIME]]-Table1[[#This Row], [TOTAL TIME TAKEN]]</f>
        <v>-3.0862499999999784</v>
      </c>
      <c r="T2033" t="str">
        <f>IF(Table1[[#This Row], [TIME DIFFERENCE]]&gt;=0,"PASS","FAIL")</f>
        <v>FAIL</v>
      </c>
      <c r="U2033" s="9">
        <f>Table1[[#This Row], [TRC]]+Table1[[#This Row], [DRC]]+Table1[[#This Row], [WRC]]+Table1[[#This Row], [ERC]]+Table1[[#This Row], [EQRC]]</f>
        <v>7873025.5999999996</v>
      </c>
      <c r="V2033" s="9">
        <f>Table1[[#This Row], [TOTAL COST]]+_xlfn.XLOOKUP(Table1[[#This Row], [TEAM]],Sheet1!$A$12:$A$17,Sheet1!$I$12:$I$17)</f>
        <v>8169673.0999999996</v>
      </c>
      <c r="W2033" s="9">
        <f>Table1[[#This Row], [LOOT]]-Table1[[#This Row], [TOTAL COST]]</f>
        <v>10026974.4</v>
      </c>
      <c r="X2033" s="4">
        <f>IF(Table1[[#This Row], [PASS/FAIL]]="FAIL",0,Table1[[#This Row], [PROFIT]])</f>
        <v>0</v>
      </c>
    </row>
    <row r="2034" spans="1:24" ht="19.5" customHeight="1" x14ac:dyDescent="0.45">
      <c r="A2034" t="s">
        <v>15</v>
      </c>
      <c r="B2034" s="14">
        <f>_xlfn.XLOOKUP(Table1[[#This Row], [TEAM]],Sheet1!$A$12:$A$17,Sheet1!$F$12:$F$17)</f>
        <v>2</v>
      </c>
      <c r="C2034" s="14">
        <f>_xlfn.XLOOKUP(Table1[[#This Row], [TEAM]],Sheet1!$A$12:$A$17,Sheet1!$G$12:$G$17)</f>
        <v>5932950</v>
      </c>
      <c r="D2034" t="s">
        <v>21</v>
      </c>
      <c r="E2034" s="4">
        <f>_xlfn.XLOOKUP(Table1[[#This Row], [ROOM]],Sheet1!$A$47:$A$66,Sheet1!$B$47:$B$66)</f>
        <v>234</v>
      </c>
      <c r="F2034" t="s">
        <v>62</v>
      </c>
      <c r="G203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34" s="13" t="s">
        <v>63</v>
      </c>
      <c r="I2034" s="4">
        <f>_xlfn.XLOOKUP(Table1[[#This Row], [WEAPON]],Sheet1!$A$27:$A$29,Sheet1!$B$27:$B$29)*Table1[[#This Row], [NUM OF MEM]]*(1+_xlfn.XLOOKUP(Table1[[#This Row], [WEAPON]],Sheet1!$A$27:$A$29,Sheet1!$C$27:$C$29))</f>
        <v>46000</v>
      </c>
      <c r="J2034" t="s">
        <v>60</v>
      </c>
      <c r="K2034" s="9">
        <f>Table1[[#This Row], [NUM OF MEM]]*Table1[[#This Row], [TOTAL TIME TAKEN]]*_xlfn.XLOOKUP(Table1[[#This Row], [EXIT]],Sheet1!$A$70:$A$71,Sheet1!$B$70:$B$71)*(1+_xlfn.XLOOKUP(Table1[[#This Row], [EXIT]],Sheet1!$A$70:$A$71,Sheet1!$C$70:$C$71))</f>
        <v>1850093.6062499993</v>
      </c>
      <c r="L2034" s="13" t="s">
        <v>65</v>
      </c>
      <c r="M2034" s="4">
        <f>IF(Table1[[#This Row], [EQUIPMENT]]="YES",Sheet1!$C$44*(1+Sheet1!$D$44),0)</f>
        <v>307500</v>
      </c>
      <c r="N2034" s="4">
        <f>_xlfn.XLOOKUP(Table1[[#This Row], [ROOM]],Sheet1!$A$47:$A$66,Sheet1!$F$47:$F$66)</f>
        <v>17900000</v>
      </c>
      <c r="O2034" s="9">
        <f>_xlfn.XLOOKUP(_xlfn.CONCAT(Table1[[#This Row], [TEAM]],Table1[[#This Row], [ROOM]]),'ROOM TIME'!$H$2:$H$121,'ROOM TIME'!$J$2:$J$121)</f>
        <v>63.311249999999973</v>
      </c>
      <c r="P2034" s="9">
        <f>(INDEX(Sheet1!$X$48:$Z$67,MATCH(Table1[[#This Row], [ROOM]],Sheet1!$P$48:$P$67,0),MATCH(Table1[[#This Row], [WEAPON]],Sheet1!$X$47:$Z$47,0)))/Table1[[#This Row], [NUM OF MEM]]</f>
        <v>8.7750000000000004</v>
      </c>
      <c r="Q2034" s="9">
        <f>Table1[[#This Row], [ROOM TIME]]+Table1[[#This Row], [GUARD TIME]]</f>
        <v>72.086249999999978</v>
      </c>
      <c r="R2034" s="4">
        <f>Sheet1!$K$3*_xlfn.XLOOKUP(Table1[[#This Row], [DISGUISE]],Sheet1!$A$21:$A$23,Sheet1!$D$21:$D$23)</f>
        <v>66</v>
      </c>
      <c r="S2034" s="9">
        <f>Table1[[#This Row], [TOTAL TIME]]-Table1[[#This Row], [TOTAL TIME TAKEN]]</f>
        <v>-6.0862499999999784</v>
      </c>
      <c r="T2034" t="str">
        <f>IF(Table1[[#This Row], [TIME DIFFERENCE]]&gt;=0,"PASS","FAIL")</f>
        <v>FAIL</v>
      </c>
      <c r="U2034" s="9">
        <f>Table1[[#This Row], [TRC]]+Table1[[#This Row], [DRC]]+Table1[[#This Row], [WRC]]+Table1[[#This Row], [ERC]]+Table1[[#This Row], [EQRC]]</f>
        <v>8146943.6062499993</v>
      </c>
      <c r="V2034" s="9">
        <f>Table1[[#This Row], [TOTAL COST]]+_xlfn.XLOOKUP(Table1[[#This Row], [TEAM]],Sheet1!$A$12:$A$17,Sheet1!$I$12:$I$17)</f>
        <v>8443591.1062499993</v>
      </c>
      <c r="W2034" s="9">
        <f>Table1[[#This Row], [LOOT]]-Table1[[#This Row], [TOTAL COST]]</f>
        <v>9753056.3937500007</v>
      </c>
      <c r="X2034" s="4">
        <f>IF(Table1[[#This Row], [PASS/FAIL]]="FAIL",0,Table1[[#This Row], [PROFIT]])</f>
        <v>0</v>
      </c>
    </row>
    <row r="2035" spans="1:24" ht="19.5" customHeight="1" x14ac:dyDescent="0.45">
      <c r="A2035" t="s">
        <v>15</v>
      </c>
      <c r="B2035" s="14">
        <f>_xlfn.XLOOKUP(Table1[[#This Row], [TEAM]],Sheet1!$A$12:$A$17,Sheet1!$F$12:$F$17)</f>
        <v>2</v>
      </c>
      <c r="C2035" s="14">
        <f>_xlfn.XLOOKUP(Table1[[#This Row], [TEAM]],Sheet1!$A$12:$A$17,Sheet1!$G$12:$G$17)</f>
        <v>5932950</v>
      </c>
      <c r="D2035" t="s">
        <v>21</v>
      </c>
      <c r="E2035" s="4">
        <f>_xlfn.XLOOKUP(Table1[[#This Row], [ROOM]],Sheet1!$A$47:$A$66,Sheet1!$B$47:$B$66)</f>
        <v>234</v>
      </c>
      <c r="F2035" t="s">
        <v>58</v>
      </c>
      <c r="G203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35" s="13" t="s">
        <v>63</v>
      </c>
      <c r="I2035" s="4">
        <f>_xlfn.XLOOKUP(Table1[[#This Row], [WEAPON]],Sheet1!$A$27:$A$29,Sheet1!$B$27:$B$29)*Table1[[#This Row], [NUM OF MEM]]*(1+_xlfn.XLOOKUP(Table1[[#This Row], [WEAPON]],Sheet1!$A$27:$A$29,Sheet1!$C$27:$C$29))</f>
        <v>46000</v>
      </c>
      <c r="J2035" t="s">
        <v>60</v>
      </c>
      <c r="K2035" s="9">
        <f>Table1[[#This Row], [NUM OF MEM]]*Table1[[#This Row], [TOTAL TIME TAKEN]]*_xlfn.XLOOKUP(Table1[[#This Row], [EXIT]],Sheet1!$A$70:$A$71,Sheet1!$B$70:$B$71)*(1+_xlfn.XLOOKUP(Table1[[#This Row], [EXIT]],Sheet1!$A$70:$A$71,Sheet1!$C$70:$C$71))</f>
        <v>1850093.6062499993</v>
      </c>
      <c r="L2035" s="13" t="s">
        <v>65</v>
      </c>
      <c r="M2035" s="4">
        <f>IF(Table1[[#This Row], [EQUIPMENT]]="YES",Sheet1!$C$44*(1+Sheet1!$D$44),0)</f>
        <v>307500</v>
      </c>
      <c r="N2035" s="4">
        <f>_xlfn.XLOOKUP(Table1[[#This Row], [ROOM]],Sheet1!$A$47:$A$66,Sheet1!$F$47:$F$66)</f>
        <v>17900000</v>
      </c>
      <c r="O2035" s="9">
        <f>_xlfn.XLOOKUP(_xlfn.CONCAT(Table1[[#This Row], [TEAM]],Table1[[#This Row], [ROOM]]),'ROOM TIME'!$H$2:$H$121,'ROOM TIME'!$J$2:$J$121)</f>
        <v>63.311249999999973</v>
      </c>
      <c r="P2035" s="9">
        <f>(INDEX(Sheet1!$X$48:$Z$67,MATCH(Table1[[#This Row], [ROOM]],Sheet1!$P$48:$P$67,0),MATCH(Table1[[#This Row], [WEAPON]],Sheet1!$X$47:$Z$47,0)))/Table1[[#This Row], [NUM OF MEM]]</f>
        <v>8.7750000000000004</v>
      </c>
      <c r="Q2035" s="9">
        <f>Table1[[#This Row], [ROOM TIME]]+Table1[[#This Row], [GUARD TIME]]</f>
        <v>72.086249999999978</v>
      </c>
      <c r="R2035" s="4">
        <f>Sheet1!$K$3*_xlfn.XLOOKUP(Table1[[#This Row], [DISGUISE]],Sheet1!$A$21:$A$23,Sheet1!$D$21:$D$23)</f>
        <v>69</v>
      </c>
      <c r="S2035" s="9">
        <f>Table1[[#This Row], [TOTAL TIME]]-Table1[[#This Row], [TOTAL TIME TAKEN]]</f>
        <v>-3.0862499999999784</v>
      </c>
      <c r="T2035" t="str">
        <f>IF(Table1[[#This Row], [TIME DIFFERENCE]]&gt;=0,"PASS","FAIL")</f>
        <v>FAIL</v>
      </c>
      <c r="U2035" s="9">
        <f>Table1[[#This Row], [TRC]]+Table1[[#This Row], [DRC]]+Table1[[#This Row], [WRC]]+Table1[[#This Row], [ERC]]+Table1[[#This Row], [EQRC]]</f>
        <v>8162143.6062499993</v>
      </c>
      <c r="V2035" s="9">
        <f>Table1[[#This Row], [TOTAL COST]]+_xlfn.XLOOKUP(Table1[[#This Row], [TEAM]],Sheet1!$A$12:$A$17,Sheet1!$I$12:$I$17)</f>
        <v>8458791.1062499993</v>
      </c>
      <c r="W2035" s="9">
        <f>Table1[[#This Row], [LOOT]]-Table1[[#This Row], [TOTAL COST]]</f>
        <v>9737856.3937500007</v>
      </c>
      <c r="X2035" s="4">
        <f>IF(Table1[[#This Row], [PASS/FAIL]]="FAIL",0,Table1[[#This Row], [PROFIT]])</f>
        <v>0</v>
      </c>
    </row>
    <row r="2036" spans="1:24" ht="19.5" customHeight="1" x14ac:dyDescent="0.45">
      <c r="A2036" t="s">
        <v>15</v>
      </c>
      <c r="B2036" s="14">
        <f>_xlfn.XLOOKUP(Table1[[#This Row], [TEAM]],Sheet1!$A$12:$A$17,Sheet1!$F$12:$F$17)</f>
        <v>2</v>
      </c>
      <c r="C2036" s="14">
        <f>_xlfn.XLOOKUP(Table1[[#This Row], [TEAM]],Sheet1!$A$12:$A$17,Sheet1!$G$12:$G$17)</f>
        <v>5932950</v>
      </c>
      <c r="D2036" t="s">
        <v>21</v>
      </c>
      <c r="E2036" s="4">
        <f>_xlfn.XLOOKUP(Table1[[#This Row], [ROOM]],Sheet1!$A$47:$A$66,Sheet1!$B$47:$B$66)</f>
        <v>234</v>
      </c>
      <c r="F2036" t="s">
        <v>62</v>
      </c>
      <c r="G203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36" s="13" t="s">
        <v>63</v>
      </c>
      <c r="I2036" s="4">
        <f>_xlfn.XLOOKUP(Table1[[#This Row], [WEAPON]],Sheet1!$A$27:$A$29,Sheet1!$B$27:$B$29)*Table1[[#This Row], [NUM OF MEM]]*(1+_xlfn.XLOOKUP(Table1[[#This Row], [WEAPON]],Sheet1!$A$27:$A$29,Sheet1!$C$27:$C$29))</f>
        <v>46000</v>
      </c>
      <c r="J2036" t="s">
        <v>64</v>
      </c>
      <c r="K2036" s="9">
        <f>Table1[[#This Row], [NUM OF MEM]]*Table1[[#This Row], [TOTAL TIME TAKEN]]*_xlfn.XLOOKUP(Table1[[#This Row], [EXIT]],Sheet1!$A$70:$A$71,Sheet1!$B$70:$B$71)*(1+_xlfn.XLOOKUP(Table1[[#This Row], [EXIT]],Sheet1!$A$70:$A$71,Sheet1!$C$70:$C$71))</f>
        <v>1868475.5999999994</v>
      </c>
      <c r="L2036" s="13" t="s">
        <v>65</v>
      </c>
      <c r="M2036" s="4">
        <f>IF(Table1[[#This Row], [EQUIPMENT]]="YES",Sheet1!$C$44*(1+Sheet1!$D$44),0)</f>
        <v>307500</v>
      </c>
      <c r="N2036" s="4">
        <f>_xlfn.XLOOKUP(Table1[[#This Row], [ROOM]],Sheet1!$A$47:$A$66,Sheet1!$F$47:$F$66)</f>
        <v>17900000</v>
      </c>
      <c r="O2036" s="9">
        <f>_xlfn.XLOOKUP(_xlfn.CONCAT(Table1[[#This Row], [TEAM]],Table1[[#This Row], [ROOM]]),'ROOM TIME'!$H$2:$H$121,'ROOM TIME'!$J$2:$J$121)</f>
        <v>63.311249999999973</v>
      </c>
      <c r="P2036" s="9">
        <f>(INDEX(Sheet1!$X$48:$Z$67,MATCH(Table1[[#This Row], [ROOM]],Sheet1!$P$48:$P$67,0),MATCH(Table1[[#This Row], [WEAPON]],Sheet1!$X$47:$Z$47,0)))/Table1[[#This Row], [NUM OF MEM]]</f>
        <v>8.7750000000000004</v>
      </c>
      <c r="Q2036" s="9">
        <f>Table1[[#This Row], [ROOM TIME]]+Table1[[#This Row], [GUARD TIME]]</f>
        <v>72.086249999999978</v>
      </c>
      <c r="R2036" s="4">
        <f>Sheet1!$K$3*_xlfn.XLOOKUP(Table1[[#This Row], [DISGUISE]],Sheet1!$A$21:$A$23,Sheet1!$D$21:$D$23)</f>
        <v>66</v>
      </c>
      <c r="S2036" s="9">
        <f>Table1[[#This Row], [TOTAL TIME]]-Table1[[#This Row], [TOTAL TIME TAKEN]]</f>
        <v>-6.0862499999999784</v>
      </c>
      <c r="T2036" t="str">
        <f>IF(Table1[[#This Row], [TIME DIFFERENCE]]&gt;=0,"PASS","FAIL")</f>
        <v>FAIL</v>
      </c>
      <c r="U2036" s="9">
        <f>Table1[[#This Row], [TRC]]+Table1[[#This Row], [DRC]]+Table1[[#This Row], [WRC]]+Table1[[#This Row], [ERC]]+Table1[[#This Row], [EQRC]]</f>
        <v>8165325.5999999996</v>
      </c>
      <c r="V2036" s="9">
        <f>Table1[[#This Row], [TOTAL COST]]+_xlfn.XLOOKUP(Table1[[#This Row], [TEAM]],Sheet1!$A$12:$A$17,Sheet1!$I$12:$I$17)</f>
        <v>8461973.0999999996</v>
      </c>
      <c r="W2036" s="9">
        <f>Table1[[#This Row], [LOOT]]-Table1[[#This Row], [TOTAL COST]]</f>
        <v>9734674.4000000004</v>
      </c>
      <c r="X2036" s="4">
        <f>IF(Table1[[#This Row], [PASS/FAIL]]="FAIL",0,Table1[[#This Row], [PROFIT]])</f>
        <v>0</v>
      </c>
    </row>
    <row r="2037" spans="1:24" ht="19.5" customHeight="1" x14ac:dyDescent="0.45">
      <c r="A2037" t="s">
        <v>15</v>
      </c>
      <c r="B2037" s="14">
        <f>_xlfn.XLOOKUP(Table1[[#This Row], [TEAM]],Sheet1!$A$12:$A$17,Sheet1!$F$12:$F$17)</f>
        <v>2</v>
      </c>
      <c r="C2037" s="14">
        <f>_xlfn.XLOOKUP(Table1[[#This Row], [TEAM]],Sheet1!$A$12:$A$17,Sheet1!$G$12:$G$17)</f>
        <v>5932950</v>
      </c>
      <c r="D2037" t="s">
        <v>21</v>
      </c>
      <c r="E2037" s="4">
        <f>_xlfn.XLOOKUP(Table1[[#This Row], [ROOM]],Sheet1!$A$47:$A$66,Sheet1!$B$47:$B$66)</f>
        <v>234</v>
      </c>
      <c r="F2037" t="s">
        <v>58</v>
      </c>
      <c r="G203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37" s="13" t="s">
        <v>63</v>
      </c>
      <c r="I2037" s="4">
        <f>_xlfn.XLOOKUP(Table1[[#This Row], [WEAPON]],Sheet1!$A$27:$A$29,Sheet1!$B$27:$B$29)*Table1[[#This Row], [NUM OF MEM]]*(1+_xlfn.XLOOKUP(Table1[[#This Row], [WEAPON]],Sheet1!$A$27:$A$29,Sheet1!$C$27:$C$29))</f>
        <v>46000</v>
      </c>
      <c r="J2037" t="s">
        <v>64</v>
      </c>
      <c r="K2037" s="9">
        <f>Table1[[#This Row], [NUM OF MEM]]*Table1[[#This Row], [TOTAL TIME TAKEN]]*_xlfn.XLOOKUP(Table1[[#This Row], [EXIT]],Sheet1!$A$70:$A$71,Sheet1!$B$70:$B$71)*(1+_xlfn.XLOOKUP(Table1[[#This Row], [EXIT]],Sheet1!$A$70:$A$71,Sheet1!$C$70:$C$71))</f>
        <v>1868475.5999999994</v>
      </c>
      <c r="L2037" s="13" t="s">
        <v>65</v>
      </c>
      <c r="M2037" s="4">
        <f>IF(Table1[[#This Row], [EQUIPMENT]]="YES",Sheet1!$C$44*(1+Sheet1!$D$44),0)</f>
        <v>307500</v>
      </c>
      <c r="N2037" s="4">
        <f>_xlfn.XLOOKUP(Table1[[#This Row], [ROOM]],Sheet1!$A$47:$A$66,Sheet1!$F$47:$F$66)</f>
        <v>17900000</v>
      </c>
      <c r="O2037" s="9">
        <f>_xlfn.XLOOKUP(_xlfn.CONCAT(Table1[[#This Row], [TEAM]],Table1[[#This Row], [ROOM]]),'ROOM TIME'!$H$2:$H$121,'ROOM TIME'!$J$2:$J$121)</f>
        <v>63.311249999999973</v>
      </c>
      <c r="P2037" s="9">
        <f>(INDEX(Sheet1!$X$48:$Z$67,MATCH(Table1[[#This Row], [ROOM]],Sheet1!$P$48:$P$67,0),MATCH(Table1[[#This Row], [WEAPON]],Sheet1!$X$47:$Z$47,0)))/Table1[[#This Row], [NUM OF MEM]]</f>
        <v>8.7750000000000004</v>
      </c>
      <c r="Q2037" s="9">
        <f>Table1[[#This Row], [ROOM TIME]]+Table1[[#This Row], [GUARD TIME]]</f>
        <v>72.086249999999978</v>
      </c>
      <c r="R2037" s="4">
        <f>Sheet1!$K$3*_xlfn.XLOOKUP(Table1[[#This Row], [DISGUISE]],Sheet1!$A$21:$A$23,Sheet1!$D$21:$D$23)</f>
        <v>69</v>
      </c>
      <c r="S2037" s="9">
        <f>Table1[[#This Row], [TOTAL TIME]]-Table1[[#This Row], [TOTAL TIME TAKEN]]</f>
        <v>-3.0862499999999784</v>
      </c>
      <c r="T2037" t="str">
        <f>IF(Table1[[#This Row], [TIME DIFFERENCE]]&gt;=0,"PASS","FAIL")</f>
        <v>FAIL</v>
      </c>
      <c r="U2037" s="9">
        <f>Table1[[#This Row], [TRC]]+Table1[[#This Row], [DRC]]+Table1[[#This Row], [WRC]]+Table1[[#This Row], [ERC]]+Table1[[#This Row], [EQRC]]</f>
        <v>8180525.5999999996</v>
      </c>
      <c r="V2037" s="9">
        <f>Table1[[#This Row], [TOTAL COST]]+_xlfn.XLOOKUP(Table1[[#This Row], [TEAM]],Sheet1!$A$12:$A$17,Sheet1!$I$12:$I$17)</f>
        <v>8477173.0999999996</v>
      </c>
      <c r="W2037" s="9">
        <f>Table1[[#This Row], [LOOT]]-Table1[[#This Row], [TOTAL COST]]</f>
        <v>9719474.4000000004</v>
      </c>
      <c r="X2037" s="4">
        <f>IF(Table1[[#This Row], [PASS/FAIL]]="FAIL",0,Table1[[#This Row], [PROFIT]])</f>
        <v>0</v>
      </c>
    </row>
    <row r="2038" spans="1:24" ht="19.5" customHeight="1" x14ac:dyDescent="0.45">
      <c r="A2038" t="s">
        <v>15</v>
      </c>
      <c r="B2038" s="14">
        <f>_xlfn.XLOOKUP(Table1[[#This Row], [TEAM]],Sheet1!$A$12:$A$17,Sheet1!$F$12:$F$17)</f>
        <v>2</v>
      </c>
      <c r="C2038" s="14">
        <f>_xlfn.XLOOKUP(Table1[[#This Row], [TEAM]],Sheet1!$A$12:$A$17,Sheet1!$G$12:$G$17)</f>
        <v>5932950</v>
      </c>
      <c r="D2038" t="s">
        <v>21</v>
      </c>
      <c r="E2038" s="4">
        <f>_xlfn.XLOOKUP(Table1[[#This Row], [ROOM]],Sheet1!$A$47:$A$66,Sheet1!$B$47:$B$66)</f>
        <v>234</v>
      </c>
      <c r="F2038" t="s">
        <v>62</v>
      </c>
      <c r="G203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38" s="13" t="s">
        <v>66</v>
      </c>
      <c r="I2038" s="4">
        <f>_xlfn.XLOOKUP(Table1[[#This Row], [WEAPON]],Sheet1!$A$27:$A$29,Sheet1!$B$27:$B$29)*Table1[[#This Row], [NUM OF MEM]]*(1+_xlfn.XLOOKUP(Table1[[#This Row], [WEAPON]],Sheet1!$A$27:$A$29,Sheet1!$C$27:$C$29))</f>
        <v>72000</v>
      </c>
      <c r="J2038" t="s">
        <v>60</v>
      </c>
      <c r="K2038" s="9">
        <f>Table1[[#This Row], [NUM OF MEM]]*Table1[[#This Row], [TOTAL TIME TAKEN]]*_xlfn.XLOOKUP(Table1[[#This Row], [EXIT]],Sheet1!$A$70:$A$71,Sheet1!$B$70:$B$71)*(1+_xlfn.XLOOKUP(Table1[[#This Row], [EXIT]],Sheet1!$A$70:$A$71,Sheet1!$C$70:$C$71))</f>
        <v>1833411.3562499993</v>
      </c>
      <c r="L2038" s="13" t="s">
        <v>61</v>
      </c>
      <c r="M2038" s="4">
        <f>IF(Table1[[#This Row], [EQUIPMENT]]="YES",Sheet1!$C$44*(1+Sheet1!$D$44),0)</f>
        <v>0</v>
      </c>
      <c r="N2038" s="4">
        <f>_xlfn.XLOOKUP(Table1[[#This Row], [ROOM]],Sheet1!$A$47:$A$66,Sheet1!$F$47:$F$66)</f>
        <v>17900000</v>
      </c>
      <c r="O2038" s="9">
        <f>_xlfn.XLOOKUP(_xlfn.CONCAT(Table1[[#This Row], [TEAM]],Table1[[#This Row], [ROOM]]),'ROOM TIME'!$H$2:$H$121,'ROOM TIME'!$J$2:$J$121)</f>
        <v>63.311249999999973</v>
      </c>
      <c r="P2038" s="9">
        <f>(INDEX(Sheet1!$X$48:$Z$67,MATCH(Table1[[#This Row], [ROOM]],Sheet1!$P$48:$P$67,0),MATCH(Table1[[#This Row], [WEAPON]],Sheet1!$X$47:$Z$47,0)))/Table1[[#This Row], [NUM OF MEM]]</f>
        <v>8.125</v>
      </c>
      <c r="Q2038" s="9">
        <f>Table1[[#This Row], [ROOM TIME]]+Table1[[#This Row], [GUARD TIME]]</f>
        <v>71.436249999999973</v>
      </c>
      <c r="R2038" s="4">
        <f>Sheet1!$K$3*_xlfn.XLOOKUP(Table1[[#This Row], [DISGUISE]],Sheet1!$A$21:$A$23,Sheet1!$D$21:$D$23)</f>
        <v>66</v>
      </c>
      <c r="S2038" s="9">
        <f>Table1[[#This Row], [TOTAL TIME]]-Table1[[#This Row], [TOTAL TIME TAKEN]]</f>
        <v>-5.4362499999999727</v>
      </c>
      <c r="T2038" t="str">
        <f>IF(Table1[[#This Row], [TIME DIFFERENCE]]&gt;=0,"PASS","FAIL")</f>
        <v>FAIL</v>
      </c>
      <c r="U2038" s="9">
        <f>Table1[[#This Row], [TRC]]+Table1[[#This Row], [DRC]]+Table1[[#This Row], [WRC]]+Table1[[#This Row], [ERC]]+Table1[[#This Row], [EQRC]]</f>
        <v>7848761.3562499993</v>
      </c>
      <c r="V2038" s="9">
        <f>Table1[[#This Row], [TOTAL COST]]+_xlfn.XLOOKUP(Table1[[#This Row], [TEAM]],Sheet1!$A$12:$A$17,Sheet1!$I$12:$I$17)</f>
        <v>8145408.8562499993</v>
      </c>
      <c r="W2038" s="9">
        <f>Table1[[#This Row], [LOOT]]-Table1[[#This Row], [TOTAL COST]]</f>
        <v>10051238.643750001</v>
      </c>
      <c r="X2038" s="4">
        <f>IF(Table1[[#This Row], [PASS/FAIL]]="FAIL",0,Table1[[#This Row], [PROFIT]])</f>
        <v>0</v>
      </c>
    </row>
    <row r="2039" spans="1:24" ht="19.5" customHeight="1" x14ac:dyDescent="0.45">
      <c r="A2039" t="s">
        <v>15</v>
      </c>
      <c r="B2039" s="14">
        <f>_xlfn.XLOOKUP(Table1[[#This Row], [TEAM]],Sheet1!$A$12:$A$17,Sheet1!$F$12:$F$17)</f>
        <v>2</v>
      </c>
      <c r="C2039" s="14">
        <f>_xlfn.XLOOKUP(Table1[[#This Row], [TEAM]],Sheet1!$A$12:$A$17,Sheet1!$G$12:$G$17)</f>
        <v>5932950</v>
      </c>
      <c r="D2039" t="s">
        <v>21</v>
      </c>
      <c r="E2039" s="4">
        <f>_xlfn.XLOOKUP(Table1[[#This Row], [ROOM]],Sheet1!$A$47:$A$66,Sheet1!$B$47:$B$66)</f>
        <v>234</v>
      </c>
      <c r="F2039" t="s">
        <v>58</v>
      </c>
      <c r="G203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39" s="13" t="s">
        <v>66</v>
      </c>
      <c r="I2039" s="4">
        <f>_xlfn.XLOOKUP(Table1[[#This Row], [WEAPON]],Sheet1!$A$27:$A$29,Sheet1!$B$27:$B$29)*Table1[[#This Row], [NUM OF MEM]]*(1+_xlfn.XLOOKUP(Table1[[#This Row], [WEAPON]],Sheet1!$A$27:$A$29,Sheet1!$C$27:$C$29))</f>
        <v>72000</v>
      </c>
      <c r="J2039" t="s">
        <v>60</v>
      </c>
      <c r="K2039" s="9">
        <f>Table1[[#This Row], [NUM OF MEM]]*Table1[[#This Row], [TOTAL TIME TAKEN]]*_xlfn.XLOOKUP(Table1[[#This Row], [EXIT]],Sheet1!$A$70:$A$71,Sheet1!$B$70:$B$71)*(1+_xlfn.XLOOKUP(Table1[[#This Row], [EXIT]],Sheet1!$A$70:$A$71,Sheet1!$C$70:$C$71))</f>
        <v>1833411.3562499993</v>
      </c>
      <c r="L2039" s="13" t="s">
        <v>61</v>
      </c>
      <c r="M2039" s="4">
        <f>IF(Table1[[#This Row], [EQUIPMENT]]="YES",Sheet1!$C$44*(1+Sheet1!$D$44),0)</f>
        <v>0</v>
      </c>
      <c r="N2039" s="4">
        <f>_xlfn.XLOOKUP(Table1[[#This Row], [ROOM]],Sheet1!$A$47:$A$66,Sheet1!$F$47:$F$66)</f>
        <v>17900000</v>
      </c>
      <c r="O2039" s="9">
        <f>_xlfn.XLOOKUP(_xlfn.CONCAT(Table1[[#This Row], [TEAM]],Table1[[#This Row], [ROOM]]),'ROOM TIME'!$H$2:$H$121,'ROOM TIME'!$J$2:$J$121)</f>
        <v>63.311249999999973</v>
      </c>
      <c r="P2039" s="9">
        <f>(INDEX(Sheet1!$X$48:$Z$67,MATCH(Table1[[#This Row], [ROOM]],Sheet1!$P$48:$P$67,0),MATCH(Table1[[#This Row], [WEAPON]],Sheet1!$X$47:$Z$47,0)))/Table1[[#This Row], [NUM OF MEM]]</f>
        <v>8.125</v>
      </c>
      <c r="Q2039" s="9">
        <f>Table1[[#This Row], [ROOM TIME]]+Table1[[#This Row], [GUARD TIME]]</f>
        <v>71.436249999999973</v>
      </c>
      <c r="R2039" s="4">
        <f>Sheet1!$K$3*_xlfn.XLOOKUP(Table1[[#This Row], [DISGUISE]],Sheet1!$A$21:$A$23,Sheet1!$D$21:$D$23)</f>
        <v>69</v>
      </c>
      <c r="S2039" s="9">
        <f>Table1[[#This Row], [TOTAL TIME]]-Table1[[#This Row], [TOTAL TIME TAKEN]]</f>
        <v>-2.4362499999999727</v>
      </c>
      <c r="T2039" t="str">
        <f>IF(Table1[[#This Row], [TIME DIFFERENCE]]&gt;=0,"PASS","FAIL")</f>
        <v>FAIL</v>
      </c>
      <c r="U2039" s="9">
        <f>Table1[[#This Row], [TRC]]+Table1[[#This Row], [DRC]]+Table1[[#This Row], [WRC]]+Table1[[#This Row], [ERC]]+Table1[[#This Row], [EQRC]]</f>
        <v>7863961.3562499993</v>
      </c>
      <c r="V2039" s="9">
        <f>Table1[[#This Row], [TOTAL COST]]+_xlfn.XLOOKUP(Table1[[#This Row], [TEAM]],Sheet1!$A$12:$A$17,Sheet1!$I$12:$I$17)</f>
        <v>8160608.8562499993</v>
      </c>
      <c r="W2039" s="9">
        <f>Table1[[#This Row], [LOOT]]-Table1[[#This Row], [TOTAL COST]]</f>
        <v>10036038.643750001</v>
      </c>
      <c r="X2039" s="4">
        <f>IF(Table1[[#This Row], [PASS/FAIL]]="FAIL",0,Table1[[#This Row], [PROFIT]])</f>
        <v>0</v>
      </c>
    </row>
    <row r="2040" spans="1:24" ht="19.5" customHeight="1" x14ac:dyDescent="0.45">
      <c r="A2040" t="s">
        <v>15</v>
      </c>
      <c r="B2040" s="14">
        <f>_xlfn.XLOOKUP(Table1[[#This Row], [TEAM]],Sheet1!$A$12:$A$17,Sheet1!$F$12:$F$17)</f>
        <v>2</v>
      </c>
      <c r="C2040" s="14">
        <f>_xlfn.XLOOKUP(Table1[[#This Row], [TEAM]],Sheet1!$A$12:$A$17,Sheet1!$G$12:$G$17)</f>
        <v>5932950</v>
      </c>
      <c r="D2040" t="s">
        <v>21</v>
      </c>
      <c r="E2040" s="4">
        <f>_xlfn.XLOOKUP(Table1[[#This Row], [ROOM]],Sheet1!$A$47:$A$66,Sheet1!$B$47:$B$66)</f>
        <v>234</v>
      </c>
      <c r="F2040" t="s">
        <v>62</v>
      </c>
      <c r="G204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40" s="13" t="s">
        <v>66</v>
      </c>
      <c r="I2040" s="4">
        <f>_xlfn.XLOOKUP(Table1[[#This Row], [WEAPON]],Sheet1!$A$27:$A$29,Sheet1!$B$27:$B$29)*Table1[[#This Row], [NUM OF MEM]]*(1+_xlfn.XLOOKUP(Table1[[#This Row], [WEAPON]],Sheet1!$A$27:$A$29,Sheet1!$C$27:$C$29))</f>
        <v>72000</v>
      </c>
      <c r="J2040" t="s">
        <v>64</v>
      </c>
      <c r="K2040" s="9">
        <f>Table1[[#This Row], [NUM OF MEM]]*Table1[[#This Row], [TOTAL TIME TAKEN]]*_xlfn.XLOOKUP(Table1[[#This Row], [EXIT]],Sheet1!$A$70:$A$71,Sheet1!$B$70:$B$71)*(1+_xlfn.XLOOKUP(Table1[[#This Row], [EXIT]],Sheet1!$A$70:$A$71,Sheet1!$C$70:$C$71))</f>
        <v>1851627.5999999992</v>
      </c>
      <c r="L2040" s="13" t="s">
        <v>61</v>
      </c>
      <c r="M2040" s="4">
        <f>IF(Table1[[#This Row], [EQUIPMENT]]="YES",Sheet1!$C$44*(1+Sheet1!$D$44),0)</f>
        <v>0</v>
      </c>
      <c r="N2040" s="4">
        <f>_xlfn.XLOOKUP(Table1[[#This Row], [ROOM]],Sheet1!$A$47:$A$66,Sheet1!$F$47:$F$66)</f>
        <v>17900000</v>
      </c>
      <c r="O2040" s="9">
        <f>_xlfn.XLOOKUP(_xlfn.CONCAT(Table1[[#This Row], [TEAM]],Table1[[#This Row], [ROOM]]),'ROOM TIME'!$H$2:$H$121,'ROOM TIME'!$J$2:$J$121)</f>
        <v>63.311249999999973</v>
      </c>
      <c r="P2040" s="9">
        <f>(INDEX(Sheet1!$X$48:$Z$67,MATCH(Table1[[#This Row], [ROOM]],Sheet1!$P$48:$P$67,0),MATCH(Table1[[#This Row], [WEAPON]],Sheet1!$X$47:$Z$47,0)))/Table1[[#This Row], [NUM OF MEM]]</f>
        <v>8.125</v>
      </c>
      <c r="Q2040" s="9">
        <f>Table1[[#This Row], [ROOM TIME]]+Table1[[#This Row], [GUARD TIME]]</f>
        <v>71.436249999999973</v>
      </c>
      <c r="R2040" s="4">
        <f>Sheet1!$K$3*_xlfn.XLOOKUP(Table1[[#This Row], [DISGUISE]],Sheet1!$A$21:$A$23,Sheet1!$D$21:$D$23)</f>
        <v>66</v>
      </c>
      <c r="S2040" s="9">
        <f>Table1[[#This Row], [TOTAL TIME]]-Table1[[#This Row], [TOTAL TIME TAKEN]]</f>
        <v>-5.4362499999999727</v>
      </c>
      <c r="T2040" t="str">
        <f>IF(Table1[[#This Row], [TIME DIFFERENCE]]&gt;=0,"PASS","FAIL")</f>
        <v>FAIL</v>
      </c>
      <c r="U2040" s="9">
        <f>Table1[[#This Row], [TRC]]+Table1[[#This Row], [DRC]]+Table1[[#This Row], [WRC]]+Table1[[#This Row], [ERC]]+Table1[[#This Row], [EQRC]]</f>
        <v>7866977.5999999996</v>
      </c>
      <c r="V2040" s="9">
        <f>Table1[[#This Row], [TOTAL COST]]+_xlfn.XLOOKUP(Table1[[#This Row], [TEAM]],Sheet1!$A$12:$A$17,Sheet1!$I$12:$I$17)</f>
        <v>8163625.0999999996</v>
      </c>
      <c r="W2040" s="9">
        <f>Table1[[#This Row], [LOOT]]-Table1[[#This Row], [TOTAL COST]]</f>
        <v>10033022.4</v>
      </c>
      <c r="X2040" s="4">
        <f>IF(Table1[[#This Row], [PASS/FAIL]]="FAIL",0,Table1[[#This Row], [PROFIT]])</f>
        <v>0</v>
      </c>
    </row>
    <row r="2041" spans="1:24" ht="19.5" customHeight="1" x14ac:dyDescent="0.45">
      <c r="A2041" t="s">
        <v>15</v>
      </c>
      <c r="B2041" s="14">
        <f>_xlfn.XLOOKUP(Table1[[#This Row], [TEAM]],Sheet1!$A$12:$A$17,Sheet1!$F$12:$F$17)</f>
        <v>2</v>
      </c>
      <c r="C2041" s="14">
        <f>_xlfn.XLOOKUP(Table1[[#This Row], [TEAM]],Sheet1!$A$12:$A$17,Sheet1!$G$12:$G$17)</f>
        <v>5932950</v>
      </c>
      <c r="D2041" t="s">
        <v>21</v>
      </c>
      <c r="E2041" s="4">
        <f>_xlfn.XLOOKUP(Table1[[#This Row], [ROOM]],Sheet1!$A$47:$A$66,Sheet1!$B$47:$B$66)</f>
        <v>234</v>
      </c>
      <c r="F2041" t="s">
        <v>58</v>
      </c>
      <c r="G204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1" s="13" t="s">
        <v>66</v>
      </c>
      <c r="I2041" s="4">
        <f>_xlfn.XLOOKUP(Table1[[#This Row], [WEAPON]],Sheet1!$A$27:$A$29,Sheet1!$B$27:$B$29)*Table1[[#This Row], [NUM OF MEM]]*(1+_xlfn.XLOOKUP(Table1[[#This Row], [WEAPON]],Sheet1!$A$27:$A$29,Sheet1!$C$27:$C$29))</f>
        <v>72000</v>
      </c>
      <c r="J2041" t="s">
        <v>64</v>
      </c>
      <c r="K2041" s="9">
        <f>Table1[[#This Row], [NUM OF MEM]]*Table1[[#This Row], [TOTAL TIME TAKEN]]*_xlfn.XLOOKUP(Table1[[#This Row], [EXIT]],Sheet1!$A$70:$A$71,Sheet1!$B$70:$B$71)*(1+_xlfn.XLOOKUP(Table1[[#This Row], [EXIT]],Sheet1!$A$70:$A$71,Sheet1!$C$70:$C$71))</f>
        <v>1851627.5999999992</v>
      </c>
      <c r="L2041" s="13" t="s">
        <v>61</v>
      </c>
      <c r="M2041" s="4">
        <f>IF(Table1[[#This Row], [EQUIPMENT]]="YES",Sheet1!$C$44*(1+Sheet1!$D$44),0)</f>
        <v>0</v>
      </c>
      <c r="N2041" s="4">
        <f>_xlfn.XLOOKUP(Table1[[#This Row], [ROOM]],Sheet1!$A$47:$A$66,Sheet1!$F$47:$F$66)</f>
        <v>17900000</v>
      </c>
      <c r="O2041" s="9">
        <f>_xlfn.XLOOKUP(_xlfn.CONCAT(Table1[[#This Row], [TEAM]],Table1[[#This Row], [ROOM]]),'ROOM TIME'!$H$2:$H$121,'ROOM TIME'!$J$2:$J$121)</f>
        <v>63.311249999999973</v>
      </c>
      <c r="P2041" s="9">
        <f>(INDEX(Sheet1!$X$48:$Z$67,MATCH(Table1[[#This Row], [ROOM]],Sheet1!$P$48:$P$67,0),MATCH(Table1[[#This Row], [WEAPON]],Sheet1!$X$47:$Z$47,0)))/Table1[[#This Row], [NUM OF MEM]]</f>
        <v>8.125</v>
      </c>
      <c r="Q2041" s="9">
        <f>Table1[[#This Row], [ROOM TIME]]+Table1[[#This Row], [GUARD TIME]]</f>
        <v>71.436249999999973</v>
      </c>
      <c r="R2041" s="4">
        <f>Sheet1!$K$3*_xlfn.XLOOKUP(Table1[[#This Row], [DISGUISE]],Sheet1!$A$21:$A$23,Sheet1!$D$21:$D$23)</f>
        <v>69</v>
      </c>
      <c r="S2041" s="9">
        <f>Table1[[#This Row], [TOTAL TIME]]-Table1[[#This Row], [TOTAL TIME TAKEN]]</f>
        <v>-2.4362499999999727</v>
      </c>
      <c r="T2041" t="str">
        <f>IF(Table1[[#This Row], [TIME DIFFERENCE]]&gt;=0,"PASS","FAIL")</f>
        <v>FAIL</v>
      </c>
      <c r="U2041" s="9">
        <f>Table1[[#This Row], [TRC]]+Table1[[#This Row], [DRC]]+Table1[[#This Row], [WRC]]+Table1[[#This Row], [ERC]]+Table1[[#This Row], [EQRC]]</f>
        <v>7882177.5999999996</v>
      </c>
      <c r="V2041" s="9">
        <f>Table1[[#This Row], [TOTAL COST]]+_xlfn.XLOOKUP(Table1[[#This Row], [TEAM]],Sheet1!$A$12:$A$17,Sheet1!$I$12:$I$17)</f>
        <v>8178825.0999999996</v>
      </c>
      <c r="W2041" s="9">
        <f>Table1[[#This Row], [LOOT]]-Table1[[#This Row], [TOTAL COST]]</f>
        <v>10017822.4</v>
      </c>
      <c r="X2041" s="4">
        <f>IF(Table1[[#This Row], [PASS/FAIL]]="FAIL",0,Table1[[#This Row], [PROFIT]])</f>
        <v>0</v>
      </c>
    </row>
    <row r="2042" spans="1:24" ht="19.5" customHeight="1" x14ac:dyDescent="0.45">
      <c r="A2042" t="s">
        <v>15</v>
      </c>
      <c r="B2042" s="14">
        <f>_xlfn.XLOOKUP(Table1[[#This Row], [TEAM]],Sheet1!$A$12:$A$17,Sheet1!$F$12:$F$17)</f>
        <v>2</v>
      </c>
      <c r="C2042" s="14">
        <f>_xlfn.XLOOKUP(Table1[[#This Row], [TEAM]],Sheet1!$A$12:$A$17,Sheet1!$G$12:$G$17)</f>
        <v>5932950</v>
      </c>
      <c r="D2042" t="s">
        <v>21</v>
      </c>
      <c r="E2042" s="4">
        <f>_xlfn.XLOOKUP(Table1[[#This Row], [ROOM]],Sheet1!$A$47:$A$66,Sheet1!$B$47:$B$66)</f>
        <v>234</v>
      </c>
      <c r="F2042" t="s">
        <v>62</v>
      </c>
      <c r="G204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42" s="13" t="s">
        <v>66</v>
      </c>
      <c r="I2042" s="4">
        <f>_xlfn.XLOOKUP(Table1[[#This Row], [WEAPON]],Sheet1!$A$27:$A$29,Sheet1!$B$27:$B$29)*Table1[[#This Row], [NUM OF MEM]]*(1+_xlfn.XLOOKUP(Table1[[#This Row], [WEAPON]],Sheet1!$A$27:$A$29,Sheet1!$C$27:$C$29))</f>
        <v>72000</v>
      </c>
      <c r="J2042" t="s">
        <v>60</v>
      </c>
      <c r="K2042" s="9">
        <f>Table1[[#This Row], [NUM OF MEM]]*Table1[[#This Row], [TOTAL TIME TAKEN]]*_xlfn.XLOOKUP(Table1[[#This Row], [EXIT]],Sheet1!$A$70:$A$71,Sheet1!$B$70:$B$71)*(1+_xlfn.XLOOKUP(Table1[[#This Row], [EXIT]],Sheet1!$A$70:$A$71,Sheet1!$C$70:$C$71))</f>
        <v>1833411.3562499993</v>
      </c>
      <c r="L2042" s="13" t="s">
        <v>65</v>
      </c>
      <c r="M2042" s="4">
        <f>IF(Table1[[#This Row], [EQUIPMENT]]="YES",Sheet1!$C$44*(1+Sheet1!$D$44),0)</f>
        <v>307500</v>
      </c>
      <c r="N2042" s="4">
        <f>_xlfn.XLOOKUP(Table1[[#This Row], [ROOM]],Sheet1!$A$47:$A$66,Sheet1!$F$47:$F$66)</f>
        <v>17900000</v>
      </c>
      <c r="O2042" s="9">
        <f>_xlfn.XLOOKUP(_xlfn.CONCAT(Table1[[#This Row], [TEAM]],Table1[[#This Row], [ROOM]]),'ROOM TIME'!$H$2:$H$121,'ROOM TIME'!$J$2:$J$121)</f>
        <v>63.311249999999973</v>
      </c>
      <c r="P2042" s="9">
        <f>(INDEX(Sheet1!$X$48:$Z$67,MATCH(Table1[[#This Row], [ROOM]],Sheet1!$P$48:$P$67,0),MATCH(Table1[[#This Row], [WEAPON]],Sheet1!$X$47:$Z$47,0)))/Table1[[#This Row], [NUM OF MEM]]</f>
        <v>8.125</v>
      </c>
      <c r="Q2042" s="9">
        <f>Table1[[#This Row], [ROOM TIME]]+Table1[[#This Row], [GUARD TIME]]</f>
        <v>71.436249999999973</v>
      </c>
      <c r="R2042" s="4">
        <f>Sheet1!$K$3*_xlfn.XLOOKUP(Table1[[#This Row], [DISGUISE]],Sheet1!$A$21:$A$23,Sheet1!$D$21:$D$23)</f>
        <v>66</v>
      </c>
      <c r="S2042" s="9">
        <f>Table1[[#This Row], [TOTAL TIME]]-Table1[[#This Row], [TOTAL TIME TAKEN]]</f>
        <v>-5.4362499999999727</v>
      </c>
      <c r="T2042" t="str">
        <f>IF(Table1[[#This Row], [TIME DIFFERENCE]]&gt;=0,"PASS","FAIL")</f>
        <v>FAIL</v>
      </c>
      <c r="U2042" s="9">
        <f>Table1[[#This Row], [TRC]]+Table1[[#This Row], [DRC]]+Table1[[#This Row], [WRC]]+Table1[[#This Row], [ERC]]+Table1[[#This Row], [EQRC]]</f>
        <v>8156261.3562499993</v>
      </c>
      <c r="V2042" s="9">
        <f>Table1[[#This Row], [TOTAL COST]]+_xlfn.XLOOKUP(Table1[[#This Row], [TEAM]],Sheet1!$A$12:$A$17,Sheet1!$I$12:$I$17)</f>
        <v>8452908.8562499993</v>
      </c>
      <c r="W2042" s="9">
        <f>Table1[[#This Row], [LOOT]]-Table1[[#This Row], [TOTAL COST]]</f>
        <v>9743738.6437500007</v>
      </c>
      <c r="X2042" s="4">
        <f>IF(Table1[[#This Row], [PASS/FAIL]]="FAIL",0,Table1[[#This Row], [PROFIT]])</f>
        <v>0</v>
      </c>
    </row>
    <row r="2043" spans="1:24" ht="19.5" customHeight="1" x14ac:dyDescent="0.45">
      <c r="A2043" t="s">
        <v>15</v>
      </c>
      <c r="B2043" s="14">
        <f>_xlfn.XLOOKUP(Table1[[#This Row], [TEAM]],Sheet1!$A$12:$A$17,Sheet1!$F$12:$F$17)</f>
        <v>2</v>
      </c>
      <c r="C2043" s="14">
        <f>_xlfn.XLOOKUP(Table1[[#This Row], [TEAM]],Sheet1!$A$12:$A$17,Sheet1!$G$12:$G$17)</f>
        <v>5932950</v>
      </c>
      <c r="D2043" t="s">
        <v>21</v>
      </c>
      <c r="E2043" s="4">
        <f>_xlfn.XLOOKUP(Table1[[#This Row], [ROOM]],Sheet1!$A$47:$A$66,Sheet1!$B$47:$B$66)</f>
        <v>234</v>
      </c>
      <c r="F2043" t="s">
        <v>58</v>
      </c>
      <c r="G204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3" s="13" t="s">
        <v>66</v>
      </c>
      <c r="I2043" s="4">
        <f>_xlfn.XLOOKUP(Table1[[#This Row], [WEAPON]],Sheet1!$A$27:$A$29,Sheet1!$B$27:$B$29)*Table1[[#This Row], [NUM OF MEM]]*(1+_xlfn.XLOOKUP(Table1[[#This Row], [WEAPON]],Sheet1!$A$27:$A$29,Sheet1!$C$27:$C$29))</f>
        <v>72000</v>
      </c>
      <c r="J2043" t="s">
        <v>60</v>
      </c>
      <c r="K2043" s="9">
        <f>Table1[[#This Row], [NUM OF MEM]]*Table1[[#This Row], [TOTAL TIME TAKEN]]*_xlfn.XLOOKUP(Table1[[#This Row], [EXIT]],Sheet1!$A$70:$A$71,Sheet1!$B$70:$B$71)*(1+_xlfn.XLOOKUP(Table1[[#This Row], [EXIT]],Sheet1!$A$70:$A$71,Sheet1!$C$70:$C$71))</f>
        <v>1833411.3562499993</v>
      </c>
      <c r="L2043" s="13" t="s">
        <v>65</v>
      </c>
      <c r="M2043" s="4">
        <f>IF(Table1[[#This Row], [EQUIPMENT]]="YES",Sheet1!$C$44*(1+Sheet1!$D$44),0)</f>
        <v>307500</v>
      </c>
      <c r="N2043" s="4">
        <f>_xlfn.XLOOKUP(Table1[[#This Row], [ROOM]],Sheet1!$A$47:$A$66,Sheet1!$F$47:$F$66)</f>
        <v>17900000</v>
      </c>
      <c r="O2043" s="9">
        <f>_xlfn.XLOOKUP(_xlfn.CONCAT(Table1[[#This Row], [TEAM]],Table1[[#This Row], [ROOM]]),'ROOM TIME'!$H$2:$H$121,'ROOM TIME'!$J$2:$J$121)</f>
        <v>63.311249999999973</v>
      </c>
      <c r="P2043" s="9">
        <f>(INDEX(Sheet1!$X$48:$Z$67,MATCH(Table1[[#This Row], [ROOM]],Sheet1!$P$48:$P$67,0),MATCH(Table1[[#This Row], [WEAPON]],Sheet1!$X$47:$Z$47,0)))/Table1[[#This Row], [NUM OF MEM]]</f>
        <v>8.125</v>
      </c>
      <c r="Q2043" s="9">
        <f>Table1[[#This Row], [ROOM TIME]]+Table1[[#This Row], [GUARD TIME]]</f>
        <v>71.436249999999973</v>
      </c>
      <c r="R2043" s="4">
        <f>Sheet1!$K$3*_xlfn.XLOOKUP(Table1[[#This Row], [DISGUISE]],Sheet1!$A$21:$A$23,Sheet1!$D$21:$D$23)</f>
        <v>69</v>
      </c>
      <c r="S2043" s="9">
        <f>Table1[[#This Row], [TOTAL TIME]]-Table1[[#This Row], [TOTAL TIME TAKEN]]</f>
        <v>-2.4362499999999727</v>
      </c>
      <c r="T2043" t="str">
        <f>IF(Table1[[#This Row], [TIME DIFFERENCE]]&gt;=0,"PASS","FAIL")</f>
        <v>FAIL</v>
      </c>
      <c r="U2043" s="9">
        <f>Table1[[#This Row], [TRC]]+Table1[[#This Row], [DRC]]+Table1[[#This Row], [WRC]]+Table1[[#This Row], [ERC]]+Table1[[#This Row], [EQRC]]</f>
        <v>8171461.3562499993</v>
      </c>
      <c r="V2043" s="9">
        <f>Table1[[#This Row], [TOTAL COST]]+_xlfn.XLOOKUP(Table1[[#This Row], [TEAM]],Sheet1!$A$12:$A$17,Sheet1!$I$12:$I$17)</f>
        <v>8468108.8562499993</v>
      </c>
      <c r="W2043" s="9">
        <f>Table1[[#This Row], [LOOT]]-Table1[[#This Row], [TOTAL COST]]</f>
        <v>9728538.6437500007</v>
      </c>
      <c r="X2043" s="4">
        <f>IF(Table1[[#This Row], [PASS/FAIL]]="FAIL",0,Table1[[#This Row], [PROFIT]])</f>
        <v>0</v>
      </c>
    </row>
    <row r="2044" spans="1:24" ht="19.5" customHeight="1" x14ac:dyDescent="0.45">
      <c r="A2044" t="s">
        <v>15</v>
      </c>
      <c r="B2044" s="14">
        <f>_xlfn.XLOOKUP(Table1[[#This Row], [TEAM]],Sheet1!$A$12:$A$17,Sheet1!$F$12:$F$17)</f>
        <v>2</v>
      </c>
      <c r="C2044" s="14">
        <f>_xlfn.XLOOKUP(Table1[[#This Row], [TEAM]],Sheet1!$A$12:$A$17,Sheet1!$G$12:$G$17)</f>
        <v>5932950</v>
      </c>
      <c r="D2044" t="s">
        <v>21</v>
      </c>
      <c r="E2044" s="4">
        <f>_xlfn.XLOOKUP(Table1[[#This Row], [ROOM]],Sheet1!$A$47:$A$66,Sheet1!$B$47:$B$66)</f>
        <v>234</v>
      </c>
      <c r="F2044" t="s">
        <v>62</v>
      </c>
      <c r="G204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44" s="13" t="s">
        <v>66</v>
      </c>
      <c r="I2044" s="4">
        <f>_xlfn.XLOOKUP(Table1[[#This Row], [WEAPON]],Sheet1!$A$27:$A$29,Sheet1!$B$27:$B$29)*Table1[[#This Row], [NUM OF MEM]]*(1+_xlfn.XLOOKUP(Table1[[#This Row], [WEAPON]],Sheet1!$A$27:$A$29,Sheet1!$C$27:$C$29))</f>
        <v>72000</v>
      </c>
      <c r="J2044" t="s">
        <v>64</v>
      </c>
      <c r="K2044" s="9">
        <f>Table1[[#This Row], [NUM OF MEM]]*Table1[[#This Row], [TOTAL TIME TAKEN]]*_xlfn.XLOOKUP(Table1[[#This Row], [EXIT]],Sheet1!$A$70:$A$71,Sheet1!$B$70:$B$71)*(1+_xlfn.XLOOKUP(Table1[[#This Row], [EXIT]],Sheet1!$A$70:$A$71,Sheet1!$C$70:$C$71))</f>
        <v>1851627.5999999992</v>
      </c>
      <c r="L2044" s="13" t="s">
        <v>65</v>
      </c>
      <c r="M2044" s="4">
        <f>IF(Table1[[#This Row], [EQUIPMENT]]="YES",Sheet1!$C$44*(1+Sheet1!$D$44),0)</f>
        <v>307500</v>
      </c>
      <c r="N2044" s="4">
        <f>_xlfn.XLOOKUP(Table1[[#This Row], [ROOM]],Sheet1!$A$47:$A$66,Sheet1!$F$47:$F$66)</f>
        <v>17900000</v>
      </c>
      <c r="O2044" s="9">
        <f>_xlfn.XLOOKUP(_xlfn.CONCAT(Table1[[#This Row], [TEAM]],Table1[[#This Row], [ROOM]]),'ROOM TIME'!$H$2:$H$121,'ROOM TIME'!$J$2:$J$121)</f>
        <v>63.311249999999973</v>
      </c>
      <c r="P2044" s="9">
        <f>(INDEX(Sheet1!$X$48:$Z$67,MATCH(Table1[[#This Row], [ROOM]],Sheet1!$P$48:$P$67,0),MATCH(Table1[[#This Row], [WEAPON]],Sheet1!$X$47:$Z$47,0)))/Table1[[#This Row], [NUM OF MEM]]</f>
        <v>8.125</v>
      </c>
      <c r="Q2044" s="9">
        <f>Table1[[#This Row], [ROOM TIME]]+Table1[[#This Row], [GUARD TIME]]</f>
        <v>71.436249999999973</v>
      </c>
      <c r="R2044" s="4">
        <f>Sheet1!$K$3*_xlfn.XLOOKUP(Table1[[#This Row], [DISGUISE]],Sheet1!$A$21:$A$23,Sheet1!$D$21:$D$23)</f>
        <v>66</v>
      </c>
      <c r="S2044" s="9">
        <f>Table1[[#This Row], [TOTAL TIME]]-Table1[[#This Row], [TOTAL TIME TAKEN]]</f>
        <v>-5.4362499999999727</v>
      </c>
      <c r="T2044" t="str">
        <f>IF(Table1[[#This Row], [TIME DIFFERENCE]]&gt;=0,"PASS","FAIL")</f>
        <v>FAIL</v>
      </c>
      <c r="U2044" s="9">
        <f>Table1[[#This Row], [TRC]]+Table1[[#This Row], [DRC]]+Table1[[#This Row], [WRC]]+Table1[[#This Row], [ERC]]+Table1[[#This Row], [EQRC]]</f>
        <v>8174477.5999999996</v>
      </c>
      <c r="V2044" s="9">
        <f>Table1[[#This Row], [TOTAL COST]]+_xlfn.XLOOKUP(Table1[[#This Row], [TEAM]],Sheet1!$A$12:$A$17,Sheet1!$I$12:$I$17)</f>
        <v>8471125.0999999996</v>
      </c>
      <c r="W2044" s="9">
        <f>Table1[[#This Row], [LOOT]]-Table1[[#This Row], [TOTAL COST]]</f>
        <v>9725522.4000000004</v>
      </c>
      <c r="X2044" s="4">
        <f>IF(Table1[[#This Row], [PASS/FAIL]]="FAIL",0,Table1[[#This Row], [PROFIT]])</f>
        <v>0</v>
      </c>
    </row>
    <row r="2045" spans="1:24" ht="19.5" customHeight="1" x14ac:dyDescent="0.45">
      <c r="A2045" t="s">
        <v>15</v>
      </c>
      <c r="B2045" s="14">
        <f>_xlfn.XLOOKUP(Table1[[#This Row], [TEAM]],Sheet1!$A$12:$A$17,Sheet1!$F$12:$F$17)</f>
        <v>2</v>
      </c>
      <c r="C2045" s="14">
        <f>_xlfn.XLOOKUP(Table1[[#This Row], [TEAM]],Sheet1!$A$12:$A$17,Sheet1!$G$12:$G$17)</f>
        <v>5932950</v>
      </c>
      <c r="D2045" t="s">
        <v>21</v>
      </c>
      <c r="E2045" s="4">
        <f>_xlfn.XLOOKUP(Table1[[#This Row], [ROOM]],Sheet1!$A$47:$A$66,Sheet1!$B$47:$B$66)</f>
        <v>234</v>
      </c>
      <c r="F2045" t="s">
        <v>58</v>
      </c>
      <c r="G204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5" s="13" t="s">
        <v>66</v>
      </c>
      <c r="I2045" s="4">
        <f>_xlfn.XLOOKUP(Table1[[#This Row], [WEAPON]],Sheet1!$A$27:$A$29,Sheet1!$B$27:$B$29)*Table1[[#This Row], [NUM OF MEM]]*(1+_xlfn.XLOOKUP(Table1[[#This Row], [WEAPON]],Sheet1!$A$27:$A$29,Sheet1!$C$27:$C$29))</f>
        <v>72000</v>
      </c>
      <c r="J2045" t="s">
        <v>64</v>
      </c>
      <c r="K2045" s="9">
        <f>Table1[[#This Row], [NUM OF MEM]]*Table1[[#This Row], [TOTAL TIME TAKEN]]*_xlfn.XLOOKUP(Table1[[#This Row], [EXIT]],Sheet1!$A$70:$A$71,Sheet1!$B$70:$B$71)*(1+_xlfn.XLOOKUP(Table1[[#This Row], [EXIT]],Sheet1!$A$70:$A$71,Sheet1!$C$70:$C$71))</f>
        <v>1851627.5999999992</v>
      </c>
      <c r="L2045" s="13" t="s">
        <v>65</v>
      </c>
      <c r="M2045" s="4">
        <f>IF(Table1[[#This Row], [EQUIPMENT]]="YES",Sheet1!$C$44*(1+Sheet1!$D$44),0)</f>
        <v>307500</v>
      </c>
      <c r="N2045" s="4">
        <f>_xlfn.XLOOKUP(Table1[[#This Row], [ROOM]],Sheet1!$A$47:$A$66,Sheet1!$F$47:$F$66)</f>
        <v>17900000</v>
      </c>
      <c r="O2045" s="9">
        <f>_xlfn.XLOOKUP(_xlfn.CONCAT(Table1[[#This Row], [TEAM]],Table1[[#This Row], [ROOM]]),'ROOM TIME'!$H$2:$H$121,'ROOM TIME'!$J$2:$J$121)</f>
        <v>63.311249999999973</v>
      </c>
      <c r="P2045" s="9">
        <f>(INDEX(Sheet1!$X$48:$Z$67,MATCH(Table1[[#This Row], [ROOM]],Sheet1!$P$48:$P$67,0),MATCH(Table1[[#This Row], [WEAPON]],Sheet1!$X$47:$Z$47,0)))/Table1[[#This Row], [NUM OF MEM]]</f>
        <v>8.125</v>
      </c>
      <c r="Q2045" s="9">
        <f>Table1[[#This Row], [ROOM TIME]]+Table1[[#This Row], [GUARD TIME]]</f>
        <v>71.436249999999973</v>
      </c>
      <c r="R2045" s="4">
        <f>Sheet1!$K$3*_xlfn.XLOOKUP(Table1[[#This Row], [DISGUISE]],Sheet1!$A$21:$A$23,Sheet1!$D$21:$D$23)</f>
        <v>69</v>
      </c>
      <c r="S2045" s="9">
        <f>Table1[[#This Row], [TOTAL TIME]]-Table1[[#This Row], [TOTAL TIME TAKEN]]</f>
        <v>-2.4362499999999727</v>
      </c>
      <c r="T2045" t="str">
        <f>IF(Table1[[#This Row], [TIME DIFFERENCE]]&gt;=0,"PASS","FAIL")</f>
        <v>FAIL</v>
      </c>
      <c r="U2045" s="9">
        <f>Table1[[#This Row], [TRC]]+Table1[[#This Row], [DRC]]+Table1[[#This Row], [WRC]]+Table1[[#This Row], [ERC]]+Table1[[#This Row], [EQRC]]</f>
        <v>8189677.5999999996</v>
      </c>
      <c r="V2045" s="9">
        <f>Table1[[#This Row], [TOTAL COST]]+_xlfn.XLOOKUP(Table1[[#This Row], [TEAM]],Sheet1!$A$12:$A$17,Sheet1!$I$12:$I$17)</f>
        <v>8486325.0999999996</v>
      </c>
      <c r="W2045" s="9">
        <f>Table1[[#This Row], [LOOT]]-Table1[[#This Row], [TOTAL COST]]</f>
        <v>9710322.4000000004</v>
      </c>
      <c r="X2045" s="4">
        <f>IF(Table1[[#This Row], [PASS/FAIL]]="FAIL",0,Table1[[#This Row], [PROFIT]])</f>
        <v>0</v>
      </c>
    </row>
    <row r="2046" spans="1:24" ht="19.5" customHeight="1" x14ac:dyDescent="0.45">
      <c r="A2046" t="s">
        <v>16</v>
      </c>
      <c r="B2046" s="14">
        <f>_xlfn.XLOOKUP(Table1[[#This Row], [TEAM]],Sheet1!$A$12:$A$17,Sheet1!$F$12:$F$17)</f>
        <v>2</v>
      </c>
      <c r="C2046" s="14">
        <f>_xlfn.XLOOKUP(Table1[[#This Row], [TEAM]],Sheet1!$A$12:$A$17,Sheet1!$G$12:$G$17)</f>
        <v>6082800</v>
      </c>
      <c r="D2046" t="s">
        <v>21</v>
      </c>
      <c r="E2046" s="4">
        <f>_xlfn.XLOOKUP(Table1[[#This Row], [ROOM]],Sheet1!$A$47:$A$66,Sheet1!$B$47:$B$66)</f>
        <v>234</v>
      </c>
      <c r="F2046" t="s">
        <v>62</v>
      </c>
      <c r="G204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46" s="13" t="s">
        <v>59</v>
      </c>
      <c r="I2046" s="4">
        <f>_xlfn.XLOOKUP(Table1[[#This Row], [WEAPON]],Sheet1!$A$27:$A$29,Sheet1!$B$27:$B$29)*Table1[[#This Row], [NUM OF MEM]]*(1+_xlfn.XLOOKUP(Table1[[#This Row], [WEAPON]],Sheet1!$A$27:$A$29,Sheet1!$C$27:$C$29))</f>
        <v>91000</v>
      </c>
      <c r="J2046" t="s">
        <v>60</v>
      </c>
      <c r="K2046" s="9">
        <f>Table1[[#This Row], [NUM OF MEM]]*Table1[[#This Row], [TOTAL TIME TAKEN]]*_xlfn.XLOOKUP(Table1[[#This Row], [EXIT]],Sheet1!$A$70:$A$71,Sheet1!$B$70:$B$71)*(1+_xlfn.XLOOKUP(Table1[[#This Row], [EXIT]],Sheet1!$A$70:$A$71,Sheet1!$C$70:$C$71))</f>
        <v>1802549.1937499992</v>
      </c>
      <c r="L2046" s="13" t="s">
        <v>61</v>
      </c>
      <c r="M2046" s="4">
        <f>IF(Table1[[#This Row], [EQUIPMENT]]="YES",Sheet1!$C$44*(1+Sheet1!$D$44),0)</f>
        <v>0</v>
      </c>
      <c r="N2046" s="4">
        <f>_xlfn.XLOOKUP(Table1[[#This Row], [ROOM]],Sheet1!$A$47:$A$66,Sheet1!$F$47:$F$66)</f>
        <v>17900000</v>
      </c>
      <c r="O2046" s="9">
        <f>_xlfn.XLOOKUP(_xlfn.CONCAT(Table1[[#This Row], [TEAM]],Table1[[#This Row], [ROOM]]),'ROOM TIME'!$H$2:$H$121,'ROOM TIME'!$J$2:$J$121)</f>
        <v>62.758749999999978</v>
      </c>
      <c r="P2046" s="9">
        <f>(INDEX(Sheet1!$X$48:$Z$67,MATCH(Table1[[#This Row], [ROOM]],Sheet1!$P$48:$P$67,0),MATCH(Table1[[#This Row], [WEAPON]],Sheet1!$X$47:$Z$47,0)))/Table1[[#This Row], [NUM OF MEM]]</f>
        <v>7.4749999999999996</v>
      </c>
      <c r="Q2046" s="9">
        <f>Table1[[#This Row], [ROOM TIME]]+Table1[[#This Row], [GUARD TIME]]</f>
        <v>70.233749999999972</v>
      </c>
      <c r="R2046" s="4">
        <f>Sheet1!$K$3*_xlfn.XLOOKUP(Table1[[#This Row], [DISGUISE]],Sheet1!$A$21:$A$23,Sheet1!$D$21:$D$23)</f>
        <v>66</v>
      </c>
      <c r="S2046" s="9">
        <f>Table1[[#This Row], [TOTAL TIME]]-Table1[[#This Row], [TOTAL TIME TAKEN]]</f>
        <v>-4.2337499999999721</v>
      </c>
      <c r="T2046" t="str">
        <f>IF(Table1[[#This Row], [TIME DIFFERENCE]]&gt;=0,"PASS","FAIL")</f>
        <v>FAIL</v>
      </c>
      <c r="U2046" s="9">
        <f>Table1[[#This Row], [TRC]]+Table1[[#This Row], [DRC]]+Table1[[#This Row], [WRC]]+Table1[[#This Row], [ERC]]+Table1[[#This Row], [EQRC]]</f>
        <v>7986749.1937499996</v>
      </c>
      <c r="V2046" s="9">
        <f>Table1[[#This Row], [TOTAL COST]]+_xlfn.XLOOKUP(Table1[[#This Row], [TEAM]],Sheet1!$A$12:$A$17,Sheet1!$I$12:$I$17)</f>
        <v>8290889.1937499996</v>
      </c>
      <c r="W2046" s="9">
        <f>Table1[[#This Row], [LOOT]]-Table1[[#This Row], [TOTAL COST]]</f>
        <v>9913250.8062500004</v>
      </c>
      <c r="X2046" s="4">
        <f>IF(Table1[[#This Row], [PASS/FAIL]]="FAIL",0,Table1[[#This Row], [PROFIT]])</f>
        <v>0</v>
      </c>
    </row>
    <row r="2047" spans="1:24" ht="19.5" customHeight="1" x14ac:dyDescent="0.45">
      <c r="A2047" t="s">
        <v>16</v>
      </c>
      <c r="B2047" s="14">
        <f>_xlfn.XLOOKUP(Table1[[#This Row], [TEAM]],Sheet1!$A$12:$A$17,Sheet1!$F$12:$F$17)</f>
        <v>2</v>
      </c>
      <c r="C2047" s="14">
        <f>_xlfn.XLOOKUP(Table1[[#This Row], [TEAM]],Sheet1!$A$12:$A$17,Sheet1!$G$12:$G$17)</f>
        <v>6082800</v>
      </c>
      <c r="D2047" t="s">
        <v>21</v>
      </c>
      <c r="E2047" s="4">
        <f>_xlfn.XLOOKUP(Table1[[#This Row], [ROOM]],Sheet1!$A$47:$A$66,Sheet1!$B$47:$B$66)</f>
        <v>234</v>
      </c>
      <c r="F2047" t="s">
        <v>58</v>
      </c>
      <c r="G204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7" s="13" t="s">
        <v>59</v>
      </c>
      <c r="I2047" s="4">
        <f>_xlfn.XLOOKUP(Table1[[#This Row], [WEAPON]],Sheet1!$A$27:$A$29,Sheet1!$B$27:$B$29)*Table1[[#This Row], [NUM OF MEM]]*(1+_xlfn.XLOOKUP(Table1[[#This Row], [WEAPON]],Sheet1!$A$27:$A$29,Sheet1!$C$27:$C$29))</f>
        <v>91000</v>
      </c>
      <c r="J2047" t="s">
        <v>60</v>
      </c>
      <c r="K2047" s="9">
        <f>Table1[[#This Row], [NUM OF MEM]]*Table1[[#This Row], [TOTAL TIME TAKEN]]*_xlfn.XLOOKUP(Table1[[#This Row], [EXIT]],Sheet1!$A$70:$A$71,Sheet1!$B$70:$B$71)*(1+_xlfn.XLOOKUP(Table1[[#This Row], [EXIT]],Sheet1!$A$70:$A$71,Sheet1!$C$70:$C$71))</f>
        <v>1802549.1937499992</v>
      </c>
      <c r="L2047" s="13" t="s">
        <v>61</v>
      </c>
      <c r="M2047" s="4">
        <f>IF(Table1[[#This Row], [EQUIPMENT]]="YES",Sheet1!$C$44*(1+Sheet1!$D$44),0)</f>
        <v>0</v>
      </c>
      <c r="N2047" s="4">
        <f>_xlfn.XLOOKUP(Table1[[#This Row], [ROOM]],Sheet1!$A$47:$A$66,Sheet1!$F$47:$F$66)</f>
        <v>17900000</v>
      </c>
      <c r="O2047" s="9">
        <f>_xlfn.XLOOKUP(_xlfn.CONCAT(Table1[[#This Row], [TEAM]],Table1[[#This Row], [ROOM]]),'ROOM TIME'!$H$2:$H$121,'ROOM TIME'!$J$2:$J$121)</f>
        <v>62.758749999999978</v>
      </c>
      <c r="P2047" s="9">
        <f>(INDEX(Sheet1!$X$48:$Z$67,MATCH(Table1[[#This Row], [ROOM]],Sheet1!$P$48:$P$67,0),MATCH(Table1[[#This Row], [WEAPON]],Sheet1!$X$47:$Z$47,0)))/Table1[[#This Row], [NUM OF MEM]]</f>
        <v>7.4749999999999996</v>
      </c>
      <c r="Q2047" s="9">
        <f>Table1[[#This Row], [ROOM TIME]]+Table1[[#This Row], [GUARD TIME]]</f>
        <v>70.233749999999972</v>
      </c>
      <c r="R2047" s="4">
        <f>Sheet1!$K$3*_xlfn.XLOOKUP(Table1[[#This Row], [DISGUISE]],Sheet1!$A$21:$A$23,Sheet1!$D$21:$D$23)</f>
        <v>69</v>
      </c>
      <c r="S2047" s="9">
        <f>Table1[[#This Row], [TOTAL TIME]]-Table1[[#This Row], [TOTAL TIME TAKEN]]</f>
        <v>-1.2337499999999721</v>
      </c>
      <c r="T2047" t="str">
        <f>IF(Table1[[#This Row], [TIME DIFFERENCE]]&gt;=0,"PASS","FAIL")</f>
        <v>FAIL</v>
      </c>
      <c r="U2047" s="9">
        <f>Table1[[#This Row], [TRC]]+Table1[[#This Row], [DRC]]+Table1[[#This Row], [WRC]]+Table1[[#This Row], [ERC]]+Table1[[#This Row], [EQRC]]</f>
        <v>8001949.1937499996</v>
      </c>
      <c r="V2047" s="9">
        <f>Table1[[#This Row], [TOTAL COST]]+_xlfn.XLOOKUP(Table1[[#This Row], [TEAM]],Sheet1!$A$12:$A$17,Sheet1!$I$12:$I$17)</f>
        <v>8306089.1937499996</v>
      </c>
      <c r="W2047" s="9">
        <f>Table1[[#This Row], [LOOT]]-Table1[[#This Row], [TOTAL COST]]</f>
        <v>9898050.8062500004</v>
      </c>
      <c r="X2047" s="4">
        <f>IF(Table1[[#This Row], [PASS/FAIL]]="FAIL",0,Table1[[#This Row], [PROFIT]])</f>
        <v>0</v>
      </c>
    </row>
    <row r="2048" spans="1:24" ht="19.5" customHeight="1" x14ac:dyDescent="0.45">
      <c r="A2048" t="s">
        <v>16</v>
      </c>
      <c r="B2048" s="14">
        <f>_xlfn.XLOOKUP(Table1[[#This Row], [TEAM]],Sheet1!$A$12:$A$17,Sheet1!$F$12:$F$17)</f>
        <v>2</v>
      </c>
      <c r="C2048" s="14">
        <f>_xlfn.XLOOKUP(Table1[[#This Row], [TEAM]],Sheet1!$A$12:$A$17,Sheet1!$G$12:$G$17)</f>
        <v>6082800</v>
      </c>
      <c r="D2048" t="s">
        <v>21</v>
      </c>
      <c r="E2048" s="4">
        <f>_xlfn.XLOOKUP(Table1[[#This Row], [ROOM]],Sheet1!$A$47:$A$66,Sheet1!$B$47:$B$66)</f>
        <v>234</v>
      </c>
      <c r="F2048" t="s">
        <v>62</v>
      </c>
      <c r="G204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48" s="13" t="s">
        <v>59</v>
      </c>
      <c r="I2048" s="4">
        <f>_xlfn.XLOOKUP(Table1[[#This Row], [WEAPON]],Sheet1!$A$27:$A$29,Sheet1!$B$27:$B$29)*Table1[[#This Row], [NUM OF MEM]]*(1+_xlfn.XLOOKUP(Table1[[#This Row], [WEAPON]],Sheet1!$A$27:$A$29,Sheet1!$C$27:$C$29))</f>
        <v>91000</v>
      </c>
      <c r="J2048" t="s">
        <v>64</v>
      </c>
      <c r="K2048" s="9">
        <f>Table1[[#This Row], [NUM OF MEM]]*Table1[[#This Row], [TOTAL TIME TAKEN]]*_xlfn.XLOOKUP(Table1[[#This Row], [EXIT]],Sheet1!$A$70:$A$71,Sheet1!$B$70:$B$71)*(1+_xlfn.XLOOKUP(Table1[[#This Row], [EXIT]],Sheet1!$A$70:$A$71,Sheet1!$C$70:$C$71))</f>
        <v>1820458.7999999991</v>
      </c>
      <c r="L2048" s="13" t="s">
        <v>61</v>
      </c>
      <c r="M2048" s="4">
        <f>IF(Table1[[#This Row], [EQUIPMENT]]="YES",Sheet1!$C$44*(1+Sheet1!$D$44),0)</f>
        <v>0</v>
      </c>
      <c r="N2048" s="4">
        <f>_xlfn.XLOOKUP(Table1[[#This Row], [ROOM]],Sheet1!$A$47:$A$66,Sheet1!$F$47:$F$66)</f>
        <v>17900000</v>
      </c>
      <c r="O2048" s="9">
        <f>_xlfn.XLOOKUP(_xlfn.CONCAT(Table1[[#This Row], [TEAM]],Table1[[#This Row], [ROOM]]),'ROOM TIME'!$H$2:$H$121,'ROOM TIME'!$J$2:$J$121)</f>
        <v>62.758749999999978</v>
      </c>
      <c r="P2048" s="9">
        <f>(INDEX(Sheet1!$X$48:$Z$67,MATCH(Table1[[#This Row], [ROOM]],Sheet1!$P$48:$P$67,0),MATCH(Table1[[#This Row], [WEAPON]],Sheet1!$X$47:$Z$47,0)))/Table1[[#This Row], [NUM OF MEM]]</f>
        <v>7.4749999999999996</v>
      </c>
      <c r="Q2048" s="9">
        <f>Table1[[#This Row], [ROOM TIME]]+Table1[[#This Row], [GUARD TIME]]</f>
        <v>70.233749999999972</v>
      </c>
      <c r="R2048" s="4">
        <f>Sheet1!$K$3*_xlfn.XLOOKUP(Table1[[#This Row], [DISGUISE]],Sheet1!$A$21:$A$23,Sheet1!$D$21:$D$23)</f>
        <v>66</v>
      </c>
      <c r="S2048" s="9">
        <f>Table1[[#This Row], [TOTAL TIME]]-Table1[[#This Row], [TOTAL TIME TAKEN]]</f>
        <v>-4.2337499999999721</v>
      </c>
      <c r="T2048" t="str">
        <f>IF(Table1[[#This Row], [TIME DIFFERENCE]]&gt;=0,"PASS","FAIL")</f>
        <v>FAIL</v>
      </c>
      <c r="U2048" s="9">
        <f>Table1[[#This Row], [TRC]]+Table1[[#This Row], [DRC]]+Table1[[#This Row], [WRC]]+Table1[[#This Row], [ERC]]+Table1[[#This Row], [EQRC]]</f>
        <v>8004658.7999999989</v>
      </c>
      <c r="V2048" s="9">
        <f>Table1[[#This Row], [TOTAL COST]]+_xlfn.XLOOKUP(Table1[[#This Row], [TEAM]],Sheet1!$A$12:$A$17,Sheet1!$I$12:$I$17)</f>
        <v>8308798.7999999989</v>
      </c>
      <c r="W2048" s="9">
        <f>Table1[[#This Row], [LOOT]]-Table1[[#This Row], [TOTAL COST]]</f>
        <v>9895341.2000000011</v>
      </c>
      <c r="X2048" s="4">
        <f>IF(Table1[[#This Row], [PASS/FAIL]]="FAIL",0,Table1[[#This Row], [PROFIT]])</f>
        <v>0</v>
      </c>
    </row>
    <row r="2049" spans="1:24" ht="19.5" customHeight="1" x14ac:dyDescent="0.45">
      <c r="A2049" t="s">
        <v>16</v>
      </c>
      <c r="B2049" s="14">
        <f>_xlfn.XLOOKUP(Table1[[#This Row], [TEAM]],Sheet1!$A$12:$A$17,Sheet1!$F$12:$F$17)</f>
        <v>2</v>
      </c>
      <c r="C2049" s="14">
        <f>_xlfn.XLOOKUP(Table1[[#This Row], [TEAM]],Sheet1!$A$12:$A$17,Sheet1!$G$12:$G$17)</f>
        <v>6082800</v>
      </c>
      <c r="D2049" t="s">
        <v>21</v>
      </c>
      <c r="E2049" s="4">
        <f>_xlfn.XLOOKUP(Table1[[#This Row], [ROOM]],Sheet1!$A$47:$A$66,Sheet1!$B$47:$B$66)</f>
        <v>234</v>
      </c>
      <c r="F2049" t="s">
        <v>58</v>
      </c>
      <c r="G204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49" s="13" t="s">
        <v>59</v>
      </c>
      <c r="I2049" s="4">
        <f>_xlfn.XLOOKUP(Table1[[#This Row], [WEAPON]],Sheet1!$A$27:$A$29,Sheet1!$B$27:$B$29)*Table1[[#This Row], [NUM OF MEM]]*(1+_xlfn.XLOOKUP(Table1[[#This Row], [WEAPON]],Sheet1!$A$27:$A$29,Sheet1!$C$27:$C$29))</f>
        <v>91000</v>
      </c>
      <c r="J2049" t="s">
        <v>64</v>
      </c>
      <c r="K2049" s="9">
        <f>Table1[[#This Row], [NUM OF MEM]]*Table1[[#This Row], [TOTAL TIME TAKEN]]*_xlfn.XLOOKUP(Table1[[#This Row], [EXIT]],Sheet1!$A$70:$A$71,Sheet1!$B$70:$B$71)*(1+_xlfn.XLOOKUP(Table1[[#This Row], [EXIT]],Sheet1!$A$70:$A$71,Sheet1!$C$70:$C$71))</f>
        <v>1820458.7999999991</v>
      </c>
      <c r="L2049" s="13" t="s">
        <v>61</v>
      </c>
      <c r="M2049" s="4">
        <f>IF(Table1[[#This Row], [EQUIPMENT]]="YES",Sheet1!$C$44*(1+Sheet1!$D$44),0)</f>
        <v>0</v>
      </c>
      <c r="N2049" s="4">
        <f>_xlfn.XLOOKUP(Table1[[#This Row], [ROOM]],Sheet1!$A$47:$A$66,Sheet1!$F$47:$F$66)</f>
        <v>17900000</v>
      </c>
      <c r="O2049" s="9">
        <f>_xlfn.XLOOKUP(_xlfn.CONCAT(Table1[[#This Row], [TEAM]],Table1[[#This Row], [ROOM]]),'ROOM TIME'!$H$2:$H$121,'ROOM TIME'!$J$2:$J$121)</f>
        <v>62.758749999999978</v>
      </c>
      <c r="P2049" s="9">
        <f>(INDEX(Sheet1!$X$48:$Z$67,MATCH(Table1[[#This Row], [ROOM]],Sheet1!$P$48:$P$67,0),MATCH(Table1[[#This Row], [WEAPON]],Sheet1!$X$47:$Z$47,0)))/Table1[[#This Row], [NUM OF MEM]]</f>
        <v>7.4749999999999996</v>
      </c>
      <c r="Q2049" s="9">
        <f>Table1[[#This Row], [ROOM TIME]]+Table1[[#This Row], [GUARD TIME]]</f>
        <v>70.233749999999972</v>
      </c>
      <c r="R2049" s="4">
        <f>Sheet1!$K$3*_xlfn.XLOOKUP(Table1[[#This Row], [DISGUISE]],Sheet1!$A$21:$A$23,Sheet1!$D$21:$D$23)</f>
        <v>69</v>
      </c>
      <c r="S2049" s="9">
        <f>Table1[[#This Row], [TOTAL TIME]]-Table1[[#This Row], [TOTAL TIME TAKEN]]</f>
        <v>-1.2337499999999721</v>
      </c>
      <c r="T2049" t="str">
        <f>IF(Table1[[#This Row], [TIME DIFFERENCE]]&gt;=0,"PASS","FAIL")</f>
        <v>FAIL</v>
      </c>
      <c r="U2049" s="9">
        <f>Table1[[#This Row], [TRC]]+Table1[[#This Row], [DRC]]+Table1[[#This Row], [WRC]]+Table1[[#This Row], [ERC]]+Table1[[#This Row], [EQRC]]</f>
        <v>8019858.7999999989</v>
      </c>
      <c r="V2049" s="9">
        <f>Table1[[#This Row], [TOTAL COST]]+_xlfn.XLOOKUP(Table1[[#This Row], [TEAM]],Sheet1!$A$12:$A$17,Sheet1!$I$12:$I$17)</f>
        <v>8323998.7999999989</v>
      </c>
      <c r="W2049" s="9">
        <f>Table1[[#This Row], [LOOT]]-Table1[[#This Row], [TOTAL COST]]</f>
        <v>9880141.2000000011</v>
      </c>
      <c r="X2049" s="4">
        <f>IF(Table1[[#This Row], [PASS/FAIL]]="FAIL",0,Table1[[#This Row], [PROFIT]])</f>
        <v>0</v>
      </c>
    </row>
    <row r="2050" spans="1:24" ht="19.5" customHeight="1" x14ac:dyDescent="0.45">
      <c r="A2050" t="s">
        <v>16</v>
      </c>
      <c r="B2050" s="14">
        <f>_xlfn.XLOOKUP(Table1[[#This Row], [TEAM]],Sheet1!$A$12:$A$17,Sheet1!$F$12:$F$17)</f>
        <v>2</v>
      </c>
      <c r="C2050" s="14">
        <f>_xlfn.XLOOKUP(Table1[[#This Row], [TEAM]],Sheet1!$A$12:$A$17,Sheet1!$G$12:$G$17)</f>
        <v>6082800</v>
      </c>
      <c r="D2050" t="s">
        <v>21</v>
      </c>
      <c r="E2050" s="4">
        <f>_xlfn.XLOOKUP(Table1[[#This Row], [ROOM]],Sheet1!$A$47:$A$66,Sheet1!$B$47:$B$66)</f>
        <v>234</v>
      </c>
      <c r="F2050" t="s">
        <v>62</v>
      </c>
      <c r="G205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50" s="13" t="s">
        <v>59</v>
      </c>
      <c r="I2050" s="4">
        <f>_xlfn.XLOOKUP(Table1[[#This Row], [WEAPON]],Sheet1!$A$27:$A$29,Sheet1!$B$27:$B$29)*Table1[[#This Row], [NUM OF MEM]]*(1+_xlfn.XLOOKUP(Table1[[#This Row], [WEAPON]],Sheet1!$A$27:$A$29,Sheet1!$C$27:$C$29))</f>
        <v>91000</v>
      </c>
      <c r="J2050" t="s">
        <v>60</v>
      </c>
      <c r="K2050" s="9">
        <f>Table1[[#This Row], [NUM OF MEM]]*Table1[[#This Row], [TOTAL TIME TAKEN]]*_xlfn.XLOOKUP(Table1[[#This Row], [EXIT]],Sheet1!$A$70:$A$71,Sheet1!$B$70:$B$71)*(1+_xlfn.XLOOKUP(Table1[[#This Row], [EXIT]],Sheet1!$A$70:$A$71,Sheet1!$C$70:$C$71))</f>
        <v>1802549.1937499992</v>
      </c>
      <c r="L2050" s="13" t="s">
        <v>65</v>
      </c>
      <c r="M2050" s="4">
        <f>IF(Table1[[#This Row], [EQUIPMENT]]="YES",Sheet1!$C$44*(1+Sheet1!$D$44),0)</f>
        <v>307500</v>
      </c>
      <c r="N2050" s="4">
        <f>_xlfn.XLOOKUP(Table1[[#This Row], [ROOM]],Sheet1!$A$47:$A$66,Sheet1!$F$47:$F$66)</f>
        <v>17900000</v>
      </c>
      <c r="O2050" s="9">
        <f>_xlfn.XLOOKUP(_xlfn.CONCAT(Table1[[#This Row], [TEAM]],Table1[[#This Row], [ROOM]]),'ROOM TIME'!$H$2:$H$121,'ROOM TIME'!$J$2:$J$121)</f>
        <v>62.758749999999978</v>
      </c>
      <c r="P2050" s="9">
        <f>(INDEX(Sheet1!$X$48:$Z$67,MATCH(Table1[[#This Row], [ROOM]],Sheet1!$P$48:$P$67,0),MATCH(Table1[[#This Row], [WEAPON]],Sheet1!$X$47:$Z$47,0)))/Table1[[#This Row], [NUM OF MEM]]</f>
        <v>7.4749999999999996</v>
      </c>
      <c r="Q2050" s="9">
        <f>Table1[[#This Row], [ROOM TIME]]+Table1[[#This Row], [GUARD TIME]]</f>
        <v>70.233749999999972</v>
      </c>
      <c r="R2050" s="4">
        <f>Sheet1!$K$3*_xlfn.XLOOKUP(Table1[[#This Row], [DISGUISE]],Sheet1!$A$21:$A$23,Sheet1!$D$21:$D$23)</f>
        <v>66</v>
      </c>
      <c r="S2050" s="9">
        <f>Table1[[#This Row], [TOTAL TIME]]-Table1[[#This Row], [TOTAL TIME TAKEN]]</f>
        <v>-4.2337499999999721</v>
      </c>
      <c r="T2050" t="str">
        <f>IF(Table1[[#This Row], [TIME DIFFERENCE]]&gt;=0,"PASS","FAIL")</f>
        <v>FAIL</v>
      </c>
      <c r="U2050" s="9">
        <f>Table1[[#This Row], [TRC]]+Table1[[#This Row], [DRC]]+Table1[[#This Row], [WRC]]+Table1[[#This Row], [ERC]]+Table1[[#This Row], [EQRC]]</f>
        <v>8294249.1937499996</v>
      </c>
      <c r="V2050" s="9">
        <f>Table1[[#This Row], [TOTAL COST]]+_xlfn.XLOOKUP(Table1[[#This Row], [TEAM]],Sheet1!$A$12:$A$17,Sheet1!$I$12:$I$17)</f>
        <v>8598389.1937499996</v>
      </c>
      <c r="W2050" s="9">
        <f>Table1[[#This Row], [LOOT]]-Table1[[#This Row], [TOTAL COST]]</f>
        <v>9605750.8062500004</v>
      </c>
      <c r="X2050" s="4">
        <f>IF(Table1[[#This Row], [PASS/FAIL]]="FAIL",0,Table1[[#This Row], [PROFIT]])</f>
        <v>0</v>
      </c>
    </row>
    <row r="2051" spans="1:24" ht="19.5" customHeight="1" x14ac:dyDescent="0.45">
      <c r="A2051" t="s">
        <v>16</v>
      </c>
      <c r="B2051" s="14">
        <f>_xlfn.XLOOKUP(Table1[[#This Row], [TEAM]],Sheet1!$A$12:$A$17,Sheet1!$F$12:$F$17)</f>
        <v>2</v>
      </c>
      <c r="C2051" s="14">
        <f>_xlfn.XLOOKUP(Table1[[#This Row], [TEAM]],Sheet1!$A$12:$A$17,Sheet1!$G$12:$G$17)</f>
        <v>6082800</v>
      </c>
      <c r="D2051" t="s">
        <v>21</v>
      </c>
      <c r="E2051" s="4">
        <f>_xlfn.XLOOKUP(Table1[[#This Row], [ROOM]],Sheet1!$A$47:$A$66,Sheet1!$B$47:$B$66)</f>
        <v>234</v>
      </c>
      <c r="F2051" t="s">
        <v>58</v>
      </c>
      <c r="G205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51" s="13" t="s">
        <v>59</v>
      </c>
      <c r="I2051" s="4">
        <f>_xlfn.XLOOKUP(Table1[[#This Row], [WEAPON]],Sheet1!$A$27:$A$29,Sheet1!$B$27:$B$29)*Table1[[#This Row], [NUM OF MEM]]*(1+_xlfn.XLOOKUP(Table1[[#This Row], [WEAPON]],Sheet1!$A$27:$A$29,Sheet1!$C$27:$C$29))</f>
        <v>91000</v>
      </c>
      <c r="J2051" t="s">
        <v>60</v>
      </c>
      <c r="K2051" s="9">
        <f>Table1[[#This Row], [NUM OF MEM]]*Table1[[#This Row], [TOTAL TIME TAKEN]]*_xlfn.XLOOKUP(Table1[[#This Row], [EXIT]],Sheet1!$A$70:$A$71,Sheet1!$B$70:$B$71)*(1+_xlfn.XLOOKUP(Table1[[#This Row], [EXIT]],Sheet1!$A$70:$A$71,Sheet1!$C$70:$C$71))</f>
        <v>1802549.1937499992</v>
      </c>
      <c r="L2051" s="13" t="s">
        <v>65</v>
      </c>
      <c r="M2051" s="4">
        <f>IF(Table1[[#This Row], [EQUIPMENT]]="YES",Sheet1!$C$44*(1+Sheet1!$D$44),0)</f>
        <v>307500</v>
      </c>
      <c r="N2051" s="4">
        <f>_xlfn.XLOOKUP(Table1[[#This Row], [ROOM]],Sheet1!$A$47:$A$66,Sheet1!$F$47:$F$66)</f>
        <v>17900000</v>
      </c>
      <c r="O2051" s="9">
        <f>_xlfn.XLOOKUP(_xlfn.CONCAT(Table1[[#This Row], [TEAM]],Table1[[#This Row], [ROOM]]),'ROOM TIME'!$H$2:$H$121,'ROOM TIME'!$J$2:$J$121)</f>
        <v>62.758749999999978</v>
      </c>
      <c r="P2051" s="9">
        <f>(INDEX(Sheet1!$X$48:$Z$67,MATCH(Table1[[#This Row], [ROOM]],Sheet1!$P$48:$P$67,0),MATCH(Table1[[#This Row], [WEAPON]],Sheet1!$X$47:$Z$47,0)))/Table1[[#This Row], [NUM OF MEM]]</f>
        <v>7.4749999999999996</v>
      </c>
      <c r="Q2051" s="9">
        <f>Table1[[#This Row], [ROOM TIME]]+Table1[[#This Row], [GUARD TIME]]</f>
        <v>70.233749999999972</v>
      </c>
      <c r="R2051" s="4">
        <f>Sheet1!$K$3*_xlfn.XLOOKUP(Table1[[#This Row], [DISGUISE]],Sheet1!$A$21:$A$23,Sheet1!$D$21:$D$23)</f>
        <v>69</v>
      </c>
      <c r="S2051" s="9">
        <f>Table1[[#This Row], [TOTAL TIME]]-Table1[[#This Row], [TOTAL TIME TAKEN]]</f>
        <v>-1.2337499999999721</v>
      </c>
      <c r="T2051" t="str">
        <f>IF(Table1[[#This Row], [TIME DIFFERENCE]]&gt;=0,"PASS","FAIL")</f>
        <v>FAIL</v>
      </c>
      <c r="U2051" s="9">
        <f>Table1[[#This Row], [TRC]]+Table1[[#This Row], [DRC]]+Table1[[#This Row], [WRC]]+Table1[[#This Row], [ERC]]+Table1[[#This Row], [EQRC]]</f>
        <v>8309449.1937499996</v>
      </c>
      <c r="V2051" s="9">
        <f>Table1[[#This Row], [TOTAL COST]]+_xlfn.XLOOKUP(Table1[[#This Row], [TEAM]],Sheet1!$A$12:$A$17,Sheet1!$I$12:$I$17)</f>
        <v>8613589.1937499996</v>
      </c>
      <c r="W2051" s="9">
        <f>Table1[[#This Row], [LOOT]]-Table1[[#This Row], [TOTAL COST]]</f>
        <v>9590550.8062500004</v>
      </c>
      <c r="X2051" s="4">
        <f>IF(Table1[[#This Row], [PASS/FAIL]]="FAIL",0,Table1[[#This Row], [PROFIT]])</f>
        <v>0</v>
      </c>
    </row>
    <row r="2052" spans="1:24" ht="19.5" customHeight="1" x14ac:dyDescent="0.45">
      <c r="A2052" t="s">
        <v>16</v>
      </c>
      <c r="B2052" s="14">
        <f>_xlfn.XLOOKUP(Table1[[#This Row], [TEAM]],Sheet1!$A$12:$A$17,Sheet1!$F$12:$F$17)</f>
        <v>2</v>
      </c>
      <c r="C2052" s="14">
        <f>_xlfn.XLOOKUP(Table1[[#This Row], [TEAM]],Sheet1!$A$12:$A$17,Sheet1!$G$12:$G$17)</f>
        <v>6082800</v>
      </c>
      <c r="D2052" t="s">
        <v>21</v>
      </c>
      <c r="E2052" s="4">
        <f>_xlfn.XLOOKUP(Table1[[#This Row], [ROOM]],Sheet1!$A$47:$A$66,Sheet1!$B$47:$B$66)</f>
        <v>234</v>
      </c>
      <c r="F2052" t="s">
        <v>62</v>
      </c>
      <c r="G205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52" s="13" t="s">
        <v>63</v>
      </c>
      <c r="I2052" s="4">
        <f>_xlfn.XLOOKUP(Table1[[#This Row], [WEAPON]],Sheet1!$A$27:$A$29,Sheet1!$B$27:$B$29)*Table1[[#This Row], [NUM OF MEM]]*(1+_xlfn.XLOOKUP(Table1[[#This Row], [WEAPON]],Sheet1!$A$27:$A$29,Sheet1!$C$27:$C$29))</f>
        <v>46000</v>
      </c>
      <c r="J2052" t="s">
        <v>60</v>
      </c>
      <c r="K2052" s="9">
        <f>Table1[[#This Row], [NUM OF MEM]]*Table1[[#This Row], [TOTAL TIME TAKEN]]*_xlfn.XLOOKUP(Table1[[#This Row], [EXIT]],Sheet1!$A$70:$A$71,Sheet1!$B$70:$B$71)*(1+_xlfn.XLOOKUP(Table1[[#This Row], [EXIT]],Sheet1!$A$70:$A$71,Sheet1!$C$70:$C$71))</f>
        <v>1835913.6937499996</v>
      </c>
      <c r="L2052" s="13" t="s">
        <v>61</v>
      </c>
      <c r="M2052" s="4">
        <f>IF(Table1[[#This Row], [EQUIPMENT]]="YES",Sheet1!$C$44*(1+Sheet1!$D$44),0)</f>
        <v>0</v>
      </c>
      <c r="N2052" s="4">
        <f>_xlfn.XLOOKUP(Table1[[#This Row], [ROOM]],Sheet1!$A$47:$A$66,Sheet1!$F$47:$F$66)</f>
        <v>17900000</v>
      </c>
      <c r="O2052" s="9">
        <f>_xlfn.XLOOKUP(_xlfn.CONCAT(Table1[[#This Row], [TEAM]],Table1[[#This Row], [ROOM]]),'ROOM TIME'!$H$2:$H$121,'ROOM TIME'!$J$2:$J$121)</f>
        <v>62.758749999999978</v>
      </c>
      <c r="P2052" s="9">
        <f>(INDEX(Sheet1!$X$48:$Z$67,MATCH(Table1[[#This Row], [ROOM]],Sheet1!$P$48:$P$67,0),MATCH(Table1[[#This Row], [WEAPON]],Sheet1!$X$47:$Z$47,0)))/Table1[[#This Row], [NUM OF MEM]]</f>
        <v>8.7750000000000004</v>
      </c>
      <c r="Q2052" s="9">
        <f>Table1[[#This Row], [ROOM TIME]]+Table1[[#This Row], [GUARD TIME]]</f>
        <v>71.533749999999984</v>
      </c>
      <c r="R2052" s="4">
        <f>Sheet1!$K$3*_xlfn.XLOOKUP(Table1[[#This Row], [DISGUISE]],Sheet1!$A$21:$A$23,Sheet1!$D$21:$D$23)</f>
        <v>66</v>
      </c>
      <c r="S2052" s="9">
        <f>Table1[[#This Row], [TOTAL TIME]]-Table1[[#This Row], [TOTAL TIME TAKEN]]</f>
        <v>-5.5337499999999835</v>
      </c>
      <c r="T2052" t="str">
        <f>IF(Table1[[#This Row], [TIME DIFFERENCE]]&gt;=0,"PASS","FAIL")</f>
        <v>FAIL</v>
      </c>
      <c r="U2052" s="9">
        <f>Table1[[#This Row], [TRC]]+Table1[[#This Row], [DRC]]+Table1[[#This Row], [WRC]]+Table1[[#This Row], [ERC]]+Table1[[#This Row], [EQRC]]</f>
        <v>7975113.6937499996</v>
      </c>
      <c r="V2052" s="9">
        <f>Table1[[#This Row], [TOTAL COST]]+_xlfn.XLOOKUP(Table1[[#This Row], [TEAM]],Sheet1!$A$12:$A$17,Sheet1!$I$12:$I$17)</f>
        <v>8279253.6937499996</v>
      </c>
      <c r="W2052" s="9">
        <f>Table1[[#This Row], [LOOT]]-Table1[[#This Row], [TOTAL COST]]</f>
        <v>9924886.3062500004</v>
      </c>
      <c r="X2052" s="4">
        <f>IF(Table1[[#This Row], [PASS/FAIL]]="FAIL",0,Table1[[#This Row], [PROFIT]])</f>
        <v>0</v>
      </c>
    </row>
    <row r="2053" spans="1:24" ht="19.5" customHeight="1" x14ac:dyDescent="0.45">
      <c r="A2053" t="s">
        <v>16</v>
      </c>
      <c r="B2053" s="14">
        <f>_xlfn.XLOOKUP(Table1[[#This Row], [TEAM]],Sheet1!$A$12:$A$17,Sheet1!$F$12:$F$17)</f>
        <v>2</v>
      </c>
      <c r="C2053" s="14">
        <f>_xlfn.XLOOKUP(Table1[[#This Row], [TEAM]],Sheet1!$A$12:$A$17,Sheet1!$G$12:$G$17)</f>
        <v>6082800</v>
      </c>
      <c r="D2053" t="s">
        <v>21</v>
      </c>
      <c r="E2053" s="4">
        <f>_xlfn.XLOOKUP(Table1[[#This Row], [ROOM]],Sheet1!$A$47:$A$66,Sheet1!$B$47:$B$66)</f>
        <v>234</v>
      </c>
      <c r="F2053" t="s">
        <v>58</v>
      </c>
      <c r="G205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53" s="13" t="s">
        <v>63</v>
      </c>
      <c r="I2053" s="4">
        <f>_xlfn.XLOOKUP(Table1[[#This Row], [WEAPON]],Sheet1!$A$27:$A$29,Sheet1!$B$27:$B$29)*Table1[[#This Row], [NUM OF MEM]]*(1+_xlfn.XLOOKUP(Table1[[#This Row], [WEAPON]],Sheet1!$A$27:$A$29,Sheet1!$C$27:$C$29))</f>
        <v>46000</v>
      </c>
      <c r="J2053" t="s">
        <v>60</v>
      </c>
      <c r="K2053" s="9">
        <f>Table1[[#This Row], [NUM OF MEM]]*Table1[[#This Row], [TOTAL TIME TAKEN]]*_xlfn.XLOOKUP(Table1[[#This Row], [EXIT]],Sheet1!$A$70:$A$71,Sheet1!$B$70:$B$71)*(1+_xlfn.XLOOKUP(Table1[[#This Row], [EXIT]],Sheet1!$A$70:$A$71,Sheet1!$C$70:$C$71))</f>
        <v>1835913.6937499996</v>
      </c>
      <c r="L2053" s="13" t="s">
        <v>61</v>
      </c>
      <c r="M2053" s="4">
        <f>IF(Table1[[#This Row], [EQUIPMENT]]="YES",Sheet1!$C$44*(1+Sheet1!$D$44),0)</f>
        <v>0</v>
      </c>
      <c r="N2053" s="4">
        <f>_xlfn.XLOOKUP(Table1[[#This Row], [ROOM]],Sheet1!$A$47:$A$66,Sheet1!$F$47:$F$66)</f>
        <v>17900000</v>
      </c>
      <c r="O2053" s="9">
        <f>_xlfn.XLOOKUP(_xlfn.CONCAT(Table1[[#This Row], [TEAM]],Table1[[#This Row], [ROOM]]),'ROOM TIME'!$H$2:$H$121,'ROOM TIME'!$J$2:$J$121)</f>
        <v>62.758749999999978</v>
      </c>
      <c r="P2053" s="9">
        <f>(INDEX(Sheet1!$X$48:$Z$67,MATCH(Table1[[#This Row], [ROOM]],Sheet1!$P$48:$P$67,0),MATCH(Table1[[#This Row], [WEAPON]],Sheet1!$X$47:$Z$47,0)))/Table1[[#This Row], [NUM OF MEM]]</f>
        <v>8.7750000000000004</v>
      </c>
      <c r="Q2053" s="9">
        <f>Table1[[#This Row], [ROOM TIME]]+Table1[[#This Row], [GUARD TIME]]</f>
        <v>71.533749999999984</v>
      </c>
      <c r="R2053" s="4">
        <f>Sheet1!$K$3*_xlfn.XLOOKUP(Table1[[#This Row], [DISGUISE]],Sheet1!$A$21:$A$23,Sheet1!$D$21:$D$23)</f>
        <v>69</v>
      </c>
      <c r="S2053" s="9">
        <f>Table1[[#This Row], [TOTAL TIME]]-Table1[[#This Row], [TOTAL TIME TAKEN]]</f>
        <v>-2.5337499999999835</v>
      </c>
      <c r="T2053" t="str">
        <f>IF(Table1[[#This Row], [TIME DIFFERENCE]]&gt;=0,"PASS","FAIL")</f>
        <v>FAIL</v>
      </c>
      <c r="U2053" s="9">
        <f>Table1[[#This Row], [TRC]]+Table1[[#This Row], [DRC]]+Table1[[#This Row], [WRC]]+Table1[[#This Row], [ERC]]+Table1[[#This Row], [EQRC]]</f>
        <v>7990313.6937499996</v>
      </c>
      <c r="V2053" s="9">
        <f>Table1[[#This Row], [TOTAL COST]]+_xlfn.XLOOKUP(Table1[[#This Row], [TEAM]],Sheet1!$A$12:$A$17,Sheet1!$I$12:$I$17)</f>
        <v>8294453.6937499996</v>
      </c>
      <c r="W2053" s="9">
        <f>Table1[[#This Row], [LOOT]]-Table1[[#This Row], [TOTAL COST]]</f>
        <v>9909686.3062500004</v>
      </c>
      <c r="X2053" s="4">
        <f>IF(Table1[[#This Row], [PASS/FAIL]]="FAIL",0,Table1[[#This Row], [PROFIT]])</f>
        <v>0</v>
      </c>
    </row>
    <row r="2054" spans="1:24" ht="19.5" customHeight="1" x14ac:dyDescent="0.45">
      <c r="A2054" t="s">
        <v>16</v>
      </c>
      <c r="B2054" s="14">
        <f>_xlfn.XLOOKUP(Table1[[#This Row], [TEAM]],Sheet1!$A$12:$A$17,Sheet1!$F$12:$F$17)</f>
        <v>2</v>
      </c>
      <c r="C2054" s="14">
        <f>_xlfn.XLOOKUP(Table1[[#This Row], [TEAM]],Sheet1!$A$12:$A$17,Sheet1!$G$12:$G$17)</f>
        <v>6082800</v>
      </c>
      <c r="D2054" t="s">
        <v>21</v>
      </c>
      <c r="E2054" s="4">
        <f>_xlfn.XLOOKUP(Table1[[#This Row], [ROOM]],Sheet1!$A$47:$A$66,Sheet1!$B$47:$B$66)</f>
        <v>234</v>
      </c>
      <c r="F2054" t="s">
        <v>62</v>
      </c>
      <c r="G205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54" s="13" t="s">
        <v>59</v>
      </c>
      <c r="I2054" s="4">
        <f>_xlfn.XLOOKUP(Table1[[#This Row], [WEAPON]],Sheet1!$A$27:$A$29,Sheet1!$B$27:$B$29)*Table1[[#This Row], [NUM OF MEM]]*(1+_xlfn.XLOOKUP(Table1[[#This Row], [WEAPON]],Sheet1!$A$27:$A$29,Sheet1!$C$27:$C$29))</f>
        <v>91000</v>
      </c>
      <c r="J2054" t="s">
        <v>64</v>
      </c>
      <c r="K2054" s="9">
        <f>Table1[[#This Row], [NUM OF MEM]]*Table1[[#This Row], [TOTAL TIME TAKEN]]*_xlfn.XLOOKUP(Table1[[#This Row], [EXIT]],Sheet1!$A$70:$A$71,Sheet1!$B$70:$B$71)*(1+_xlfn.XLOOKUP(Table1[[#This Row], [EXIT]],Sheet1!$A$70:$A$71,Sheet1!$C$70:$C$71))</f>
        <v>1820458.7999999991</v>
      </c>
      <c r="L2054" s="13" t="s">
        <v>65</v>
      </c>
      <c r="M2054" s="4">
        <f>IF(Table1[[#This Row], [EQUIPMENT]]="YES",Sheet1!$C$44*(1+Sheet1!$D$44),0)</f>
        <v>307500</v>
      </c>
      <c r="N2054" s="4">
        <f>_xlfn.XLOOKUP(Table1[[#This Row], [ROOM]],Sheet1!$A$47:$A$66,Sheet1!$F$47:$F$66)</f>
        <v>17900000</v>
      </c>
      <c r="O2054" s="9">
        <f>_xlfn.XLOOKUP(_xlfn.CONCAT(Table1[[#This Row], [TEAM]],Table1[[#This Row], [ROOM]]),'ROOM TIME'!$H$2:$H$121,'ROOM TIME'!$J$2:$J$121)</f>
        <v>62.758749999999978</v>
      </c>
      <c r="P2054" s="9">
        <f>(INDEX(Sheet1!$X$48:$Z$67,MATCH(Table1[[#This Row], [ROOM]],Sheet1!$P$48:$P$67,0),MATCH(Table1[[#This Row], [WEAPON]],Sheet1!$X$47:$Z$47,0)))/Table1[[#This Row], [NUM OF MEM]]</f>
        <v>7.4749999999999996</v>
      </c>
      <c r="Q2054" s="9">
        <f>Table1[[#This Row], [ROOM TIME]]+Table1[[#This Row], [GUARD TIME]]</f>
        <v>70.233749999999972</v>
      </c>
      <c r="R2054" s="4">
        <f>Sheet1!$K$3*_xlfn.XLOOKUP(Table1[[#This Row], [DISGUISE]],Sheet1!$A$21:$A$23,Sheet1!$D$21:$D$23)</f>
        <v>66</v>
      </c>
      <c r="S2054" s="9">
        <f>Table1[[#This Row], [TOTAL TIME]]-Table1[[#This Row], [TOTAL TIME TAKEN]]</f>
        <v>-4.2337499999999721</v>
      </c>
      <c r="T2054" t="str">
        <f>IF(Table1[[#This Row], [TIME DIFFERENCE]]&gt;=0,"PASS","FAIL")</f>
        <v>FAIL</v>
      </c>
      <c r="U2054" s="9">
        <f>Table1[[#This Row], [TRC]]+Table1[[#This Row], [DRC]]+Table1[[#This Row], [WRC]]+Table1[[#This Row], [ERC]]+Table1[[#This Row], [EQRC]]</f>
        <v>8312158.7999999989</v>
      </c>
      <c r="V2054" s="9">
        <f>Table1[[#This Row], [TOTAL COST]]+_xlfn.XLOOKUP(Table1[[#This Row], [TEAM]],Sheet1!$A$12:$A$17,Sheet1!$I$12:$I$17)</f>
        <v>8616298.7999999989</v>
      </c>
      <c r="W2054" s="9">
        <f>Table1[[#This Row], [LOOT]]-Table1[[#This Row], [TOTAL COST]]</f>
        <v>9587841.2000000011</v>
      </c>
      <c r="X2054" s="4">
        <f>IF(Table1[[#This Row], [PASS/FAIL]]="FAIL",0,Table1[[#This Row], [PROFIT]])</f>
        <v>0</v>
      </c>
    </row>
    <row r="2055" spans="1:24" ht="19.5" customHeight="1" x14ac:dyDescent="0.45">
      <c r="A2055" t="s">
        <v>16</v>
      </c>
      <c r="B2055" s="14">
        <f>_xlfn.XLOOKUP(Table1[[#This Row], [TEAM]],Sheet1!$A$12:$A$17,Sheet1!$F$12:$F$17)</f>
        <v>2</v>
      </c>
      <c r="C2055" s="14">
        <f>_xlfn.XLOOKUP(Table1[[#This Row], [TEAM]],Sheet1!$A$12:$A$17,Sheet1!$G$12:$G$17)</f>
        <v>6082800</v>
      </c>
      <c r="D2055" t="s">
        <v>21</v>
      </c>
      <c r="E2055" s="4">
        <f>_xlfn.XLOOKUP(Table1[[#This Row], [ROOM]],Sheet1!$A$47:$A$66,Sheet1!$B$47:$B$66)</f>
        <v>234</v>
      </c>
      <c r="F2055" t="s">
        <v>58</v>
      </c>
      <c r="G205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55" s="13" t="s">
        <v>59</v>
      </c>
      <c r="I2055" s="4">
        <f>_xlfn.XLOOKUP(Table1[[#This Row], [WEAPON]],Sheet1!$A$27:$A$29,Sheet1!$B$27:$B$29)*Table1[[#This Row], [NUM OF MEM]]*(1+_xlfn.XLOOKUP(Table1[[#This Row], [WEAPON]],Sheet1!$A$27:$A$29,Sheet1!$C$27:$C$29))</f>
        <v>91000</v>
      </c>
      <c r="J2055" t="s">
        <v>64</v>
      </c>
      <c r="K2055" s="9">
        <f>Table1[[#This Row], [NUM OF MEM]]*Table1[[#This Row], [TOTAL TIME TAKEN]]*_xlfn.XLOOKUP(Table1[[#This Row], [EXIT]],Sheet1!$A$70:$A$71,Sheet1!$B$70:$B$71)*(1+_xlfn.XLOOKUP(Table1[[#This Row], [EXIT]],Sheet1!$A$70:$A$71,Sheet1!$C$70:$C$71))</f>
        <v>1820458.7999999991</v>
      </c>
      <c r="L2055" s="13" t="s">
        <v>65</v>
      </c>
      <c r="M2055" s="4">
        <f>IF(Table1[[#This Row], [EQUIPMENT]]="YES",Sheet1!$C$44*(1+Sheet1!$D$44),0)</f>
        <v>307500</v>
      </c>
      <c r="N2055" s="4">
        <f>_xlfn.XLOOKUP(Table1[[#This Row], [ROOM]],Sheet1!$A$47:$A$66,Sheet1!$F$47:$F$66)</f>
        <v>17900000</v>
      </c>
      <c r="O2055" s="9">
        <f>_xlfn.XLOOKUP(_xlfn.CONCAT(Table1[[#This Row], [TEAM]],Table1[[#This Row], [ROOM]]),'ROOM TIME'!$H$2:$H$121,'ROOM TIME'!$J$2:$J$121)</f>
        <v>62.758749999999978</v>
      </c>
      <c r="P2055" s="9">
        <f>(INDEX(Sheet1!$X$48:$Z$67,MATCH(Table1[[#This Row], [ROOM]],Sheet1!$P$48:$P$67,0),MATCH(Table1[[#This Row], [WEAPON]],Sheet1!$X$47:$Z$47,0)))/Table1[[#This Row], [NUM OF MEM]]</f>
        <v>7.4749999999999996</v>
      </c>
      <c r="Q2055" s="9">
        <f>Table1[[#This Row], [ROOM TIME]]+Table1[[#This Row], [GUARD TIME]]</f>
        <v>70.233749999999972</v>
      </c>
      <c r="R2055" s="4">
        <f>Sheet1!$K$3*_xlfn.XLOOKUP(Table1[[#This Row], [DISGUISE]],Sheet1!$A$21:$A$23,Sheet1!$D$21:$D$23)</f>
        <v>69</v>
      </c>
      <c r="S2055" s="9">
        <f>Table1[[#This Row], [TOTAL TIME]]-Table1[[#This Row], [TOTAL TIME TAKEN]]</f>
        <v>-1.2337499999999721</v>
      </c>
      <c r="T2055" t="str">
        <f>IF(Table1[[#This Row], [TIME DIFFERENCE]]&gt;=0,"PASS","FAIL")</f>
        <v>FAIL</v>
      </c>
      <c r="U2055" s="9">
        <f>Table1[[#This Row], [TRC]]+Table1[[#This Row], [DRC]]+Table1[[#This Row], [WRC]]+Table1[[#This Row], [ERC]]+Table1[[#This Row], [EQRC]]</f>
        <v>8327358.7999999989</v>
      </c>
      <c r="V2055" s="9">
        <f>Table1[[#This Row], [TOTAL COST]]+_xlfn.XLOOKUP(Table1[[#This Row], [TEAM]],Sheet1!$A$12:$A$17,Sheet1!$I$12:$I$17)</f>
        <v>8631498.7999999989</v>
      </c>
      <c r="W2055" s="9">
        <f>Table1[[#This Row], [LOOT]]-Table1[[#This Row], [TOTAL COST]]</f>
        <v>9572641.2000000011</v>
      </c>
      <c r="X2055" s="4">
        <f>IF(Table1[[#This Row], [PASS/FAIL]]="FAIL",0,Table1[[#This Row], [PROFIT]])</f>
        <v>0</v>
      </c>
    </row>
    <row r="2056" spans="1:24" ht="19.5" customHeight="1" x14ac:dyDescent="0.45">
      <c r="A2056" t="s">
        <v>16</v>
      </c>
      <c r="B2056" s="14">
        <f>_xlfn.XLOOKUP(Table1[[#This Row], [TEAM]],Sheet1!$A$12:$A$17,Sheet1!$F$12:$F$17)</f>
        <v>2</v>
      </c>
      <c r="C2056" s="14">
        <f>_xlfn.XLOOKUP(Table1[[#This Row], [TEAM]],Sheet1!$A$12:$A$17,Sheet1!$G$12:$G$17)</f>
        <v>6082800</v>
      </c>
      <c r="D2056" t="s">
        <v>21</v>
      </c>
      <c r="E2056" s="4">
        <f>_xlfn.XLOOKUP(Table1[[#This Row], [ROOM]],Sheet1!$A$47:$A$66,Sheet1!$B$47:$B$66)</f>
        <v>234</v>
      </c>
      <c r="F2056" t="s">
        <v>62</v>
      </c>
      <c r="G205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56" s="13" t="s">
        <v>63</v>
      </c>
      <c r="I2056" s="4">
        <f>_xlfn.XLOOKUP(Table1[[#This Row], [WEAPON]],Sheet1!$A$27:$A$29,Sheet1!$B$27:$B$29)*Table1[[#This Row], [NUM OF MEM]]*(1+_xlfn.XLOOKUP(Table1[[#This Row], [WEAPON]],Sheet1!$A$27:$A$29,Sheet1!$C$27:$C$29))</f>
        <v>46000</v>
      </c>
      <c r="J2056" t="s">
        <v>64</v>
      </c>
      <c r="K2056" s="9">
        <f>Table1[[#This Row], [NUM OF MEM]]*Table1[[#This Row], [TOTAL TIME TAKEN]]*_xlfn.XLOOKUP(Table1[[#This Row], [EXIT]],Sheet1!$A$70:$A$71,Sheet1!$B$70:$B$71)*(1+_xlfn.XLOOKUP(Table1[[#This Row], [EXIT]],Sheet1!$A$70:$A$71,Sheet1!$C$70:$C$71))</f>
        <v>1854154.7999999993</v>
      </c>
      <c r="L2056" s="13" t="s">
        <v>61</v>
      </c>
      <c r="M2056" s="4">
        <f>IF(Table1[[#This Row], [EQUIPMENT]]="YES",Sheet1!$C$44*(1+Sheet1!$D$44),0)</f>
        <v>0</v>
      </c>
      <c r="N2056" s="4">
        <f>_xlfn.XLOOKUP(Table1[[#This Row], [ROOM]],Sheet1!$A$47:$A$66,Sheet1!$F$47:$F$66)</f>
        <v>17900000</v>
      </c>
      <c r="O2056" s="9">
        <f>_xlfn.XLOOKUP(_xlfn.CONCAT(Table1[[#This Row], [TEAM]],Table1[[#This Row], [ROOM]]),'ROOM TIME'!$H$2:$H$121,'ROOM TIME'!$J$2:$J$121)</f>
        <v>62.758749999999978</v>
      </c>
      <c r="P2056" s="9">
        <f>(INDEX(Sheet1!$X$48:$Z$67,MATCH(Table1[[#This Row], [ROOM]],Sheet1!$P$48:$P$67,0),MATCH(Table1[[#This Row], [WEAPON]],Sheet1!$X$47:$Z$47,0)))/Table1[[#This Row], [NUM OF MEM]]</f>
        <v>8.7750000000000004</v>
      </c>
      <c r="Q2056" s="9">
        <f>Table1[[#This Row], [ROOM TIME]]+Table1[[#This Row], [GUARD TIME]]</f>
        <v>71.533749999999984</v>
      </c>
      <c r="R2056" s="4">
        <f>Sheet1!$K$3*_xlfn.XLOOKUP(Table1[[#This Row], [DISGUISE]],Sheet1!$A$21:$A$23,Sheet1!$D$21:$D$23)</f>
        <v>66</v>
      </c>
      <c r="S2056" s="9">
        <f>Table1[[#This Row], [TOTAL TIME]]-Table1[[#This Row], [TOTAL TIME TAKEN]]</f>
        <v>-5.5337499999999835</v>
      </c>
      <c r="T2056" t="str">
        <f>IF(Table1[[#This Row], [TIME DIFFERENCE]]&gt;=0,"PASS","FAIL")</f>
        <v>FAIL</v>
      </c>
      <c r="U2056" s="9">
        <f>Table1[[#This Row], [TRC]]+Table1[[#This Row], [DRC]]+Table1[[#This Row], [WRC]]+Table1[[#This Row], [ERC]]+Table1[[#This Row], [EQRC]]</f>
        <v>7993354.7999999989</v>
      </c>
      <c r="V2056" s="9">
        <f>Table1[[#This Row], [TOTAL COST]]+_xlfn.XLOOKUP(Table1[[#This Row], [TEAM]],Sheet1!$A$12:$A$17,Sheet1!$I$12:$I$17)</f>
        <v>8297494.7999999989</v>
      </c>
      <c r="W2056" s="9">
        <f>Table1[[#This Row], [LOOT]]-Table1[[#This Row], [TOTAL COST]]</f>
        <v>9906645.2000000011</v>
      </c>
      <c r="X2056" s="4">
        <f>IF(Table1[[#This Row], [PASS/FAIL]]="FAIL",0,Table1[[#This Row], [PROFIT]])</f>
        <v>0</v>
      </c>
    </row>
    <row r="2057" spans="1:24" ht="19.5" customHeight="1" x14ac:dyDescent="0.45">
      <c r="A2057" t="s">
        <v>16</v>
      </c>
      <c r="B2057" s="14">
        <f>_xlfn.XLOOKUP(Table1[[#This Row], [TEAM]],Sheet1!$A$12:$A$17,Sheet1!$F$12:$F$17)</f>
        <v>2</v>
      </c>
      <c r="C2057" s="14">
        <f>_xlfn.XLOOKUP(Table1[[#This Row], [TEAM]],Sheet1!$A$12:$A$17,Sheet1!$G$12:$G$17)</f>
        <v>6082800</v>
      </c>
      <c r="D2057" t="s">
        <v>21</v>
      </c>
      <c r="E2057" s="4">
        <f>_xlfn.XLOOKUP(Table1[[#This Row], [ROOM]],Sheet1!$A$47:$A$66,Sheet1!$B$47:$B$66)</f>
        <v>234</v>
      </c>
      <c r="F2057" t="s">
        <v>58</v>
      </c>
      <c r="G205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57" s="13" t="s">
        <v>63</v>
      </c>
      <c r="I2057" s="4">
        <f>_xlfn.XLOOKUP(Table1[[#This Row], [WEAPON]],Sheet1!$A$27:$A$29,Sheet1!$B$27:$B$29)*Table1[[#This Row], [NUM OF MEM]]*(1+_xlfn.XLOOKUP(Table1[[#This Row], [WEAPON]],Sheet1!$A$27:$A$29,Sheet1!$C$27:$C$29))</f>
        <v>46000</v>
      </c>
      <c r="J2057" t="s">
        <v>64</v>
      </c>
      <c r="K2057" s="9">
        <f>Table1[[#This Row], [NUM OF MEM]]*Table1[[#This Row], [TOTAL TIME TAKEN]]*_xlfn.XLOOKUP(Table1[[#This Row], [EXIT]],Sheet1!$A$70:$A$71,Sheet1!$B$70:$B$71)*(1+_xlfn.XLOOKUP(Table1[[#This Row], [EXIT]],Sheet1!$A$70:$A$71,Sheet1!$C$70:$C$71))</f>
        <v>1854154.7999999993</v>
      </c>
      <c r="L2057" s="13" t="s">
        <v>61</v>
      </c>
      <c r="M2057" s="4">
        <f>IF(Table1[[#This Row], [EQUIPMENT]]="YES",Sheet1!$C$44*(1+Sheet1!$D$44),0)</f>
        <v>0</v>
      </c>
      <c r="N2057" s="4">
        <f>_xlfn.XLOOKUP(Table1[[#This Row], [ROOM]],Sheet1!$A$47:$A$66,Sheet1!$F$47:$F$66)</f>
        <v>17900000</v>
      </c>
      <c r="O2057" s="9">
        <f>_xlfn.XLOOKUP(_xlfn.CONCAT(Table1[[#This Row], [TEAM]],Table1[[#This Row], [ROOM]]),'ROOM TIME'!$H$2:$H$121,'ROOM TIME'!$J$2:$J$121)</f>
        <v>62.758749999999978</v>
      </c>
      <c r="P2057" s="9">
        <f>(INDEX(Sheet1!$X$48:$Z$67,MATCH(Table1[[#This Row], [ROOM]],Sheet1!$P$48:$P$67,0),MATCH(Table1[[#This Row], [WEAPON]],Sheet1!$X$47:$Z$47,0)))/Table1[[#This Row], [NUM OF MEM]]</f>
        <v>8.7750000000000004</v>
      </c>
      <c r="Q2057" s="9">
        <f>Table1[[#This Row], [ROOM TIME]]+Table1[[#This Row], [GUARD TIME]]</f>
        <v>71.533749999999984</v>
      </c>
      <c r="R2057" s="4">
        <f>Sheet1!$K$3*_xlfn.XLOOKUP(Table1[[#This Row], [DISGUISE]],Sheet1!$A$21:$A$23,Sheet1!$D$21:$D$23)</f>
        <v>69</v>
      </c>
      <c r="S2057" s="9">
        <f>Table1[[#This Row], [TOTAL TIME]]-Table1[[#This Row], [TOTAL TIME TAKEN]]</f>
        <v>-2.5337499999999835</v>
      </c>
      <c r="T2057" t="str">
        <f>IF(Table1[[#This Row], [TIME DIFFERENCE]]&gt;=0,"PASS","FAIL")</f>
        <v>FAIL</v>
      </c>
      <c r="U2057" s="9">
        <f>Table1[[#This Row], [TRC]]+Table1[[#This Row], [DRC]]+Table1[[#This Row], [WRC]]+Table1[[#This Row], [ERC]]+Table1[[#This Row], [EQRC]]</f>
        <v>8008554.7999999989</v>
      </c>
      <c r="V2057" s="9">
        <f>Table1[[#This Row], [TOTAL COST]]+_xlfn.XLOOKUP(Table1[[#This Row], [TEAM]],Sheet1!$A$12:$A$17,Sheet1!$I$12:$I$17)</f>
        <v>8312694.7999999989</v>
      </c>
      <c r="W2057" s="9">
        <f>Table1[[#This Row], [LOOT]]-Table1[[#This Row], [TOTAL COST]]</f>
        <v>9891445.2000000011</v>
      </c>
      <c r="X2057" s="4">
        <f>IF(Table1[[#This Row], [PASS/FAIL]]="FAIL",0,Table1[[#This Row], [PROFIT]])</f>
        <v>0</v>
      </c>
    </row>
    <row r="2058" spans="1:24" ht="19.5" customHeight="1" x14ac:dyDescent="0.45">
      <c r="A2058" t="s">
        <v>16</v>
      </c>
      <c r="B2058" s="14">
        <f>_xlfn.XLOOKUP(Table1[[#This Row], [TEAM]],Sheet1!$A$12:$A$17,Sheet1!$F$12:$F$17)</f>
        <v>2</v>
      </c>
      <c r="C2058" s="14">
        <f>_xlfn.XLOOKUP(Table1[[#This Row], [TEAM]],Sheet1!$A$12:$A$17,Sheet1!$G$12:$G$17)</f>
        <v>6082800</v>
      </c>
      <c r="D2058" t="s">
        <v>21</v>
      </c>
      <c r="E2058" s="4">
        <f>_xlfn.XLOOKUP(Table1[[#This Row], [ROOM]],Sheet1!$A$47:$A$66,Sheet1!$B$47:$B$66)</f>
        <v>234</v>
      </c>
      <c r="F2058" t="s">
        <v>62</v>
      </c>
      <c r="G205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58" s="13" t="s">
        <v>63</v>
      </c>
      <c r="I2058" s="4">
        <f>_xlfn.XLOOKUP(Table1[[#This Row], [WEAPON]],Sheet1!$A$27:$A$29,Sheet1!$B$27:$B$29)*Table1[[#This Row], [NUM OF MEM]]*(1+_xlfn.XLOOKUP(Table1[[#This Row], [WEAPON]],Sheet1!$A$27:$A$29,Sheet1!$C$27:$C$29))</f>
        <v>46000</v>
      </c>
      <c r="J2058" t="s">
        <v>60</v>
      </c>
      <c r="K2058" s="9">
        <f>Table1[[#This Row], [NUM OF MEM]]*Table1[[#This Row], [TOTAL TIME TAKEN]]*_xlfn.XLOOKUP(Table1[[#This Row], [EXIT]],Sheet1!$A$70:$A$71,Sheet1!$B$70:$B$71)*(1+_xlfn.XLOOKUP(Table1[[#This Row], [EXIT]],Sheet1!$A$70:$A$71,Sheet1!$C$70:$C$71))</f>
        <v>1835913.6937499996</v>
      </c>
      <c r="L2058" s="13" t="s">
        <v>65</v>
      </c>
      <c r="M2058" s="4">
        <f>IF(Table1[[#This Row], [EQUIPMENT]]="YES",Sheet1!$C$44*(1+Sheet1!$D$44),0)</f>
        <v>307500</v>
      </c>
      <c r="N2058" s="4">
        <f>_xlfn.XLOOKUP(Table1[[#This Row], [ROOM]],Sheet1!$A$47:$A$66,Sheet1!$F$47:$F$66)</f>
        <v>17900000</v>
      </c>
      <c r="O2058" s="9">
        <f>_xlfn.XLOOKUP(_xlfn.CONCAT(Table1[[#This Row], [TEAM]],Table1[[#This Row], [ROOM]]),'ROOM TIME'!$H$2:$H$121,'ROOM TIME'!$J$2:$J$121)</f>
        <v>62.758749999999978</v>
      </c>
      <c r="P2058" s="9">
        <f>(INDEX(Sheet1!$X$48:$Z$67,MATCH(Table1[[#This Row], [ROOM]],Sheet1!$P$48:$P$67,0),MATCH(Table1[[#This Row], [WEAPON]],Sheet1!$X$47:$Z$47,0)))/Table1[[#This Row], [NUM OF MEM]]</f>
        <v>8.7750000000000004</v>
      </c>
      <c r="Q2058" s="9">
        <f>Table1[[#This Row], [ROOM TIME]]+Table1[[#This Row], [GUARD TIME]]</f>
        <v>71.533749999999984</v>
      </c>
      <c r="R2058" s="4">
        <f>Sheet1!$K$3*_xlfn.XLOOKUP(Table1[[#This Row], [DISGUISE]],Sheet1!$A$21:$A$23,Sheet1!$D$21:$D$23)</f>
        <v>66</v>
      </c>
      <c r="S2058" s="9">
        <f>Table1[[#This Row], [TOTAL TIME]]-Table1[[#This Row], [TOTAL TIME TAKEN]]</f>
        <v>-5.5337499999999835</v>
      </c>
      <c r="T2058" t="str">
        <f>IF(Table1[[#This Row], [TIME DIFFERENCE]]&gt;=0,"PASS","FAIL")</f>
        <v>FAIL</v>
      </c>
      <c r="U2058" s="9">
        <f>Table1[[#This Row], [TRC]]+Table1[[#This Row], [DRC]]+Table1[[#This Row], [WRC]]+Table1[[#This Row], [ERC]]+Table1[[#This Row], [EQRC]]</f>
        <v>8282613.6937499996</v>
      </c>
      <c r="V2058" s="9">
        <f>Table1[[#This Row], [TOTAL COST]]+_xlfn.XLOOKUP(Table1[[#This Row], [TEAM]],Sheet1!$A$12:$A$17,Sheet1!$I$12:$I$17)</f>
        <v>8586753.6937499996</v>
      </c>
      <c r="W2058" s="9">
        <f>Table1[[#This Row], [LOOT]]-Table1[[#This Row], [TOTAL COST]]</f>
        <v>9617386.3062500004</v>
      </c>
      <c r="X2058" s="4">
        <f>IF(Table1[[#This Row], [PASS/FAIL]]="FAIL",0,Table1[[#This Row], [PROFIT]])</f>
        <v>0</v>
      </c>
    </row>
    <row r="2059" spans="1:24" ht="19.5" customHeight="1" x14ac:dyDescent="0.45">
      <c r="A2059" t="s">
        <v>16</v>
      </c>
      <c r="B2059" s="14">
        <f>_xlfn.XLOOKUP(Table1[[#This Row], [TEAM]],Sheet1!$A$12:$A$17,Sheet1!$F$12:$F$17)</f>
        <v>2</v>
      </c>
      <c r="C2059" s="14">
        <f>_xlfn.XLOOKUP(Table1[[#This Row], [TEAM]],Sheet1!$A$12:$A$17,Sheet1!$G$12:$G$17)</f>
        <v>6082800</v>
      </c>
      <c r="D2059" t="s">
        <v>21</v>
      </c>
      <c r="E2059" s="4">
        <f>_xlfn.XLOOKUP(Table1[[#This Row], [ROOM]],Sheet1!$A$47:$A$66,Sheet1!$B$47:$B$66)</f>
        <v>234</v>
      </c>
      <c r="F2059" t="s">
        <v>58</v>
      </c>
      <c r="G205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59" s="13" t="s">
        <v>63</v>
      </c>
      <c r="I2059" s="4">
        <f>_xlfn.XLOOKUP(Table1[[#This Row], [WEAPON]],Sheet1!$A$27:$A$29,Sheet1!$B$27:$B$29)*Table1[[#This Row], [NUM OF MEM]]*(1+_xlfn.XLOOKUP(Table1[[#This Row], [WEAPON]],Sheet1!$A$27:$A$29,Sheet1!$C$27:$C$29))</f>
        <v>46000</v>
      </c>
      <c r="J2059" t="s">
        <v>60</v>
      </c>
      <c r="K2059" s="9">
        <f>Table1[[#This Row], [NUM OF MEM]]*Table1[[#This Row], [TOTAL TIME TAKEN]]*_xlfn.XLOOKUP(Table1[[#This Row], [EXIT]],Sheet1!$A$70:$A$71,Sheet1!$B$70:$B$71)*(1+_xlfn.XLOOKUP(Table1[[#This Row], [EXIT]],Sheet1!$A$70:$A$71,Sheet1!$C$70:$C$71))</f>
        <v>1835913.6937499996</v>
      </c>
      <c r="L2059" s="13" t="s">
        <v>65</v>
      </c>
      <c r="M2059" s="4">
        <f>IF(Table1[[#This Row], [EQUIPMENT]]="YES",Sheet1!$C$44*(1+Sheet1!$D$44),0)</f>
        <v>307500</v>
      </c>
      <c r="N2059" s="4">
        <f>_xlfn.XLOOKUP(Table1[[#This Row], [ROOM]],Sheet1!$A$47:$A$66,Sheet1!$F$47:$F$66)</f>
        <v>17900000</v>
      </c>
      <c r="O2059" s="9">
        <f>_xlfn.XLOOKUP(_xlfn.CONCAT(Table1[[#This Row], [TEAM]],Table1[[#This Row], [ROOM]]),'ROOM TIME'!$H$2:$H$121,'ROOM TIME'!$J$2:$J$121)</f>
        <v>62.758749999999978</v>
      </c>
      <c r="P2059" s="9">
        <f>(INDEX(Sheet1!$X$48:$Z$67,MATCH(Table1[[#This Row], [ROOM]],Sheet1!$P$48:$P$67,0),MATCH(Table1[[#This Row], [WEAPON]],Sheet1!$X$47:$Z$47,0)))/Table1[[#This Row], [NUM OF MEM]]</f>
        <v>8.7750000000000004</v>
      </c>
      <c r="Q2059" s="9">
        <f>Table1[[#This Row], [ROOM TIME]]+Table1[[#This Row], [GUARD TIME]]</f>
        <v>71.533749999999984</v>
      </c>
      <c r="R2059" s="4">
        <f>Sheet1!$K$3*_xlfn.XLOOKUP(Table1[[#This Row], [DISGUISE]],Sheet1!$A$21:$A$23,Sheet1!$D$21:$D$23)</f>
        <v>69</v>
      </c>
      <c r="S2059" s="9">
        <f>Table1[[#This Row], [TOTAL TIME]]-Table1[[#This Row], [TOTAL TIME TAKEN]]</f>
        <v>-2.5337499999999835</v>
      </c>
      <c r="T2059" t="str">
        <f>IF(Table1[[#This Row], [TIME DIFFERENCE]]&gt;=0,"PASS","FAIL")</f>
        <v>FAIL</v>
      </c>
      <c r="U2059" s="9">
        <f>Table1[[#This Row], [TRC]]+Table1[[#This Row], [DRC]]+Table1[[#This Row], [WRC]]+Table1[[#This Row], [ERC]]+Table1[[#This Row], [EQRC]]</f>
        <v>8297813.6937499996</v>
      </c>
      <c r="V2059" s="9">
        <f>Table1[[#This Row], [TOTAL COST]]+_xlfn.XLOOKUP(Table1[[#This Row], [TEAM]],Sheet1!$A$12:$A$17,Sheet1!$I$12:$I$17)</f>
        <v>8601953.6937499996</v>
      </c>
      <c r="W2059" s="9">
        <f>Table1[[#This Row], [LOOT]]-Table1[[#This Row], [TOTAL COST]]</f>
        <v>9602186.3062500004</v>
      </c>
      <c r="X2059" s="4">
        <f>IF(Table1[[#This Row], [PASS/FAIL]]="FAIL",0,Table1[[#This Row], [PROFIT]])</f>
        <v>0</v>
      </c>
    </row>
    <row r="2060" spans="1:24" ht="19.5" customHeight="1" x14ac:dyDescent="0.45">
      <c r="A2060" t="s">
        <v>16</v>
      </c>
      <c r="B2060" s="14">
        <f>_xlfn.XLOOKUP(Table1[[#This Row], [TEAM]],Sheet1!$A$12:$A$17,Sheet1!$F$12:$F$17)</f>
        <v>2</v>
      </c>
      <c r="C2060" s="14">
        <f>_xlfn.XLOOKUP(Table1[[#This Row], [TEAM]],Sheet1!$A$12:$A$17,Sheet1!$G$12:$G$17)</f>
        <v>6082800</v>
      </c>
      <c r="D2060" t="s">
        <v>21</v>
      </c>
      <c r="E2060" s="4">
        <f>_xlfn.XLOOKUP(Table1[[#This Row], [ROOM]],Sheet1!$A$47:$A$66,Sheet1!$B$47:$B$66)</f>
        <v>234</v>
      </c>
      <c r="F2060" t="s">
        <v>62</v>
      </c>
      <c r="G206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60" s="13" t="s">
        <v>63</v>
      </c>
      <c r="I2060" s="4">
        <f>_xlfn.XLOOKUP(Table1[[#This Row], [WEAPON]],Sheet1!$A$27:$A$29,Sheet1!$B$27:$B$29)*Table1[[#This Row], [NUM OF MEM]]*(1+_xlfn.XLOOKUP(Table1[[#This Row], [WEAPON]],Sheet1!$A$27:$A$29,Sheet1!$C$27:$C$29))</f>
        <v>46000</v>
      </c>
      <c r="J2060" t="s">
        <v>64</v>
      </c>
      <c r="K2060" s="9">
        <f>Table1[[#This Row], [NUM OF MEM]]*Table1[[#This Row], [TOTAL TIME TAKEN]]*_xlfn.XLOOKUP(Table1[[#This Row], [EXIT]],Sheet1!$A$70:$A$71,Sheet1!$B$70:$B$71)*(1+_xlfn.XLOOKUP(Table1[[#This Row], [EXIT]],Sheet1!$A$70:$A$71,Sheet1!$C$70:$C$71))</f>
        <v>1854154.7999999993</v>
      </c>
      <c r="L2060" s="13" t="s">
        <v>65</v>
      </c>
      <c r="M2060" s="4">
        <f>IF(Table1[[#This Row], [EQUIPMENT]]="YES",Sheet1!$C$44*(1+Sheet1!$D$44),0)</f>
        <v>307500</v>
      </c>
      <c r="N2060" s="4">
        <f>_xlfn.XLOOKUP(Table1[[#This Row], [ROOM]],Sheet1!$A$47:$A$66,Sheet1!$F$47:$F$66)</f>
        <v>17900000</v>
      </c>
      <c r="O2060" s="9">
        <f>_xlfn.XLOOKUP(_xlfn.CONCAT(Table1[[#This Row], [TEAM]],Table1[[#This Row], [ROOM]]),'ROOM TIME'!$H$2:$H$121,'ROOM TIME'!$J$2:$J$121)</f>
        <v>62.758749999999978</v>
      </c>
      <c r="P2060" s="9">
        <f>(INDEX(Sheet1!$X$48:$Z$67,MATCH(Table1[[#This Row], [ROOM]],Sheet1!$P$48:$P$67,0),MATCH(Table1[[#This Row], [WEAPON]],Sheet1!$X$47:$Z$47,0)))/Table1[[#This Row], [NUM OF MEM]]</f>
        <v>8.7750000000000004</v>
      </c>
      <c r="Q2060" s="9">
        <f>Table1[[#This Row], [ROOM TIME]]+Table1[[#This Row], [GUARD TIME]]</f>
        <v>71.533749999999984</v>
      </c>
      <c r="R2060" s="4">
        <f>Sheet1!$K$3*_xlfn.XLOOKUP(Table1[[#This Row], [DISGUISE]],Sheet1!$A$21:$A$23,Sheet1!$D$21:$D$23)</f>
        <v>66</v>
      </c>
      <c r="S2060" s="9">
        <f>Table1[[#This Row], [TOTAL TIME]]-Table1[[#This Row], [TOTAL TIME TAKEN]]</f>
        <v>-5.5337499999999835</v>
      </c>
      <c r="T2060" t="str">
        <f>IF(Table1[[#This Row], [TIME DIFFERENCE]]&gt;=0,"PASS","FAIL")</f>
        <v>FAIL</v>
      </c>
      <c r="U2060" s="9">
        <f>Table1[[#This Row], [TRC]]+Table1[[#This Row], [DRC]]+Table1[[#This Row], [WRC]]+Table1[[#This Row], [ERC]]+Table1[[#This Row], [EQRC]]</f>
        <v>8300854.7999999989</v>
      </c>
      <c r="V2060" s="9">
        <f>Table1[[#This Row], [TOTAL COST]]+_xlfn.XLOOKUP(Table1[[#This Row], [TEAM]],Sheet1!$A$12:$A$17,Sheet1!$I$12:$I$17)</f>
        <v>8604994.7999999989</v>
      </c>
      <c r="W2060" s="9">
        <f>Table1[[#This Row], [LOOT]]-Table1[[#This Row], [TOTAL COST]]</f>
        <v>9599145.2000000011</v>
      </c>
      <c r="X2060" s="4">
        <f>IF(Table1[[#This Row], [PASS/FAIL]]="FAIL",0,Table1[[#This Row], [PROFIT]])</f>
        <v>0</v>
      </c>
    </row>
    <row r="2061" spans="1:24" ht="19.5" customHeight="1" x14ac:dyDescent="0.45">
      <c r="A2061" t="s">
        <v>16</v>
      </c>
      <c r="B2061" s="14">
        <f>_xlfn.XLOOKUP(Table1[[#This Row], [TEAM]],Sheet1!$A$12:$A$17,Sheet1!$F$12:$F$17)</f>
        <v>2</v>
      </c>
      <c r="C2061" s="14">
        <f>_xlfn.XLOOKUP(Table1[[#This Row], [TEAM]],Sheet1!$A$12:$A$17,Sheet1!$G$12:$G$17)</f>
        <v>6082800</v>
      </c>
      <c r="D2061" t="s">
        <v>21</v>
      </c>
      <c r="E2061" s="4">
        <f>_xlfn.XLOOKUP(Table1[[#This Row], [ROOM]],Sheet1!$A$47:$A$66,Sheet1!$B$47:$B$66)</f>
        <v>234</v>
      </c>
      <c r="F2061" t="s">
        <v>58</v>
      </c>
      <c r="G206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61" s="13" t="s">
        <v>63</v>
      </c>
      <c r="I2061" s="4">
        <f>_xlfn.XLOOKUP(Table1[[#This Row], [WEAPON]],Sheet1!$A$27:$A$29,Sheet1!$B$27:$B$29)*Table1[[#This Row], [NUM OF MEM]]*(1+_xlfn.XLOOKUP(Table1[[#This Row], [WEAPON]],Sheet1!$A$27:$A$29,Sheet1!$C$27:$C$29))</f>
        <v>46000</v>
      </c>
      <c r="J2061" t="s">
        <v>64</v>
      </c>
      <c r="K2061" s="9">
        <f>Table1[[#This Row], [NUM OF MEM]]*Table1[[#This Row], [TOTAL TIME TAKEN]]*_xlfn.XLOOKUP(Table1[[#This Row], [EXIT]],Sheet1!$A$70:$A$71,Sheet1!$B$70:$B$71)*(1+_xlfn.XLOOKUP(Table1[[#This Row], [EXIT]],Sheet1!$A$70:$A$71,Sheet1!$C$70:$C$71))</f>
        <v>1854154.7999999993</v>
      </c>
      <c r="L2061" s="13" t="s">
        <v>65</v>
      </c>
      <c r="M2061" s="4">
        <f>IF(Table1[[#This Row], [EQUIPMENT]]="YES",Sheet1!$C$44*(1+Sheet1!$D$44),0)</f>
        <v>307500</v>
      </c>
      <c r="N2061" s="4">
        <f>_xlfn.XLOOKUP(Table1[[#This Row], [ROOM]],Sheet1!$A$47:$A$66,Sheet1!$F$47:$F$66)</f>
        <v>17900000</v>
      </c>
      <c r="O2061" s="9">
        <f>_xlfn.XLOOKUP(_xlfn.CONCAT(Table1[[#This Row], [TEAM]],Table1[[#This Row], [ROOM]]),'ROOM TIME'!$H$2:$H$121,'ROOM TIME'!$J$2:$J$121)</f>
        <v>62.758749999999978</v>
      </c>
      <c r="P2061" s="9">
        <f>(INDEX(Sheet1!$X$48:$Z$67,MATCH(Table1[[#This Row], [ROOM]],Sheet1!$P$48:$P$67,0),MATCH(Table1[[#This Row], [WEAPON]],Sheet1!$X$47:$Z$47,0)))/Table1[[#This Row], [NUM OF MEM]]</f>
        <v>8.7750000000000004</v>
      </c>
      <c r="Q2061" s="9">
        <f>Table1[[#This Row], [ROOM TIME]]+Table1[[#This Row], [GUARD TIME]]</f>
        <v>71.533749999999984</v>
      </c>
      <c r="R2061" s="4">
        <f>Sheet1!$K$3*_xlfn.XLOOKUP(Table1[[#This Row], [DISGUISE]],Sheet1!$A$21:$A$23,Sheet1!$D$21:$D$23)</f>
        <v>69</v>
      </c>
      <c r="S2061" s="9">
        <f>Table1[[#This Row], [TOTAL TIME]]-Table1[[#This Row], [TOTAL TIME TAKEN]]</f>
        <v>-2.5337499999999835</v>
      </c>
      <c r="T2061" t="str">
        <f>IF(Table1[[#This Row], [TIME DIFFERENCE]]&gt;=0,"PASS","FAIL")</f>
        <v>FAIL</v>
      </c>
      <c r="U2061" s="9">
        <f>Table1[[#This Row], [TRC]]+Table1[[#This Row], [DRC]]+Table1[[#This Row], [WRC]]+Table1[[#This Row], [ERC]]+Table1[[#This Row], [EQRC]]</f>
        <v>8316054.7999999989</v>
      </c>
      <c r="V2061" s="9">
        <f>Table1[[#This Row], [TOTAL COST]]+_xlfn.XLOOKUP(Table1[[#This Row], [TEAM]],Sheet1!$A$12:$A$17,Sheet1!$I$12:$I$17)</f>
        <v>8620194.7999999989</v>
      </c>
      <c r="W2061" s="9">
        <f>Table1[[#This Row], [LOOT]]-Table1[[#This Row], [TOTAL COST]]</f>
        <v>9583945.2000000011</v>
      </c>
      <c r="X2061" s="4">
        <f>IF(Table1[[#This Row], [PASS/FAIL]]="FAIL",0,Table1[[#This Row], [PROFIT]])</f>
        <v>0</v>
      </c>
    </row>
    <row r="2062" spans="1:24" ht="19.5" customHeight="1" x14ac:dyDescent="0.45">
      <c r="A2062" t="s">
        <v>16</v>
      </c>
      <c r="B2062" s="14">
        <f>_xlfn.XLOOKUP(Table1[[#This Row], [TEAM]],Sheet1!$A$12:$A$17,Sheet1!$F$12:$F$17)</f>
        <v>2</v>
      </c>
      <c r="C2062" s="14">
        <f>_xlfn.XLOOKUP(Table1[[#This Row], [TEAM]],Sheet1!$A$12:$A$17,Sheet1!$G$12:$G$17)</f>
        <v>6082800</v>
      </c>
      <c r="D2062" t="s">
        <v>21</v>
      </c>
      <c r="E2062" s="4">
        <f>_xlfn.XLOOKUP(Table1[[#This Row], [ROOM]],Sheet1!$A$47:$A$66,Sheet1!$B$47:$B$66)</f>
        <v>234</v>
      </c>
      <c r="F2062" t="s">
        <v>58</v>
      </c>
      <c r="G2062" s="4">
        <f>_xlfn.XLOOKUP(Table1[[#This Row], [DISGUISE]],Sheet1!$A$21:$A$23,Sheet1!$B$21:$B$23)*Table1[[#This Row], [NUM OF MEM]]*(1+_xlfn.XLOOKUP(Table1[[#This Row], [DISGUISE]],Sheet1!$A$21:$A$23,Sheet1!$C$21:$C$23))</f>
        <v>25600</v>
      </c>
      <c r="H2062" s="13" t="s">
        <v>66</v>
      </c>
      <c r="I2062" s="4">
        <f>_xlfn.XLOOKUP(Table1[[#This Row], [WEAPON]],Sheet1!$A$27:$A$29,Sheet1!$B$27:$B$29)*Table1[[#This Row], [NUM OF MEM]]*(1+_xlfn.XLOOKUP(Table1[[#This Row], [WEAPON]],Sheet1!$A$27:$A$29,Sheet1!$C$27:$C$29))</f>
        <v>72000</v>
      </c>
      <c r="J2062" t="s">
        <v>60</v>
      </c>
      <c r="K2062" s="9">
        <f>Table1[[#This Row], [NUM OF MEM]]*Table1[[#This Row], [TOTAL TIME TAKEN]]*_xlfn.XLOOKUP(Table1[[#This Row], [EXIT]],Sheet1!$A$70:$A$71,Sheet1!$B$70:$B$71)*(1+_xlfn.XLOOKUP(Table1[[#This Row], [EXIT]],Sheet1!$A$70:$A$71,Sheet1!$C$70:$C$71))</f>
        <v>1819231.4437499992</v>
      </c>
      <c r="L2062" s="13" t="s">
        <v>61</v>
      </c>
      <c r="M2062" s="4">
        <f>IF(Table1[[#This Row], [EQUIPMENT]]="YES",Sheet1!$C$44*(1+Sheet1!$D$44),0)</f>
        <v>0</v>
      </c>
      <c r="N2062" s="4">
        <f>_xlfn.XLOOKUP(Table1[[#This Row], [ROOM]],Sheet1!$A$47:$A$66,Sheet1!$F$47:$F$66)</f>
        <v>17900000</v>
      </c>
      <c r="O2062" s="9">
        <f>_xlfn.XLOOKUP(_xlfn.CONCAT(Table1[[#This Row], [TEAM]],Table1[[#This Row], [ROOM]]),'ROOM TIME'!$H$2:$H$121,'ROOM TIME'!$J$2:$J$121)</f>
        <v>62.758749999999978</v>
      </c>
      <c r="P2062" s="9">
        <f>(INDEX(Sheet1!$X$48:$Z$67,MATCH(Table1[[#This Row], [ROOM]],Sheet1!$P$48:$P$67,0),MATCH(Table1[[#This Row], [WEAPON]],Sheet1!$X$47:$Z$47,0)))/Table1[[#This Row], [NUM OF MEM]]</f>
        <v>8.125</v>
      </c>
      <c r="Q2062" s="9">
        <f>Table1[[#This Row], [ROOM TIME]]+Table1[[#This Row], [GUARD TIME]]</f>
        <v>70.883749999999978</v>
      </c>
      <c r="R2062" s="4">
        <f>Sheet1!$K$3*_xlfn.XLOOKUP(Table1[[#This Row], [DISGUISE]],Sheet1!$A$21:$A$23,Sheet1!$D$21:$D$23)</f>
        <v>69</v>
      </c>
      <c r="S2062" s="9">
        <f>Table1[[#This Row], [TOTAL TIME]]-Table1[[#This Row], [TOTAL TIME TAKEN]]</f>
        <v>-1.8837499999999778</v>
      </c>
      <c r="T2062" t="str">
        <f>IF(Table1[[#This Row], [TIME DIFFERENCE]]&gt;=0,"PASS","FAIL")</f>
        <v>FAIL</v>
      </c>
      <c r="U2062" s="9">
        <f>Table1[[#This Row], [TRC]]+Table1[[#This Row], [DRC]]+Table1[[#This Row], [WRC]]+Table1[[#This Row], [ERC]]+Table1[[#This Row], [EQRC]]</f>
        <v>7999631.4437499996</v>
      </c>
      <c r="V2062" s="9">
        <f>Table1[[#This Row], [TOTAL COST]]+_xlfn.XLOOKUP(Table1[[#This Row], [TEAM]],Sheet1!$A$12:$A$17,Sheet1!$I$12:$I$17)</f>
        <v>8303771.4437499996</v>
      </c>
      <c r="W2062" s="9">
        <f>Table1[[#This Row], [LOOT]]-Table1[[#This Row], [TOTAL COST]]</f>
        <v>9900368.5562500004</v>
      </c>
      <c r="X2062" s="4">
        <f>IF(Table1[[#This Row], [PASS/FAIL]]="FAIL",0,Table1[[#This Row], [PROFIT]])</f>
        <v>0</v>
      </c>
    </row>
    <row r="2063" spans="1:24" ht="19.5" customHeight="1" x14ac:dyDescent="0.45">
      <c r="A2063" t="s">
        <v>16</v>
      </c>
      <c r="B2063" s="14">
        <f>_xlfn.XLOOKUP(Table1[[#This Row], [TEAM]],Sheet1!$A$12:$A$17,Sheet1!$F$12:$F$17)</f>
        <v>2</v>
      </c>
      <c r="C2063" s="14">
        <f>_xlfn.XLOOKUP(Table1[[#This Row], [TEAM]],Sheet1!$A$12:$A$17,Sheet1!$G$12:$G$17)</f>
        <v>6082800</v>
      </c>
      <c r="D2063" t="s">
        <v>21</v>
      </c>
      <c r="E2063" s="4">
        <f>_xlfn.XLOOKUP(Table1[[#This Row], [ROOM]],Sheet1!$A$47:$A$66,Sheet1!$B$47:$B$66)</f>
        <v>234</v>
      </c>
      <c r="F2063" t="s">
        <v>58</v>
      </c>
      <c r="G206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63" s="13" t="s">
        <v>66</v>
      </c>
      <c r="I2063" s="4">
        <f>_xlfn.XLOOKUP(Table1[[#This Row], [WEAPON]],Sheet1!$A$27:$A$29,Sheet1!$B$27:$B$29)*Table1[[#This Row], [NUM OF MEM]]*(1+_xlfn.XLOOKUP(Table1[[#This Row], [WEAPON]],Sheet1!$A$27:$A$29,Sheet1!$C$27:$C$29))</f>
        <v>72000</v>
      </c>
      <c r="J2063" t="s">
        <v>64</v>
      </c>
      <c r="K2063" s="9">
        <f>Table1[[#This Row], [NUM OF MEM]]*Table1[[#This Row], [TOTAL TIME TAKEN]]*_xlfn.XLOOKUP(Table1[[#This Row], [EXIT]],Sheet1!$A$70:$A$71,Sheet1!$B$70:$B$71)*(1+_xlfn.XLOOKUP(Table1[[#This Row], [EXIT]],Sheet1!$A$70:$A$71,Sheet1!$C$70:$C$71))</f>
        <v>1837306.7999999993</v>
      </c>
      <c r="L2063" s="13" t="s">
        <v>61</v>
      </c>
      <c r="M2063" s="4">
        <f>IF(Table1[[#This Row], [EQUIPMENT]]="YES",Sheet1!$C$44*(1+Sheet1!$D$44),0)</f>
        <v>0</v>
      </c>
      <c r="N2063" s="4">
        <f>_xlfn.XLOOKUP(Table1[[#This Row], [ROOM]],Sheet1!$A$47:$A$66,Sheet1!$F$47:$F$66)</f>
        <v>17900000</v>
      </c>
      <c r="O2063" s="9">
        <f>_xlfn.XLOOKUP(_xlfn.CONCAT(Table1[[#This Row], [TEAM]],Table1[[#This Row], [ROOM]]),'ROOM TIME'!$H$2:$H$121,'ROOM TIME'!$J$2:$J$121)</f>
        <v>62.758749999999978</v>
      </c>
      <c r="P2063" s="9">
        <f>(INDEX(Sheet1!$X$48:$Z$67,MATCH(Table1[[#This Row], [ROOM]],Sheet1!$P$48:$P$67,0),MATCH(Table1[[#This Row], [WEAPON]],Sheet1!$X$47:$Z$47,0)))/Table1[[#This Row], [NUM OF MEM]]</f>
        <v>8.125</v>
      </c>
      <c r="Q2063" s="9">
        <f>Table1[[#This Row], [ROOM TIME]]+Table1[[#This Row], [GUARD TIME]]</f>
        <v>70.883749999999978</v>
      </c>
      <c r="R2063" s="4">
        <f>Sheet1!$K$3*_xlfn.XLOOKUP(Table1[[#This Row], [DISGUISE]],Sheet1!$A$21:$A$23,Sheet1!$D$21:$D$23)</f>
        <v>69</v>
      </c>
      <c r="S2063" s="9">
        <f>Table1[[#This Row], [TOTAL TIME]]-Table1[[#This Row], [TOTAL TIME TAKEN]]</f>
        <v>-1.8837499999999778</v>
      </c>
      <c r="T2063" t="str">
        <f>IF(Table1[[#This Row], [TIME DIFFERENCE]]&gt;=0,"PASS","FAIL")</f>
        <v>FAIL</v>
      </c>
      <c r="U2063" s="9">
        <f>Table1[[#This Row], [TRC]]+Table1[[#This Row], [DRC]]+Table1[[#This Row], [WRC]]+Table1[[#This Row], [ERC]]+Table1[[#This Row], [EQRC]]</f>
        <v>8017706.7999999989</v>
      </c>
      <c r="V2063" s="9">
        <f>Table1[[#This Row], [TOTAL COST]]+_xlfn.XLOOKUP(Table1[[#This Row], [TEAM]],Sheet1!$A$12:$A$17,Sheet1!$I$12:$I$17)</f>
        <v>8321846.7999999989</v>
      </c>
      <c r="W2063" s="9">
        <f>Table1[[#This Row], [LOOT]]-Table1[[#This Row], [TOTAL COST]]</f>
        <v>9882293.2000000011</v>
      </c>
      <c r="X2063" s="4">
        <f>IF(Table1[[#This Row], [PASS/FAIL]]="FAIL",0,Table1[[#This Row], [PROFIT]])</f>
        <v>0</v>
      </c>
    </row>
    <row r="2064" spans="1:24" ht="19.5" customHeight="1" x14ac:dyDescent="0.45">
      <c r="A2064" t="s">
        <v>16</v>
      </c>
      <c r="B2064" s="14">
        <f>_xlfn.XLOOKUP(Table1[[#This Row], [TEAM]],Sheet1!$A$12:$A$17,Sheet1!$F$12:$F$17)</f>
        <v>2</v>
      </c>
      <c r="C2064" s="14">
        <f>_xlfn.XLOOKUP(Table1[[#This Row], [TEAM]],Sheet1!$A$12:$A$17,Sheet1!$G$12:$G$17)</f>
        <v>6082800</v>
      </c>
      <c r="D2064" t="s">
        <v>21</v>
      </c>
      <c r="E2064" s="4">
        <f>_xlfn.XLOOKUP(Table1[[#This Row], [ROOM]],Sheet1!$A$47:$A$66,Sheet1!$B$47:$B$66)</f>
        <v>234</v>
      </c>
      <c r="F2064" t="s">
        <v>58</v>
      </c>
      <c r="G2064" s="4">
        <f>_xlfn.XLOOKUP(Table1[[#This Row], [DISGUISE]],Sheet1!$A$21:$A$23,Sheet1!$B$21:$B$23)*Table1[[#This Row], [NUM OF MEM]]*(1+_xlfn.XLOOKUP(Table1[[#This Row], [DISGUISE]],Sheet1!$A$21:$A$23,Sheet1!$C$21:$C$23))</f>
        <v>25600</v>
      </c>
      <c r="H2064" s="13" t="s">
        <v>66</v>
      </c>
      <c r="I2064" s="4">
        <f>_xlfn.XLOOKUP(Table1[[#This Row], [WEAPON]],Sheet1!$A$27:$A$29,Sheet1!$B$27:$B$29)*Table1[[#This Row], [NUM OF MEM]]*(1+_xlfn.XLOOKUP(Table1[[#This Row], [WEAPON]],Sheet1!$A$27:$A$29,Sheet1!$C$27:$C$29))</f>
        <v>72000</v>
      </c>
      <c r="J2064" t="s">
        <v>60</v>
      </c>
      <c r="K2064" s="9">
        <f>Table1[[#This Row], [NUM OF MEM]]*Table1[[#This Row], [TOTAL TIME TAKEN]]*_xlfn.XLOOKUP(Table1[[#This Row], [EXIT]],Sheet1!$A$70:$A$71,Sheet1!$B$70:$B$71)*(1+_xlfn.XLOOKUP(Table1[[#This Row], [EXIT]],Sheet1!$A$70:$A$71,Sheet1!$C$70:$C$71))</f>
        <v>1819231.4437499992</v>
      </c>
      <c r="L2064" s="13" t="s">
        <v>65</v>
      </c>
      <c r="M2064" s="4">
        <f>IF(Table1[[#This Row], [EQUIPMENT]]="YES",Sheet1!$C$44*(1+Sheet1!$D$44),0)</f>
        <v>307500</v>
      </c>
      <c r="N2064" s="4">
        <f>_xlfn.XLOOKUP(Table1[[#This Row], [ROOM]],Sheet1!$A$47:$A$66,Sheet1!$F$47:$F$66)</f>
        <v>17900000</v>
      </c>
      <c r="O2064" s="9">
        <f>_xlfn.XLOOKUP(_xlfn.CONCAT(Table1[[#This Row], [TEAM]],Table1[[#This Row], [ROOM]]),'ROOM TIME'!$H$2:$H$121,'ROOM TIME'!$J$2:$J$121)</f>
        <v>62.758749999999978</v>
      </c>
      <c r="P2064" s="9">
        <f>(INDEX(Sheet1!$X$48:$Z$67,MATCH(Table1[[#This Row], [ROOM]],Sheet1!$P$48:$P$67,0),MATCH(Table1[[#This Row], [WEAPON]],Sheet1!$X$47:$Z$47,0)))/Table1[[#This Row], [NUM OF MEM]]</f>
        <v>8.125</v>
      </c>
      <c r="Q2064" s="9">
        <f>Table1[[#This Row], [ROOM TIME]]+Table1[[#This Row], [GUARD TIME]]</f>
        <v>70.883749999999978</v>
      </c>
      <c r="R2064" s="4">
        <f>Sheet1!$K$3*_xlfn.XLOOKUP(Table1[[#This Row], [DISGUISE]],Sheet1!$A$21:$A$23,Sheet1!$D$21:$D$23)</f>
        <v>69</v>
      </c>
      <c r="S2064" s="9">
        <f>Table1[[#This Row], [TOTAL TIME]]-Table1[[#This Row], [TOTAL TIME TAKEN]]</f>
        <v>-1.8837499999999778</v>
      </c>
      <c r="T2064" t="str">
        <f>IF(Table1[[#This Row], [TIME DIFFERENCE]]&gt;=0,"PASS","FAIL")</f>
        <v>FAIL</v>
      </c>
      <c r="U2064" s="9">
        <f>Table1[[#This Row], [TRC]]+Table1[[#This Row], [DRC]]+Table1[[#This Row], [WRC]]+Table1[[#This Row], [ERC]]+Table1[[#This Row], [EQRC]]</f>
        <v>8307131.4437499996</v>
      </c>
      <c r="V2064" s="9">
        <f>Table1[[#This Row], [TOTAL COST]]+_xlfn.XLOOKUP(Table1[[#This Row], [TEAM]],Sheet1!$A$12:$A$17,Sheet1!$I$12:$I$17)</f>
        <v>8611271.4437499996</v>
      </c>
      <c r="W2064" s="9">
        <f>Table1[[#This Row], [LOOT]]-Table1[[#This Row], [TOTAL COST]]</f>
        <v>9592868.5562500004</v>
      </c>
      <c r="X2064" s="4">
        <f>IF(Table1[[#This Row], [PASS/FAIL]]="FAIL",0,Table1[[#This Row], [PROFIT]])</f>
        <v>0</v>
      </c>
    </row>
    <row r="2065" spans="1:24" ht="19.5" customHeight="1" x14ac:dyDescent="0.45">
      <c r="A2065" t="s">
        <v>16</v>
      </c>
      <c r="B2065" s="14">
        <f>_xlfn.XLOOKUP(Table1[[#This Row], [TEAM]],Sheet1!$A$12:$A$17,Sheet1!$F$12:$F$17)</f>
        <v>2</v>
      </c>
      <c r="C2065" s="14">
        <f>_xlfn.XLOOKUP(Table1[[#This Row], [TEAM]],Sheet1!$A$12:$A$17,Sheet1!$G$12:$G$17)</f>
        <v>6082800</v>
      </c>
      <c r="D2065" t="s">
        <v>21</v>
      </c>
      <c r="E2065" s="4">
        <f>_xlfn.XLOOKUP(Table1[[#This Row], [ROOM]],Sheet1!$A$47:$A$66,Sheet1!$B$47:$B$66)</f>
        <v>234</v>
      </c>
      <c r="F2065" t="s">
        <v>58</v>
      </c>
      <c r="G206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65" s="13" t="s">
        <v>66</v>
      </c>
      <c r="I2065" s="4">
        <f>_xlfn.XLOOKUP(Table1[[#This Row], [WEAPON]],Sheet1!$A$27:$A$29,Sheet1!$B$27:$B$29)*Table1[[#This Row], [NUM OF MEM]]*(1+_xlfn.XLOOKUP(Table1[[#This Row], [WEAPON]],Sheet1!$A$27:$A$29,Sheet1!$C$27:$C$29))</f>
        <v>72000</v>
      </c>
      <c r="J2065" t="s">
        <v>64</v>
      </c>
      <c r="K2065" s="9">
        <f>Table1[[#This Row], [NUM OF MEM]]*Table1[[#This Row], [TOTAL TIME TAKEN]]*_xlfn.XLOOKUP(Table1[[#This Row], [EXIT]],Sheet1!$A$70:$A$71,Sheet1!$B$70:$B$71)*(1+_xlfn.XLOOKUP(Table1[[#This Row], [EXIT]],Sheet1!$A$70:$A$71,Sheet1!$C$70:$C$71))</f>
        <v>1837306.7999999993</v>
      </c>
      <c r="L2065" s="13" t="s">
        <v>65</v>
      </c>
      <c r="M2065" s="4">
        <f>IF(Table1[[#This Row], [EQUIPMENT]]="YES",Sheet1!$C$44*(1+Sheet1!$D$44),0)</f>
        <v>307500</v>
      </c>
      <c r="N2065" s="4">
        <f>_xlfn.XLOOKUP(Table1[[#This Row], [ROOM]],Sheet1!$A$47:$A$66,Sheet1!$F$47:$F$66)</f>
        <v>17900000</v>
      </c>
      <c r="O2065" s="9">
        <f>_xlfn.XLOOKUP(_xlfn.CONCAT(Table1[[#This Row], [TEAM]],Table1[[#This Row], [ROOM]]),'ROOM TIME'!$H$2:$H$121,'ROOM TIME'!$J$2:$J$121)</f>
        <v>62.758749999999978</v>
      </c>
      <c r="P2065" s="9">
        <f>(INDEX(Sheet1!$X$48:$Z$67,MATCH(Table1[[#This Row], [ROOM]],Sheet1!$P$48:$P$67,0),MATCH(Table1[[#This Row], [WEAPON]],Sheet1!$X$47:$Z$47,0)))/Table1[[#This Row], [NUM OF MEM]]</f>
        <v>8.125</v>
      </c>
      <c r="Q2065" s="9">
        <f>Table1[[#This Row], [ROOM TIME]]+Table1[[#This Row], [GUARD TIME]]</f>
        <v>70.883749999999978</v>
      </c>
      <c r="R2065" s="4">
        <f>Sheet1!$K$3*_xlfn.XLOOKUP(Table1[[#This Row], [DISGUISE]],Sheet1!$A$21:$A$23,Sheet1!$D$21:$D$23)</f>
        <v>69</v>
      </c>
      <c r="S2065" s="9">
        <f>Table1[[#This Row], [TOTAL TIME]]-Table1[[#This Row], [TOTAL TIME TAKEN]]</f>
        <v>-1.8837499999999778</v>
      </c>
      <c r="T2065" t="str">
        <f>IF(Table1[[#This Row], [TIME DIFFERENCE]]&gt;=0,"PASS","FAIL")</f>
        <v>FAIL</v>
      </c>
      <c r="U2065" s="9">
        <f>Table1[[#This Row], [TRC]]+Table1[[#This Row], [DRC]]+Table1[[#This Row], [WRC]]+Table1[[#This Row], [ERC]]+Table1[[#This Row], [EQRC]]</f>
        <v>8325206.7999999989</v>
      </c>
      <c r="V2065" s="9">
        <f>Table1[[#This Row], [TOTAL COST]]+_xlfn.XLOOKUP(Table1[[#This Row], [TEAM]],Sheet1!$A$12:$A$17,Sheet1!$I$12:$I$17)</f>
        <v>8629346.7999999989</v>
      </c>
      <c r="W2065" s="9">
        <f>Table1[[#This Row], [LOOT]]-Table1[[#This Row], [TOTAL COST]]</f>
        <v>9574793.2000000011</v>
      </c>
      <c r="X2065" s="4">
        <f>IF(Table1[[#This Row], [PASS/FAIL]]="FAIL",0,Table1[[#This Row], [PROFIT]])</f>
        <v>0</v>
      </c>
    </row>
    <row r="2066" spans="1:24" ht="19.5" customHeight="1" x14ac:dyDescent="0.45">
      <c r="A2066" t="s">
        <v>16</v>
      </c>
      <c r="B2066" s="14">
        <f>_xlfn.XLOOKUP(Table1[[#This Row], [TEAM]],Sheet1!$A$12:$A$17,Sheet1!$F$12:$F$17)</f>
        <v>2</v>
      </c>
      <c r="C2066" s="14">
        <f>_xlfn.XLOOKUP(Table1[[#This Row], [TEAM]],Sheet1!$A$12:$A$17,Sheet1!$G$12:$G$17)</f>
        <v>6082800</v>
      </c>
      <c r="D2066" t="s">
        <v>21</v>
      </c>
      <c r="E2066" s="4">
        <f>_xlfn.XLOOKUP(Table1[[#This Row], [ROOM]],Sheet1!$A$47:$A$66,Sheet1!$B$47:$B$66)</f>
        <v>234</v>
      </c>
      <c r="F2066" t="s">
        <v>62</v>
      </c>
      <c r="G206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66" s="13" t="s">
        <v>66</v>
      </c>
      <c r="I2066" s="4">
        <f>_xlfn.XLOOKUP(Table1[[#This Row], [WEAPON]],Sheet1!$A$27:$A$29,Sheet1!$B$27:$B$29)*Table1[[#This Row], [NUM OF MEM]]*(1+_xlfn.XLOOKUP(Table1[[#This Row], [WEAPON]],Sheet1!$A$27:$A$29,Sheet1!$C$27:$C$29))</f>
        <v>72000</v>
      </c>
      <c r="J2066" t="s">
        <v>60</v>
      </c>
      <c r="K2066" s="9">
        <f>Table1[[#This Row], [NUM OF MEM]]*Table1[[#This Row], [TOTAL TIME TAKEN]]*_xlfn.XLOOKUP(Table1[[#This Row], [EXIT]],Sheet1!$A$70:$A$71,Sheet1!$B$70:$B$71)*(1+_xlfn.XLOOKUP(Table1[[#This Row], [EXIT]],Sheet1!$A$70:$A$71,Sheet1!$C$70:$C$71))</f>
        <v>1819231.4437499992</v>
      </c>
      <c r="L2066" s="13" t="s">
        <v>61</v>
      </c>
      <c r="M2066" s="4">
        <f>IF(Table1[[#This Row], [EQUIPMENT]]="YES",Sheet1!$C$44*(1+Sheet1!$D$44),0)</f>
        <v>0</v>
      </c>
      <c r="N2066" s="4">
        <f>_xlfn.XLOOKUP(Table1[[#This Row], [ROOM]],Sheet1!$A$47:$A$66,Sheet1!$F$47:$F$66)</f>
        <v>17900000</v>
      </c>
      <c r="O2066" s="9">
        <f>_xlfn.XLOOKUP(_xlfn.CONCAT(Table1[[#This Row], [TEAM]],Table1[[#This Row], [ROOM]]),'ROOM TIME'!$H$2:$H$121,'ROOM TIME'!$J$2:$J$121)</f>
        <v>62.758749999999978</v>
      </c>
      <c r="P2066" s="9">
        <f>(INDEX(Sheet1!$X$48:$Z$67,MATCH(Table1[[#This Row], [ROOM]],Sheet1!$P$48:$P$67,0),MATCH(Table1[[#This Row], [WEAPON]],Sheet1!$X$47:$Z$47,0)))/Table1[[#This Row], [NUM OF MEM]]</f>
        <v>8.125</v>
      </c>
      <c r="Q2066" s="9">
        <f>Table1[[#This Row], [ROOM TIME]]+Table1[[#This Row], [GUARD TIME]]</f>
        <v>70.883749999999978</v>
      </c>
      <c r="R2066" s="4">
        <f>Sheet1!$K$3*_xlfn.XLOOKUP(Table1[[#This Row], [DISGUISE]],Sheet1!$A$21:$A$23,Sheet1!$D$21:$D$23)</f>
        <v>66</v>
      </c>
      <c r="S2066" s="9">
        <f>Table1[[#This Row], [TOTAL TIME]]-Table1[[#This Row], [TOTAL TIME TAKEN]]</f>
        <v>-4.8837499999999778</v>
      </c>
      <c r="T2066" t="str">
        <f>IF(Table1[[#This Row], [TIME DIFFERENCE]]&gt;=0,"PASS","FAIL")</f>
        <v>FAIL</v>
      </c>
      <c r="U2066" s="9">
        <f>Table1[[#This Row], [TRC]]+Table1[[#This Row], [DRC]]+Table1[[#This Row], [WRC]]+Table1[[#This Row], [ERC]]+Table1[[#This Row], [EQRC]]</f>
        <v>7984431.4437499996</v>
      </c>
      <c r="V2066" s="9">
        <f>Table1[[#This Row], [TOTAL COST]]+_xlfn.XLOOKUP(Table1[[#This Row], [TEAM]],Sheet1!$A$12:$A$17,Sheet1!$I$12:$I$17)</f>
        <v>8288571.4437499996</v>
      </c>
      <c r="W2066" s="9">
        <f>Table1[[#This Row], [LOOT]]-Table1[[#This Row], [TOTAL COST]]</f>
        <v>9915568.5562500004</v>
      </c>
      <c r="X2066" s="4">
        <f>IF(Table1[[#This Row], [PASS/FAIL]]="FAIL",0,Table1[[#This Row], [PROFIT]])</f>
        <v>0</v>
      </c>
    </row>
    <row r="2067" spans="1:24" ht="19.5" customHeight="1" x14ac:dyDescent="0.45">
      <c r="A2067" t="s">
        <v>16</v>
      </c>
      <c r="B2067" s="14">
        <f>_xlfn.XLOOKUP(Table1[[#This Row], [TEAM]],Sheet1!$A$12:$A$17,Sheet1!$F$12:$F$17)</f>
        <v>2</v>
      </c>
      <c r="C2067" s="14">
        <f>_xlfn.XLOOKUP(Table1[[#This Row], [TEAM]],Sheet1!$A$12:$A$17,Sheet1!$G$12:$G$17)</f>
        <v>6082800</v>
      </c>
      <c r="D2067" t="s">
        <v>21</v>
      </c>
      <c r="E2067" s="4">
        <f>_xlfn.XLOOKUP(Table1[[#This Row], [ROOM]],Sheet1!$A$47:$A$66,Sheet1!$B$47:$B$66)</f>
        <v>234</v>
      </c>
      <c r="F2067" t="s">
        <v>62</v>
      </c>
      <c r="G2067" s="4">
        <f>_xlfn.XLOOKUP(Table1[[#This Row], [DISGUISE]],Sheet1!$A$21:$A$23,Sheet1!$B$21:$B$23)*Table1[[#This Row], [NUM OF MEM]]*(1+_xlfn.XLOOKUP(Table1[[#This Row], [DISGUISE]],Sheet1!$A$21:$A$23,Sheet1!$C$21:$C$23))</f>
        <v>10400</v>
      </c>
      <c r="H2067" s="13" t="s">
        <v>66</v>
      </c>
      <c r="I2067" s="4">
        <f>_xlfn.XLOOKUP(Table1[[#This Row], [WEAPON]],Sheet1!$A$27:$A$29,Sheet1!$B$27:$B$29)*Table1[[#This Row], [NUM OF MEM]]*(1+_xlfn.XLOOKUP(Table1[[#This Row], [WEAPON]],Sheet1!$A$27:$A$29,Sheet1!$C$27:$C$29))</f>
        <v>72000</v>
      </c>
      <c r="J2067" t="s">
        <v>64</v>
      </c>
      <c r="K2067" s="9">
        <f>Table1[[#This Row], [NUM OF MEM]]*Table1[[#This Row], [TOTAL TIME TAKEN]]*_xlfn.XLOOKUP(Table1[[#This Row], [EXIT]],Sheet1!$A$70:$A$71,Sheet1!$B$70:$B$71)*(1+_xlfn.XLOOKUP(Table1[[#This Row], [EXIT]],Sheet1!$A$70:$A$71,Sheet1!$C$70:$C$71))</f>
        <v>1837306.7999999993</v>
      </c>
      <c r="L2067" s="13" t="s">
        <v>61</v>
      </c>
      <c r="M2067" s="4">
        <f>IF(Table1[[#This Row], [EQUIPMENT]]="YES",Sheet1!$C$44*(1+Sheet1!$D$44),0)</f>
        <v>0</v>
      </c>
      <c r="N2067" s="4">
        <f>_xlfn.XLOOKUP(Table1[[#This Row], [ROOM]],Sheet1!$A$47:$A$66,Sheet1!$F$47:$F$66)</f>
        <v>17900000</v>
      </c>
      <c r="O2067" s="9">
        <f>_xlfn.XLOOKUP(_xlfn.CONCAT(Table1[[#This Row], [TEAM]],Table1[[#This Row], [ROOM]]),'ROOM TIME'!$H$2:$H$121,'ROOM TIME'!$J$2:$J$121)</f>
        <v>62.758749999999978</v>
      </c>
      <c r="P2067" s="9">
        <f>(INDEX(Sheet1!$X$48:$Z$67,MATCH(Table1[[#This Row], [ROOM]],Sheet1!$P$48:$P$67,0),MATCH(Table1[[#This Row], [WEAPON]],Sheet1!$X$47:$Z$47,0)))/Table1[[#This Row], [NUM OF MEM]]</f>
        <v>8.125</v>
      </c>
      <c r="Q2067" s="9">
        <f>Table1[[#This Row], [ROOM TIME]]+Table1[[#This Row], [GUARD TIME]]</f>
        <v>70.883749999999978</v>
      </c>
      <c r="R2067" s="4">
        <f>Sheet1!$K$3*_xlfn.XLOOKUP(Table1[[#This Row], [DISGUISE]],Sheet1!$A$21:$A$23,Sheet1!$D$21:$D$23)</f>
        <v>66</v>
      </c>
      <c r="S2067" s="9">
        <f>Table1[[#This Row], [TOTAL TIME]]-Table1[[#This Row], [TOTAL TIME TAKEN]]</f>
        <v>-4.8837499999999778</v>
      </c>
      <c r="T2067" t="str">
        <f>IF(Table1[[#This Row], [TIME DIFFERENCE]]&gt;=0,"PASS","FAIL")</f>
        <v>FAIL</v>
      </c>
      <c r="U2067" s="9">
        <f>Table1[[#This Row], [TRC]]+Table1[[#This Row], [DRC]]+Table1[[#This Row], [WRC]]+Table1[[#This Row], [ERC]]+Table1[[#This Row], [EQRC]]</f>
        <v>8002506.7999999989</v>
      </c>
      <c r="V2067" s="9">
        <f>Table1[[#This Row], [TOTAL COST]]+_xlfn.XLOOKUP(Table1[[#This Row], [TEAM]],Sheet1!$A$12:$A$17,Sheet1!$I$12:$I$17)</f>
        <v>8306646.7999999989</v>
      </c>
      <c r="W2067" s="9">
        <f>Table1[[#This Row], [LOOT]]-Table1[[#This Row], [TOTAL COST]]</f>
        <v>9897493.2000000011</v>
      </c>
      <c r="X2067" s="4">
        <f>IF(Table1[[#This Row], [PASS/FAIL]]="FAIL",0,Table1[[#This Row], [PROFIT]])</f>
        <v>0</v>
      </c>
    </row>
    <row r="2068" spans="1:24" ht="19.5" customHeight="1" x14ac:dyDescent="0.45">
      <c r="A2068" t="s">
        <v>16</v>
      </c>
      <c r="B2068" s="14">
        <f>_xlfn.XLOOKUP(Table1[[#This Row], [TEAM]],Sheet1!$A$12:$A$17,Sheet1!$F$12:$F$17)</f>
        <v>2</v>
      </c>
      <c r="C2068" s="14">
        <f>_xlfn.XLOOKUP(Table1[[#This Row], [TEAM]],Sheet1!$A$12:$A$17,Sheet1!$G$12:$G$17)</f>
        <v>6082800</v>
      </c>
      <c r="D2068" t="s">
        <v>21</v>
      </c>
      <c r="E2068" s="4">
        <f>_xlfn.XLOOKUP(Table1[[#This Row], [ROOM]],Sheet1!$A$47:$A$66,Sheet1!$B$47:$B$66)</f>
        <v>234</v>
      </c>
      <c r="F2068" t="s">
        <v>62</v>
      </c>
      <c r="G206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68" s="13" t="s">
        <v>66</v>
      </c>
      <c r="I2068" s="4">
        <f>_xlfn.XLOOKUP(Table1[[#This Row], [WEAPON]],Sheet1!$A$27:$A$29,Sheet1!$B$27:$B$29)*Table1[[#This Row], [NUM OF MEM]]*(1+_xlfn.XLOOKUP(Table1[[#This Row], [WEAPON]],Sheet1!$A$27:$A$29,Sheet1!$C$27:$C$29))</f>
        <v>72000</v>
      </c>
      <c r="J2068" t="s">
        <v>60</v>
      </c>
      <c r="K2068" s="9">
        <f>Table1[[#This Row], [NUM OF MEM]]*Table1[[#This Row], [TOTAL TIME TAKEN]]*_xlfn.XLOOKUP(Table1[[#This Row], [EXIT]],Sheet1!$A$70:$A$71,Sheet1!$B$70:$B$71)*(1+_xlfn.XLOOKUP(Table1[[#This Row], [EXIT]],Sheet1!$A$70:$A$71,Sheet1!$C$70:$C$71))</f>
        <v>1819231.4437499992</v>
      </c>
      <c r="L2068" s="13" t="s">
        <v>65</v>
      </c>
      <c r="M2068" s="4">
        <f>IF(Table1[[#This Row], [EQUIPMENT]]="YES",Sheet1!$C$44*(1+Sheet1!$D$44),0)</f>
        <v>307500</v>
      </c>
      <c r="N2068" s="4">
        <f>_xlfn.XLOOKUP(Table1[[#This Row], [ROOM]],Sheet1!$A$47:$A$66,Sheet1!$F$47:$F$66)</f>
        <v>17900000</v>
      </c>
      <c r="O2068" s="9">
        <f>_xlfn.XLOOKUP(_xlfn.CONCAT(Table1[[#This Row], [TEAM]],Table1[[#This Row], [ROOM]]),'ROOM TIME'!$H$2:$H$121,'ROOM TIME'!$J$2:$J$121)</f>
        <v>62.758749999999978</v>
      </c>
      <c r="P2068" s="9">
        <f>(INDEX(Sheet1!$X$48:$Z$67,MATCH(Table1[[#This Row], [ROOM]],Sheet1!$P$48:$P$67,0),MATCH(Table1[[#This Row], [WEAPON]],Sheet1!$X$47:$Z$47,0)))/Table1[[#This Row], [NUM OF MEM]]</f>
        <v>8.125</v>
      </c>
      <c r="Q2068" s="9">
        <f>Table1[[#This Row], [ROOM TIME]]+Table1[[#This Row], [GUARD TIME]]</f>
        <v>70.883749999999978</v>
      </c>
      <c r="R2068" s="4">
        <f>Sheet1!$K$3*_xlfn.XLOOKUP(Table1[[#This Row], [DISGUISE]],Sheet1!$A$21:$A$23,Sheet1!$D$21:$D$23)</f>
        <v>66</v>
      </c>
      <c r="S2068" s="9">
        <f>Table1[[#This Row], [TOTAL TIME]]-Table1[[#This Row], [TOTAL TIME TAKEN]]</f>
        <v>-4.8837499999999778</v>
      </c>
      <c r="T2068" t="str">
        <f>IF(Table1[[#This Row], [TIME DIFFERENCE]]&gt;=0,"PASS","FAIL")</f>
        <v>FAIL</v>
      </c>
      <c r="U2068" s="9">
        <f>Table1[[#This Row], [TRC]]+Table1[[#This Row], [DRC]]+Table1[[#This Row], [WRC]]+Table1[[#This Row], [ERC]]+Table1[[#This Row], [EQRC]]</f>
        <v>8291931.4437499996</v>
      </c>
      <c r="V2068" s="9">
        <f>Table1[[#This Row], [TOTAL COST]]+_xlfn.XLOOKUP(Table1[[#This Row], [TEAM]],Sheet1!$A$12:$A$17,Sheet1!$I$12:$I$17)</f>
        <v>8596071.4437499996</v>
      </c>
      <c r="W2068" s="9">
        <f>Table1[[#This Row], [LOOT]]-Table1[[#This Row], [TOTAL COST]]</f>
        <v>9608068.5562500004</v>
      </c>
      <c r="X2068" s="4">
        <f>IF(Table1[[#This Row], [PASS/FAIL]]="FAIL",0,Table1[[#This Row], [PROFIT]])</f>
        <v>0</v>
      </c>
    </row>
    <row r="2069" spans="1:24" ht="19.5" customHeight="1" x14ac:dyDescent="0.45">
      <c r="A2069" t="s">
        <v>16</v>
      </c>
      <c r="B2069" s="14">
        <f>_xlfn.XLOOKUP(Table1[[#This Row], [TEAM]],Sheet1!$A$12:$A$17,Sheet1!$F$12:$F$17)</f>
        <v>2</v>
      </c>
      <c r="C2069" s="14">
        <f>_xlfn.XLOOKUP(Table1[[#This Row], [TEAM]],Sheet1!$A$12:$A$17,Sheet1!$G$12:$G$17)</f>
        <v>6082800</v>
      </c>
      <c r="D2069" t="s">
        <v>21</v>
      </c>
      <c r="E2069" s="4">
        <f>_xlfn.XLOOKUP(Table1[[#This Row], [ROOM]],Sheet1!$A$47:$A$66,Sheet1!$B$47:$B$66)</f>
        <v>234</v>
      </c>
      <c r="F2069" t="s">
        <v>62</v>
      </c>
      <c r="G2069" s="4">
        <f>_xlfn.XLOOKUP(Table1[[#This Row], [DISGUISE]],Sheet1!$A$21:$A$23,Sheet1!$B$21:$B$23)*Table1[[#This Row], [NUM OF MEM]]*(1+_xlfn.XLOOKUP(Table1[[#This Row], [DISGUISE]],Sheet1!$A$21:$A$23,Sheet1!$C$21:$C$23))</f>
        <v>10400</v>
      </c>
      <c r="H2069" s="13" t="s">
        <v>66</v>
      </c>
      <c r="I2069" s="4">
        <f>_xlfn.XLOOKUP(Table1[[#This Row], [WEAPON]],Sheet1!$A$27:$A$29,Sheet1!$B$27:$B$29)*Table1[[#This Row], [NUM OF MEM]]*(1+_xlfn.XLOOKUP(Table1[[#This Row], [WEAPON]],Sheet1!$A$27:$A$29,Sheet1!$C$27:$C$29))</f>
        <v>72000</v>
      </c>
      <c r="J2069" t="s">
        <v>64</v>
      </c>
      <c r="K2069" s="9">
        <f>Table1[[#This Row], [NUM OF MEM]]*Table1[[#This Row], [TOTAL TIME TAKEN]]*_xlfn.XLOOKUP(Table1[[#This Row], [EXIT]],Sheet1!$A$70:$A$71,Sheet1!$B$70:$B$71)*(1+_xlfn.XLOOKUP(Table1[[#This Row], [EXIT]],Sheet1!$A$70:$A$71,Sheet1!$C$70:$C$71))</f>
        <v>1837306.7999999993</v>
      </c>
      <c r="L2069" s="13" t="s">
        <v>65</v>
      </c>
      <c r="M2069" s="4">
        <f>IF(Table1[[#This Row], [EQUIPMENT]]="YES",Sheet1!$C$44*(1+Sheet1!$D$44),0)</f>
        <v>307500</v>
      </c>
      <c r="N2069" s="4">
        <f>_xlfn.XLOOKUP(Table1[[#This Row], [ROOM]],Sheet1!$A$47:$A$66,Sheet1!$F$47:$F$66)</f>
        <v>17900000</v>
      </c>
      <c r="O2069" s="9">
        <f>_xlfn.XLOOKUP(_xlfn.CONCAT(Table1[[#This Row], [TEAM]],Table1[[#This Row], [ROOM]]),'ROOM TIME'!$H$2:$H$121,'ROOM TIME'!$J$2:$J$121)</f>
        <v>62.758749999999978</v>
      </c>
      <c r="P2069" s="9">
        <f>(INDEX(Sheet1!$X$48:$Z$67,MATCH(Table1[[#This Row], [ROOM]],Sheet1!$P$48:$P$67,0),MATCH(Table1[[#This Row], [WEAPON]],Sheet1!$X$47:$Z$47,0)))/Table1[[#This Row], [NUM OF MEM]]</f>
        <v>8.125</v>
      </c>
      <c r="Q2069" s="9">
        <f>Table1[[#This Row], [ROOM TIME]]+Table1[[#This Row], [GUARD TIME]]</f>
        <v>70.883749999999978</v>
      </c>
      <c r="R2069" s="4">
        <f>Sheet1!$K$3*_xlfn.XLOOKUP(Table1[[#This Row], [DISGUISE]],Sheet1!$A$21:$A$23,Sheet1!$D$21:$D$23)</f>
        <v>66</v>
      </c>
      <c r="S2069" s="9">
        <f>Table1[[#This Row], [TOTAL TIME]]-Table1[[#This Row], [TOTAL TIME TAKEN]]</f>
        <v>-4.8837499999999778</v>
      </c>
      <c r="T2069" t="str">
        <f>IF(Table1[[#This Row], [TIME DIFFERENCE]]&gt;=0,"PASS","FAIL")</f>
        <v>FAIL</v>
      </c>
      <c r="U2069" s="9">
        <f>Table1[[#This Row], [TRC]]+Table1[[#This Row], [DRC]]+Table1[[#This Row], [WRC]]+Table1[[#This Row], [ERC]]+Table1[[#This Row], [EQRC]]</f>
        <v>8310006.7999999989</v>
      </c>
      <c r="V2069" s="9">
        <f>Table1[[#This Row], [TOTAL COST]]+_xlfn.XLOOKUP(Table1[[#This Row], [TEAM]],Sheet1!$A$12:$A$17,Sheet1!$I$12:$I$17)</f>
        <v>8614146.7999999989</v>
      </c>
      <c r="W2069" s="9">
        <f>Table1[[#This Row], [LOOT]]-Table1[[#This Row], [TOTAL COST]]</f>
        <v>9589993.2000000011</v>
      </c>
      <c r="X2069" s="4">
        <f>IF(Table1[[#This Row], [PASS/FAIL]]="FAIL",0,Table1[[#This Row], [PROFIT]])</f>
        <v>0</v>
      </c>
    </row>
    <row r="2070" spans="1:24" ht="19.5" customHeight="1" x14ac:dyDescent="0.45">
      <c r="A2070" t="s">
        <v>14</v>
      </c>
      <c r="B2070" s="14">
        <f>_xlfn.XLOOKUP(Table1[[#This Row], [TEAM]],Sheet1!$A$12:$A$17,Sheet1!$F$12:$F$17)</f>
        <v>2</v>
      </c>
      <c r="C2070" s="14">
        <f>_xlfn.XLOOKUP(Table1[[#This Row], [TEAM]],Sheet1!$A$12:$A$17,Sheet1!$G$12:$G$17)</f>
        <v>5949600</v>
      </c>
      <c r="D2070" t="s">
        <v>22</v>
      </c>
      <c r="E2070" s="4">
        <f>_xlfn.XLOOKUP(Table1[[#This Row], [ROOM]],Sheet1!$A$47:$A$66,Sheet1!$B$47:$B$66)</f>
        <v>235</v>
      </c>
      <c r="F2070" t="s">
        <v>62</v>
      </c>
      <c r="G207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0" s="13" t="s">
        <v>59</v>
      </c>
      <c r="I2070" s="4">
        <f>_xlfn.XLOOKUP(Table1[[#This Row], [WEAPON]],Sheet1!$A$27:$A$29,Sheet1!$B$27:$B$29)*Table1[[#This Row], [NUM OF MEM]]*(1+_xlfn.XLOOKUP(Table1[[#This Row], [WEAPON]],Sheet1!$A$27:$A$29,Sheet1!$C$27:$C$29))</f>
        <v>91000</v>
      </c>
      <c r="J2070" t="s">
        <v>60</v>
      </c>
      <c r="K2070" s="9">
        <f>Table1[[#This Row], [NUM OF MEM]]*Table1[[#This Row], [TOTAL TIME TAKEN]]*_xlfn.XLOOKUP(Table1[[#This Row], [EXIT]],Sheet1!$A$70:$A$71,Sheet1!$B$70:$B$71)*(1+_xlfn.XLOOKUP(Table1[[#This Row], [EXIT]],Sheet1!$A$70:$A$71,Sheet1!$C$70:$C$71))</f>
        <v>1780477.2937499997</v>
      </c>
      <c r="L2070" s="13" t="s">
        <v>61</v>
      </c>
      <c r="M2070" s="4">
        <f>IF(Table1[[#This Row], [EQUIPMENT]]="YES",Sheet1!$C$44*(1+Sheet1!$D$44),0)</f>
        <v>0</v>
      </c>
      <c r="N2070" s="4">
        <f>_xlfn.XLOOKUP(Table1[[#This Row], [ROOM]],Sheet1!$A$47:$A$66,Sheet1!$F$47:$F$66)</f>
        <v>17800000</v>
      </c>
      <c r="O2070" s="9">
        <f>_xlfn.XLOOKUP(_xlfn.CONCAT(Table1[[#This Row], [TEAM]],Table1[[#This Row], [ROOM]]),'ROOM TIME'!$H$2:$H$121,'ROOM TIME'!$J$2:$J$121)</f>
        <v>62.473749999999981</v>
      </c>
      <c r="P2070" s="9">
        <f>(INDEX(Sheet1!$X$48:$Z$67,MATCH(Table1[[#This Row], [ROOM]],Sheet1!$P$48:$P$67,0),MATCH(Table1[[#This Row], [WEAPON]],Sheet1!$X$47:$Z$47,0)))/Table1[[#This Row], [NUM OF MEM]]</f>
        <v>6.8999999999999995</v>
      </c>
      <c r="Q2070" s="9">
        <f>Table1[[#This Row], [ROOM TIME]]+Table1[[#This Row], [GUARD TIME]]</f>
        <v>69.373749999999987</v>
      </c>
      <c r="R2070" s="4">
        <f>Sheet1!$K$3*_xlfn.XLOOKUP(Table1[[#This Row], [DISGUISE]],Sheet1!$A$21:$A$23,Sheet1!$D$21:$D$23)</f>
        <v>66</v>
      </c>
      <c r="S2070" s="9">
        <f>Table1[[#This Row], [TOTAL TIME]]-Table1[[#This Row], [TOTAL TIME TAKEN]]</f>
        <v>-3.3737499999999869</v>
      </c>
      <c r="T2070" t="str">
        <f>IF(Table1[[#This Row], [TIME DIFFERENCE]]&gt;=0,"PASS","FAIL")</f>
        <v>FAIL</v>
      </c>
      <c r="U2070" s="9">
        <f>Table1[[#This Row], [TRC]]+Table1[[#This Row], [DRC]]+Table1[[#This Row], [WRC]]+Table1[[#This Row], [ERC]]+Table1[[#This Row], [EQRC]]</f>
        <v>7831477.2937499993</v>
      </c>
      <c r="V2070" s="9">
        <f>Table1[[#This Row], [TOTAL COST]]+_xlfn.XLOOKUP(Table1[[#This Row], [TEAM]],Sheet1!$A$12:$A$17,Sheet1!$I$12:$I$17)</f>
        <v>8128957.2937499993</v>
      </c>
      <c r="W2070" s="9">
        <f>Table1[[#This Row], [LOOT]]-Table1[[#This Row], [TOTAL COST]]</f>
        <v>9968522.7062500007</v>
      </c>
      <c r="X2070" s="4">
        <f>IF(Table1[[#This Row], [PASS/FAIL]]="FAIL",0,Table1[[#This Row], [PROFIT]])</f>
        <v>0</v>
      </c>
    </row>
    <row r="2071" spans="1:24" ht="19.5" customHeight="1" x14ac:dyDescent="0.45">
      <c r="A2071" t="s">
        <v>14</v>
      </c>
      <c r="B2071" s="14">
        <f>_xlfn.XLOOKUP(Table1[[#This Row], [TEAM]],Sheet1!$A$12:$A$17,Sheet1!$F$12:$F$17)</f>
        <v>2</v>
      </c>
      <c r="C2071" s="14">
        <f>_xlfn.XLOOKUP(Table1[[#This Row], [TEAM]],Sheet1!$A$12:$A$17,Sheet1!$G$12:$G$17)</f>
        <v>5949600</v>
      </c>
      <c r="D2071" t="s">
        <v>22</v>
      </c>
      <c r="E2071" s="4">
        <f>_xlfn.XLOOKUP(Table1[[#This Row], [ROOM]],Sheet1!$A$47:$A$66,Sheet1!$B$47:$B$66)</f>
        <v>235</v>
      </c>
      <c r="F2071" t="s">
        <v>62</v>
      </c>
      <c r="G2071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1" s="13" t="s">
        <v>59</v>
      </c>
      <c r="I2071" s="4">
        <f>_xlfn.XLOOKUP(Table1[[#This Row], [WEAPON]],Sheet1!$A$27:$A$29,Sheet1!$B$27:$B$29)*Table1[[#This Row], [NUM OF MEM]]*(1+_xlfn.XLOOKUP(Table1[[#This Row], [WEAPON]],Sheet1!$A$27:$A$29,Sheet1!$C$27:$C$29))</f>
        <v>91000</v>
      </c>
      <c r="J2071" t="s">
        <v>64</v>
      </c>
      <c r="K2071" s="9">
        <f>Table1[[#This Row], [NUM OF MEM]]*Table1[[#This Row], [TOTAL TIME TAKEN]]*_xlfn.XLOOKUP(Table1[[#This Row], [EXIT]],Sheet1!$A$70:$A$71,Sheet1!$B$70:$B$71)*(1+_xlfn.XLOOKUP(Table1[[#This Row], [EXIT]],Sheet1!$A$70:$A$71,Sheet1!$C$70:$C$71))</f>
        <v>1798167.5999999996</v>
      </c>
      <c r="L2071" s="13" t="s">
        <v>61</v>
      </c>
      <c r="M2071" s="4">
        <f>IF(Table1[[#This Row], [EQUIPMENT]]="YES",Sheet1!$C$44*(1+Sheet1!$D$44),0)</f>
        <v>0</v>
      </c>
      <c r="N2071" s="4">
        <f>_xlfn.XLOOKUP(Table1[[#This Row], [ROOM]],Sheet1!$A$47:$A$66,Sheet1!$F$47:$F$66)</f>
        <v>17800000</v>
      </c>
      <c r="O2071" s="9">
        <f>_xlfn.XLOOKUP(_xlfn.CONCAT(Table1[[#This Row], [TEAM]],Table1[[#This Row], [ROOM]]),'ROOM TIME'!$H$2:$H$121,'ROOM TIME'!$J$2:$J$121)</f>
        <v>62.473749999999981</v>
      </c>
      <c r="P2071" s="9">
        <f>(INDEX(Sheet1!$X$48:$Z$67,MATCH(Table1[[#This Row], [ROOM]],Sheet1!$P$48:$P$67,0),MATCH(Table1[[#This Row], [WEAPON]],Sheet1!$X$47:$Z$47,0)))/Table1[[#This Row], [NUM OF MEM]]</f>
        <v>6.8999999999999995</v>
      </c>
      <c r="Q2071" s="9">
        <f>Table1[[#This Row], [ROOM TIME]]+Table1[[#This Row], [GUARD TIME]]</f>
        <v>69.373749999999987</v>
      </c>
      <c r="R2071" s="4">
        <f>Sheet1!$K$3*_xlfn.XLOOKUP(Table1[[#This Row], [DISGUISE]],Sheet1!$A$21:$A$23,Sheet1!$D$21:$D$23)</f>
        <v>66</v>
      </c>
      <c r="S2071" s="9">
        <f>Table1[[#This Row], [TOTAL TIME]]-Table1[[#This Row], [TOTAL TIME TAKEN]]</f>
        <v>-3.3737499999999869</v>
      </c>
      <c r="T2071" t="str">
        <f>IF(Table1[[#This Row], [TIME DIFFERENCE]]&gt;=0,"PASS","FAIL")</f>
        <v>FAIL</v>
      </c>
      <c r="U2071" s="9">
        <f>Table1[[#This Row], [TRC]]+Table1[[#This Row], [DRC]]+Table1[[#This Row], [WRC]]+Table1[[#This Row], [ERC]]+Table1[[#This Row], [EQRC]]</f>
        <v>7849167.5999999996</v>
      </c>
      <c r="V2071" s="9">
        <f>Table1[[#This Row], [TOTAL COST]]+_xlfn.XLOOKUP(Table1[[#This Row], [TEAM]],Sheet1!$A$12:$A$17,Sheet1!$I$12:$I$17)</f>
        <v>8146647.5999999996</v>
      </c>
      <c r="W2071" s="9">
        <f>Table1[[#This Row], [LOOT]]-Table1[[#This Row], [TOTAL COST]]</f>
        <v>9950832.4000000004</v>
      </c>
      <c r="X2071" s="4">
        <f>IF(Table1[[#This Row], [PASS/FAIL]]="FAIL",0,Table1[[#This Row], [PROFIT]])</f>
        <v>0</v>
      </c>
    </row>
    <row r="2072" spans="1:24" ht="19.5" customHeight="1" x14ac:dyDescent="0.45">
      <c r="A2072" t="s">
        <v>14</v>
      </c>
      <c r="B2072" s="14">
        <f>_xlfn.XLOOKUP(Table1[[#This Row], [TEAM]],Sheet1!$A$12:$A$17,Sheet1!$F$12:$F$17)</f>
        <v>2</v>
      </c>
      <c r="C2072" s="14">
        <f>_xlfn.XLOOKUP(Table1[[#This Row], [TEAM]],Sheet1!$A$12:$A$17,Sheet1!$G$12:$G$17)</f>
        <v>5949600</v>
      </c>
      <c r="D2072" t="s">
        <v>22</v>
      </c>
      <c r="E2072" s="4">
        <f>_xlfn.XLOOKUP(Table1[[#This Row], [ROOM]],Sheet1!$A$47:$A$66,Sheet1!$B$47:$B$66)</f>
        <v>235</v>
      </c>
      <c r="F2072" t="s">
        <v>62</v>
      </c>
      <c r="G207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2" s="13" t="s">
        <v>59</v>
      </c>
      <c r="I2072" s="4">
        <f>_xlfn.XLOOKUP(Table1[[#This Row], [WEAPON]],Sheet1!$A$27:$A$29,Sheet1!$B$27:$B$29)*Table1[[#This Row], [NUM OF MEM]]*(1+_xlfn.XLOOKUP(Table1[[#This Row], [WEAPON]],Sheet1!$A$27:$A$29,Sheet1!$C$27:$C$29))</f>
        <v>91000</v>
      </c>
      <c r="J2072" t="s">
        <v>60</v>
      </c>
      <c r="K2072" s="9">
        <f>Table1[[#This Row], [NUM OF MEM]]*Table1[[#This Row], [TOTAL TIME TAKEN]]*_xlfn.XLOOKUP(Table1[[#This Row], [EXIT]],Sheet1!$A$70:$A$71,Sheet1!$B$70:$B$71)*(1+_xlfn.XLOOKUP(Table1[[#This Row], [EXIT]],Sheet1!$A$70:$A$71,Sheet1!$C$70:$C$71))</f>
        <v>1780477.2937499997</v>
      </c>
      <c r="L2072" s="13" t="s">
        <v>65</v>
      </c>
      <c r="M2072" s="4">
        <f>IF(Table1[[#This Row], [EQUIPMENT]]="YES",Sheet1!$C$44*(1+Sheet1!$D$44),0)</f>
        <v>307500</v>
      </c>
      <c r="N2072" s="4">
        <f>_xlfn.XLOOKUP(Table1[[#This Row], [ROOM]],Sheet1!$A$47:$A$66,Sheet1!$F$47:$F$66)</f>
        <v>17800000</v>
      </c>
      <c r="O2072" s="9">
        <f>_xlfn.XLOOKUP(_xlfn.CONCAT(Table1[[#This Row], [TEAM]],Table1[[#This Row], [ROOM]]),'ROOM TIME'!$H$2:$H$121,'ROOM TIME'!$J$2:$J$121)</f>
        <v>62.473749999999981</v>
      </c>
      <c r="P2072" s="9">
        <f>(INDEX(Sheet1!$X$48:$Z$67,MATCH(Table1[[#This Row], [ROOM]],Sheet1!$P$48:$P$67,0),MATCH(Table1[[#This Row], [WEAPON]],Sheet1!$X$47:$Z$47,0)))/Table1[[#This Row], [NUM OF MEM]]</f>
        <v>6.8999999999999995</v>
      </c>
      <c r="Q2072" s="9">
        <f>Table1[[#This Row], [ROOM TIME]]+Table1[[#This Row], [GUARD TIME]]</f>
        <v>69.373749999999987</v>
      </c>
      <c r="R2072" s="4">
        <f>Sheet1!$K$3*_xlfn.XLOOKUP(Table1[[#This Row], [DISGUISE]],Sheet1!$A$21:$A$23,Sheet1!$D$21:$D$23)</f>
        <v>66</v>
      </c>
      <c r="S2072" s="9">
        <f>Table1[[#This Row], [TOTAL TIME]]-Table1[[#This Row], [TOTAL TIME TAKEN]]</f>
        <v>-3.3737499999999869</v>
      </c>
      <c r="T2072" t="str">
        <f>IF(Table1[[#This Row], [TIME DIFFERENCE]]&gt;=0,"PASS","FAIL")</f>
        <v>FAIL</v>
      </c>
      <c r="U2072" s="9">
        <f>Table1[[#This Row], [TRC]]+Table1[[#This Row], [DRC]]+Table1[[#This Row], [WRC]]+Table1[[#This Row], [ERC]]+Table1[[#This Row], [EQRC]]</f>
        <v>8138977.2937499993</v>
      </c>
      <c r="V2072" s="9">
        <f>Table1[[#This Row], [TOTAL COST]]+_xlfn.XLOOKUP(Table1[[#This Row], [TEAM]],Sheet1!$A$12:$A$17,Sheet1!$I$12:$I$17)</f>
        <v>8436457.2937499993</v>
      </c>
      <c r="W2072" s="9">
        <f>Table1[[#This Row], [LOOT]]-Table1[[#This Row], [TOTAL COST]]</f>
        <v>9661022.7062500007</v>
      </c>
      <c r="X2072" s="4">
        <f>IF(Table1[[#This Row], [PASS/FAIL]]="FAIL",0,Table1[[#This Row], [PROFIT]])</f>
        <v>0</v>
      </c>
    </row>
    <row r="2073" spans="1:24" ht="19.5" customHeight="1" x14ac:dyDescent="0.45">
      <c r="A2073" t="s">
        <v>14</v>
      </c>
      <c r="B2073" s="14">
        <f>_xlfn.XLOOKUP(Table1[[#This Row], [TEAM]],Sheet1!$A$12:$A$17,Sheet1!$F$12:$F$17)</f>
        <v>2</v>
      </c>
      <c r="C2073" s="14">
        <f>_xlfn.XLOOKUP(Table1[[#This Row], [TEAM]],Sheet1!$A$12:$A$17,Sheet1!$G$12:$G$17)</f>
        <v>5949600</v>
      </c>
      <c r="D2073" t="s">
        <v>22</v>
      </c>
      <c r="E2073" s="4">
        <f>_xlfn.XLOOKUP(Table1[[#This Row], [ROOM]],Sheet1!$A$47:$A$66,Sheet1!$B$47:$B$66)</f>
        <v>235</v>
      </c>
      <c r="F2073" t="s">
        <v>62</v>
      </c>
      <c r="G2073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3" s="13" t="s">
        <v>63</v>
      </c>
      <c r="I2073" s="4">
        <f>_xlfn.XLOOKUP(Table1[[#This Row], [WEAPON]],Sheet1!$A$27:$A$29,Sheet1!$B$27:$B$29)*Table1[[#This Row], [NUM OF MEM]]*(1+_xlfn.XLOOKUP(Table1[[#This Row], [WEAPON]],Sheet1!$A$27:$A$29,Sheet1!$C$27:$C$29))</f>
        <v>46000</v>
      </c>
      <c r="J2073" t="s">
        <v>60</v>
      </c>
      <c r="K2073" s="9">
        <f>Table1[[#This Row], [NUM OF MEM]]*Table1[[#This Row], [TOTAL TIME TAKEN]]*_xlfn.XLOOKUP(Table1[[#This Row], [EXIT]],Sheet1!$A$70:$A$71,Sheet1!$B$70:$B$71)*(1+_xlfn.XLOOKUP(Table1[[#This Row], [EXIT]],Sheet1!$A$70:$A$71,Sheet1!$C$70:$C$71))</f>
        <v>1811275.2937499997</v>
      </c>
      <c r="L2073" s="13" t="s">
        <v>61</v>
      </c>
      <c r="M2073" s="4">
        <f>IF(Table1[[#This Row], [EQUIPMENT]]="YES",Sheet1!$C$44*(1+Sheet1!$D$44),0)</f>
        <v>0</v>
      </c>
      <c r="N2073" s="4">
        <f>_xlfn.XLOOKUP(Table1[[#This Row], [ROOM]],Sheet1!$A$47:$A$66,Sheet1!$F$47:$F$66)</f>
        <v>17800000</v>
      </c>
      <c r="O2073" s="9">
        <f>_xlfn.XLOOKUP(_xlfn.CONCAT(Table1[[#This Row], [TEAM]],Table1[[#This Row], [ROOM]]),'ROOM TIME'!$H$2:$H$121,'ROOM TIME'!$J$2:$J$121)</f>
        <v>62.473749999999981</v>
      </c>
      <c r="P2073" s="9">
        <f>(INDEX(Sheet1!$X$48:$Z$67,MATCH(Table1[[#This Row], [ROOM]],Sheet1!$P$48:$P$67,0),MATCH(Table1[[#This Row], [WEAPON]],Sheet1!$X$47:$Z$47,0)))/Table1[[#This Row], [NUM OF MEM]]</f>
        <v>8.1000000000000014</v>
      </c>
      <c r="Q2073" s="9">
        <f>Table1[[#This Row], [ROOM TIME]]+Table1[[#This Row], [GUARD TIME]]</f>
        <v>70.57374999999999</v>
      </c>
      <c r="R2073" s="4">
        <f>Sheet1!$K$3*_xlfn.XLOOKUP(Table1[[#This Row], [DISGUISE]],Sheet1!$A$21:$A$23,Sheet1!$D$21:$D$23)</f>
        <v>66</v>
      </c>
      <c r="S2073" s="9">
        <f>Table1[[#This Row], [TOTAL TIME]]-Table1[[#This Row], [TOTAL TIME TAKEN]]</f>
        <v>-4.5737499999999898</v>
      </c>
      <c r="T2073" t="str">
        <f>IF(Table1[[#This Row], [TIME DIFFERENCE]]&gt;=0,"PASS","FAIL")</f>
        <v>FAIL</v>
      </c>
      <c r="U2073" s="9">
        <f>Table1[[#This Row], [TRC]]+Table1[[#This Row], [DRC]]+Table1[[#This Row], [WRC]]+Table1[[#This Row], [ERC]]+Table1[[#This Row], [EQRC]]</f>
        <v>7817275.2937499993</v>
      </c>
      <c r="V2073" s="9">
        <f>Table1[[#This Row], [TOTAL COST]]+_xlfn.XLOOKUP(Table1[[#This Row], [TEAM]],Sheet1!$A$12:$A$17,Sheet1!$I$12:$I$17)</f>
        <v>8114755.2937499993</v>
      </c>
      <c r="W2073" s="9">
        <f>Table1[[#This Row], [LOOT]]-Table1[[#This Row], [TOTAL COST]]</f>
        <v>9982724.7062500007</v>
      </c>
      <c r="X2073" s="4">
        <f>IF(Table1[[#This Row], [PASS/FAIL]]="FAIL",0,Table1[[#This Row], [PROFIT]])</f>
        <v>0</v>
      </c>
    </row>
    <row r="2074" spans="1:24" ht="19.5" customHeight="1" x14ac:dyDescent="0.45">
      <c r="A2074" t="s">
        <v>14</v>
      </c>
      <c r="B2074" s="14">
        <f>_xlfn.XLOOKUP(Table1[[#This Row], [TEAM]],Sheet1!$A$12:$A$17,Sheet1!$F$12:$F$17)</f>
        <v>2</v>
      </c>
      <c r="C2074" s="14">
        <f>_xlfn.XLOOKUP(Table1[[#This Row], [TEAM]],Sheet1!$A$12:$A$17,Sheet1!$G$12:$G$17)</f>
        <v>5949600</v>
      </c>
      <c r="D2074" t="s">
        <v>22</v>
      </c>
      <c r="E2074" s="4">
        <f>_xlfn.XLOOKUP(Table1[[#This Row], [ROOM]],Sheet1!$A$47:$A$66,Sheet1!$B$47:$B$66)</f>
        <v>235</v>
      </c>
      <c r="F2074" t="s">
        <v>58</v>
      </c>
      <c r="G2074" s="4">
        <f>_xlfn.XLOOKUP(Table1[[#This Row], [DISGUISE]],Sheet1!$A$21:$A$23,Sheet1!$B$21:$B$23)*Table1[[#This Row], [NUM OF MEM]]*(1+_xlfn.XLOOKUP(Table1[[#This Row], [DISGUISE]],Sheet1!$A$21:$A$23,Sheet1!$C$21:$C$23))</f>
        <v>25600</v>
      </c>
      <c r="H2074" s="13" t="s">
        <v>63</v>
      </c>
      <c r="I2074" s="4">
        <f>_xlfn.XLOOKUP(Table1[[#This Row], [WEAPON]],Sheet1!$A$27:$A$29,Sheet1!$B$27:$B$29)*Table1[[#This Row], [NUM OF MEM]]*(1+_xlfn.XLOOKUP(Table1[[#This Row], [WEAPON]],Sheet1!$A$27:$A$29,Sheet1!$C$27:$C$29))</f>
        <v>46000</v>
      </c>
      <c r="J2074" t="s">
        <v>60</v>
      </c>
      <c r="K2074" s="9">
        <f>Table1[[#This Row], [NUM OF MEM]]*Table1[[#This Row], [TOTAL TIME TAKEN]]*_xlfn.XLOOKUP(Table1[[#This Row], [EXIT]],Sheet1!$A$70:$A$71,Sheet1!$B$70:$B$71)*(1+_xlfn.XLOOKUP(Table1[[#This Row], [EXIT]],Sheet1!$A$70:$A$71,Sheet1!$C$70:$C$71))</f>
        <v>1811275.2937499997</v>
      </c>
      <c r="L2074" s="13" t="s">
        <v>61</v>
      </c>
      <c r="M2074" s="4">
        <f>IF(Table1[[#This Row], [EQUIPMENT]]="YES",Sheet1!$C$44*(1+Sheet1!$D$44),0)</f>
        <v>0</v>
      </c>
      <c r="N2074" s="4">
        <f>_xlfn.XLOOKUP(Table1[[#This Row], [ROOM]],Sheet1!$A$47:$A$66,Sheet1!$F$47:$F$66)</f>
        <v>17800000</v>
      </c>
      <c r="O2074" s="9">
        <f>_xlfn.XLOOKUP(_xlfn.CONCAT(Table1[[#This Row], [TEAM]],Table1[[#This Row], [ROOM]]),'ROOM TIME'!$H$2:$H$121,'ROOM TIME'!$J$2:$J$121)</f>
        <v>62.473749999999981</v>
      </c>
      <c r="P2074" s="9">
        <f>(INDEX(Sheet1!$X$48:$Z$67,MATCH(Table1[[#This Row], [ROOM]],Sheet1!$P$48:$P$67,0),MATCH(Table1[[#This Row], [WEAPON]],Sheet1!$X$47:$Z$47,0)))/Table1[[#This Row], [NUM OF MEM]]</f>
        <v>8.1000000000000014</v>
      </c>
      <c r="Q2074" s="9">
        <f>Table1[[#This Row], [ROOM TIME]]+Table1[[#This Row], [GUARD TIME]]</f>
        <v>70.57374999999999</v>
      </c>
      <c r="R2074" s="4">
        <f>Sheet1!$K$3*_xlfn.XLOOKUP(Table1[[#This Row], [DISGUISE]],Sheet1!$A$21:$A$23,Sheet1!$D$21:$D$23)</f>
        <v>69</v>
      </c>
      <c r="S2074" s="9">
        <f>Table1[[#This Row], [TOTAL TIME]]-Table1[[#This Row], [TOTAL TIME TAKEN]]</f>
        <v>-1.5737499999999898</v>
      </c>
      <c r="T2074" t="str">
        <f>IF(Table1[[#This Row], [TIME DIFFERENCE]]&gt;=0,"PASS","FAIL")</f>
        <v>FAIL</v>
      </c>
      <c r="U2074" s="9">
        <f>Table1[[#This Row], [TRC]]+Table1[[#This Row], [DRC]]+Table1[[#This Row], [WRC]]+Table1[[#This Row], [ERC]]+Table1[[#This Row], [EQRC]]</f>
        <v>7832475.2937499993</v>
      </c>
      <c r="V2074" s="9">
        <f>Table1[[#This Row], [TOTAL COST]]+_xlfn.XLOOKUP(Table1[[#This Row], [TEAM]],Sheet1!$A$12:$A$17,Sheet1!$I$12:$I$17)</f>
        <v>8129955.2937499993</v>
      </c>
      <c r="W2074" s="9">
        <f>Table1[[#This Row], [LOOT]]-Table1[[#This Row], [TOTAL COST]]</f>
        <v>9967524.7062500007</v>
      </c>
      <c r="X2074" s="4">
        <f>IF(Table1[[#This Row], [PASS/FAIL]]="FAIL",0,Table1[[#This Row], [PROFIT]])</f>
        <v>0</v>
      </c>
    </row>
    <row r="2075" spans="1:24" ht="19.5" customHeight="1" x14ac:dyDescent="0.45">
      <c r="A2075" t="s">
        <v>14</v>
      </c>
      <c r="B2075" s="14">
        <f>_xlfn.XLOOKUP(Table1[[#This Row], [TEAM]],Sheet1!$A$12:$A$17,Sheet1!$F$12:$F$17)</f>
        <v>2</v>
      </c>
      <c r="C2075" s="14">
        <f>_xlfn.XLOOKUP(Table1[[#This Row], [TEAM]],Sheet1!$A$12:$A$17,Sheet1!$G$12:$G$17)</f>
        <v>5949600</v>
      </c>
      <c r="D2075" t="s">
        <v>22</v>
      </c>
      <c r="E2075" s="4">
        <f>_xlfn.XLOOKUP(Table1[[#This Row], [ROOM]],Sheet1!$A$47:$A$66,Sheet1!$B$47:$B$66)</f>
        <v>235</v>
      </c>
      <c r="F2075" t="s">
        <v>62</v>
      </c>
      <c r="G2075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5" s="13" t="s">
        <v>59</v>
      </c>
      <c r="I2075" s="4">
        <f>_xlfn.XLOOKUP(Table1[[#This Row], [WEAPON]],Sheet1!$A$27:$A$29,Sheet1!$B$27:$B$29)*Table1[[#This Row], [NUM OF MEM]]*(1+_xlfn.XLOOKUP(Table1[[#This Row], [WEAPON]],Sheet1!$A$27:$A$29,Sheet1!$C$27:$C$29))</f>
        <v>91000</v>
      </c>
      <c r="J2075" t="s">
        <v>64</v>
      </c>
      <c r="K2075" s="9">
        <f>Table1[[#This Row], [NUM OF MEM]]*Table1[[#This Row], [TOTAL TIME TAKEN]]*_xlfn.XLOOKUP(Table1[[#This Row], [EXIT]],Sheet1!$A$70:$A$71,Sheet1!$B$70:$B$71)*(1+_xlfn.XLOOKUP(Table1[[#This Row], [EXIT]],Sheet1!$A$70:$A$71,Sheet1!$C$70:$C$71))</f>
        <v>1798167.5999999996</v>
      </c>
      <c r="L2075" s="13" t="s">
        <v>65</v>
      </c>
      <c r="M2075" s="4">
        <f>IF(Table1[[#This Row], [EQUIPMENT]]="YES",Sheet1!$C$44*(1+Sheet1!$D$44),0)</f>
        <v>307500</v>
      </c>
      <c r="N2075" s="4">
        <f>_xlfn.XLOOKUP(Table1[[#This Row], [ROOM]],Sheet1!$A$47:$A$66,Sheet1!$F$47:$F$66)</f>
        <v>17800000</v>
      </c>
      <c r="O2075" s="9">
        <f>_xlfn.XLOOKUP(_xlfn.CONCAT(Table1[[#This Row], [TEAM]],Table1[[#This Row], [ROOM]]),'ROOM TIME'!$H$2:$H$121,'ROOM TIME'!$J$2:$J$121)</f>
        <v>62.473749999999981</v>
      </c>
      <c r="P2075" s="9">
        <f>(INDEX(Sheet1!$X$48:$Z$67,MATCH(Table1[[#This Row], [ROOM]],Sheet1!$P$48:$P$67,0),MATCH(Table1[[#This Row], [WEAPON]],Sheet1!$X$47:$Z$47,0)))/Table1[[#This Row], [NUM OF MEM]]</f>
        <v>6.8999999999999995</v>
      </c>
      <c r="Q2075" s="9">
        <f>Table1[[#This Row], [ROOM TIME]]+Table1[[#This Row], [GUARD TIME]]</f>
        <v>69.373749999999987</v>
      </c>
      <c r="R2075" s="4">
        <f>Sheet1!$K$3*_xlfn.XLOOKUP(Table1[[#This Row], [DISGUISE]],Sheet1!$A$21:$A$23,Sheet1!$D$21:$D$23)</f>
        <v>66</v>
      </c>
      <c r="S2075" s="9">
        <f>Table1[[#This Row], [TOTAL TIME]]-Table1[[#This Row], [TOTAL TIME TAKEN]]</f>
        <v>-3.3737499999999869</v>
      </c>
      <c r="T2075" t="str">
        <f>IF(Table1[[#This Row], [TIME DIFFERENCE]]&gt;=0,"PASS","FAIL")</f>
        <v>FAIL</v>
      </c>
      <c r="U2075" s="9">
        <f>Table1[[#This Row], [TRC]]+Table1[[#This Row], [DRC]]+Table1[[#This Row], [WRC]]+Table1[[#This Row], [ERC]]+Table1[[#This Row], [EQRC]]</f>
        <v>8156667.5999999996</v>
      </c>
      <c r="V2075" s="9">
        <f>Table1[[#This Row], [TOTAL COST]]+_xlfn.XLOOKUP(Table1[[#This Row], [TEAM]],Sheet1!$A$12:$A$17,Sheet1!$I$12:$I$17)</f>
        <v>8454147.5999999996</v>
      </c>
      <c r="W2075" s="9">
        <f>Table1[[#This Row], [LOOT]]-Table1[[#This Row], [TOTAL COST]]</f>
        <v>9643332.4000000004</v>
      </c>
      <c r="X2075" s="4">
        <f>IF(Table1[[#This Row], [PASS/FAIL]]="FAIL",0,Table1[[#This Row], [PROFIT]])</f>
        <v>0</v>
      </c>
    </row>
    <row r="2076" spans="1:24" ht="19.5" customHeight="1" x14ac:dyDescent="0.45">
      <c r="A2076" t="s">
        <v>14</v>
      </c>
      <c r="B2076" s="14">
        <f>_xlfn.XLOOKUP(Table1[[#This Row], [TEAM]],Sheet1!$A$12:$A$17,Sheet1!$F$12:$F$17)</f>
        <v>2</v>
      </c>
      <c r="C2076" s="14">
        <f>_xlfn.XLOOKUP(Table1[[#This Row], [TEAM]],Sheet1!$A$12:$A$17,Sheet1!$G$12:$G$17)</f>
        <v>5949600</v>
      </c>
      <c r="D2076" t="s">
        <v>22</v>
      </c>
      <c r="E2076" s="4">
        <f>_xlfn.XLOOKUP(Table1[[#This Row], [ROOM]],Sheet1!$A$47:$A$66,Sheet1!$B$47:$B$66)</f>
        <v>235</v>
      </c>
      <c r="F2076" t="s">
        <v>62</v>
      </c>
      <c r="G207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6" s="13" t="s">
        <v>63</v>
      </c>
      <c r="I2076" s="4">
        <f>_xlfn.XLOOKUP(Table1[[#This Row], [WEAPON]],Sheet1!$A$27:$A$29,Sheet1!$B$27:$B$29)*Table1[[#This Row], [NUM OF MEM]]*(1+_xlfn.XLOOKUP(Table1[[#This Row], [WEAPON]],Sheet1!$A$27:$A$29,Sheet1!$C$27:$C$29))</f>
        <v>46000</v>
      </c>
      <c r="J2076" t="s">
        <v>64</v>
      </c>
      <c r="K2076" s="9">
        <f>Table1[[#This Row], [NUM OF MEM]]*Table1[[#This Row], [TOTAL TIME TAKEN]]*_xlfn.XLOOKUP(Table1[[#This Row], [EXIT]],Sheet1!$A$70:$A$71,Sheet1!$B$70:$B$71)*(1+_xlfn.XLOOKUP(Table1[[#This Row], [EXIT]],Sheet1!$A$70:$A$71,Sheet1!$C$70:$C$71))</f>
        <v>1829271.5999999996</v>
      </c>
      <c r="L2076" s="13" t="s">
        <v>61</v>
      </c>
      <c r="M2076" s="4">
        <f>IF(Table1[[#This Row], [EQUIPMENT]]="YES",Sheet1!$C$44*(1+Sheet1!$D$44),0)</f>
        <v>0</v>
      </c>
      <c r="N2076" s="4">
        <f>_xlfn.XLOOKUP(Table1[[#This Row], [ROOM]],Sheet1!$A$47:$A$66,Sheet1!$F$47:$F$66)</f>
        <v>17800000</v>
      </c>
      <c r="O2076" s="9">
        <f>_xlfn.XLOOKUP(_xlfn.CONCAT(Table1[[#This Row], [TEAM]],Table1[[#This Row], [ROOM]]),'ROOM TIME'!$H$2:$H$121,'ROOM TIME'!$J$2:$J$121)</f>
        <v>62.473749999999981</v>
      </c>
      <c r="P2076" s="9">
        <f>(INDEX(Sheet1!$X$48:$Z$67,MATCH(Table1[[#This Row], [ROOM]],Sheet1!$P$48:$P$67,0),MATCH(Table1[[#This Row], [WEAPON]],Sheet1!$X$47:$Z$47,0)))/Table1[[#This Row], [NUM OF MEM]]</f>
        <v>8.1000000000000014</v>
      </c>
      <c r="Q2076" s="9">
        <f>Table1[[#This Row], [ROOM TIME]]+Table1[[#This Row], [GUARD TIME]]</f>
        <v>70.57374999999999</v>
      </c>
      <c r="R2076" s="4">
        <f>Sheet1!$K$3*_xlfn.XLOOKUP(Table1[[#This Row], [DISGUISE]],Sheet1!$A$21:$A$23,Sheet1!$D$21:$D$23)</f>
        <v>66</v>
      </c>
      <c r="S2076" s="9">
        <f>Table1[[#This Row], [TOTAL TIME]]-Table1[[#This Row], [TOTAL TIME TAKEN]]</f>
        <v>-4.5737499999999898</v>
      </c>
      <c r="T2076" t="str">
        <f>IF(Table1[[#This Row], [TIME DIFFERENCE]]&gt;=0,"PASS","FAIL")</f>
        <v>FAIL</v>
      </c>
      <c r="U2076" s="9">
        <f>Table1[[#This Row], [TRC]]+Table1[[#This Row], [DRC]]+Table1[[#This Row], [WRC]]+Table1[[#This Row], [ERC]]+Table1[[#This Row], [EQRC]]</f>
        <v>7835271.5999999996</v>
      </c>
      <c r="V2076" s="9">
        <f>Table1[[#This Row], [TOTAL COST]]+_xlfn.XLOOKUP(Table1[[#This Row], [TEAM]],Sheet1!$A$12:$A$17,Sheet1!$I$12:$I$17)</f>
        <v>8132751.5999999996</v>
      </c>
      <c r="W2076" s="9">
        <f>Table1[[#This Row], [LOOT]]-Table1[[#This Row], [TOTAL COST]]</f>
        <v>9964728.4000000004</v>
      </c>
      <c r="X2076" s="4">
        <f>IF(Table1[[#This Row], [PASS/FAIL]]="FAIL",0,Table1[[#This Row], [PROFIT]])</f>
        <v>0</v>
      </c>
    </row>
    <row r="2077" spans="1:24" ht="19.5" customHeight="1" x14ac:dyDescent="0.45">
      <c r="A2077" t="s">
        <v>14</v>
      </c>
      <c r="B2077" s="14">
        <f>_xlfn.XLOOKUP(Table1[[#This Row], [TEAM]],Sheet1!$A$12:$A$17,Sheet1!$F$12:$F$17)</f>
        <v>2</v>
      </c>
      <c r="C2077" s="14">
        <f>_xlfn.XLOOKUP(Table1[[#This Row], [TEAM]],Sheet1!$A$12:$A$17,Sheet1!$G$12:$G$17)</f>
        <v>5949600</v>
      </c>
      <c r="D2077" t="s">
        <v>22</v>
      </c>
      <c r="E2077" s="4">
        <f>_xlfn.XLOOKUP(Table1[[#This Row], [ROOM]],Sheet1!$A$47:$A$66,Sheet1!$B$47:$B$66)</f>
        <v>235</v>
      </c>
      <c r="F2077" t="s">
        <v>58</v>
      </c>
      <c r="G207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77" s="13" t="s">
        <v>63</v>
      </c>
      <c r="I2077" s="4">
        <f>_xlfn.XLOOKUP(Table1[[#This Row], [WEAPON]],Sheet1!$A$27:$A$29,Sheet1!$B$27:$B$29)*Table1[[#This Row], [NUM OF MEM]]*(1+_xlfn.XLOOKUP(Table1[[#This Row], [WEAPON]],Sheet1!$A$27:$A$29,Sheet1!$C$27:$C$29))</f>
        <v>46000</v>
      </c>
      <c r="J2077" t="s">
        <v>64</v>
      </c>
      <c r="K2077" s="9">
        <f>Table1[[#This Row], [NUM OF MEM]]*Table1[[#This Row], [TOTAL TIME TAKEN]]*_xlfn.XLOOKUP(Table1[[#This Row], [EXIT]],Sheet1!$A$70:$A$71,Sheet1!$B$70:$B$71)*(1+_xlfn.XLOOKUP(Table1[[#This Row], [EXIT]],Sheet1!$A$70:$A$71,Sheet1!$C$70:$C$71))</f>
        <v>1829271.5999999996</v>
      </c>
      <c r="L2077" s="13" t="s">
        <v>61</v>
      </c>
      <c r="M2077" s="4">
        <f>IF(Table1[[#This Row], [EQUIPMENT]]="YES",Sheet1!$C$44*(1+Sheet1!$D$44),0)</f>
        <v>0</v>
      </c>
      <c r="N2077" s="4">
        <f>_xlfn.XLOOKUP(Table1[[#This Row], [ROOM]],Sheet1!$A$47:$A$66,Sheet1!$F$47:$F$66)</f>
        <v>17800000</v>
      </c>
      <c r="O2077" s="9">
        <f>_xlfn.XLOOKUP(_xlfn.CONCAT(Table1[[#This Row], [TEAM]],Table1[[#This Row], [ROOM]]),'ROOM TIME'!$H$2:$H$121,'ROOM TIME'!$J$2:$J$121)</f>
        <v>62.473749999999981</v>
      </c>
      <c r="P2077" s="9">
        <f>(INDEX(Sheet1!$X$48:$Z$67,MATCH(Table1[[#This Row], [ROOM]],Sheet1!$P$48:$P$67,0),MATCH(Table1[[#This Row], [WEAPON]],Sheet1!$X$47:$Z$47,0)))/Table1[[#This Row], [NUM OF MEM]]</f>
        <v>8.1000000000000014</v>
      </c>
      <c r="Q2077" s="9">
        <f>Table1[[#This Row], [ROOM TIME]]+Table1[[#This Row], [GUARD TIME]]</f>
        <v>70.57374999999999</v>
      </c>
      <c r="R2077" s="4">
        <f>Sheet1!$K$3*_xlfn.XLOOKUP(Table1[[#This Row], [DISGUISE]],Sheet1!$A$21:$A$23,Sheet1!$D$21:$D$23)</f>
        <v>69</v>
      </c>
      <c r="S2077" s="9">
        <f>Table1[[#This Row], [TOTAL TIME]]-Table1[[#This Row], [TOTAL TIME TAKEN]]</f>
        <v>-1.5737499999999898</v>
      </c>
      <c r="T2077" t="str">
        <f>IF(Table1[[#This Row], [TIME DIFFERENCE]]&gt;=0,"PASS","FAIL")</f>
        <v>FAIL</v>
      </c>
      <c r="U2077" s="9">
        <f>Table1[[#This Row], [TRC]]+Table1[[#This Row], [DRC]]+Table1[[#This Row], [WRC]]+Table1[[#This Row], [ERC]]+Table1[[#This Row], [EQRC]]</f>
        <v>7850471.5999999996</v>
      </c>
      <c r="V2077" s="9">
        <f>Table1[[#This Row], [TOTAL COST]]+_xlfn.XLOOKUP(Table1[[#This Row], [TEAM]],Sheet1!$A$12:$A$17,Sheet1!$I$12:$I$17)</f>
        <v>8147951.5999999996</v>
      </c>
      <c r="W2077" s="9">
        <f>Table1[[#This Row], [LOOT]]-Table1[[#This Row], [TOTAL COST]]</f>
        <v>9949528.4000000004</v>
      </c>
      <c r="X2077" s="4">
        <f>IF(Table1[[#This Row], [PASS/FAIL]]="FAIL",0,Table1[[#This Row], [PROFIT]])</f>
        <v>0</v>
      </c>
    </row>
    <row r="2078" spans="1:24" ht="19.5" customHeight="1" x14ac:dyDescent="0.45">
      <c r="A2078" t="s">
        <v>14</v>
      </c>
      <c r="B2078" s="14">
        <f>_xlfn.XLOOKUP(Table1[[#This Row], [TEAM]],Sheet1!$A$12:$A$17,Sheet1!$F$12:$F$17)</f>
        <v>2</v>
      </c>
      <c r="C2078" s="14">
        <f>_xlfn.XLOOKUP(Table1[[#This Row], [TEAM]],Sheet1!$A$12:$A$17,Sheet1!$G$12:$G$17)</f>
        <v>5949600</v>
      </c>
      <c r="D2078" t="s">
        <v>22</v>
      </c>
      <c r="E2078" s="4">
        <f>_xlfn.XLOOKUP(Table1[[#This Row], [ROOM]],Sheet1!$A$47:$A$66,Sheet1!$B$47:$B$66)</f>
        <v>235</v>
      </c>
      <c r="F2078" t="s">
        <v>62</v>
      </c>
      <c r="G207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78" s="13" t="s">
        <v>63</v>
      </c>
      <c r="I2078" s="4">
        <f>_xlfn.XLOOKUP(Table1[[#This Row], [WEAPON]],Sheet1!$A$27:$A$29,Sheet1!$B$27:$B$29)*Table1[[#This Row], [NUM OF MEM]]*(1+_xlfn.XLOOKUP(Table1[[#This Row], [WEAPON]],Sheet1!$A$27:$A$29,Sheet1!$C$27:$C$29))</f>
        <v>46000</v>
      </c>
      <c r="J2078" t="s">
        <v>60</v>
      </c>
      <c r="K2078" s="9">
        <f>Table1[[#This Row], [NUM OF MEM]]*Table1[[#This Row], [TOTAL TIME TAKEN]]*_xlfn.XLOOKUP(Table1[[#This Row], [EXIT]],Sheet1!$A$70:$A$71,Sheet1!$B$70:$B$71)*(1+_xlfn.XLOOKUP(Table1[[#This Row], [EXIT]],Sheet1!$A$70:$A$71,Sheet1!$C$70:$C$71))</f>
        <v>1811275.2937499997</v>
      </c>
      <c r="L2078" s="13" t="s">
        <v>65</v>
      </c>
      <c r="M2078" s="4">
        <f>IF(Table1[[#This Row], [EQUIPMENT]]="YES",Sheet1!$C$44*(1+Sheet1!$D$44),0)</f>
        <v>307500</v>
      </c>
      <c r="N2078" s="4">
        <f>_xlfn.XLOOKUP(Table1[[#This Row], [ROOM]],Sheet1!$A$47:$A$66,Sheet1!$F$47:$F$66)</f>
        <v>17800000</v>
      </c>
      <c r="O2078" s="9">
        <f>_xlfn.XLOOKUP(_xlfn.CONCAT(Table1[[#This Row], [TEAM]],Table1[[#This Row], [ROOM]]),'ROOM TIME'!$H$2:$H$121,'ROOM TIME'!$J$2:$J$121)</f>
        <v>62.473749999999981</v>
      </c>
      <c r="P2078" s="9">
        <f>(INDEX(Sheet1!$X$48:$Z$67,MATCH(Table1[[#This Row], [ROOM]],Sheet1!$P$48:$P$67,0),MATCH(Table1[[#This Row], [WEAPON]],Sheet1!$X$47:$Z$47,0)))/Table1[[#This Row], [NUM OF MEM]]</f>
        <v>8.1000000000000014</v>
      </c>
      <c r="Q2078" s="9">
        <f>Table1[[#This Row], [ROOM TIME]]+Table1[[#This Row], [GUARD TIME]]</f>
        <v>70.57374999999999</v>
      </c>
      <c r="R2078" s="4">
        <f>Sheet1!$K$3*_xlfn.XLOOKUP(Table1[[#This Row], [DISGUISE]],Sheet1!$A$21:$A$23,Sheet1!$D$21:$D$23)</f>
        <v>66</v>
      </c>
      <c r="S2078" s="9">
        <f>Table1[[#This Row], [TOTAL TIME]]-Table1[[#This Row], [TOTAL TIME TAKEN]]</f>
        <v>-4.5737499999999898</v>
      </c>
      <c r="T2078" t="str">
        <f>IF(Table1[[#This Row], [TIME DIFFERENCE]]&gt;=0,"PASS","FAIL")</f>
        <v>FAIL</v>
      </c>
      <c r="U2078" s="9">
        <f>Table1[[#This Row], [TRC]]+Table1[[#This Row], [DRC]]+Table1[[#This Row], [WRC]]+Table1[[#This Row], [ERC]]+Table1[[#This Row], [EQRC]]</f>
        <v>8124775.2937499993</v>
      </c>
      <c r="V2078" s="9">
        <f>Table1[[#This Row], [TOTAL COST]]+_xlfn.XLOOKUP(Table1[[#This Row], [TEAM]],Sheet1!$A$12:$A$17,Sheet1!$I$12:$I$17)</f>
        <v>8422255.2937499993</v>
      </c>
      <c r="W2078" s="9">
        <f>Table1[[#This Row], [LOOT]]-Table1[[#This Row], [TOTAL COST]]</f>
        <v>9675224.7062500007</v>
      </c>
      <c r="X2078" s="4">
        <f>IF(Table1[[#This Row], [PASS/FAIL]]="FAIL",0,Table1[[#This Row], [PROFIT]])</f>
        <v>0</v>
      </c>
    </row>
    <row r="2079" spans="1:24" ht="19.5" customHeight="1" x14ac:dyDescent="0.45">
      <c r="A2079" t="s">
        <v>14</v>
      </c>
      <c r="B2079" s="14">
        <f>_xlfn.XLOOKUP(Table1[[#This Row], [TEAM]],Sheet1!$A$12:$A$17,Sheet1!$F$12:$F$17)</f>
        <v>2</v>
      </c>
      <c r="C2079" s="14">
        <f>_xlfn.XLOOKUP(Table1[[#This Row], [TEAM]],Sheet1!$A$12:$A$17,Sheet1!$G$12:$G$17)</f>
        <v>5949600</v>
      </c>
      <c r="D2079" t="s">
        <v>22</v>
      </c>
      <c r="E2079" s="4">
        <f>_xlfn.XLOOKUP(Table1[[#This Row], [ROOM]],Sheet1!$A$47:$A$66,Sheet1!$B$47:$B$66)</f>
        <v>235</v>
      </c>
      <c r="F2079" t="s">
        <v>58</v>
      </c>
      <c r="G2079" s="4">
        <f>_xlfn.XLOOKUP(Table1[[#This Row], [DISGUISE]],Sheet1!$A$21:$A$23,Sheet1!$B$21:$B$23)*Table1[[#This Row], [NUM OF MEM]]*(1+_xlfn.XLOOKUP(Table1[[#This Row], [DISGUISE]],Sheet1!$A$21:$A$23,Sheet1!$C$21:$C$23))</f>
        <v>25600</v>
      </c>
      <c r="H2079" s="13" t="s">
        <v>63</v>
      </c>
      <c r="I2079" s="4">
        <f>_xlfn.XLOOKUP(Table1[[#This Row], [WEAPON]],Sheet1!$A$27:$A$29,Sheet1!$B$27:$B$29)*Table1[[#This Row], [NUM OF MEM]]*(1+_xlfn.XLOOKUP(Table1[[#This Row], [WEAPON]],Sheet1!$A$27:$A$29,Sheet1!$C$27:$C$29))</f>
        <v>46000</v>
      </c>
      <c r="J2079" t="s">
        <v>60</v>
      </c>
      <c r="K2079" s="9">
        <f>Table1[[#This Row], [NUM OF MEM]]*Table1[[#This Row], [TOTAL TIME TAKEN]]*_xlfn.XLOOKUP(Table1[[#This Row], [EXIT]],Sheet1!$A$70:$A$71,Sheet1!$B$70:$B$71)*(1+_xlfn.XLOOKUP(Table1[[#This Row], [EXIT]],Sheet1!$A$70:$A$71,Sheet1!$C$70:$C$71))</f>
        <v>1811275.2937499997</v>
      </c>
      <c r="L2079" s="13" t="s">
        <v>65</v>
      </c>
      <c r="M2079" s="4">
        <f>IF(Table1[[#This Row], [EQUIPMENT]]="YES",Sheet1!$C$44*(1+Sheet1!$D$44),0)</f>
        <v>307500</v>
      </c>
      <c r="N2079" s="4">
        <f>_xlfn.XLOOKUP(Table1[[#This Row], [ROOM]],Sheet1!$A$47:$A$66,Sheet1!$F$47:$F$66)</f>
        <v>17800000</v>
      </c>
      <c r="O2079" s="9">
        <f>_xlfn.XLOOKUP(_xlfn.CONCAT(Table1[[#This Row], [TEAM]],Table1[[#This Row], [ROOM]]),'ROOM TIME'!$H$2:$H$121,'ROOM TIME'!$J$2:$J$121)</f>
        <v>62.473749999999981</v>
      </c>
      <c r="P2079" s="9">
        <f>(INDEX(Sheet1!$X$48:$Z$67,MATCH(Table1[[#This Row], [ROOM]],Sheet1!$P$48:$P$67,0),MATCH(Table1[[#This Row], [WEAPON]],Sheet1!$X$47:$Z$47,0)))/Table1[[#This Row], [NUM OF MEM]]</f>
        <v>8.1000000000000014</v>
      </c>
      <c r="Q2079" s="9">
        <f>Table1[[#This Row], [ROOM TIME]]+Table1[[#This Row], [GUARD TIME]]</f>
        <v>70.57374999999999</v>
      </c>
      <c r="R2079" s="4">
        <f>Sheet1!$K$3*_xlfn.XLOOKUP(Table1[[#This Row], [DISGUISE]],Sheet1!$A$21:$A$23,Sheet1!$D$21:$D$23)</f>
        <v>69</v>
      </c>
      <c r="S2079" s="9">
        <f>Table1[[#This Row], [TOTAL TIME]]-Table1[[#This Row], [TOTAL TIME TAKEN]]</f>
        <v>-1.5737499999999898</v>
      </c>
      <c r="T2079" t="str">
        <f>IF(Table1[[#This Row], [TIME DIFFERENCE]]&gt;=0,"PASS","FAIL")</f>
        <v>FAIL</v>
      </c>
      <c r="U2079" s="9">
        <f>Table1[[#This Row], [TRC]]+Table1[[#This Row], [DRC]]+Table1[[#This Row], [WRC]]+Table1[[#This Row], [ERC]]+Table1[[#This Row], [EQRC]]</f>
        <v>8139975.2937499993</v>
      </c>
      <c r="V2079" s="9">
        <f>Table1[[#This Row], [TOTAL COST]]+_xlfn.XLOOKUP(Table1[[#This Row], [TEAM]],Sheet1!$A$12:$A$17,Sheet1!$I$12:$I$17)</f>
        <v>8437455.2937499993</v>
      </c>
      <c r="W2079" s="9">
        <f>Table1[[#This Row], [LOOT]]-Table1[[#This Row], [TOTAL COST]]</f>
        <v>9660024.7062500007</v>
      </c>
      <c r="X2079" s="4">
        <f>IF(Table1[[#This Row], [PASS/FAIL]]="FAIL",0,Table1[[#This Row], [PROFIT]])</f>
        <v>0</v>
      </c>
    </row>
    <row r="2080" spans="1:24" ht="19.5" customHeight="1" x14ac:dyDescent="0.45">
      <c r="A2080" t="s">
        <v>14</v>
      </c>
      <c r="B2080" s="14">
        <f>_xlfn.XLOOKUP(Table1[[#This Row], [TEAM]],Sheet1!$A$12:$A$17,Sheet1!$F$12:$F$17)</f>
        <v>2</v>
      </c>
      <c r="C2080" s="14">
        <f>_xlfn.XLOOKUP(Table1[[#This Row], [TEAM]],Sheet1!$A$12:$A$17,Sheet1!$G$12:$G$17)</f>
        <v>5949600</v>
      </c>
      <c r="D2080" t="s">
        <v>22</v>
      </c>
      <c r="E2080" s="4">
        <f>_xlfn.XLOOKUP(Table1[[#This Row], [ROOM]],Sheet1!$A$47:$A$66,Sheet1!$B$47:$B$66)</f>
        <v>235</v>
      </c>
      <c r="F2080" t="s">
        <v>62</v>
      </c>
      <c r="G208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80" s="13" t="s">
        <v>63</v>
      </c>
      <c r="I2080" s="4">
        <f>_xlfn.XLOOKUP(Table1[[#This Row], [WEAPON]],Sheet1!$A$27:$A$29,Sheet1!$B$27:$B$29)*Table1[[#This Row], [NUM OF MEM]]*(1+_xlfn.XLOOKUP(Table1[[#This Row], [WEAPON]],Sheet1!$A$27:$A$29,Sheet1!$C$27:$C$29))</f>
        <v>46000</v>
      </c>
      <c r="J2080" t="s">
        <v>64</v>
      </c>
      <c r="K2080" s="9">
        <f>Table1[[#This Row], [NUM OF MEM]]*Table1[[#This Row], [TOTAL TIME TAKEN]]*_xlfn.XLOOKUP(Table1[[#This Row], [EXIT]],Sheet1!$A$70:$A$71,Sheet1!$B$70:$B$71)*(1+_xlfn.XLOOKUP(Table1[[#This Row], [EXIT]],Sheet1!$A$70:$A$71,Sheet1!$C$70:$C$71))</f>
        <v>1829271.5999999996</v>
      </c>
      <c r="L2080" s="13" t="s">
        <v>65</v>
      </c>
      <c r="M2080" s="4">
        <f>IF(Table1[[#This Row], [EQUIPMENT]]="YES",Sheet1!$C$44*(1+Sheet1!$D$44),0)</f>
        <v>307500</v>
      </c>
      <c r="N2080" s="4">
        <f>_xlfn.XLOOKUP(Table1[[#This Row], [ROOM]],Sheet1!$A$47:$A$66,Sheet1!$F$47:$F$66)</f>
        <v>17800000</v>
      </c>
      <c r="O2080" s="9">
        <f>_xlfn.XLOOKUP(_xlfn.CONCAT(Table1[[#This Row], [TEAM]],Table1[[#This Row], [ROOM]]),'ROOM TIME'!$H$2:$H$121,'ROOM TIME'!$J$2:$J$121)</f>
        <v>62.473749999999981</v>
      </c>
      <c r="P2080" s="9">
        <f>(INDEX(Sheet1!$X$48:$Z$67,MATCH(Table1[[#This Row], [ROOM]],Sheet1!$P$48:$P$67,0),MATCH(Table1[[#This Row], [WEAPON]],Sheet1!$X$47:$Z$47,0)))/Table1[[#This Row], [NUM OF MEM]]</f>
        <v>8.1000000000000014</v>
      </c>
      <c r="Q2080" s="9">
        <f>Table1[[#This Row], [ROOM TIME]]+Table1[[#This Row], [GUARD TIME]]</f>
        <v>70.57374999999999</v>
      </c>
      <c r="R2080" s="4">
        <f>Sheet1!$K$3*_xlfn.XLOOKUP(Table1[[#This Row], [DISGUISE]],Sheet1!$A$21:$A$23,Sheet1!$D$21:$D$23)</f>
        <v>66</v>
      </c>
      <c r="S2080" s="9">
        <f>Table1[[#This Row], [TOTAL TIME]]-Table1[[#This Row], [TOTAL TIME TAKEN]]</f>
        <v>-4.5737499999999898</v>
      </c>
      <c r="T2080" t="str">
        <f>IF(Table1[[#This Row], [TIME DIFFERENCE]]&gt;=0,"PASS","FAIL")</f>
        <v>FAIL</v>
      </c>
      <c r="U2080" s="9">
        <f>Table1[[#This Row], [TRC]]+Table1[[#This Row], [DRC]]+Table1[[#This Row], [WRC]]+Table1[[#This Row], [ERC]]+Table1[[#This Row], [EQRC]]</f>
        <v>8142771.5999999996</v>
      </c>
      <c r="V2080" s="9">
        <f>Table1[[#This Row], [TOTAL COST]]+_xlfn.XLOOKUP(Table1[[#This Row], [TEAM]],Sheet1!$A$12:$A$17,Sheet1!$I$12:$I$17)</f>
        <v>8440251.5999999996</v>
      </c>
      <c r="W2080" s="9">
        <f>Table1[[#This Row], [LOOT]]-Table1[[#This Row], [TOTAL COST]]</f>
        <v>9657228.4000000004</v>
      </c>
      <c r="X2080" s="4">
        <f>IF(Table1[[#This Row], [PASS/FAIL]]="FAIL",0,Table1[[#This Row], [PROFIT]])</f>
        <v>0</v>
      </c>
    </row>
    <row r="2081" spans="1:24" ht="19.5" customHeight="1" x14ac:dyDescent="0.45">
      <c r="A2081" t="s">
        <v>14</v>
      </c>
      <c r="B2081" s="14">
        <f>_xlfn.XLOOKUP(Table1[[#This Row], [TEAM]],Sheet1!$A$12:$A$17,Sheet1!$F$12:$F$17)</f>
        <v>2</v>
      </c>
      <c r="C2081" s="14">
        <f>_xlfn.XLOOKUP(Table1[[#This Row], [TEAM]],Sheet1!$A$12:$A$17,Sheet1!$G$12:$G$17)</f>
        <v>5949600</v>
      </c>
      <c r="D2081" t="s">
        <v>22</v>
      </c>
      <c r="E2081" s="4">
        <f>_xlfn.XLOOKUP(Table1[[#This Row], [ROOM]],Sheet1!$A$47:$A$66,Sheet1!$B$47:$B$66)</f>
        <v>235</v>
      </c>
      <c r="F2081" t="s">
        <v>58</v>
      </c>
      <c r="G2081" s="4">
        <f>_xlfn.XLOOKUP(Table1[[#This Row], [DISGUISE]],Sheet1!$A$21:$A$23,Sheet1!$B$21:$B$23)*Table1[[#This Row], [NUM OF MEM]]*(1+_xlfn.XLOOKUP(Table1[[#This Row], [DISGUISE]],Sheet1!$A$21:$A$23,Sheet1!$C$21:$C$23))</f>
        <v>25600</v>
      </c>
      <c r="H2081" s="13" t="s">
        <v>63</v>
      </c>
      <c r="I2081" s="4">
        <f>_xlfn.XLOOKUP(Table1[[#This Row], [WEAPON]],Sheet1!$A$27:$A$29,Sheet1!$B$27:$B$29)*Table1[[#This Row], [NUM OF MEM]]*(1+_xlfn.XLOOKUP(Table1[[#This Row], [WEAPON]],Sheet1!$A$27:$A$29,Sheet1!$C$27:$C$29))</f>
        <v>46000</v>
      </c>
      <c r="J2081" t="s">
        <v>64</v>
      </c>
      <c r="K2081" s="9">
        <f>Table1[[#This Row], [NUM OF MEM]]*Table1[[#This Row], [TOTAL TIME TAKEN]]*_xlfn.XLOOKUP(Table1[[#This Row], [EXIT]],Sheet1!$A$70:$A$71,Sheet1!$B$70:$B$71)*(1+_xlfn.XLOOKUP(Table1[[#This Row], [EXIT]],Sheet1!$A$70:$A$71,Sheet1!$C$70:$C$71))</f>
        <v>1829271.5999999996</v>
      </c>
      <c r="L2081" s="13" t="s">
        <v>65</v>
      </c>
      <c r="M2081" s="4">
        <f>IF(Table1[[#This Row], [EQUIPMENT]]="YES",Sheet1!$C$44*(1+Sheet1!$D$44),0)</f>
        <v>307500</v>
      </c>
      <c r="N2081" s="4">
        <f>_xlfn.XLOOKUP(Table1[[#This Row], [ROOM]],Sheet1!$A$47:$A$66,Sheet1!$F$47:$F$66)</f>
        <v>17800000</v>
      </c>
      <c r="O2081" s="9">
        <f>_xlfn.XLOOKUP(_xlfn.CONCAT(Table1[[#This Row], [TEAM]],Table1[[#This Row], [ROOM]]),'ROOM TIME'!$H$2:$H$121,'ROOM TIME'!$J$2:$J$121)</f>
        <v>62.473749999999981</v>
      </c>
      <c r="P2081" s="9">
        <f>(INDEX(Sheet1!$X$48:$Z$67,MATCH(Table1[[#This Row], [ROOM]],Sheet1!$P$48:$P$67,0),MATCH(Table1[[#This Row], [WEAPON]],Sheet1!$X$47:$Z$47,0)))/Table1[[#This Row], [NUM OF MEM]]</f>
        <v>8.1000000000000014</v>
      </c>
      <c r="Q2081" s="9">
        <f>Table1[[#This Row], [ROOM TIME]]+Table1[[#This Row], [GUARD TIME]]</f>
        <v>70.57374999999999</v>
      </c>
      <c r="R2081" s="4">
        <f>Sheet1!$K$3*_xlfn.XLOOKUP(Table1[[#This Row], [DISGUISE]],Sheet1!$A$21:$A$23,Sheet1!$D$21:$D$23)</f>
        <v>69</v>
      </c>
      <c r="S2081" s="9">
        <f>Table1[[#This Row], [TOTAL TIME]]-Table1[[#This Row], [TOTAL TIME TAKEN]]</f>
        <v>-1.5737499999999898</v>
      </c>
      <c r="T2081" t="str">
        <f>IF(Table1[[#This Row], [TIME DIFFERENCE]]&gt;=0,"PASS","FAIL")</f>
        <v>FAIL</v>
      </c>
      <c r="U2081" s="9">
        <f>Table1[[#This Row], [TRC]]+Table1[[#This Row], [DRC]]+Table1[[#This Row], [WRC]]+Table1[[#This Row], [ERC]]+Table1[[#This Row], [EQRC]]</f>
        <v>8157971.5999999996</v>
      </c>
      <c r="V2081" s="9">
        <f>Table1[[#This Row], [TOTAL COST]]+_xlfn.XLOOKUP(Table1[[#This Row], [TEAM]],Sheet1!$A$12:$A$17,Sheet1!$I$12:$I$17)</f>
        <v>8455451.5999999996</v>
      </c>
      <c r="W2081" s="9">
        <f>Table1[[#This Row], [LOOT]]-Table1[[#This Row], [TOTAL COST]]</f>
        <v>9642028.4000000004</v>
      </c>
      <c r="X2081" s="4">
        <f>IF(Table1[[#This Row], [PASS/FAIL]]="FAIL",0,Table1[[#This Row], [PROFIT]])</f>
        <v>0</v>
      </c>
    </row>
    <row r="2082" spans="1:24" ht="19.5" customHeight="1" x14ac:dyDescent="0.45">
      <c r="A2082" t="s">
        <v>14</v>
      </c>
      <c r="B2082" s="14">
        <f>_xlfn.XLOOKUP(Table1[[#This Row], [TEAM]],Sheet1!$A$12:$A$17,Sheet1!$F$12:$F$17)</f>
        <v>2</v>
      </c>
      <c r="C2082" s="14">
        <f>_xlfn.XLOOKUP(Table1[[#This Row], [TEAM]],Sheet1!$A$12:$A$17,Sheet1!$G$12:$G$17)</f>
        <v>5949600</v>
      </c>
      <c r="D2082" t="s">
        <v>22</v>
      </c>
      <c r="E2082" s="4">
        <f>_xlfn.XLOOKUP(Table1[[#This Row], [ROOM]],Sheet1!$A$47:$A$66,Sheet1!$B$47:$B$66)</f>
        <v>235</v>
      </c>
      <c r="F2082" t="s">
        <v>58</v>
      </c>
      <c r="G2082" s="4">
        <f>_xlfn.XLOOKUP(Table1[[#This Row], [DISGUISE]],Sheet1!$A$21:$A$23,Sheet1!$B$21:$B$23)*Table1[[#This Row], [NUM OF MEM]]*(1+_xlfn.XLOOKUP(Table1[[#This Row], [DISGUISE]],Sheet1!$A$21:$A$23,Sheet1!$C$21:$C$23))</f>
        <v>25600</v>
      </c>
      <c r="H2082" s="13" t="s">
        <v>66</v>
      </c>
      <c r="I2082" s="4">
        <f>_xlfn.XLOOKUP(Table1[[#This Row], [WEAPON]],Sheet1!$A$27:$A$29,Sheet1!$B$27:$B$29)*Table1[[#This Row], [NUM OF MEM]]*(1+_xlfn.XLOOKUP(Table1[[#This Row], [WEAPON]],Sheet1!$A$27:$A$29,Sheet1!$C$27:$C$29))</f>
        <v>72000</v>
      </c>
      <c r="J2082" t="s">
        <v>60</v>
      </c>
      <c r="K2082" s="9">
        <f>Table1[[#This Row], [NUM OF MEM]]*Table1[[#This Row], [TOTAL TIME TAKEN]]*_xlfn.XLOOKUP(Table1[[#This Row], [EXIT]],Sheet1!$A$70:$A$71,Sheet1!$B$70:$B$71)*(1+_xlfn.XLOOKUP(Table1[[#This Row], [EXIT]],Sheet1!$A$70:$A$71,Sheet1!$C$70:$C$71))</f>
        <v>1795876.2937499997</v>
      </c>
      <c r="L2082" s="13" t="s">
        <v>61</v>
      </c>
      <c r="M2082" s="4">
        <f>IF(Table1[[#This Row], [EQUIPMENT]]="YES",Sheet1!$C$44*(1+Sheet1!$D$44),0)</f>
        <v>0</v>
      </c>
      <c r="N2082" s="4">
        <f>_xlfn.XLOOKUP(Table1[[#This Row], [ROOM]],Sheet1!$A$47:$A$66,Sheet1!$F$47:$F$66)</f>
        <v>17800000</v>
      </c>
      <c r="O2082" s="9">
        <f>_xlfn.XLOOKUP(_xlfn.CONCAT(Table1[[#This Row], [TEAM]],Table1[[#This Row], [ROOM]]),'ROOM TIME'!$H$2:$H$121,'ROOM TIME'!$J$2:$J$121)</f>
        <v>62.473749999999981</v>
      </c>
      <c r="P2082" s="9">
        <f>(INDEX(Sheet1!$X$48:$Z$67,MATCH(Table1[[#This Row], [ROOM]],Sheet1!$P$48:$P$67,0),MATCH(Table1[[#This Row], [WEAPON]],Sheet1!$X$47:$Z$47,0)))/Table1[[#This Row], [NUM OF MEM]]</f>
        <v>7.5</v>
      </c>
      <c r="Q2082" s="9">
        <f>Table1[[#This Row], [ROOM TIME]]+Table1[[#This Row], [GUARD TIME]]</f>
        <v>69.973749999999981</v>
      </c>
      <c r="R2082" s="4">
        <f>Sheet1!$K$3*_xlfn.XLOOKUP(Table1[[#This Row], [DISGUISE]],Sheet1!$A$21:$A$23,Sheet1!$D$21:$D$23)</f>
        <v>69</v>
      </c>
      <c r="S2082" s="9">
        <f>Table1[[#This Row], [TOTAL TIME]]-Table1[[#This Row], [TOTAL TIME TAKEN]]</f>
        <v>-0.97374999999998124</v>
      </c>
      <c r="T2082" t="str">
        <f>IF(Table1[[#This Row], [TIME DIFFERENCE]]&gt;=0,"PASS","FAIL")</f>
        <v>FAIL</v>
      </c>
      <c r="U2082" s="9">
        <f>Table1[[#This Row], [TRC]]+Table1[[#This Row], [DRC]]+Table1[[#This Row], [WRC]]+Table1[[#This Row], [ERC]]+Table1[[#This Row], [EQRC]]</f>
        <v>7843076.2937499993</v>
      </c>
      <c r="V2082" s="9">
        <f>Table1[[#This Row], [TOTAL COST]]+_xlfn.XLOOKUP(Table1[[#This Row], [TEAM]],Sheet1!$A$12:$A$17,Sheet1!$I$12:$I$17)</f>
        <v>8140556.2937499993</v>
      </c>
      <c r="W2082" s="9">
        <f>Table1[[#This Row], [LOOT]]-Table1[[#This Row], [TOTAL COST]]</f>
        <v>9956923.7062500007</v>
      </c>
      <c r="X2082" s="4">
        <f>IF(Table1[[#This Row], [PASS/FAIL]]="FAIL",0,Table1[[#This Row], [PROFIT]])</f>
        <v>0</v>
      </c>
    </row>
    <row r="2083" spans="1:24" ht="19.5" customHeight="1" x14ac:dyDescent="0.45">
      <c r="A2083" t="s">
        <v>14</v>
      </c>
      <c r="B2083" s="14">
        <f>_xlfn.XLOOKUP(Table1[[#This Row], [TEAM]],Sheet1!$A$12:$A$17,Sheet1!$F$12:$F$17)</f>
        <v>2</v>
      </c>
      <c r="C2083" s="14">
        <f>_xlfn.XLOOKUP(Table1[[#This Row], [TEAM]],Sheet1!$A$12:$A$17,Sheet1!$G$12:$G$17)</f>
        <v>5949600</v>
      </c>
      <c r="D2083" t="s">
        <v>22</v>
      </c>
      <c r="E2083" s="4">
        <f>_xlfn.XLOOKUP(Table1[[#This Row], [ROOM]],Sheet1!$A$47:$A$66,Sheet1!$B$47:$B$66)</f>
        <v>235</v>
      </c>
      <c r="F2083" t="s">
        <v>58</v>
      </c>
      <c r="G208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83" s="13" t="s">
        <v>66</v>
      </c>
      <c r="I2083" s="4">
        <f>_xlfn.XLOOKUP(Table1[[#This Row], [WEAPON]],Sheet1!$A$27:$A$29,Sheet1!$B$27:$B$29)*Table1[[#This Row], [NUM OF MEM]]*(1+_xlfn.XLOOKUP(Table1[[#This Row], [WEAPON]],Sheet1!$A$27:$A$29,Sheet1!$C$27:$C$29))</f>
        <v>72000</v>
      </c>
      <c r="J2083" t="s">
        <v>64</v>
      </c>
      <c r="K2083" s="9">
        <f>Table1[[#This Row], [NUM OF MEM]]*Table1[[#This Row], [TOTAL TIME TAKEN]]*_xlfn.XLOOKUP(Table1[[#This Row], [EXIT]],Sheet1!$A$70:$A$71,Sheet1!$B$70:$B$71)*(1+_xlfn.XLOOKUP(Table1[[#This Row], [EXIT]],Sheet1!$A$70:$A$71,Sheet1!$C$70:$C$71))</f>
        <v>1813719.5999999994</v>
      </c>
      <c r="L2083" s="13" t="s">
        <v>61</v>
      </c>
      <c r="M2083" s="4">
        <f>IF(Table1[[#This Row], [EQUIPMENT]]="YES",Sheet1!$C$44*(1+Sheet1!$D$44),0)</f>
        <v>0</v>
      </c>
      <c r="N2083" s="4">
        <f>_xlfn.XLOOKUP(Table1[[#This Row], [ROOM]],Sheet1!$A$47:$A$66,Sheet1!$F$47:$F$66)</f>
        <v>17800000</v>
      </c>
      <c r="O2083" s="9">
        <f>_xlfn.XLOOKUP(_xlfn.CONCAT(Table1[[#This Row], [TEAM]],Table1[[#This Row], [ROOM]]),'ROOM TIME'!$H$2:$H$121,'ROOM TIME'!$J$2:$J$121)</f>
        <v>62.473749999999981</v>
      </c>
      <c r="P2083" s="9">
        <f>(INDEX(Sheet1!$X$48:$Z$67,MATCH(Table1[[#This Row], [ROOM]],Sheet1!$P$48:$P$67,0),MATCH(Table1[[#This Row], [WEAPON]],Sheet1!$X$47:$Z$47,0)))/Table1[[#This Row], [NUM OF MEM]]</f>
        <v>7.5</v>
      </c>
      <c r="Q2083" s="9">
        <f>Table1[[#This Row], [ROOM TIME]]+Table1[[#This Row], [GUARD TIME]]</f>
        <v>69.973749999999981</v>
      </c>
      <c r="R2083" s="4">
        <f>Sheet1!$K$3*_xlfn.XLOOKUP(Table1[[#This Row], [DISGUISE]],Sheet1!$A$21:$A$23,Sheet1!$D$21:$D$23)</f>
        <v>69</v>
      </c>
      <c r="S2083" s="9">
        <f>Table1[[#This Row], [TOTAL TIME]]-Table1[[#This Row], [TOTAL TIME TAKEN]]</f>
        <v>-0.97374999999998124</v>
      </c>
      <c r="T2083" t="str">
        <f>IF(Table1[[#This Row], [TIME DIFFERENCE]]&gt;=0,"PASS","FAIL")</f>
        <v>FAIL</v>
      </c>
      <c r="U2083" s="9">
        <f>Table1[[#This Row], [TRC]]+Table1[[#This Row], [DRC]]+Table1[[#This Row], [WRC]]+Table1[[#This Row], [ERC]]+Table1[[#This Row], [EQRC]]</f>
        <v>7860919.5999999996</v>
      </c>
      <c r="V2083" s="9">
        <f>Table1[[#This Row], [TOTAL COST]]+_xlfn.XLOOKUP(Table1[[#This Row], [TEAM]],Sheet1!$A$12:$A$17,Sheet1!$I$12:$I$17)</f>
        <v>8158399.5999999996</v>
      </c>
      <c r="W2083" s="9">
        <f>Table1[[#This Row], [LOOT]]-Table1[[#This Row], [TOTAL COST]]</f>
        <v>9939080.4000000004</v>
      </c>
      <c r="X2083" s="4">
        <f>IF(Table1[[#This Row], [PASS/FAIL]]="FAIL",0,Table1[[#This Row], [PROFIT]])</f>
        <v>0</v>
      </c>
    </row>
    <row r="2084" spans="1:24" ht="19.5" customHeight="1" x14ac:dyDescent="0.45">
      <c r="A2084" t="s">
        <v>14</v>
      </c>
      <c r="B2084" s="14">
        <f>_xlfn.XLOOKUP(Table1[[#This Row], [TEAM]],Sheet1!$A$12:$A$17,Sheet1!$F$12:$F$17)</f>
        <v>2</v>
      </c>
      <c r="C2084" s="14">
        <f>_xlfn.XLOOKUP(Table1[[#This Row], [TEAM]],Sheet1!$A$12:$A$17,Sheet1!$G$12:$G$17)</f>
        <v>5949600</v>
      </c>
      <c r="D2084" t="s">
        <v>22</v>
      </c>
      <c r="E2084" s="4">
        <f>_xlfn.XLOOKUP(Table1[[#This Row], [ROOM]],Sheet1!$A$47:$A$66,Sheet1!$B$47:$B$66)</f>
        <v>235</v>
      </c>
      <c r="F2084" t="s">
        <v>58</v>
      </c>
      <c r="G2084" s="4">
        <f>_xlfn.XLOOKUP(Table1[[#This Row], [DISGUISE]],Sheet1!$A$21:$A$23,Sheet1!$B$21:$B$23)*Table1[[#This Row], [NUM OF MEM]]*(1+_xlfn.XLOOKUP(Table1[[#This Row], [DISGUISE]],Sheet1!$A$21:$A$23,Sheet1!$C$21:$C$23))</f>
        <v>25600</v>
      </c>
      <c r="H2084" s="13" t="s">
        <v>66</v>
      </c>
      <c r="I2084" s="4">
        <f>_xlfn.XLOOKUP(Table1[[#This Row], [WEAPON]],Sheet1!$A$27:$A$29,Sheet1!$B$27:$B$29)*Table1[[#This Row], [NUM OF MEM]]*(1+_xlfn.XLOOKUP(Table1[[#This Row], [WEAPON]],Sheet1!$A$27:$A$29,Sheet1!$C$27:$C$29))</f>
        <v>72000</v>
      </c>
      <c r="J2084" t="s">
        <v>60</v>
      </c>
      <c r="K2084" s="9">
        <f>Table1[[#This Row], [NUM OF MEM]]*Table1[[#This Row], [TOTAL TIME TAKEN]]*_xlfn.XLOOKUP(Table1[[#This Row], [EXIT]],Sheet1!$A$70:$A$71,Sheet1!$B$70:$B$71)*(1+_xlfn.XLOOKUP(Table1[[#This Row], [EXIT]],Sheet1!$A$70:$A$71,Sheet1!$C$70:$C$71))</f>
        <v>1795876.2937499997</v>
      </c>
      <c r="L2084" s="13" t="s">
        <v>65</v>
      </c>
      <c r="M2084" s="4">
        <f>IF(Table1[[#This Row], [EQUIPMENT]]="YES",Sheet1!$C$44*(1+Sheet1!$D$44),0)</f>
        <v>307500</v>
      </c>
      <c r="N2084" s="4">
        <f>_xlfn.XLOOKUP(Table1[[#This Row], [ROOM]],Sheet1!$A$47:$A$66,Sheet1!$F$47:$F$66)</f>
        <v>17800000</v>
      </c>
      <c r="O2084" s="9">
        <f>_xlfn.XLOOKUP(_xlfn.CONCAT(Table1[[#This Row], [TEAM]],Table1[[#This Row], [ROOM]]),'ROOM TIME'!$H$2:$H$121,'ROOM TIME'!$J$2:$J$121)</f>
        <v>62.473749999999981</v>
      </c>
      <c r="P2084" s="9">
        <f>(INDEX(Sheet1!$X$48:$Z$67,MATCH(Table1[[#This Row], [ROOM]],Sheet1!$P$48:$P$67,0),MATCH(Table1[[#This Row], [WEAPON]],Sheet1!$X$47:$Z$47,0)))/Table1[[#This Row], [NUM OF MEM]]</f>
        <v>7.5</v>
      </c>
      <c r="Q2084" s="9">
        <f>Table1[[#This Row], [ROOM TIME]]+Table1[[#This Row], [GUARD TIME]]</f>
        <v>69.973749999999981</v>
      </c>
      <c r="R2084" s="4">
        <f>Sheet1!$K$3*_xlfn.XLOOKUP(Table1[[#This Row], [DISGUISE]],Sheet1!$A$21:$A$23,Sheet1!$D$21:$D$23)</f>
        <v>69</v>
      </c>
      <c r="S2084" s="9">
        <f>Table1[[#This Row], [TOTAL TIME]]-Table1[[#This Row], [TOTAL TIME TAKEN]]</f>
        <v>-0.97374999999998124</v>
      </c>
      <c r="T2084" t="str">
        <f>IF(Table1[[#This Row], [TIME DIFFERENCE]]&gt;=0,"PASS","FAIL")</f>
        <v>FAIL</v>
      </c>
      <c r="U2084" s="9">
        <f>Table1[[#This Row], [TRC]]+Table1[[#This Row], [DRC]]+Table1[[#This Row], [WRC]]+Table1[[#This Row], [ERC]]+Table1[[#This Row], [EQRC]]</f>
        <v>8150576.2937499993</v>
      </c>
      <c r="V2084" s="9">
        <f>Table1[[#This Row], [TOTAL COST]]+_xlfn.XLOOKUP(Table1[[#This Row], [TEAM]],Sheet1!$A$12:$A$17,Sheet1!$I$12:$I$17)</f>
        <v>8448056.2937499993</v>
      </c>
      <c r="W2084" s="9">
        <f>Table1[[#This Row], [LOOT]]-Table1[[#This Row], [TOTAL COST]]</f>
        <v>9649423.7062500007</v>
      </c>
      <c r="X2084" s="4">
        <f>IF(Table1[[#This Row], [PASS/FAIL]]="FAIL",0,Table1[[#This Row], [PROFIT]])</f>
        <v>0</v>
      </c>
    </row>
    <row r="2085" spans="1:24" ht="19.5" customHeight="1" x14ac:dyDescent="0.45">
      <c r="A2085" t="s">
        <v>14</v>
      </c>
      <c r="B2085" s="14">
        <f>_xlfn.XLOOKUP(Table1[[#This Row], [TEAM]],Sheet1!$A$12:$A$17,Sheet1!$F$12:$F$17)</f>
        <v>2</v>
      </c>
      <c r="C2085" s="14">
        <f>_xlfn.XLOOKUP(Table1[[#This Row], [TEAM]],Sheet1!$A$12:$A$17,Sheet1!$G$12:$G$17)</f>
        <v>5949600</v>
      </c>
      <c r="D2085" t="s">
        <v>22</v>
      </c>
      <c r="E2085" s="4">
        <f>_xlfn.XLOOKUP(Table1[[#This Row], [ROOM]],Sheet1!$A$47:$A$66,Sheet1!$B$47:$B$66)</f>
        <v>235</v>
      </c>
      <c r="F2085" t="s">
        <v>58</v>
      </c>
      <c r="G208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85" s="13" t="s">
        <v>66</v>
      </c>
      <c r="I2085" s="4">
        <f>_xlfn.XLOOKUP(Table1[[#This Row], [WEAPON]],Sheet1!$A$27:$A$29,Sheet1!$B$27:$B$29)*Table1[[#This Row], [NUM OF MEM]]*(1+_xlfn.XLOOKUP(Table1[[#This Row], [WEAPON]],Sheet1!$A$27:$A$29,Sheet1!$C$27:$C$29))</f>
        <v>72000</v>
      </c>
      <c r="J2085" t="s">
        <v>64</v>
      </c>
      <c r="K2085" s="9">
        <f>Table1[[#This Row], [NUM OF MEM]]*Table1[[#This Row], [TOTAL TIME TAKEN]]*_xlfn.XLOOKUP(Table1[[#This Row], [EXIT]],Sheet1!$A$70:$A$71,Sheet1!$B$70:$B$71)*(1+_xlfn.XLOOKUP(Table1[[#This Row], [EXIT]],Sheet1!$A$70:$A$71,Sheet1!$C$70:$C$71))</f>
        <v>1813719.5999999994</v>
      </c>
      <c r="L2085" s="13" t="s">
        <v>65</v>
      </c>
      <c r="M2085" s="4">
        <f>IF(Table1[[#This Row], [EQUIPMENT]]="YES",Sheet1!$C$44*(1+Sheet1!$D$44),0)</f>
        <v>307500</v>
      </c>
      <c r="N2085" s="4">
        <f>_xlfn.XLOOKUP(Table1[[#This Row], [ROOM]],Sheet1!$A$47:$A$66,Sheet1!$F$47:$F$66)</f>
        <v>17800000</v>
      </c>
      <c r="O2085" s="9">
        <f>_xlfn.XLOOKUP(_xlfn.CONCAT(Table1[[#This Row], [TEAM]],Table1[[#This Row], [ROOM]]),'ROOM TIME'!$H$2:$H$121,'ROOM TIME'!$J$2:$J$121)</f>
        <v>62.473749999999981</v>
      </c>
      <c r="P2085" s="9">
        <f>(INDEX(Sheet1!$X$48:$Z$67,MATCH(Table1[[#This Row], [ROOM]],Sheet1!$P$48:$P$67,0),MATCH(Table1[[#This Row], [WEAPON]],Sheet1!$X$47:$Z$47,0)))/Table1[[#This Row], [NUM OF MEM]]</f>
        <v>7.5</v>
      </c>
      <c r="Q2085" s="9">
        <f>Table1[[#This Row], [ROOM TIME]]+Table1[[#This Row], [GUARD TIME]]</f>
        <v>69.973749999999981</v>
      </c>
      <c r="R2085" s="4">
        <f>Sheet1!$K$3*_xlfn.XLOOKUP(Table1[[#This Row], [DISGUISE]],Sheet1!$A$21:$A$23,Sheet1!$D$21:$D$23)</f>
        <v>69</v>
      </c>
      <c r="S2085" s="9">
        <f>Table1[[#This Row], [TOTAL TIME]]-Table1[[#This Row], [TOTAL TIME TAKEN]]</f>
        <v>-0.97374999999998124</v>
      </c>
      <c r="T2085" t="str">
        <f>IF(Table1[[#This Row], [TIME DIFFERENCE]]&gt;=0,"PASS","FAIL")</f>
        <v>FAIL</v>
      </c>
      <c r="U2085" s="9">
        <f>Table1[[#This Row], [TRC]]+Table1[[#This Row], [DRC]]+Table1[[#This Row], [WRC]]+Table1[[#This Row], [ERC]]+Table1[[#This Row], [EQRC]]</f>
        <v>8168419.5999999996</v>
      </c>
      <c r="V2085" s="9">
        <f>Table1[[#This Row], [TOTAL COST]]+_xlfn.XLOOKUP(Table1[[#This Row], [TEAM]],Sheet1!$A$12:$A$17,Sheet1!$I$12:$I$17)</f>
        <v>8465899.5999999996</v>
      </c>
      <c r="W2085" s="9">
        <f>Table1[[#This Row], [LOOT]]-Table1[[#This Row], [TOTAL COST]]</f>
        <v>9631580.4000000004</v>
      </c>
      <c r="X2085" s="4">
        <f>IF(Table1[[#This Row], [PASS/FAIL]]="FAIL",0,Table1[[#This Row], [PROFIT]])</f>
        <v>0</v>
      </c>
    </row>
    <row r="2086" spans="1:24" ht="19.5" customHeight="1" x14ac:dyDescent="0.45">
      <c r="A2086" t="s">
        <v>14</v>
      </c>
      <c r="B2086" s="14">
        <f>_xlfn.XLOOKUP(Table1[[#This Row], [TEAM]],Sheet1!$A$12:$A$17,Sheet1!$F$12:$F$17)</f>
        <v>2</v>
      </c>
      <c r="C2086" s="14">
        <f>_xlfn.XLOOKUP(Table1[[#This Row], [TEAM]],Sheet1!$A$12:$A$17,Sheet1!$G$12:$G$17)</f>
        <v>5949600</v>
      </c>
      <c r="D2086" t="s">
        <v>22</v>
      </c>
      <c r="E2086" s="4">
        <f>_xlfn.XLOOKUP(Table1[[#This Row], [ROOM]],Sheet1!$A$47:$A$66,Sheet1!$B$47:$B$66)</f>
        <v>235</v>
      </c>
      <c r="F2086" t="s">
        <v>62</v>
      </c>
      <c r="G2086" s="4">
        <f>_xlfn.XLOOKUP(Table1[[#This Row], [DISGUISE]],Sheet1!$A$21:$A$23,Sheet1!$B$21:$B$23)*Table1[[#This Row], [NUM OF MEM]]*(1+_xlfn.XLOOKUP(Table1[[#This Row], [DISGUISE]],Sheet1!$A$21:$A$23,Sheet1!$C$21:$C$23))</f>
        <v>10400</v>
      </c>
      <c r="H2086" s="13" t="s">
        <v>66</v>
      </c>
      <c r="I2086" s="4">
        <f>_xlfn.XLOOKUP(Table1[[#This Row], [WEAPON]],Sheet1!$A$27:$A$29,Sheet1!$B$27:$B$29)*Table1[[#This Row], [NUM OF MEM]]*(1+_xlfn.XLOOKUP(Table1[[#This Row], [WEAPON]],Sheet1!$A$27:$A$29,Sheet1!$C$27:$C$29))</f>
        <v>72000</v>
      </c>
      <c r="J2086" t="s">
        <v>60</v>
      </c>
      <c r="K2086" s="9">
        <f>Table1[[#This Row], [NUM OF MEM]]*Table1[[#This Row], [TOTAL TIME TAKEN]]*_xlfn.XLOOKUP(Table1[[#This Row], [EXIT]],Sheet1!$A$70:$A$71,Sheet1!$B$70:$B$71)*(1+_xlfn.XLOOKUP(Table1[[#This Row], [EXIT]],Sheet1!$A$70:$A$71,Sheet1!$C$70:$C$71))</f>
        <v>1795876.2937499997</v>
      </c>
      <c r="L2086" s="13" t="s">
        <v>61</v>
      </c>
      <c r="M2086" s="4">
        <f>IF(Table1[[#This Row], [EQUIPMENT]]="YES",Sheet1!$C$44*(1+Sheet1!$D$44),0)</f>
        <v>0</v>
      </c>
      <c r="N2086" s="4">
        <f>_xlfn.XLOOKUP(Table1[[#This Row], [ROOM]],Sheet1!$A$47:$A$66,Sheet1!$F$47:$F$66)</f>
        <v>17800000</v>
      </c>
      <c r="O2086" s="9">
        <f>_xlfn.XLOOKUP(_xlfn.CONCAT(Table1[[#This Row], [TEAM]],Table1[[#This Row], [ROOM]]),'ROOM TIME'!$H$2:$H$121,'ROOM TIME'!$J$2:$J$121)</f>
        <v>62.473749999999981</v>
      </c>
      <c r="P2086" s="9">
        <f>(INDEX(Sheet1!$X$48:$Z$67,MATCH(Table1[[#This Row], [ROOM]],Sheet1!$P$48:$P$67,0),MATCH(Table1[[#This Row], [WEAPON]],Sheet1!$X$47:$Z$47,0)))/Table1[[#This Row], [NUM OF MEM]]</f>
        <v>7.5</v>
      </c>
      <c r="Q2086" s="9">
        <f>Table1[[#This Row], [ROOM TIME]]+Table1[[#This Row], [GUARD TIME]]</f>
        <v>69.973749999999981</v>
      </c>
      <c r="R2086" s="4">
        <f>Sheet1!$K$3*_xlfn.XLOOKUP(Table1[[#This Row], [DISGUISE]],Sheet1!$A$21:$A$23,Sheet1!$D$21:$D$23)</f>
        <v>66</v>
      </c>
      <c r="S2086" s="9">
        <f>Table1[[#This Row], [TOTAL TIME]]-Table1[[#This Row], [TOTAL TIME TAKEN]]</f>
        <v>-3.9737499999999812</v>
      </c>
      <c r="T2086" t="str">
        <f>IF(Table1[[#This Row], [TIME DIFFERENCE]]&gt;=0,"PASS","FAIL")</f>
        <v>FAIL</v>
      </c>
      <c r="U2086" s="9">
        <f>Table1[[#This Row], [TRC]]+Table1[[#This Row], [DRC]]+Table1[[#This Row], [WRC]]+Table1[[#This Row], [ERC]]+Table1[[#This Row], [EQRC]]</f>
        <v>7827876.2937499993</v>
      </c>
      <c r="V2086" s="9">
        <f>Table1[[#This Row], [TOTAL COST]]+_xlfn.XLOOKUP(Table1[[#This Row], [TEAM]],Sheet1!$A$12:$A$17,Sheet1!$I$12:$I$17)</f>
        <v>8125356.2937499993</v>
      </c>
      <c r="W2086" s="9">
        <f>Table1[[#This Row], [LOOT]]-Table1[[#This Row], [TOTAL COST]]</f>
        <v>9972123.7062500007</v>
      </c>
      <c r="X2086" s="4">
        <f>IF(Table1[[#This Row], [PASS/FAIL]]="FAIL",0,Table1[[#This Row], [PROFIT]])</f>
        <v>0</v>
      </c>
    </row>
    <row r="2087" spans="1:24" ht="19.5" customHeight="1" x14ac:dyDescent="0.45">
      <c r="A2087" t="s">
        <v>14</v>
      </c>
      <c r="B2087" s="14">
        <f>_xlfn.XLOOKUP(Table1[[#This Row], [TEAM]],Sheet1!$A$12:$A$17,Sheet1!$F$12:$F$17)</f>
        <v>2</v>
      </c>
      <c r="C2087" s="14">
        <f>_xlfn.XLOOKUP(Table1[[#This Row], [TEAM]],Sheet1!$A$12:$A$17,Sheet1!$G$12:$G$17)</f>
        <v>5949600</v>
      </c>
      <c r="D2087" t="s">
        <v>22</v>
      </c>
      <c r="E2087" s="4">
        <f>_xlfn.XLOOKUP(Table1[[#This Row], [ROOM]],Sheet1!$A$47:$A$66,Sheet1!$B$47:$B$66)</f>
        <v>235</v>
      </c>
      <c r="F2087" t="s">
        <v>62</v>
      </c>
      <c r="G2087" s="4">
        <f>_xlfn.XLOOKUP(Table1[[#This Row], [DISGUISE]],Sheet1!$A$21:$A$23,Sheet1!$B$21:$B$23)*Table1[[#This Row], [NUM OF MEM]]*(1+_xlfn.XLOOKUP(Table1[[#This Row], [DISGUISE]],Sheet1!$A$21:$A$23,Sheet1!$C$21:$C$23))</f>
        <v>10400</v>
      </c>
      <c r="H2087" s="13" t="s">
        <v>66</v>
      </c>
      <c r="I2087" s="4">
        <f>_xlfn.XLOOKUP(Table1[[#This Row], [WEAPON]],Sheet1!$A$27:$A$29,Sheet1!$B$27:$B$29)*Table1[[#This Row], [NUM OF MEM]]*(1+_xlfn.XLOOKUP(Table1[[#This Row], [WEAPON]],Sheet1!$A$27:$A$29,Sheet1!$C$27:$C$29))</f>
        <v>72000</v>
      </c>
      <c r="J2087" t="s">
        <v>64</v>
      </c>
      <c r="K2087" s="9">
        <f>Table1[[#This Row], [NUM OF MEM]]*Table1[[#This Row], [TOTAL TIME TAKEN]]*_xlfn.XLOOKUP(Table1[[#This Row], [EXIT]],Sheet1!$A$70:$A$71,Sheet1!$B$70:$B$71)*(1+_xlfn.XLOOKUP(Table1[[#This Row], [EXIT]],Sheet1!$A$70:$A$71,Sheet1!$C$70:$C$71))</f>
        <v>1813719.5999999994</v>
      </c>
      <c r="L2087" s="13" t="s">
        <v>61</v>
      </c>
      <c r="M2087" s="4">
        <f>IF(Table1[[#This Row], [EQUIPMENT]]="YES",Sheet1!$C$44*(1+Sheet1!$D$44),0)</f>
        <v>0</v>
      </c>
      <c r="N2087" s="4">
        <f>_xlfn.XLOOKUP(Table1[[#This Row], [ROOM]],Sheet1!$A$47:$A$66,Sheet1!$F$47:$F$66)</f>
        <v>17800000</v>
      </c>
      <c r="O2087" s="9">
        <f>_xlfn.XLOOKUP(_xlfn.CONCAT(Table1[[#This Row], [TEAM]],Table1[[#This Row], [ROOM]]),'ROOM TIME'!$H$2:$H$121,'ROOM TIME'!$J$2:$J$121)</f>
        <v>62.473749999999981</v>
      </c>
      <c r="P2087" s="9">
        <f>(INDEX(Sheet1!$X$48:$Z$67,MATCH(Table1[[#This Row], [ROOM]],Sheet1!$P$48:$P$67,0),MATCH(Table1[[#This Row], [WEAPON]],Sheet1!$X$47:$Z$47,0)))/Table1[[#This Row], [NUM OF MEM]]</f>
        <v>7.5</v>
      </c>
      <c r="Q2087" s="9">
        <f>Table1[[#This Row], [ROOM TIME]]+Table1[[#This Row], [GUARD TIME]]</f>
        <v>69.973749999999981</v>
      </c>
      <c r="R2087" s="4">
        <f>Sheet1!$K$3*_xlfn.XLOOKUP(Table1[[#This Row], [DISGUISE]],Sheet1!$A$21:$A$23,Sheet1!$D$21:$D$23)</f>
        <v>66</v>
      </c>
      <c r="S2087" s="9">
        <f>Table1[[#This Row], [TOTAL TIME]]-Table1[[#This Row], [TOTAL TIME TAKEN]]</f>
        <v>-3.9737499999999812</v>
      </c>
      <c r="T2087" t="str">
        <f>IF(Table1[[#This Row], [TIME DIFFERENCE]]&gt;=0,"PASS","FAIL")</f>
        <v>FAIL</v>
      </c>
      <c r="U2087" s="9">
        <f>Table1[[#This Row], [TRC]]+Table1[[#This Row], [DRC]]+Table1[[#This Row], [WRC]]+Table1[[#This Row], [ERC]]+Table1[[#This Row], [EQRC]]</f>
        <v>7845719.5999999996</v>
      </c>
      <c r="V2087" s="9">
        <f>Table1[[#This Row], [TOTAL COST]]+_xlfn.XLOOKUP(Table1[[#This Row], [TEAM]],Sheet1!$A$12:$A$17,Sheet1!$I$12:$I$17)</f>
        <v>8143199.5999999996</v>
      </c>
      <c r="W2087" s="9">
        <f>Table1[[#This Row], [LOOT]]-Table1[[#This Row], [TOTAL COST]]</f>
        <v>9954280.4000000004</v>
      </c>
      <c r="X2087" s="4">
        <f>IF(Table1[[#This Row], [PASS/FAIL]]="FAIL",0,Table1[[#This Row], [PROFIT]])</f>
        <v>0</v>
      </c>
    </row>
    <row r="2088" spans="1:24" ht="19.5" customHeight="1" x14ac:dyDescent="0.45">
      <c r="A2088" t="s">
        <v>14</v>
      </c>
      <c r="B2088" s="14">
        <f>_xlfn.XLOOKUP(Table1[[#This Row], [TEAM]],Sheet1!$A$12:$A$17,Sheet1!$F$12:$F$17)</f>
        <v>2</v>
      </c>
      <c r="C2088" s="14">
        <f>_xlfn.XLOOKUP(Table1[[#This Row], [TEAM]],Sheet1!$A$12:$A$17,Sheet1!$G$12:$G$17)</f>
        <v>5949600</v>
      </c>
      <c r="D2088" t="s">
        <v>22</v>
      </c>
      <c r="E2088" s="4">
        <f>_xlfn.XLOOKUP(Table1[[#This Row], [ROOM]],Sheet1!$A$47:$A$66,Sheet1!$B$47:$B$66)</f>
        <v>235</v>
      </c>
      <c r="F2088" t="s">
        <v>62</v>
      </c>
      <c r="G208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88" s="13" t="s">
        <v>66</v>
      </c>
      <c r="I2088" s="4">
        <f>_xlfn.XLOOKUP(Table1[[#This Row], [WEAPON]],Sheet1!$A$27:$A$29,Sheet1!$B$27:$B$29)*Table1[[#This Row], [NUM OF MEM]]*(1+_xlfn.XLOOKUP(Table1[[#This Row], [WEAPON]],Sheet1!$A$27:$A$29,Sheet1!$C$27:$C$29))</f>
        <v>72000</v>
      </c>
      <c r="J2088" t="s">
        <v>60</v>
      </c>
      <c r="K2088" s="9">
        <f>Table1[[#This Row], [NUM OF MEM]]*Table1[[#This Row], [TOTAL TIME TAKEN]]*_xlfn.XLOOKUP(Table1[[#This Row], [EXIT]],Sheet1!$A$70:$A$71,Sheet1!$B$70:$B$71)*(1+_xlfn.XLOOKUP(Table1[[#This Row], [EXIT]],Sheet1!$A$70:$A$71,Sheet1!$C$70:$C$71))</f>
        <v>1795876.2937499997</v>
      </c>
      <c r="L2088" s="13" t="s">
        <v>65</v>
      </c>
      <c r="M2088" s="4">
        <f>IF(Table1[[#This Row], [EQUIPMENT]]="YES",Sheet1!$C$44*(1+Sheet1!$D$44),0)</f>
        <v>307500</v>
      </c>
      <c r="N2088" s="4">
        <f>_xlfn.XLOOKUP(Table1[[#This Row], [ROOM]],Sheet1!$A$47:$A$66,Sheet1!$F$47:$F$66)</f>
        <v>17800000</v>
      </c>
      <c r="O2088" s="9">
        <f>_xlfn.XLOOKUP(_xlfn.CONCAT(Table1[[#This Row], [TEAM]],Table1[[#This Row], [ROOM]]),'ROOM TIME'!$H$2:$H$121,'ROOM TIME'!$J$2:$J$121)</f>
        <v>62.473749999999981</v>
      </c>
      <c r="P2088" s="9">
        <f>(INDEX(Sheet1!$X$48:$Z$67,MATCH(Table1[[#This Row], [ROOM]],Sheet1!$P$48:$P$67,0),MATCH(Table1[[#This Row], [WEAPON]],Sheet1!$X$47:$Z$47,0)))/Table1[[#This Row], [NUM OF MEM]]</f>
        <v>7.5</v>
      </c>
      <c r="Q2088" s="9">
        <f>Table1[[#This Row], [ROOM TIME]]+Table1[[#This Row], [GUARD TIME]]</f>
        <v>69.973749999999981</v>
      </c>
      <c r="R2088" s="4">
        <f>Sheet1!$K$3*_xlfn.XLOOKUP(Table1[[#This Row], [DISGUISE]],Sheet1!$A$21:$A$23,Sheet1!$D$21:$D$23)</f>
        <v>66</v>
      </c>
      <c r="S2088" s="9">
        <f>Table1[[#This Row], [TOTAL TIME]]-Table1[[#This Row], [TOTAL TIME TAKEN]]</f>
        <v>-3.9737499999999812</v>
      </c>
      <c r="T2088" t="str">
        <f>IF(Table1[[#This Row], [TIME DIFFERENCE]]&gt;=0,"PASS","FAIL")</f>
        <v>FAIL</v>
      </c>
      <c r="U2088" s="9">
        <f>Table1[[#This Row], [TRC]]+Table1[[#This Row], [DRC]]+Table1[[#This Row], [WRC]]+Table1[[#This Row], [ERC]]+Table1[[#This Row], [EQRC]]</f>
        <v>8135376.2937499993</v>
      </c>
      <c r="V2088" s="9">
        <f>Table1[[#This Row], [TOTAL COST]]+_xlfn.XLOOKUP(Table1[[#This Row], [TEAM]],Sheet1!$A$12:$A$17,Sheet1!$I$12:$I$17)</f>
        <v>8432856.2937499993</v>
      </c>
      <c r="W2088" s="9">
        <f>Table1[[#This Row], [LOOT]]-Table1[[#This Row], [TOTAL COST]]</f>
        <v>9664623.7062500007</v>
      </c>
      <c r="X2088" s="4">
        <f>IF(Table1[[#This Row], [PASS/FAIL]]="FAIL",0,Table1[[#This Row], [PROFIT]])</f>
        <v>0</v>
      </c>
    </row>
    <row r="2089" spans="1:24" ht="19.5" customHeight="1" x14ac:dyDescent="0.45">
      <c r="A2089" t="s">
        <v>14</v>
      </c>
      <c r="B2089" s="14">
        <f>_xlfn.XLOOKUP(Table1[[#This Row], [TEAM]],Sheet1!$A$12:$A$17,Sheet1!$F$12:$F$17)</f>
        <v>2</v>
      </c>
      <c r="C2089" s="14">
        <f>_xlfn.XLOOKUP(Table1[[#This Row], [TEAM]],Sheet1!$A$12:$A$17,Sheet1!$G$12:$G$17)</f>
        <v>5949600</v>
      </c>
      <c r="D2089" t="s">
        <v>22</v>
      </c>
      <c r="E2089" s="4">
        <f>_xlfn.XLOOKUP(Table1[[#This Row], [ROOM]],Sheet1!$A$47:$A$66,Sheet1!$B$47:$B$66)</f>
        <v>235</v>
      </c>
      <c r="F2089" t="s">
        <v>62</v>
      </c>
      <c r="G2089" s="4">
        <f>_xlfn.XLOOKUP(Table1[[#This Row], [DISGUISE]],Sheet1!$A$21:$A$23,Sheet1!$B$21:$B$23)*Table1[[#This Row], [NUM OF MEM]]*(1+_xlfn.XLOOKUP(Table1[[#This Row], [DISGUISE]],Sheet1!$A$21:$A$23,Sheet1!$C$21:$C$23))</f>
        <v>10400</v>
      </c>
      <c r="H2089" s="13" t="s">
        <v>66</v>
      </c>
      <c r="I2089" s="4">
        <f>_xlfn.XLOOKUP(Table1[[#This Row], [WEAPON]],Sheet1!$A$27:$A$29,Sheet1!$B$27:$B$29)*Table1[[#This Row], [NUM OF MEM]]*(1+_xlfn.XLOOKUP(Table1[[#This Row], [WEAPON]],Sheet1!$A$27:$A$29,Sheet1!$C$27:$C$29))</f>
        <v>72000</v>
      </c>
      <c r="J2089" t="s">
        <v>64</v>
      </c>
      <c r="K2089" s="9">
        <f>Table1[[#This Row], [NUM OF MEM]]*Table1[[#This Row], [TOTAL TIME TAKEN]]*_xlfn.XLOOKUP(Table1[[#This Row], [EXIT]],Sheet1!$A$70:$A$71,Sheet1!$B$70:$B$71)*(1+_xlfn.XLOOKUP(Table1[[#This Row], [EXIT]],Sheet1!$A$70:$A$71,Sheet1!$C$70:$C$71))</f>
        <v>1813719.5999999994</v>
      </c>
      <c r="L2089" s="13" t="s">
        <v>65</v>
      </c>
      <c r="M2089" s="4">
        <f>IF(Table1[[#This Row], [EQUIPMENT]]="YES",Sheet1!$C$44*(1+Sheet1!$D$44),0)</f>
        <v>307500</v>
      </c>
      <c r="N2089" s="4">
        <f>_xlfn.XLOOKUP(Table1[[#This Row], [ROOM]],Sheet1!$A$47:$A$66,Sheet1!$F$47:$F$66)</f>
        <v>17800000</v>
      </c>
      <c r="O2089" s="9">
        <f>_xlfn.XLOOKUP(_xlfn.CONCAT(Table1[[#This Row], [TEAM]],Table1[[#This Row], [ROOM]]),'ROOM TIME'!$H$2:$H$121,'ROOM TIME'!$J$2:$J$121)</f>
        <v>62.473749999999981</v>
      </c>
      <c r="P2089" s="9">
        <f>(INDEX(Sheet1!$X$48:$Z$67,MATCH(Table1[[#This Row], [ROOM]],Sheet1!$P$48:$P$67,0),MATCH(Table1[[#This Row], [WEAPON]],Sheet1!$X$47:$Z$47,0)))/Table1[[#This Row], [NUM OF MEM]]</f>
        <v>7.5</v>
      </c>
      <c r="Q2089" s="9">
        <f>Table1[[#This Row], [ROOM TIME]]+Table1[[#This Row], [GUARD TIME]]</f>
        <v>69.973749999999981</v>
      </c>
      <c r="R2089" s="4">
        <f>Sheet1!$K$3*_xlfn.XLOOKUP(Table1[[#This Row], [DISGUISE]],Sheet1!$A$21:$A$23,Sheet1!$D$21:$D$23)</f>
        <v>66</v>
      </c>
      <c r="S2089" s="9">
        <f>Table1[[#This Row], [TOTAL TIME]]-Table1[[#This Row], [TOTAL TIME TAKEN]]</f>
        <v>-3.9737499999999812</v>
      </c>
      <c r="T2089" t="str">
        <f>IF(Table1[[#This Row], [TIME DIFFERENCE]]&gt;=0,"PASS","FAIL")</f>
        <v>FAIL</v>
      </c>
      <c r="U2089" s="9">
        <f>Table1[[#This Row], [TRC]]+Table1[[#This Row], [DRC]]+Table1[[#This Row], [WRC]]+Table1[[#This Row], [ERC]]+Table1[[#This Row], [EQRC]]</f>
        <v>8153219.5999999996</v>
      </c>
      <c r="V2089" s="9">
        <f>Table1[[#This Row], [TOTAL COST]]+_xlfn.XLOOKUP(Table1[[#This Row], [TEAM]],Sheet1!$A$12:$A$17,Sheet1!$I$12:$I$17)</f>
        <v>8450699.5999999996</v>
      </c>
      <c r="W2089" s="9">
        <f>Table1[[#This Row], [LOOT]]-Table1[[#This Row], [TOTAL COST]]</f>
        <v>9646780.4000000004</v>
      </c>
      <c r="X2089" s="4">
        <f>IF(Table1[[#This Row], [PASS/FAIL]]="FAIL",0,Table1[[#This Row], [PROFIT]])</f>
        <v>0</v>
      </c>
    </row>
    <row r="2090" spans="1:24" ht="19.5" customHeight="1" x14ac:dyDescent="0.45">
      <c r="A2090" t="s">
        <v>15</v>
      </c>
      <c r="B2090" s="14">
        <f>_xlfn.XLOOKUP(Table1[[#This Row], [TEAM]],Sheet1!$A$12:$A$17,Sheet1!$F$12:$F$17)</f>
        <v>2</v>
      </c>
      <c r="C2090" s="14">
        <f>_xlfn.XLOOKUP(Table1[[#This Row], [TEAM]],Sheet1!$A$12:$A$17,Sheet1!$G$12:$G$17)</f>
        <v>5932950</v>
      </c>
      <c r="D2090" t="s">
        <v>22</v>
      </c>
      <c r="E2090" s="4">
        <f>_xlfn.XLOOKUP(Table1[[#This Row], [ROOM]],Sheet1!$A$47:$A$66,Sheet1!$B$47:$B$66)</f>
        <v>235</v>
      </c>
      <c r="F2090" t="s">
        <v>62</v>
      </c>
      <c r="G2090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0" s="13" t="s">
        <v>59</v>
      </c>
      <c r="I2090" s="4">
        <f>_xlfn.XLOOKUP(Table1[[#This Row], [WEAPON]],Sheet1!$A$27:$A$29,Sheet1!$B$27:$B$29)*Table1[[#This Row], [NUM OF MEM]]*(1+_xlfn.XLOOKUP(Table1[[#This Row], [WEAPON]],Sheet1!$A$27:$A$29,Sheet1!$C$27:$C$29))</f>
        <v>91000</v>
      </c>
      <c r="J2090" t="s">
        <v>60</v>
      </c>
      <c r="K2090" s="9">
        <f>Table1[[#This Row], [NUM OF MEM]]*Table1[[#This Row], [TOTAL TIME TAKEN]]*_xlfn.XLOOKUP(Table1[[#This Row], [EXIT]],Sheet1!$A$70:$A$71,Sheet1!$B$70:$B$71)*(1+_xlfn.XLOOKUP(Table1[[#This Row], [EXIT]],Sheet1!$A$70:$A$71,Sheet1!$C$70:$C$71))</f>
        <v>1778392.0124999993</v>
      </c>
      <c r="L2090" s="13" t="s">
        <v>61</v>
      </c>
      <c r="M2090" s="4">
        <f>IF(Table1[[#This Row], [EQUIPMENT]]="YES",Sheet1!$C$44*(1+Sheet1!$D$44),0)</f>
        <v>0</v>
      </c>
      <c r="N2090" s="4">
        <f>_xlfn.XLOOKUP(Table1[[#This Row], [ROOM]],Sheet1!$A$47:$A$66,Sheet1!$F$47:$F$66)</f>
        <v>17800000</v>
      </c>
      <c r="O2090" s="9">
        <f>_xlfn.XLOOKUP(_xlfn.CONCAT(Table1[[#This Row], [TEAM]],Table1[[#This Row], [ROOM]]),'ROOM TIME'!$H$2:$H$121,'ROOM TIME'!$J$2:$J$121)</f>
        <v>62.392499999999977</v>
      </c>
      <c r="P2090" s="9">
        <f>(INDEX(Sheet1!$X$48:$Z$67,MATCH(Table1[[#This Row], [ROOM]],Sheet1!$P$48:$P$67,0),MATCH(Table1[[#This Row], [WEAPON]],Sheet1!$X$47:$Z$47,0)))/Table1[[#This Row], [NUM OF MEM]]</f>
        <v>6.8999999999999995</v>
      </c>
      <c r="Q2090" s="9">
        <f>Table1[[#This Row], [ROOM TIME]]+Table1[[#This Row], [GUARD TIME]]</f>
        <v>69.292499999999976</v>
      </c>
      <c r="R2090" s="4">
        <f>Sheet1!$K$3*_xlfn.XLOOKUP(Table1[[#This Row], [DISGUISE]],Sheet1!$A$21:$A$23,Sheet1!$D$21:$D$23)</f>
        <v>66</v>
      </c>
      <c r="S2090" s="9">
        <f>Table1[[#This Row], [TOTAL TIME]]-Table1[[#This Row], [TOTAL TIME TAKEN]]</f>
        <v>-3.2924999999999756</v>
      </c>
      <c r="T2090" t="str">
        <f>IF(Table1[[#This Row], [TIME DIFFERENCE]]&gt;=0,"PASS","FAIL")</f>
        <v>FAIL</v>
      </c>
      <c r="U2090" s="9">
        <f>Table1[[#This Row], [TRC]]+Table1[[#This Row], [DRC]]+Table1[[#This Row], [WRC]]+Table1[[#This Row], [ERC]]+Table1[[#This Row], [EQRC]]</f>
        <v>7812742.0124999993</v>
      </c>
      <c r="V2090" s="9">
        <f>Table1[[#This Row], [TOTAL COST]]+_xlfn.XLOOKUP(Table1[[#This Row], [TEAM]],Sheet1!$A$12:$A$17,Sheet1!$I$12:$I$17)</f>
        <v>8109389.5124999993</v>
      </c>
      <c r="W2090" s="9">
        <f>Table1[[#This Row], [LOOT]]-Table1[[#This Row], [TOTAL COST]]</f>
        <v>9987257.9875000007</v>
      </c>
      <c r="X2090" s="4">
        <f>IF(Table1[[#This Row], [PASS/FAIL]]="FAIL",0,Table1[[#This Row], [PROFIT]])</f>
        <v>0</v>
      </c>
    </row>
    <row r="2091" spans="1:24" ht="19.5" customHeight="1" x14ac:dyDescent="0.45">
      <c r="A2091" t="s">
        <v>15</v>
      </c>
      <c r="B2091" s="14">
        <f>_xlfn.XLOOKUP(Table1[[#This Row], [TEAM]],Sheet1!$A$12:$A$17,Sheet1!$F$12:$F$17)</f>
        <v>2</v>
      </c>
      <c r="C2091" s="14">
        <f>_xlfn.XLOOKUP(Table1[[#This Row], [TEAM]],Sheet1!$A$12:$A$17,Sheet1!$G$12:$G$17)</f>
        <v>5932950</v>
      </c>
      <c r="D2091" t="s">
        <v>22</v>
      </c>
      <c r="E2091" s="4">
        <f>_xlfn.XLOOKUP(Table1[[#This Row], [ROOM]],Sheet1!$A$47:$A$66,Sheet1!$B$47:$B$66)</f>
        <v>235</v>
      </c>
      <c r="F2091" t="s">
        <v>62</v>
      </c>
      <c r="G2091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1" s="13" t="s">
        <v>59</v>
      </c>
      <c r="I2091" s="4">
        <f>_xlfn.XLOOKUP(Table1[[#This Row], [WEAPON]],Sheet1!$A$27:$A$29,Sheet1!$B$27:$B$29)*Table1[[#This Row], [NUM OF MEM]]*(1+_xlfn.XLOOKUP(Table1[[#This Row], [WEAPON]],Sheet1!$A$27:$A$29,Sheet1!$C$27:$C$29))</f>
        <v>91000</v>
      </c>
      <c r="J2091" t="s">
        <v>64</v>
      </c>
      <c r="K2091" s="9">
        <f>Table1[[#This Row], [NUM OF MEM]]*Table1[[#This Row], [TOTAL TIME TAKEN]]*_xlfn.XLOOKUP(Table1[[#This Row], [EXIT]],Sheet1!$A$70:$A$71,Sheet1!$B$70:$B$71)*(1+_xlfn.XLOOKUP(Table1[[#This Row], [EXIT]],Sheet1!$A$70:$A$71,Sheet1!$C$70:$C$71))</f>
        <v>1796061.5999999994</v>
      </c>
      <c r="L2091" s="13" t="s">
        <v>61</v>
      </c>
      <c r="M2091" s="4">
        <f>IF(Table1[[#This Row], [EQUIPMENT]]="YES",Sheet1!$C$44*(1+Sheet1!$D$44),0)</f>
        <v>0</v>
      </c>
      <c r="N2091" s="4">
        <f>_xlfn.XLOOKUP(Table1[[#This Row], [ROOM]],Sheet1!$A$47:$A$66,Sheet1!$F$47:$F$66)</f>
        <v>17800000</v>
      </c>
      <c r="O2091" s="9">
        <f>_xlfn.XLOOKUP(_xlfn.CONCAT(Table1[[#This Row], [TEAM]],Table1[[#This Row], [ROOM]]),'ROOM TIME'!$H$2:$H$121,'ROOM TIME'!$J$2:$J$121)</f>
        <v>62.392499999999977</v>
      </c>
      <c r="P2091" s="9">
        <f>(INDEX(Sheet1!$X$48:$Z$67,MATCH(Table1[[#This Row], [ROOM]],Sheet1!$P$48:$P$67,0),MATCH(Table1[[#This Row], [WEAPON]],Sheet1!$X$47:$Z$47,0)))/Table1[[#This Row], [NUM OF MEM]]</f>
        <v>6.8999999999999995</v>
      </c>
      <c r="Q2091" s="9">
        <f>Table1[[#This Row], [ROOM TIME]]+Table1[[#This Row], [GUARD TIME]]</f>
        <v>69.292499999999976</v>
      </c>
      <c r="R2091" s="4">
        <f>Sheet1!$K$3*_xlfn.XLOOKUP(Table1[[#This Row], [DISGUISE]],Sheet1!$A$21:$A$23,Sheet1!$D$21:$D$23)</f>
        <v>66</v>
      </c>
      <c r="S2091" s="9">
        <f>Table1[[#This Row], [TOTAL TIME]]-Table1[[#This Row], [TOTAL TIME TAKEN]]</f>
        <v>-3.2924999999999756</v>
      </c>
      <c r="T2091" t="str">
        <f>IF(Table1[[#This Row], [TIME DIFFERENCE]]&gt;=0,"PASS","FAIL")</f>
        <v>FAIL</v>
      </c>
      <c r="U2091" s="9">
        <f>Table1[[#This Row], [TRC]]+Table1[[#This Row], [DRC]]+Table1[[#This Row], [WRC]]+Table1[[#This Row], [ERC]]+Table1[[#This Row], [EQRC]]</f>
        <v>7830411.5999999996</v>
      </c>
      <c r="V2091" s="9">
        <f>Table1[[#This Row], [TOTAL COST]]+_xlfn.XLOOKUP(Table1[[#This Row], [TEAM]],Sheet1!$A$12:$A$17,Sheet1!$I$12:$I$17)</f>
        <v>8127059.0999999996</v>
      </c>
      <c r="W2091" s="9">
        <f>Table1[[#This Row], [LOOT]]-Table1[[#This Row], [TOTAL COST]]</f>
        <v>9969588.4000000004</v>
      </c>
      <c r="X2091" s="4">
        <f>IF(Table1[[#This Row], [PASS/FAIL]]="FAIL",0,Table1[[#This Row], [PROFIT]])</f>
        <v>0</v>
      </c>
    </row>
    <row r="2092" spans="1:24" ht="19.5" customHeight="1" x14ac:dyDescent="0.45">
      <c r="A2092" t="s">
        <v>15</v>
      </c>
      <c r="B2092" s="14">
        <f>_xlfn.XLOOKUP(Table1[[#This Row], [TEAM]],Sheet1!$A$12:$A$17,Sheet1!$F$12:$F$17)</f>
        <v>2</v>
      </c>
      <c r="C2092" s="14">
        <f>_xlfn.XLOOKUP(Table1[[#This Row], [TEAM]],Sheet1!$A$12:$A$17,Sheet1!$G$12:$G$17)</f>
        <v>5932950</v>
      </c>
      <c r="D2092" t="s">
        <v>22</v>
      </c>
      <c r="E2092" s="4">
        <f>_xlfn.XLOOKUP(Table1[[#This Row], [ROOM]],Sheet1!$A$47:$A$66,Sheet1!$B$47:$B$66)</f>
        <v>235</v>
      </c>
      <c r="F2092" t="s">
        <v>62</v>
      </c>
      <c r="G2092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2" s="13" t="s">
        <v>59</v>
      </c>
      <c r="I2092" s="4">
        <f>_xlfn.XLOOKUP(Table1[[#This Row], [WEAPON]],Sheet1!$A$27:$A$29,Sheet1!$B$27:$B$29)*Table1[[#This Row], [NUM OF MEM]]*(1+_xlfn.XLOOKUP(Table1[[#This Row], [WEAPON]],Sheet1!$A$27:$A$29,Sheet1!$C$27:$C$29))</f>
        <v>91000</v>
      </c>
      <c r="J2092" t="s">
        <v>60</v>
      </c>
      <c r="K2092" s="9">
        <f>Table1[[#This Row], [NUM OF MEM]]*Table1[[#This Row], [TOTAL TIME TAKEN]]*_xlfn.XLOOKUP(Table1[[#This Row], [EXIT]],Sheet1!$A$70:$A$71,Sheet1!$B$70:$B$71)*(1+_xlfn.XLOOKUP(Table1[[#This Row], [EXIT]],Sheet1!$A$70:$A$71,Sheet1!$C$70:$C$71))</f>
        <v>1778392.0124999993</v>
      </c>
      <c r="L2092" s="13" t="s">
        <v>65</v>
      </c>
      <c r="M2092" s="4">
        <f>IF(Table1[[#This Row], [EQUIPMENT]]="YES",Sheet1!$C$44*(1+Sheet1!$D$44),0)</f>
        <v>307500</v>
      </c>
      <c r="N2092" s="4">
        <f>_xlfn.XLOOKUP(Table1[[#This Row], [ROOM]],Sheet1!$A$47:$A$66,Sheet1!$F$47:$F$66)</f>
        <v>17800000</v>
      </c>
      <c r="O2092" s="9">
        <f>_xlfn.XLOOKUP(_xlfn.CONCAT(Table1[[#This Row], [TEAM]],Table1[[#This Row], [ROOM]]),'ROOM TIME'!$H$2:$H$121,'ROOM TIME'!$J$2:$J$121)</f>
        <v>62.392499999999977</v>
      </c>
      <c r="P2092" s="9">
        <f>(INDEX(Sheet1!$X$48:$Z$67,MATCH(Table1[[#This Row], [ROOM]],Sheet1!$P$48:$P$67,0),MATCH(Table1[[#This Row], [WEAPON]],Sheet1!$X$47:$Z$47,0)))/Table1[[#This Row], [NUM OF MEM]]</f>
        <v>6.8999999999999995</v>
      </c>
      <c r="Q2092" s="9">
        <f>Table1[[#This Row], [ROOM TIME]]+Table1[[#This Row], [GUARD TIME]]</f>
        <v>69.292499999999976</v>
      </c>
      <c r="R2092" s="4">
        <f>Sheet1!$K$3*_xlfn.XLOOKUP(Table1[[#This Row], [DISGUISE]],Sheet1!$A$21:$A$23,Sheet1!$D$21:$D$23)</f>
        <v>66</v>
      </c>
      <c r="S2092" s="9">
        <f>Table1[[#This Row], [TOTAL TIME]]-Table1[[#This Row], [TOTAL TIME TAKEN]]</f>
        <v>-3.2924999999999756</v>
      </c>
      <c r="T2092" t="str">
        <f>IF(Table1[[#This Row], [TIME DIFFERENCE]]&gt;=0,"PASS","FAIL")</f>
        <v>FAIL</v>
      </c>
      <c r="U2092" s="9">
        <f>Table1[[#This Row], [TRC]]+Table1[[#This Row], [DRC]]+Table1[[#This Row], [WRC]]+Table1[[#This Row], [ERC]]+Table1[[#This Row], [EQRC]]</f>
        <v>8120242.0124999993</v>
      </c>
      <c r="V2092" s="9">
        <f>Table1[[#This Row], [TOTAL COST]]+_xlfn.XLOOKUP(Table1[[#This Row], [TEAM]],Sheet1!$A$12:$A$17,Sheet1!$I$12:$I$17)</f>
        <v>8416889.5124999993</v>
      </c>
      <c r="W2092" s="9">
        <f>Table1[[#This Row], [LOOT]]-Table1[[#This Row], [TOTAL COST]]</f>
        <v>9679757.9875000007</v>
      </c>
      <c r="X2092" s="4">
        <f>IF(Table1[[#This Row], [PASS/FAIL]]="FAIL",0,Table1[[#This Row], [PROFIT]])</f>
        <v>0</v>
      </c>
    </row>
    <row r="2093" spans="1:24" ht="19.5" customHeight="1" x14ac:dyDescent="0.45">
      <c r="A2093" t="s">
        <v>15</v>
      </c>
      <c r="B2093" s="14">
        <f>_xlfn.XLOOKUP(Table1[[#This Row], [TEAM]],Sheet1!$A$12:$A$17,Sheet1!$F$12:$F$17)</f>
        <v>2</v>
      </c>
      <c r="C2093" s="14">
        <f>_xlfn.XLOOKUP(Table1[[#This Row], [TEAM]],Sheet1!$A$12:$A$17,Sheet1!$G$12:$G$17)</f>
        <v>5932950</v>
      </c>
      <c r="D2093" t="s">
        <v>22</v>
      </c>
      <c r="E2093" s="4">
        <f>_xlfn.XLOOKUP(Table1[[#This Row], [ROOM]],Sheet1!$A$47:$A$66,Sheet1!$B$47:$B$66)</f>
        <v>235</v>
      </c>
      <c r="F2093" t="s">
        <v>58</v>
      </c>
      <c r="G2093" s="4">
        <f>_xlfn.XLOOKUP(Table1[[#This Row], [DISGUISE]],Sheet1!$A$21:$A$23,Sheet1!$B$21:$B$23)*Table1[[#This Row], [NUM OF MEM]]*(1+_xlfn.XLOOKUP(Table1[[#This Row], [DISGUISE]],Sheet1!$A$21:$A$23,Sheet1!$C$21:$C$23))</f>
        <v>25600</v>
      </c>
      <c r="H2093" s="13" t="s">
        <v>63</v>
      </c>
      <c r="I2093" s="4">
        <f>_xlfn.XLOOKUP(Table1[[#This Row], [WEAPON]],Sheet1!$A$27:$A$29,Sheet1!$B$27:$B$29)*Table1[[#This Row], [NUM OF MEM]]*(1+_xlfn.XLOOKUP(Table1[[#This Row], [WEAPON]],Sheet1!$A$27:$A$29,Sheet1!$C$27:$C$29))</f>
        <v>46000</v>
      </c>
      <c r="J2093" t="s">
        <v>60</v>
      </c>
      <c r="K2093" s="9">
        <f>Table1[[#This Row], [NUM OF MEM]]*Table1[[#This Row], [TOTAL TIME TAKEN]]*_xlfn.XLOOKUP(Table1[[#This Row], [EXIT]],Sheet1!$A$70:$A$71,Sheet1!$B$70:$B$71)*(1+_xlfn.XLOOKUP(Table1[[#This Row], [EXIT]],Sheet1!$A$70:$A$71,Sheet1!$C$70:$C$71))</f>
        <v>1809190.0124999993</v>
      </c>
      <c r="L2093" s="13" t="s">
        <v>61</v>
      </c>
      <c r="M2093" s="4">
        <f>IF(Table1[[#This Row], [EQUIPMENT]]="YES",Sheet1!$C$44*(1+Sheet1!$D$44),0)</f>
        <v>0</v>
      </c>
      <c r="N2093" s="4">
        <f>_xlfn.XLOOKUP(Table1[[#This Row], [ROOM]],Sheet1!$A$47:$A$66,Sheet1!$F$47:$F$66)</f>
        <v>17800000</v>
      </c>
      <c r="O2093" s="9">
        <f>_xlfn.XLOOKUP(_xlfn.CONCAT(Table1[[#This Row], [TEAM]],Table1[[#This Row], [ROOM]]),'ROOM TIME'!$H$2:$H$121,'ROOM TIME'!$J$2:$J$121)</f>
        <v>62.392499999999977</v>
      </c>
      <c r="P2093" s="9">
        <f>(INDEX(Sheet1!$X$48:$Z$67,MATCH(Table1[[#This Row], [ROOM]],Sheet1!$P$48:$P$67,0),MATCH(Table1[[#This Row], [WEAPON]],Sheet1!$X$47:$Z$47,0)))/Table1[[#This Row], [NUM OF MEM]]</f>
        <v>8.1000000000000014</v>
      </c>
      <c r="Q2093" s="9">
        <f>Table1[[#This Row], [ROOM TIME]]+Table1[[#This Row], [GUARD TIME]]</f>
        <v>70.492499999999978</v>
      </c>
      <c r="R2093" s="4">
        <f>Sheet1!$K$3*_xlfn.XLOOKUP(Table1[[#This Row], [DISGUISE]],Sheet1!$A$21:$A$23,Sheet1!$D$21:$D$23)</f>
        <v>69</v>
      </c>
      <c r="S2093" s="9">
        <f>Table1[[#This Row], [TOTAL TIME]]-Table1[[#This Row], [TOTAL TIME TAKEN]]</f>
        <v>-1.4924999999999784</v>
      </c>
      <c r="T2093" t="str">
        <f>IF(Table1[[#This Row], [TIME DIFFERENCE]]&gt;=0,"PASS","FAIL")</f>
        <v>FAIL</v>
      </c>
      <c r="U2093" s="9">
        <f>Table1[[#This Row], [TRC]]+Table1[[#This Row], [DRC]]+Table1[[#This Row], [WRC]]+Table1[[#This Row], [ERC]]+Table1[[#This Row], [EQRC]]</f>
        <v>7813740.0124999993</v>
      </c>
      <c r="V2093" s="9">
        <f>Table1[[#This Row], [TOTAL COST]]+_xlfn.XLOOKUP(Table1[[#This Row], [TEAM]],Sheet1!$A$12:$A$17,Sheet1!$I$12:$I$17)</f>
        <v>8110387.5124999993</v>
      </c>
      <c r="W2093" s="9">
        <f>Table1[[#This Row], [LOOT]]-Table1[[#This Row], [TOTAL COST]]</f>
        <v>9986259.9875000007</v>
      </c>
      <c r="X2093" s="4">
        <f>IF(Table1[[#This Row], [PASS/FAIL]]="FAIL",0,Table1[[#This Row], [PROFIT]])</f>
        <v>0</v>
      </c>
    </row>
    <row r="2094" spans="1:24" ht="19.5" customHeight="1" x14ac:dyDescent="0.45">
      <c r="A2094" t="s">
        <v>15</v>
      </c>
      <c r="B2094" s="14">
        <f>_xlfn.XLOOKUP(Table1[[#This Row], [TEAM]],Sheet1!$A$12:$A$17,Sheet1!$F$12:$F$17)</f>
        <v>2</v>
      </c>
      <c r="C2094" s="14">
        <f>_xlfn.XLOOKUP(Table1[[#This Row], [TEAM]],Sheet1!$A$12:$A$17,Sheet1!$G$12:$G$17)</f>
        <v>5932950</v>
      </c>
      <c r="D2094" t="s">
        <v>22</v>
      </c>
      <c r="E2094" s="4">
        <f>_xlfn.XLOOKUP(Table1[[#This Row], [ROOM]],Sheet1!$A$47:$A$66,Sheet1!$B$47:$B$66)</f>
        <v>235</v>
      </c>
      <c r="F2094" t="s">
        <v>62</v>
      </c>
      <c r="G2094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4" s="13" t="s">
        <v>59</v>
      </c>
      <c r="I2094" s="4">
        <f>_xlfn.XLOOKUP(Table1[[#This Row], [WEAPON]],Sheet1!$A$27:$A$29,Sheet1!$B$27:$B$29)*Table1[[#This Row], [NUM OF MEM]]*(1+_xlfn.XLOOKUP(Table1[[#This Row], [WEAPON]],Sheet1!$A$27:$A$29,Sheet1!$C$27:$C$29))</f>
        <v>91000</v>
      </c>
      <c r="J2094" t="s">
        <v>64</v>
      </c>
      <c r="K2094" s="9">
        <f>Table1[[#This Row], [NUM OF MEM]]*Table1[[#This Row], [TOTAL TIME TAKEN]]*_xlfn.XLOOKUP(Table1[[#This Row], [EXIT]],Sheet1!$A$70:$A$71,Sheet1!$B$70:$B$71)*(1+_xlfn.XLOOKUP(Table1[[#This Row], [EXIT]],Sheet1!$A$70:$A$71,Sheet1!$C$70:$C$71))</f>
        <v>1796061.5999999994</v>
      </c>
      <c r="L2094" s="13" t="s">
        <v>65</v>
      </c>
      <c r="M2094" s="4">
        <f>IF(Table1[[#This Row], [EQUIPMENT]]="YES",Sheet1!$C$44*(1+Sheet1!$D$44),0)</f>
        <v>307500</v>
      </c>
      <c r="N2094" s="4">
        <f>_xlfn.XLOOKUP(Table1[[#This Row], [ROOM]],Sheet1!$A$47:$A$66,Sheet1!$F$47:$F$66)</f>
        <v>17800000</v>
      </c>
      <c r="O2094" s="9">
        <f>_xlfn.XLOOKUP(_xlfn.CONCAT(Table1[[#This Row], [TEAM]],Table1[[#This Row], [ROOM]]),'ROOM TIME'!$H$2:$H$121,'ROOM TIME'!$J$2:$J$121)</f>
        <v>62.392499999999977</v>
      </c>
      <c r="P2094" s="9">
        <f>(INDEX(Sheet1!$X$48:$Z$67,MATCH(Table1[[#This Row], [ROOM]],Sheet1!$P$48:$P$67,0),MATCH(Table1[[#This Row], [WEAPON]],Sheet1!$X$47:$Z$47,0)))/Table1[[#This Row], [NUM OF MEM]]</f>
        <v>6.8999999999999995</v>
      </c>
      <c r="Q2094" s="9">
        <f>Table1[[#This Row], [ROOM TIME]]+Table1[[#This Row], [GUARD TIME]]</f>
        <v>69.292499999999976</v>
      </c>
      <c r="R2094" s="4">
        <f>Sheet1!$K$3*_xlfn.XLOOKUP(Table1[[#This Row], [DISGUISE]],Sheet1!$A$21:$A$23,Sheet1!$D$21:$D$23)</f>
        <v>66</v>
      </c>
      <c r="S2094" s="9">
        <f>Table1[[#This Row], [TOTAL TIME]]-Table1[[#This Row], [TOTAL TIME TAKEN]]</f>
        <v>-3.2924999999999756</v>
      </c>
      <c r="T2094" t="str">
        <f>IF(Table1[[#This Row], [TIME DIFFERENCE]]&gt;=0,"PASS","FAIL")</f>
        <v>FAIL</v>
      </c>
      <c r="U2094" s="9">
        <f>Table1[[#This Row], [TRC]]+Table1[[#This Row], [DRC]]+Table1[[#This Row], [WRC]]+Table1[[#This Row], [ERC]]+Table1[[#This Row], [EQRC]]</f>
        <v>8137911.5999999996</v>
      </c>
      <c r="V2094" s="9">
        <f>Table1[[#This Row], [TOTAL COST]]+_xlfn.XLOOKUP(Table1[[#This Row], [TEAM]],Sheet1!$A$12:$A$17,Sheet1!$I$12:$I$17)</f>
        <v>8434559.0999999996</v>
      </c>
      <c r="W2094" s="9">
        <f>Table1[[#This Row], [LOOT]]-Table1[[#This Row], [TOTAL COST]]</f>
        <v>9662088.4000000004</v>
      </c>
      <c r="X2094" s="4">
        <f>IF(Table1[[#This Row], [PASS/FAIL]]="FAIL",0,Table1[[#This Row], [PROFIT]])</f>
        <v>0</v>
      </c>
    </row>
    <row r="2095" spans="1:24" ht="19.5" customHeight="1" x14ac:dyDescent="0.45">
      <c r="A2095" t="s">
        <v>15</v>
      </c>
      <c r="B2095" s="14">
        <f>_xlfn.XLOOKUP(Table1[[#This Row], [TEAM]],Sheet1!$A$12:$A$17,Sheet1!$F$12:$F$17)</f>
        <v>2</v>
      </c>
      <c r="C2095" s="14">
        <f>_xlfn.XLOOKUP(Table1[[#This Row], [TEAM]],Sheet1!$A$12:$A$17,Sheet1!$G$12:$G$17)</f>
        <v>5932950</v>
      </c>
      <c r="D2095" t="s">
        <v>22</v>
      </c>
      <c r="E2095" s="4">
        <f>_xlfn.XLOOKUP(Table1[[#This Row], [ROOM]],Sheet1!$A$47:$A$66,Sheet1!$B$47:$B$66)</f>
        <v>235</v>
      </c>
      <c r="F2095" t="s">
        <v>58</v>
      </c>
      <c r="G2095" s="4">
        <f>_xlfn.XLOOKUP(Table1[[#This Row], [DISGUISE]],Sheet1!$A$21:$A$23,Sheet1!$B$21:$B$23)*Table1[[#This Row], [NUM OF MEM]]*(1+_xlfn.XLOOKUP(Table1[[#This Row], [DISGUISE]],Sheet1!$A$21:$A$23,Sheet1!$C$21:$C$23))</f>
        <v>25600</v>
      </c>
      <c r="H2095" s="13" t="s">
        <v>63</v>
      </c>
      <c r="I2095" s="4">
        <f>_xlfn.XLOOKUP(Table1[[#This Row], [WEAPON]],Sheet1!$A$27:$A$29,Sheet1!$B$27:$B$29)*Table1[[#This Row], [NUM OF MEM]]*(1+_xlfn.XLOOKUP(Table1[[#This Row], [WEAPON]],Sheet1!$A$27:$A$29,Sheet1!$C$27:$C$29))</f>
        <v>46000</v>
      </c>
      <c r="J2095" t="s">
        <v>64</v>
      </c>
      <c r="K2095" s="9">
        <f>Table1[[#This Row], [NUM OF MEM]]*Table1[[#This Row], [TOTAL TIME TAKEN]]*_xlfn.XLOOKUP(Table1[[#This Row], [EXIT]],Sheet1!$A$70:$A$71,Sheet1!$B$70:$B$71)*(1+_xlfn.XLOOKUP(Table1[[#This Row], [EXIT]],Sheet1!$A$70:$A$71,Sheet1!$C$70:$C$71))</f>
        <v>1827165.5999999994</v>
      </c>
      <c r="L2095" s="13" t="s">
        <v>61</v>
      </c>
      <c r="M2095" s="4">
        <f>IF(Table1[[#This Row], [EQUIPMENT]]="YES",Sheet1!$C$44*(1+Sheet1!$D$44),0)</f>
        <v>0</v>
      </c>
      <c r="N2095" s="4">
        <f>_xlfn.XLOOKUP(Table1[[#This Row], [ROOM]],Sheet1!$A$47:$A$66,Sheet1!$F$47:$F$66)</f>
        <v>17800000</v>
      </c>
      <c r="O2095" s="9">
        <f>_xlfn.XLOOKUP(_xlfn.CONCAT(Table1[[#This Row], [TEAM]],Table1[[#This Row], [ROOM]]),'ROOM TIME'!$H$2:$H$121,'ROOM TIME'!$J$2:$J$121)</f>
        <v>62.392499999999977</v>
      </c>
      <c r="P2095" s="9">
        <f>(INDEX(Sheet1!$X$48:$Z$67,MATCH(Table1[[#This Row], [ROOM]],Sheet1!$P$48:$P$67,0),MATCH(Table1[[#This Row], [WEAPON]],Sheet1!$X$47:$Z$47,0)))/Table1[[#This Row], [NUM OF MEM]]</f>
        <v>8.1000000000000014</v>
      </c>
      <c r="Q2095" s="9">
        <f>Table1[[#This Row], [ROOM TIME]]+Table1[[#This Row], [GUARD TIME]]</f>
        <v>70.492499999999978</v>
      </c>
      <c r="R2095" s="4">
        <f>Sheet1!$K$3*_xlfn.XLOOKUP(Table1[[#This Row], [DISGUISE]],Sheet1!$A$21:$A$23,Sheet1!$D$21:$D$23)</f>
        <v>69</v>
      </c>
      <c r="S2095" s="9">
        <f>Table1[[#This Row], [TOTAL TIME]]-Table1[[#This Row], [TOTAL TIME TAKEN]]</f>
        <v>-1.4924999999999784</v>
      </c>
      <c r="T2095" t="str">
        <f>IF(Table1[[#This Row], [TIME DIFFERENCE]]&gt;=0,"PASS","FAIL")</f>
        <v>FAIL</v>
      </c>
      <c r="U2095" s="9">
        <f>Table1[[#This Row], [TRC]]+Table1[[#This Row], [DRC]]+Table1[[#This Row], [WRC]]+Table1[[#This Row], [ERC]]+Table1[[#This Row], [EQRC]]</f>
        <v>7831715.5999999996</v>
      </c>
      <c r="V2095" s="9">
        <f>Table1[[#This Row], [TOTAL COST]]+_xlfn.XLOOKUP(Table1[[#This Row], [TEAM]],Sheet1!$A$12:$A$17,Sheet1!$I$12:$I$17)</f>
        <v>8128363.0999999996</v>
      </c>
      <c r="W2095" s="9">
        <f>Table1[[#This Row], [LOOT]]-Table1[[#This Row], [TOTAL COST]]</f>
        <v>9968284.4000000004</v>
      </c>
      <c r="X2095" s="4">
        <f>IF(Table1[[#This Row], [PASS/FAIL]]="FAIL",0,Table1[[#This Row], [PROFIT]])</f>
        <v>0</v>
      </c>
    </row>
    <row r="2096" spans="1:24" ht="19.5" customHeight="1" x14ac:dyDescent="0.45">
      <c r="A2096" t="s">
        <v>15</v>
      </c>
      <c r="B2096" s="14">
        <f>_xlfn.XLOOKUP(Table1[[#This Row], [TEAM]],Sheet1!$A$12:$A$17,Sheet1!$F$12:$F$17)</f>
        <v>2</v>
      </c>
      <c r="C2096" s="14">
        <f>_xlfn.XLOOKUP(Table1[[#This Row], [TEAM]],Sheet1!$A$12:$A$17,Sheet1!$G$12:$G$17)</f>
        <v>5932950</v>
      </c>
      <c r="D2096" t="s">
        <v>22</v>
      </c>
      <c r="E2096" s="4">
        <f>_xlfn.XLOOKUP(Table1[[#This Row], [ROOM]],Sheet1!$A$47:$A$66,Sheet1!$B$47:$B$66)</f>
        <v>235</v>
      </c>
      <c r="F2096" t="s">
        <v>58</v>
      </c>
      <c r="G2096" s="4">
        <f>_xlfn.XLOOKUP(Table1[[#This Row], [DISGUISE]],Sheet1!$A$21:$A$23,Sheet1!$B$21:$B$23)*Table1[[#This Row], [NUM OF MEM]]*(1+_xlfn.XLOOKUP(Table1[[#This Row], [DISGUISE]],Sheet1!$A$21:$A$23,Sheet1!$C$21:$C$23))</f>
        <v>25600</v>
      </c>
      <c r="H2096" s="13" t="s">
        <v>63</v>
      </c>
      <c r="I2096" s="4">
        <f>_xlfn.XLOOKUP(Table1[[#This Row], [WEAPON]],Sheet1!$A$27:$A$29,Sheet1!$B$27:$B$29)*Table1[[#This Row], [NUM OF MEM]]*(1+_xlfn.XLOOKUP(Table1[[#This Row], [WEAPON]],Sheet1!$A$27:$A$29,Sheet1!$C$27:$C$29))</f>
        <v>46000</v>
      </c>
      <c r="J2096" t="s">
        <v>60</v>
      </c>
      <c r="K2096" s="9">
        <f>Table1[[#This Row], [NUM OF MEM]]*Table1[[#This Row], [TOTAL TIME TAKEN]]*_xlfn.XLOOKUP(Table1[[#This Row], [EXIT]],Sheet1!$A$70:$A$71,Sheet1!$B$70:$B$71)*(1+_xlfn.XLOOKUP(Table1[[#This Row], [EXIT]],Sheet1!$A$70:$A$71,Sheet1!$C$70:$C$71))</f>
        <v>1809190.0124999993</v>
      </c>
      <c r="L2096" s="13" t="s">
        <v>65</v>
      </c>
      <c r="M2096" s="4">
        <f>IF(Table1[[#This Row], [EQUIPMENT]]="YES",Sheet1!$C$44*(1+Sheet1!$D$44),0)</f>
        <v>307500</v>
      </c>
      <c r="N2096" s="4">
        <f>_xlfn.XLOOKUP(Table1[[#This Row], [ROOM]],Sheet1!$A$47:$A$66,Sheet1!$F$47:$F$66)</f>
        <v>17800000</v>
      </c>
      <c r="O2096" s="9">
        <f>_xlfn.XLOOKUP(_xlfn.CONCAT(Table1[[#This Row], [TEAM]],Table1[[#This Row], [ROOM]]),'ROOM TIME'!$H$2:$H$121,'ROOM TIME'!$J$2:$J$121)</f>
        <v>62.392499999999977</v>
      </c>
      <c r="P2096" s="9">
        <f>(INDEX(Sheet1!$X$48:$Z$67,MATCH(Table1[[#This Row], [ROOM]],Sheet1!$P$48:$P$67,0),MATCH(Table1[[#This Row], [WEAPON]],Sheet1!$X$47:$Z$47,0)))/Table1[[#This Row], [NUM OF MEM]]</f>
        <v>8.1000000000000014</v>
      </c>
      <c r="Q2096" s="9">
        <f>Table1[[#This Row], [ROOM TIME]]+Table1[[#This Row], [GUARD TIME]]</f>
        <v>70.492499999999978</v>
      </c>
      <c r="R2096" s="4">
        <f>Sheet1!$K$3*_xlfn.XLOOKUP(Table1[[#This Row], [DISGUISE]],Sheet1!$A$21:$A$23,Sheet1!$D$21:$D$23)</f>
        <v>69</v>
      </c>
      <c r="S2096" s="9">
        <f>Table1[[#This Row], [TOTAL TIME]]-Table1[[#This Row], [TOTAL TIME TAKEN]]</f>
        <v>-1.4924999999999784</v>
      </c>
      <c r="T2096" t="str">
        <f>IF(Table1[[#This Row], [TIME DIFFERENCE]]&gt;=0,"PASS","FAIL")</f>
        <v>FAIL</v>
      </c>
      <c r="U2096" s="9">
        <f>Table1[[#This Row], [TRC]]+Table1[[#This Row], [DRC]]+Table1[[#This Row], [WRC]]+Table1[[#This Row], [ERC]]+Table1[[#This Row], [EQRC]]</f>
        <v>8121240.0124999993</v>
      </c>
      <c r="V2096" s="9">
        <f>Table1[[#This Row], [TOTAL COST]]+_xlfn.XLOOKUP(Table1[[#This Row], [TEAM]],Sheet1!$A$12:$A$17,Sheet1!$I$12:$I$17)</f>
        <v>8417887.5124999993</v>
      </c>
      <c r="W2096" s="9">
        <f>Table1[[#This Row], [LOOT]]-Table1[[#This Row], [TOTAL COST]]</f>
        <v>9678759.9875000007</v>
      </c>
      <c r="X2096" s="4">
        <f>IF(Table1[[#This Row], [PASS/FAIL]]="FAIL",0,Table1[[#This Row], [PROFIT]])</f>
        <v>0</v>
      </c>
    </row>
    <row r="2097" spans="1:24" ht="19.5" customHeight="1" x14ac:dyDescent="0.45">
      <c r="A2097" t="s">
        <v>15</v>
      </c>
      <c r="B2097" s="14">
        <f>_xlfn.XLOOKUP(Table1[[#This Row], [TEAM]],Sheet1!$A$12:$A$17,Sheet1!$F$12:$F$17)</f>
        <v>2</v>
      </c>
      <c r="C2097" s="14">
        <f>_xlfn.XLOOKUP(Table1[[#This Row], [TEAM]],Sheet1!$A$12:$A$17,Sheet1!$G$12:$G$17)</f>
        <v>5932950</v>
      </c>
      <c r="D2097" t="s">
        <v>22</v>
      </c>
      <c r="E2097" s="4">
        <f>_xlfn.XLOOKUP(Table1[[#This Row], [ROOM]],Sheet1!$A$47:$A$66,Sheet1!$B$47:$B$66)</f>
        <v>235</v>
      </c>
      <c r="F2097" t="s">
        <v>58</v>
      </c>
      <c r="G2097" s="4">
        <f>_xlfn.XLOOKUP(Table1[[#This Row], [DISGUISE]],Sheet1!$A$21:$A$23,Sheet1!$B$21:$B$23)*Table1[[#This Row], [NUM OF MEM]]*(1+_xlfn.XLOOKUP(Table1[[#This Row], [DISGUISE]],Sheet1!$A$21:$A$23,Sheet1!$C$21:$C$23))</f>
        <v>25600</v>
      </c>
      <c r="H2097" s="13" t="s">
        <v>63</v>
      </c>
      <c r="I2097" s="4">
        <f>_xlfn.XLOOKUP(Table1[[#This Row], [WEAPON]],Sheet1!$A$27:$A$29,Sheet1!$B$27:$B$29)*Table1[[#This Row], [NUM OF MEM]]*(1+_xlfn.XLOOKUP(Table1[[#This Row], [WEAPON]],Sheet1!$A$27:$A$29,Sheet1!$C$27:$C$29))</f>
        <v>46000</v>
      </c>
      <c r="J2097" t="s">
        <v>64</v>
      </c>
      <c r="K2097" s="9">
        <f>Table1[[#This Row], [NUM OF MEM]]*Table1[[#This Row], [TOTAL TIME TAKEN]]*_xlfn.XLOOKUP(Table1[[#This Row], [EXIT]],Sheet1!$A$70:$A$71,Sheet1!$B$70:$B$71)*(1+_xlfn.XLOOKUP(Table1[[#This Row], [EXIT]],Sheet1!$A$70:$A$71,Sheet1!$C$70:$C$71))</f>
        <v>1827165.5999999994</v>
      </c>
      <c r="L2097" s="13" t="s">
        <v>65</v>
      </c>
      <c r="M2097" s="4">
        <f>IF(Table1[[#This Row], [EQUIPMENT]]="YES",Sheet1!$C$44*(1+Sheet1!$D$44),0)</f>
        <v>307500</v>
      </c>
      <c r="N2097" s="4">
        <f>_xlfn.XLOOKUP(Table1[[#This Row], [ROOM]],Sheet1!$A$47:$A$66,Sheet1!$F$47:$F$66)</f>
        <v>17800000</v>
      </c>
      <c r="O2097" s="9">
        <f>_xlfn.XLOOKUP(_xlfn.CONCAT(Table1[[#This Row], [TEAM]],Table1[[#This Row], [ROOM]]),'ROOM TIME'!$H$2:$H$121,'ROOM TIME'!$J$2:$J$121)</f>
        <v>62.392499999999977</v>
      </c>
      <c r="P2097" s="9">
        <f>(INDEX(Sheet1!$X$48:$Z$67,MATCH(Table1[[#This Row], [ROOM]],Sheet1!$P$48:$P$67,0),MATCH(Table1[[#This Row], [WEAPON]],Sheet1!$X$47:$Z$47,0)))/Table1[[#This Row], [NUM OF MEM]]</f>
        <v>8.1000000000000014</v>
      </c>
      <c r="Q2097" s="9">
        <f>Table1[[#This Row], [ROOM TIME]]+Table1[[#This Row], [GUARD TIME]]</f>
        <v>70.492499999999978</v>
      </c>
      <c r="R2097" s="4">
        <f>Sheet1!$K$3*_xlfn.XLOOKUP(Table1[[#This Row], [DISGUISE]],Sheet1!$A$21:$A$23,Sheet1!$D$21:$D$23)</f>
        <v>69</v>
      </c>
      <c r="S2097" s="9">
        <f>Table1[[#This Row], [TOTAL TIME]]-Table1[[#This Row], [TOTAL TIME TAKEN]]</f>
        <v>-1.4924999999999784</v>
      </c>
      <c r="T2097" t="str">
        <f>IF(Table1[[#This Row], [TIME DIFFERENCE]]&gt;=0,"PASS","FAIL")</f>
        <v>FAIL</v>
      </c>
      <c r="U2097" s="9">
        <f>Table1[[#This Row], [TRC]]+Table1[[#This Row], [DRC]]+Table1[[#This Row], [WRC]]+Table1[[#This Row], [ERC]]+Table1[[#This Row], [EQRC]]</f>
        <v>8139215.5999999996</v>
      </c>
      <c r="V2097" s="9">
        <f>Table1[[#This Row], [TOTAL COST]]+_xlfn.XLOOKUP(Table1[[#This Row], [TEAM]],Sheet1!$A$12:$A$17,Sheet1!$I$12:$I$17)</f>
        <v>8435863.0999999996</v>
      </c>
      <c r="W2097" s="9">
        <f>Table1[[#This Row], [LOOT]]-Table1[[#This Row], [TOTAL COST]]</f>
        <v>9660784.4000000004</v>
      </c>
      <c r="X2097" s="4">
        <f>IF(Table1[[#This Row], [PASS/FAIL]]="FAIL",0,Table1[[#This Row], [PROFIT]])</f>
        <v>0</v>
      </c>
    </row>
    <row r="2098" spans="1:24" ht="19.5" customHeight="1" x14ac:dyDescent="0.45">
      <c r="A2098" t="s">
        <v>15</v>
      </c>
      <c r="B2098" s="14">
        <f>_xlfn.XLOOKUP(Table1[[#This Row], [TEAM]],Sheet1!$A$12:$A$17,Sheet1!$F$12:$F$17)</f>
        <v>2</v>
      </c>
      <c r="C2098" s="14">
        <f>_xlfn.XLOOKUP(Table1[[#This Row], [TEAM]],Sheet1!$A$12:$A$17,Sheet1!$G$12:$G$17)</f>
        <v>5932950</v>
      </c>
      <c r="D2098" t="s">
        <v>22</v>
      </c>
      <c r="E2098" s="4">
        <f>_xlfn.XLOOKUP(Table1[[#This Row], [ROOM]],Sheet1!$A$47:$A$66,Sheet1!$B$47:$B$66)</f>
        <v>235</v>
      </c>
      <c r="F2098" t="s">
        <v>62</v>
      </c>
      <c r="G2098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8" s="13" t="s">
        <v>63</v>
      </c>
      <c r="I2098" s="4">
        <f>_xlfn.XLOOKUP(Table1[[#This Row], [WEAPON]],Sheet1!$A$27:$A$29,Sheet1!$B$27:$B$29)*Table1[[#This Row], [NUM OF MEM]]*(1+_xlfn.XLOOKUP(Table1[[#This Row], [WEAPON]],Sheet1!$A$27:$A$29,Sheet1!$C$27:$C$29))</f>
        <v>46000</v>
      </c>
      <c r="J2098" t="s">
        <v>60</v>
      </c>
      <c r="K2098" s="9">
        <f>Table1[[#This Row], [NUM OF MEM]]*Table1[[#This Row], [TOTAL TIME TAKEN]]*_xlfn.XLOOKUP(Table1[[#This Row], [EXIT]],Sheet1!$A$70:$A$71,Sheet1!$B$70:$B$71)*(1+_xlfn.XLOOKUP(Table1[[#This Row], [EXIT]],Sheet1!$A$70:$A$71,Sheet1!$C$70:$C$71))</f>
        <v>1809190.0124999993</v>
      </c>
      <c r="L2098" s="13" t="s">
        <v>61</v>
      </c>
      <c r="M2098" s="4">
        <f>IF(Table1[[#This Row], [EQUIPMENT]]="YES",Sheet1!$C$44*(1+Sheet1!$D$44),0)</f>
        <v>0</v>
      </c>
      <c r="N2098" s="4">
        <f>_xlfn.XLOOKUP(Table1[[#This Row], [ROOM]],Sheet1!$A$47:$A$66,Sheet1!$F$47:$F$66)</f>
        <v>17800000</v>
      </c>
      <c r="O2098" s="9">
        <f>_xlfn.XLOOKUP(_xlfn.CONCAT(Table1[[#This Row], [TEAM]],Table1[[#This Row], [ROOM]]),'ROOM TIME'!$H$2:$H$121,'ROOM TIME'!$J$2:$J$121)</f>
        <v>62.392499999999977</v>
      </c>
      <c r="P2098" s="9">
        <f>(INDEX(Sheet1!$X$48:$Z$67,MATCH(Table1[[#This Row], [ROOM]],Sheet1!$P$48:$P$67,0),MATCH(Table1[[#This Row], [WEAPON]],Sheet1!$X$47:$Z$47,0)))/Table1[[#This Row], [NUM OF MEM]]</f>
        <v>8.1000000000000014</v>
      </c>
      <c r="Q2098" s="9">
        <f>Table1[[#This Row], [ROOM TIME]]+Table1[[#This Row], [GUARD TIME]]</f>
        <v>70.492499999999978</v>
      </c>
      <c r="R2098" s="4">
        <f>Sheet1!$K$3*_xlfn.XLOOKUP(Table1[[#This Row], [DISGUISE]],Sheet1!$A$21:$A$23,Sheet1!$D$21:$D$23)</f>
        <v>66</v>
      </c>
      <c r="S2098" s="9">
        <f>Table1[[#This Row], [TOTAL TIME]]-Table1[[#This Row], [TOTAL TIME TAKEN]]</f>
        <v>-4.4924999999999784</v>
      </c>
      <c r="T2098" t="str">
        <f>IF(Table1[[#This Row], [TIME DIFFERENCE]]&gt;=0,"PASS","FAIL")</f>
        <v>FAIL</v>
      </c>
      <c r="U2098" s="9">
        <f>Table1[[#This Row], [TRC]]+Table1[[#This Row], [DRC]]+Table1[[#This Row], [WRC]]+Table1[[#This Row], [ERC]]+Table1[[#This Row], [EQRC]]</f>
        <v>7798540.0124999993</v>
      </c>
      <c r="V2098" s="9">
        <f>Table1[[#This Row], [TOTAL COST]]+_xlfn.XLOOKUP(Table1[[#This Row], [TEAM]],Sheet1!$A$12:$A$17,Sheet1!$I$12:$I$17)</f>
        <v>8095187.5124999993</v>
      </c>
      <c r="W2098" s="9">
        <f>Table1[[#This Row], [LOOT]]-Table1[[#This Row], [TOTAL COST]]</f>
        <v>10001459.987500001</v>
      </c>
      <c r="X2098" s="4">
        <f>IF(Table1[[#This Row], [PASS/FAIL]]="FAIL",0,Table1[[#This Row], [PROFIT]])</f>
        <v>0</v>
      </c>
    </row>
    <row r="2099" spans="1:24" ht="19.5" customHeight="1" x14ac:dyDescent="0.45">
      <c r="A2099" t="s">
        <v>15</v>
      </c>
      <c r="B2099" s="14">
        <f>_xlfn.XLOOKUP(Table1[[#This Row], [TEAM]],Sheet1!$A$12:$A$17,Sheet1!$F$12:$F$17)</f>
        <v>2</v>
      </c>
      <c r="C2099" s="14">
        <f>_xlfn.XLOOKUP(Table1[[#This Row], [TEAM]],Sheet1!$A$12:$A$17,Sheet1!$G$12:$G$17)</f>
        <v>5932950</v>
      </c>
      <c r="D2099" t="s">
        <v>22</v>
      </c>
      <c r="E2099" s="4">
        <f>_xlfn.XLOOKUP(Table1[[#This Row], [ROOM]],Sheet1!$A$47:$A$66,Sheet1!$B$47:$B$66)</f>
        <v>235</v>
      </c>
      <c r="F2099" t="s">
        <v>62</v>
      </c>
      <c r="G2099" s="4">
        <f>_xlfn.XLOOKUP(Table1[[#This Row], [DISGUISE]],Sheet1!$A$21:$A$23,Sheet1!$B$21:$B$23)*Table1[[#This Row], [NUM OF MEM]]*(1+_xlfn.XLOOKUP(Table1[[#This Row], [DISGUISE]],Sheet1!$A$21:$A$23,Sheet1!$C$21:$C$23))</f>
        <v>10400</v>
      </c>
      <c r="H2099" s="13" t="s">
        <v>66</v>
      </c>
      <c r="I2099" s="4">
        <f>_xlfn.XLOOKUP(Table1[[#This Row], [WEAPON]],Sheet1!$A$27:$A$29,Sheet1!$B$27:$B$29)*Table1[[#This Row], [NUM OF MEM]]*(1+_xlfn.XLOOKUP(Table1[[#This Row], [WEAPON]],Sheet1!$A$27:$A$29,Sheet1!$C$27:$C$29))</f>
        <v>72000</v>
      </c>
      <c r="J2099" t="s">
        <v>60</v>
      </c>
      <c r="K2099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1793791.0124999997</v>
      </c>
      <c r="L2099" s="13" t="s">
        <v>61</v>
      </c>
      <c r="M2099" s="4">
        <f>IF(Table1[[#This Row], [EQUIPMENT]]="YES",Sheet1!$C$44*(1+Sheet1!$D$44),0)</f>
        <v>0</v>
      </c>
      <c r="N2099" s="4">
        <f>_xlfn.XLOOKUP(Table1[[#This Row], [ROOM]],Sheet1!$A$47:$A$66,Sheet1!$F$47:$F$66)</f>
        <v>17800000</v>
      </c>
      <c r="O2099" s="9">
        <f>_xlfn.XLOOKUP(_xlfn.CONCAT(Table1[[#This Row], [TEAM]],Table1[[#This Row], [ROOM]]),'ROOM TIME'!$H$2:$H$121,'ROOM TIME'!$J$2:$J$121)</f>
        <v>62.392499999999977</v>
      </c>
      <c r="P2099" s="9">
        <f>(INDEX(Sheet1!$X$48:$Z$67,MATCH(Table1[[#This Row], [ROOM]],Sheet1!$P$48:$P$67,0),MATCH(Table1[[#This Row], [WEAPON]],Sheet1!$X$47:$Z$47,0)))/Table1[[#This Row], [NUM OF MEM]]</f>
        <v>7.5</v>
      </c>
      <c r="Q2099" s="9">
        <f>Table1[[#This Row], [ROOM TIME]]+Table1[[#This Row], [GUARD TIME]]</f>
        <v>69.892499999999984</v>
      </c>
      <c r="R2099" s="4">
        <f>Sheet1!$K$3*_xlfn.XLOOKUP(Table1[[#This Row], [DISGUISE]],Sheet1!$A$21:$A$23,Sheet1!$D$21:$D$23)</f>
        <v>66</v>
      </c>
      <c r="S2099" s="9">
        <f>Table1[[#This Row], [TOTAL TIME]]-Table1[[#This Row], [TOTAL TIME TAKEN]]</f>
        <v>-3.8924999999999841</v>
      </c>
      <c r="T2099" t="str">
        <f>IF(Table1[[#This Row], [TIME DIFFERENCE]]&gt;=0,"PASS","FAIL")</f>
        <v>FAIL</v>
      </c>
      <c r="U2099" s="9">
        <f>Table1[[#This Row], [TRC]]+Table1[[#This Row], [DRC]]+Table1[[#This Row], [WRC]]+Table1[[#This Row], [ERC]]+Table1[[#This Row], [EQRC]]</f>
        <v>7809141.0124999993</v>
      </c>
      <c r="V2099" s="9">
        <f>Table1[[#This Row], [TOTAL COST]]+_xlfn.XLOOKUP(Table1[[#This Row], [TEAM]],Sheet1!$A$12:$A$17,Sheet1!$I$12:$I$17)</f>
        <v>8105788.5124999993</v>
      </c>
      <c r="W2099" s="9">
        <f>Table1[[#This Row], [LOOT]]-Table1[[#This Row], [TOTAL COST]]</f>
        <v>9990858.9875000007</v>
      </c>
      <c r="X2099" s="4">
        <f>IF(Table1[[#This Row], [PASS/FAIL]]="FAIL",0,Table1[[#This Row], [PROFIT]])</f>
        <v>0</v>
      </c>
    </row>
    <row r="2100" spans="1:24" ht="19.5" customHeight="1" x14ac:dyDescent="0.45">
      <c r="A2100" t="s">
        <v>15</v>
      </c>
      <c r="B2100" s="14">
        <f>_xlfn.XLOOKUP(Table1[[#This Row], [TEAM]],Sheet1!$A$12:$A$17,Sheet1!$F$12:$F$17)</f>
        <v>2</v>
      </c>
      <c r="C2100" s="14">
        <f>_xlfn.XLOOKUP(Table1[[#This Row], [TEAM]],Sheet1!$A$12:$A$17,Sheet1!$G$12:$G$17)</f>
        <v>5932950</v>
      </c>
      <c r="D2100" t="s">
        <v>22</v>
      </c>
      <c r="E2100" s="4">
        <f>_xlfn.XLOOKUP(Table1[[#This Row], [ROOM]],Sheet1!$A$47:$A$66,Sheet1!$B$47:$B$66)</f>
        <v>235</v>
      </c>
      <c r="F2100" t="s">
        <v>58</v>
      </c>
      <c r="G2100" s="4">
        <f>_xlfn.XLOOKUP(Table1[[#This Row], [DISGUISE]],Sheet1!$A$21:$A$23,Sheet1!$B$21:$B$23)*Table1[[#This Row], [NUM OF MEM]]*(1+_xlfn.XLOOKUP(Table1[[#This Row], [DISGUISE]],Sheet1!$A$21:$A$23,Sheet1!$C$21:$C$23))</f>
        <v>25600</v>
      </c>
      <c r="H2100" s="13" t="s">
        <v>66</v>
      </c>
      <c r="I2100" s="4">
        <f>_xlfn.XLOOKUP(Table1[[#This Row], [WEAPON]],Sheet1!$A$27:$A$29,Sheet1!$B$27:$B$29)*Table1[[#This Row], [NUM OF MEM]]*(1+_xlfn.XLOOKUP(Table1[[#This Row], [WEAPON]],Sheet1!$A$27:$A$29,Sheet1!$C$27:$C$29))</f>
        <v>72000</v>
      </c>
      <c r="J2100" t="s">
        <v>60</v>
      </c>
      <c r="K2100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1793791.0124999997</v>
      </c>
      <c r="L2100" s="13" t="s">
        <v>61</v>
      </c>
      <c r="M2100" s="4">
        <f>IF(Table1[[#This Row], [EQUIPMENT]]="YES",Sheet1!$C$44*(1+Sheet1!$D$44),0)</f>
        <v>0</v>
      </c>
      <c r="N2100" s="4">
        <f>_xlfn.XLOOKUP(Table1[[#This Row], [ROOM]],Sheet1!$A$47:$A$66,Sheet1!$F$47:$F$66)</f>
        <v>17800000</v>
      </c>
      <c r="O2100" s="9">
        <f>_xlfn.XLOOKUP(_xlfn.CONCAT(Table1[[#This Row], [TEAM]],Table1[[#This Row], [ROOM]]),'ROOM TIME'!$H$2:$H$121,'ROOM TIME'!$J$2:$J$121)</f>
        <v>62.392499999999977</v>
      </c>
      <c r="P2100" s="9">
        <f>(INDEX(Sheet1!$X$48:$Z$67,MATCH(Table1[[#This Row], [ROOM]],Sheet1!$P$48:$P$67,0),MATCH(Table1[[#This Row], [WEAPON]],Sheet1!$X$47:$Z$47,0)))/Table1[[#This Row], [NUM OF MEM]]</f>
        <v>7.5</v>
      </c>
      <c r="Q2100" s="9">
        <f>Table1[[#This Row], [ROOM TIME]]+Table1[[#This Row], [GUARD TIME]]</f>
        <v>69.892499999999984</v>
      </c>
      <c r="R2100" s="4">
        <f>Sheet1!$K$3*_xlfn.XLOOKUP(Table1[[#This Row], [DISGUISE]],Sheet1!$A$21:$A$23,Sheet1!$D$21:$D$23)</f>
        <v>69</v>
      </c>
      <c r="S2100" s="9">
        <f>Table1[[#This Row], [TOTAL TIME]]-Table1[[#This Row], [TOTAL TIME TAKEN]]</f>
        <v>-0.89249999999998408</v>
      </c>
      <c r="T2100" t="str">
        <f>IF(Table1[[#This Row], [TIME DIFFERENCE]]&gt;=0,"PASS","FAIL")</f>
        <v>FAIL</v>
      </c>
      <c r="U2100" s="9">
        <f>Table1[[#This Row], [TRC]]+Table1[[#This Row], [DRC]]+Table1[[#This Row], [WRC]]+Table1[[#This Row], [ERC]]+Table1[[#This Row], [EQRC]]</f>
        <v>7824341.0124999993</v>
      </c>
      <c r="V2100" s="9">
        <f>Table1[[#This Row], [TOTAL COST]]+_xlfn.XLOOKUP(Table1[[#This Row], [TEAM]],Sheet1!$A$12:$A$17,Sheet1!$I$12:$I$17)</f>
        <v>8120988.5124999993</v>
      </c>
      <c r="W2100" s="9">
        <f>Table1[[#This Row], [LOOT]]-Table1[[#This Row], [TOTAL COST]]</f>
        <v>9975658.9875000007</v>
      </c>
      <c r="X2100" s="4">
        <f>IF(Table1[[#This Row], [PASS/FAIL]]="FAIL",0,Table1[[#This Row], [PROFIT]])</f>
        <v>0</v>
      </c>
    </row>
    <row r="2101" spans="1:24" ht="19.5" customHeight="1" x14ac:dyDescent="0.45">
      <c r="A2101" t="s">
        <v>15</v>
      </c>
      <c r="B2101" s="14">
        <f>_xlfn.XLOOKUP(Table1[[#This Row], [TEAM]],Sheet1!$A$12:$A$17,Sheet1!$F$12:$F$17)</f>
        <v>2</v>
      </c>
      <c r="C2101" s="14">
        <f>_xlfn.XLOOKUP(Table1[[#This Row], [TEAM]],Sheet1!$A$12:$A$17,Sheet1!$G$12:$G$17)</f>
        <v>5932950</v>
      </c>
      <c r="D2101" t="s">
        <v>22</v>
      </c>
      <c r="E2101" s="4">
        <f>_xlfn.XLOOKUP(Table1[[#This Row], [ROOM]],Sheet1!$A$47:$A$66,Sheet1!$B$47:$B$66)</f>
        <v>235</v>
      </c>
      <c r="F2101" t="s">
        <v>62</v>
      </c>
      <c r="G210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1" s="13" t="s">
        <v>63</v>
      </c>
      <c r="I2101" s="4">
        <f>_xlfn.XLOOKUP(Table1[[#This Row], [WEAPON]],Sheet1!$A$27:$A$29,Sheet1!$B$27:$B$29)*Table1[[#This Row], [NUM OF MEM]]*(1+_xlfn.XLOOKUP(Table1[[#This Row], [WEAPON]],Sheet1!$A$27:$A$29,Sheet1!$C$27:$C$29))</f>
        <v>46000</v>
      </c>
      <c r="J2101" t="s">
        <v>64</v>
      </c>
      <c r="K2101" s="9">
        <f>Table1[[#This Row], [NUM OF MEM]]*Table1[[#This Row], [TOTAL TIME TAKEN]]*_xlfn.XLOOKUP(Table1[[#This Row], [EXIT]],Sheet1!$A$70:$A$71,Sheet1!$B$70:$B$71)*(1+_xlfn.XLOOKUP(Table1[[#This Row], [EXIT]],Sheet1!$A$70:$A$71,Sheet1!$C$70:$C$71))</f>
        <v>1827165.5999999994</v>
      </c>
      <c r="L2101" s="13" t="s">
        <v>61</v>
      </c>
      <c r="M2101" s="4">
        <f>IF(Table1[[#This Row], [EQUIPMENT]]="YES",Sheet1!$C$44*(1+Sheet1!$D$44),0)</f>
        <v>0</v>
      </c>
      <c r="N2101" s="4">
        <f>_xlfn.XLOOKUP(Table1[[#This Row], [ROOM]],Sheet1!$A$47:$A$66,Sheet1!$F$47:$F$66)</f>
        <v>17800000</v>
      </c>
      <c r="O2101" s="9">
        <f>_xlfn.XLOOKUP(_xlfn.CONCAT(Table1[[#This Row], [TEAM]],Table1[[#This Row], [ROOM]]),'ROOM TIME'!$H$2:$H$121,'ROOM TIME'!$J$2:$J$121)</f>
        <v>62.392499999999977</v>
      </c>
      <c r="P2101" s="9">
        <f>(INDEX(Sheet1!$X$48:$Z$67,MATCH(Table1[[#This Row], [ROOM]],Sheet1!$P$48:$P$67,0),MATCH(Table1[[#This Row], [WEAPON]],Sheet1!$X$47:$Z$47,0)))/Table1[[#This Row], [NUM OF MEM]]</f>
        <v>8.1000000000000014</v>
      </c>
      <c r="Q2101" s="9">
        <f>Table1[[#This Row], [ROOM TIME]]+Table1[[#This Row], [GUARD TIME]]</f>
        <v>70.492499999999978</v>
      </c>
      <c r="R2101" s="4">
        <f>Sheet1!$K$3*_xlfn.XLOOKUP(Table1[[#This Row], [DISGUISE]],Sheet1!$A$21:$A$23,Sheet1!$D$21:$D$23)</f>
        <v>66</v>
      </c>
      <c r="S2101" s="9">
        <f>Table1[[#This Row], [TOTAL TIME]]-Table1[[#This Row], [TOTAL TIME TAKEN]]</f>
        <v>-4.4924999999999784</v>
      </c>
      <c r="T2101" t="str">
        <f>IF(Table1[[#This Row], [TIME DIFFERENCE]]&gt;=0,"PASS","FAIL")</f>
        <v>FAIL</v>
      </c>
      <c r="U2101" s="9">
        <f>Table1[[#This Row], [TRC]]+Table1[[#This Row], [DRC]]+Table1[[#This Row], [WRC]]+Table1[[#This Row], [ERC]]+Table1[[#This Row], [EQRC]]</f>
        <v>7816515.5999999996</v>
      </c>
      <c r="V2101" s="9">
        <f>Table1[[#This Row], [TOTAL COST]]+_xlfn.XLOOKUP(Table1[[#This Row], [TEAM]],Sheet1!$A$12:$A$17,Sheet1!$I$12:$I$17)</f>
        <v>8113163.0999999996</v>
      </c>
      <c r="W2101" s="9">
        <f>Table1[[#This Row], [LOOT]]-Table1[[#This Row], [TOTAL COST]]</f>
        <v>9983484.4000000004</v>
      </c>
      <c r="X2101" s="4">
        <f>IF(Table1[[#This Row], [PASS/FAIL]]="FAIL",0,Table1[[#This Row], [PROFIT]])</f>
        <v>0</v>
      </c>
    </row>
    <row r="2102" spans="1:24" ht="19.5" customHeight="1" x14ac:dyDescent="0.45">
      <c r="A2102" t="s">
        <v>15</v>
      </c>
      <c r="B2102" s="14">
        <f>_xlfn.XLOOKUP(Table1[[#This Row], [TEAM]],Sheet1!$A$12:$A$17,Sheet1!$F$12:$F$17)</f>
        <v>2</v>
      </c>
      <c r="C2102" s="14">
        <f>_xlfn.XLOOKUP(Table1[[#This Row], [TEAM]],Sheet1!$A$12:$A$17,Sheet1!$G$12:$G$17)</f>
        <v>5932950</v>
      </c>
      <c r="D2102" t="s">
        <v>22</v>
      </c>
      <c r="E2102" s="4">
        <f>_xlfn.XLOOKUP(Table1[[#This Row], [ROOM]],Sheet1!$A$47:$A$66,Sheet1!$B$47:$B$66)</f>
        <v>235</v>
      </c>
      <c r="F2102" t="s">
        <v>62</v>
      </c>
      <c r="G210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2" s="13" t="s">
        <v>66</v>
      </c>
      <c r="I2102" s="4">
        <f>_xlfn.XLOOKUP(Table1[[#This Row], [WEAPON]],Sheet1!$A$27:$A$29,Sheet1!$B$27:$B$29)*Table1[[#This Row], [NUM OF MEM]]*(1+_xlfn.XLOOKUP(Table1[[#This Row], [WEAPON]],Sheet1!$A$27:$A$29,Sheet1!$C$27:$C$29))</f>
        <v>72000</v>
      </c>
      <c r="J2102" t="s">
        <v>64</v>
      </c>
      <c r="K2102" s="9">
        <f>Table1[[#This Row], [NUM OF MEM]]*Table1[[#This Row], [TOTAL TIME TAKEN]]*_xlfn.XLOOKUP(Table1[[#This Row], [EXIT]],Sheet1!$A$70:$A$71,Sheet1!$B$70:$B$71)*(1+_xlfn.XLOOKUP(Table1[[#This Row], [EXIT]],Sheet1!$A$70:$A$71,Sheet1!$C$70:$C$71))</f>
        <v>1811613.5999999996</v>
      </c>
      <c r="L2102" s="13" t="s">
        <v>61</v>
      </c>
      <c r="M2102" s="4">
        <f>IF(Table1[[#This Row], [EQUIPMENT]]="YES",Sheet1!$C$44*(1+Sheet1!$D$44),0)</f>
        <v>0</v>
      </c>
      <c r="N2102" s="4">
        <f>_xlfn.XLOOKUP(Table1[[#This Row], [ROOM]],Sheet1!$A$47:$A$66,Sheet1!$F$47:$F$66)</f>
        <v>17800000</v>
      </c>
      <c r="O2102" s="9">
        <f>_xlfn.XLOOKUP(_xlfn.CONCAT(Table1[[#This Row], [TEAM]],Table1[[#This Row], [ROOM]]),'ROOM TIME'!$H$2:$H$121,'ROOM TIME'!$J$2:$J$121)</f>
        <v>62.392499999999977</v>
      </c>
      <c r="P2102" s="9">
        <f>(INDEX(Sheet1!$X$48:$Z$67,MATCH(Table1[[#This Row], [ROOM]],Sheet1!$P$48:$P$67,0),MATCH(Table1[[#This Row], [WEAPON]],Sheet1!$X$47:$Z$47,0)))/Table1[[#This Row], [NUM OF MEM]]</f>
        <v>7.5</v>
      </c>
      <c r="Q2102" s="9">
        <f>Table1[[#This Row], [ROOM TIME]]+Table1[[#This Row], [GUARD TIME]]</f>
        <v>69.892499999999984</v>
      </c>
      <c r="R2102" s="4">
        <f>Sheet1!$K$3*_xlfn.XLOOKUP(Table1[[#This Row], [DISGUISE]],Sheet1!$A$21:$A$23,Sheet1!$D$21:$D$23)</f>
        <v>66</v>
      </c>
      <c r="S2102" s="9">
        <f>Table1[[#This Row], [TOTAL TIME]]-Table1[[#This Row], [TOTAL TIME TAKEN]]</f>
        <v>-3.8924999999999841</v>
      </c>
      <c r="T2102" t="str">
        <f>IF(Table1[[#This Row], [TIME DIFFERENCE]]&gt;=0,"PASS","FAIL")</f>
        <v>FAIL</v>
      </c>
      <c r="U2102" s="9">
        <f>Table1[[#This Row], [TRC]]+Table1[[#This Row], [DRC]]+Table1[[#This Row], [WRC]]+Table1[[#This Row], [ERC]]+Table1[[#This Row], [EQRC]]</f>
        <v>7826963.5999999996</v>
      </c>
      <c r="V2102" s="9">
        <f>Table1[[#This Row], [TOTAL COST]]+_xlfn.XLOOKUP(Table1[[#This Row], [TEAM]],Sheet1!$A$12:$A$17,Sheet1!$I$12:$I$17)</f>
        <v>8123611.0999999996</v>
      </c>
      <c r="W2102" s="9">
        <f>Table1[[#This Row], [LOOT]]-Table1[[#This Row], [TOTAL COST]]</f>
        <v>9973036.4000000004</v>
      </c>
      <c r="X2102" s="4">
        <f>IF(Table1[[#This Row], [PASS/FAIL]]="FAIL",0,Table1[[#This Row], [PROFIT]])</f>
        <v>0</v>
      </c>
    </row>
    <row r="2103" spans="1:24" ht="19.5" customHeight="1" x14ac:dyDescent="0.45">
      <c r="A2103" t="s">
        <v>15</v>
      </c>
      <c r="B2103" s="14">
        <f>_xlfn.XLOOKUP(Table1[[#This Row], [TEAM]],Sheet1!$A$12:$A$17,Sheet1!$F$12:$F$17)</f>
        <v>2</v>
      </c>
      <c r="C2103" s="14">
        <f>_xlfn.XLOOKUP(Table1[[#This Row], [TEAM]],Sheet1!$A$12:$A$17,Sheet1!$G$12:$G$17)</f>
        <v>5932950</v>
      </c>
      <c r="D2103" t="s">
        <v>22</v>
      </c>
      <c r="E2103" s="4">
        <f>_xlfn.XLOOKUP(Table1[[#This Row], [ROOM]],Sheet1!$A$47:$A$66,Sheet1!$B$47:$B$66)</f>
        <v>235</v>
      </c>
      <c r="F2103" t="s">
        <v>58</v>
      </c>
      <c r="G2103" s="4">
        <f>_xlfn.XLOOKUP(Table1[[#This Row], [DISGUISE]],Sheet1!$A$21:$A$23,Sheet1!$B$21:$B$23)*Table1[[#This Row], [NUM OF MEM]]*(1+_xlfn.XLOOKUP(Table1[[#This Row], [DISGUISE]],Sheet1!$A$21:$A$23,Sheet1!$C$21:$C$23))</f>
        <v>25600</v>
      </c>
      <c r="H2103" s="13" t="s">
        <v>66</v>
      </c>
      <c r="I2103" s="4">
        <f>_xlfn.XLOOKUP(Table1[[#This Row], [WEAPON]],Sheet1!$A$27:$A$29,Sheet1!$B$27:$B$29)*Table1[[#This Row], [NUM OF MEM]]*(1+_xlfn.XLOOKUP(Table1[[#This Row], [WEAPON]],Sheet1!$A$27:$A$29,Sheet1!$C$27:$C$29))</f>
        <v>72000</v>
      </c>
      <c r="J2103" t="s">
        <v>64</v>
      </c>
      <c r="K2103" s="9">
        <f>Table1[[#This Row], [NUM OF MEM]]*Table1[[#This Row], [TOTAL TIME TAKEN]]*_xlfn.XLOOKUP(Table1[[#This Row], [EXIT]],Sheet1!$A$70:$A$71,Sheet1!$B$70:$B$71)*(1+_xlfn.XLOOKUP(Table1[[#This Row], [EXIT]],Sheet1!$A$70:$A$71,Sheet1!$C$70:$C$71))</f>
        <v>1811613.5999999996</v>
      </c>
      <c r="L2103" s="13" t="s">
        <v>61</v>
      </c>
      <c r="M2103" s="4">
        <f>IF(Table1[[#This Row], [EQUIPMENT]]="YES",Sheet1!$C$44*(1+Sheet1!$D$44),0)</f>
        <v>0</v>
      </c>
      <c r="N2103" s="4">
        <f>_xlfn.XLOOKUP(Table1[[#This Row], [ROOM]],Sheet1!$A$47:$A$66,Sheet1!$F$47:$F$66)</f>
        <v>17800000</v>
      </c>
      <c r="O2103" s="9">
        <f>_xlfn.XLOOKUP(_xlfn.CONCAT(Table1[[#This Row], [TEAM]],Table1[[#This Row], [ROOM]]),'ROOM TIME'!$H$2:$H$121,'ROOM TIME'!$J$2:$J$121)</f>
        <v>62.392499999999977</v>
      </c>
      <c r="P2103" s="9">
        <f>(INDEX(Sheet1!$X$48:$Z$67,MATCH(Table1[[#This Row], [ROOM]],Sheet1!$P$48:$P$67,0),MATCH(Table1[[#This Row], [WEAPON]],Sheet1!$X$47:$Z$47,0)))/Table1[[#This Row], [NUM OF MEM]]</f>
        <v>7.5</v>
      </c>
      <c r="Q2103" s="9">
        <f>Table1[[#This Row], [ROOM TIME]]+Table1[[#This Row], [GUARD TIME]]</f>
        <v>69.892499999999984</v>
      </c>
      <c r="R2103" s="4">
        <f>Sheet1!$K$3*_xlfn.XLOOKUP(Table1[[#This Row], [DISGUISE]],Sheet1!$A$21:$A$23,Sheet1!$D$21:$D$23)</f>
        <v>69</v>
      </c>
      <c r="S2103" s="9">
        <f>Table1[[#This Row], [TOTAL TIME]]-Table1[[#This Row], [TOTAL TIME TAKEN]]</f>
        <v>-0.89249999999998408</v>
      </c>
      <c r="T2103" t="str">
        <f>IF(Table1[[#This Row], [TIME DIFFERENCE]]&gt;=0,"PASS","FAIL")</f>
        <v>FAIL</v>
      </c>
      <c r="U2103" s="9">
        <f>Table1[[#This Row], [TRC]]+Table1[[#This Row], [DRC]]+Table1[[#This Row], [WRC]]+Table1[[#This Row], [ERC]]+Table1[[#This Row], [EQRC]]</f>
        <v>7842163.5999999996</v>
      </c>
      <c r="V2103" s="9">
        <f>Table1[[#This Row], [TOTAL COST]]+_xlfn.XLOOKUP(Table1[[#This Row], [TEAM]],Sheet1!$A$12:$A$17,Sheet1!$I$12:$I$17)</f>
        <v>8138811.0999999996</v>
      </c>
      <c r="W2103" s="9">
        <f>Table1[[#This Row], [LOOT]]-Table1[[#This Row], [TOTAL COST]]</f>
        <v>9957836.4000000004</v>
      </c>
      <c r="X2103" s="4">
        <f>IF(Table1[[#This Row], [PASS/FAIL]]="FAIL",0,Table1[[#This Row], [PROFIT]])</f>
        <v>0</v>
      </c>
    </row>
    <row r="2104" spans="1:24" ht="19.5" customHeight="1" x14ac:dyDescent="0.45">
      <c r="A2104" t="s">
        <v>15</v>
      </c>
      <c r="B2104" s="14">
        <f>_xlfn.XLOOKUP(Table1[[#This Row], [TEAM]],Sheet1!$A$12:$A$17,Sheet1!$F$12:$F$17)</f>
        <v>2</v>
      </c>
      <c r="C2104" s="14">
        <f>_xlfn.XLOOKUP(Table1[[#This Row], [TEAM]],Sheet1!$A$12:$A$17,Sheet1!$G$12:$G$17)</f>
        <v>5932950</v>
      </c>
      <c r="D2104" t="s">
        <v>22</v>
      </c>
      <c r="E2104" s="4">
        <f>_xlfn.XLOOKUP(Table1[[#This Row], [ROOM]],Sheet1!$A$47:$A$66,Sheet1!$B$47:$B$66)</f>
        <v>235</v>
      </c>
      <c r="F2104" t="s">
        <v>62</v>
      </c>
      <c r="G2104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4" s="13" t="s">
        <v>63</v>
      </c>
      <c r="I2104" s="4">
        <f>_xlfn.XLOOKUP(Table1[[#This Row], [WEAPON]],Sheet1!$A$27:$A$29,Sheet1!$B$27:$B$29)*Table1[[#This Row], [NUM OF MEM]]*(1+_xlfn.XLOOKUP(Table1[[#This Row], [WEAPON]],Sheet1!$A$27:$A$29,Sheet1!$C$27:$C$29))</f>
        <v>46000</v>
      </c>
      <c r="J2104" t="s">
        <v>60</v>
      </c>
      <c r="K2104" s="9">
        <f>Table1[[#This Row], [NUM OF MEM]]*Table1[[#This Row], [TOTAL TIME TAKEN]]*_xlfn.XLOOKUP(Table1[[#This Row], [EXIT]],Sheet1!$A$70:$A$71,Sheet1!$B$70:$B$71)*(1+_xlfn.XLOOKUP(Table1[[#This Row], [EXIT]],Sheet1!$A$70:$A$71,Sheet1!$C$70:$C$71))</f>
        <v>1809190.0124999993</v>
      </c>
      <c r="L2104" s="13" t="s">
        <v>65</v>
      </c>
      <c r="M2104" s="4">
        <f>IF(Table1[[#This Row], [EQUIPMENT]]="YES",Sheet1!$C$44*(1+Sheet1!$D$44),0)</f>
        <v>307500</v>
      </c>
      <c r="N2104" s="4">
        <f>_xlfn.XLOOKUP(Table1[[#This Row], [ROOM]],Sheet1!$A$47:$A$66,Sheet1!$F$47:$F$66)</f>
        <v>17800000</v>
      </c>
      <c r="O2104" s="9">
        <f>_xlfn.XLOOKUP(_xlfn.CONCAT(Table1[[#This Row], [TEAM]],Table1[[#This Row], [ROOM]]),'ROOM TIME'!$H$2:$H$121,'ROOM TIME'!$J$2:$J$121)</f>
        <v>62.392499999999977</v>
      </c>
      <c r="P2104" s="9">
        <f>(INDEX(Sheet1!$X$48:$Z$67,MATCH(Table1[[#This Row], [ROOM]],Sheet1!$P$48:$P$67,0),MATCH(Table1[[#This Row], [WEAPON]],Sheet1!$X$47:$Z$47,0)))/Table1[[#This Row], [NUM OF MEM]]</f>
        <v>8.1000000000000014</v>
      </c>
      <c r="Q2104" s="9">
        <f>Table1[[#This Row], [ROOM TIME]]+Table1[[#This Row], [GUARD TIME]]</f>
        <v>70.492499999999978</v>
      </c>
      <c r="R2104" s="4">
        <f>Sheet1!$K$3*_xlfn.XLOOKUP(Table1[[#This Row], [DISGUISE]],Sheet1!$A$21:$A$23,Sheet1!$D$21:$D$23)</f>
        <v>66</v>
      </c>
      <c r="S2104" s="9">
        <f>Table1[[#This Row], [TOTAL TIME]]-Table1[[#This Row], [TOTAL TIME TAKEN]]</f>
        <v>-4.4924999999999784</v>
      </c>
      <c r="T2104" t="str">
        <f>IF(Table1[[#This Row], [TIME DIFFERENCE]]&gt;=0,"PASS","FAIL")</f>
        <v>FAIL</v>
      </c>
      <c r="U2104" s="9">
        <f>Table1[[#This Row], [TRC]]+Table1[[#This Row], [DRC]]+Table1[[#This Row], [WRC]]+Table1[[#This Row], [ERC]]+Table1[[#This Row], [EQRC]]</f>
        <v>8106040.0124999993</v>
      </c>
      <c r="V2104" s="9">
        <f>Table1[[#This Row], [TOTAL COST]]+_xlfn.XLOOKUP(Table1[[#This Row], [TEAM]],Sheet1!$A$12:$A$17,Sheet1!$I$12:$I$17)</f>
        <v>8402687.5124999993</v>
      </c>
      <c r="W2104" s="9">
        <f>Table1[[#This Row], [LOOT]]-Table1[[#This Row], [TOTAL COST]]</f>
        <v>9693959.9875000007</v>
      </c>
      <c r="X2104" s="4">
        <f>IF(Table1[[#This Row], [PASS/FAIL]]="FAIL",0,Table1[[#This Row], [PROFIT]])</f>
        <v>0</v>
      </c>
    </row>
    <row r="2105" spans="1:24" ht="19.5" customHeight="1" x14ac:dyDescent="0.45">
      <c r="A2105" t="s">
        <v>15</v>
      </c>
      <c r="B2105" s="14">
        <f>_xlfn.XLOOKUP(Table1[[#This Row], [TEAM]],Sheet1!$A$12:$A$17,Sheet1!$F$12:$F$17)</f>
        <v>2</v>
      </c>
      <c r="C2105" s="14">
        <f>_xlfn.XLOOKUP(Table1[[#This Row], [TEAM]],Sheet1!$A$12:$A$17,Sheet1!$G$12:$G$17)</f>
        <v>5932950</v>
      </c>
      <c r="D2105" t="s">
        <v>22</v>
      </c>
      <c r="E2105" s="4">
        <f>_xlfn.XLOOKUP(Table1[[#This Row], [ROOM]],Sheet1!$A$47:$A$66,Sheet1!$B$47:$B$66)</f>
        <v>235</v>
      </c>
      <c r="F2105" t="s">
        <v>62</v>
      </c>
      <c r="G210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5" s="13" t="s">
        <v>66</v>
      </c>
      <c r="I2105" s="4">
        <f>_xlfn.XLOOKUP(Table1[[#This Row], [WEAPON]],Sheet1!$A$27:$A$29,Sheet1!$B$27:$B$29)*Table1[[#This Row], [NUM OF MEM]]*(1+_xlfn.XLOOKUP(Table1[[#This Row], [WEAPON]],Sheet1!$A$27:$A$29,Sheet1!$C$27:$C$29))</f>
        <v>72000</v>
      </c>
      <c r="J2105" t="s">
        <v>60</v>
      </c>
      <c r="K2105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1793791.0124999997</v>
      </c>
      <c r="L2105" s="13" t="s">
        <v>65</v>
      </c>
      <c r="M2105" s="4">
        <f>IF(Table1[[#This Row], [EQUIPMENT]]="YES",Sheet1!$C$44*(1+Sheet1!$D$44),0)</f>
        <v>307500</v>
      </c>
      <c r="N2105" s="4">
        <f>_xlfn.XLOOKUP(Table1[[#This Row], [ROOM]],Sheet1!$A$47:$A$66,Sheet1!$F$47:$F$66)</f>
        <v>17800000</v>
      </c>
      <c r="O2105" s="9">
        <f>_xlfn.XLOOKUP(_xlfn.CONCAT(Table1[[#This Row], [TEAM]],Table1[[#This Row], [ROOM]]),'ROOM TIME'!$H$2:$H$121,'ROOM TIME'!$J$2:$J$121)</f>
        <v>62.392499999999977</v>
      </c>
      <c r="P2105" s="9">
        <f>(INDEX(Sheet1!$X$48:$Z$67,MATCH(Table1[[#This Row], [ROOM]],Sheet1!$P$48:$P$67,0),MATCH(Table1[[#This Row], [WEAPON]],Sheet1!$X$47:$Z$47,0)))/Table1[[#This Row], [NUM OF MEM]]</f>
        <v>7.5</v>
      </c>
      <c r="Q2105" s="9">
        <f>Table1[[#This Row], [ROOM TIME]]+Table1[[#This Row], [GUARD TIME]]</f>
        <v>69.892499999999984</v>
      </c>
      <c r="R2105" s="4">
        <f>Sheet1!$K$3*_xlfn.XLOOKUP(Table1[[#This Row], [DISGUISE]],Sheet1!$A$21:$A$23,Sheet1!$D$21:$D$23)</f>
        <v>66</v>
      </c>
      <c r="S2105" s="9">
        <f>Table1[[#This Row], [TOTAL TIME]]-Table1[[#This Row], [TOTAL TIME TAKEN]]</f>
        <v>-3.8924999999999841</v>
      </c>
      <c r="T2105" t="str">
        <f>IF(Table1[[#This Row], [TIME DIFFERENCE]]&gt;=0,"PASS","FAIL")</f>
        <v>FAIL</v>
      </c>
      <c r="U2105" s="9">
        <f>Table1[[#This Row], [TRC]]+Table1[[#This Row], [DRC]]+Table1[[#This Row], [WRC]]+Table1[[#This Row], [ERC]]+Table1[[#This Row], [EQRC]]</f>
        <v>8116641.0124999993</v>
      </c>
      <c r="V2105" s="9">
        <f>Table1[[#This Row], [TOTAL COST]]+_xlfn.XLOOKUP(Table1[[#This Row], [TEAM]],Sheet1!$A$12:$A$17,Sheet1!$I$12:$I$17)</f>
        <v>8413288.5124999993</v>
      </c>
      <c r="W2105" s="9">
        <f>Table1[[#This Row], [LOOT]]-Table1[[#This Row], [TOTAL COST]]</f>
        <v>9683358.9875000007</v>
      </c>
      <c r="X2105" s="4">
        <f>IF(Table1[[#This Row], [PASS/FAIL]]="FAIL",0,Table1[[#This Row], [PROFIT]])</f>
        <v>0</v>
      </c>
    </row>
    <row r="2106" spans="1:24" ht="19.5" customHeight="1" x14ac:dyDescent="0.45">
      <c r="A2106" t="s">
        <v>15</v>
      </c>
      <c r="B2106" s="14">
        <f>_xlfn.XLOOKUP(Table1[[#This Row], [TEAM]],Sheet1!$A$12:$A$17,Sheet1!$F$12:$F$17)</f>
        <v>2</v>
      </c>
      <c r="C2106" s="14">
        <f>_xlfn.XLOOKUP(Table1[[#This Row], [TEAM]],Sheet1!$A$12:$A$17,Sheet1!$G$12:$G$17)</f>
        <v>5932950</v>
      </c>
      <c r="D2106" t="s">
        <v>22</v>
      </c>
      <c r="E2106" s="4">
        <f>_xlfn.XLOOKUP(Table1[[#This Row], [ROOM]],Sheet1!$A$47:$A$66,Sheet1!$B$47:$B$66)</f>
        <v>235</v>
      </c>
      <c r="F2106" t="s">
        <v>58</v>
      </c>
      <c r="G2106" s="4">
        <f>_xlfn.XLOOKUP(Table1[[#This Row], [DISGUISE]],Sheet1!$A$21:$A$23,Sheet1!$B$21:$B$23)*Table1[[#This Row], [NUM OF MEM]]*(1+_xlfn.XLOOKUP(Table1[[#This Row], [DISGUISE]],Sheet1!$A$21:$A$23,Sheet1!$C$21:$C$23))</f>
        <v>25600</v>
      </c>
      <c r="H2106" s="13" t="s">
        <v>66</v>
      </c>
      <c r="I2106" s="4">
        <f>_xlfn.XLOOKUP(Table1[[#This Row], [WEAPON]],Sheet1!$A$27:$A$29,Sheet1!$B$27:$B$29)*Table1[[#This Row], [NUM OF MEM]]*(1+_xlfn.XLOOKUP(Table1[[#This Row], [WEAPON]],Sheet1!$A$27:$A$29,Sheet1!$C$27:$C$29))</f>
        <v>72000</v>
      </c>
      <c r="J2106" t="s">
        <v>60</v>
      </c>
      <c r="K2106" s="9">
        <f>Table1[[#This Row], [NUM OF MEM]]*Table1[[#This Row], [TOTAL TIME TAKEN]]*_xlfn.XLOOKUP(Table1[[#This Row], [EXIT]],Sheet1!$A$70:$A$71,Sheet1!$B$70:$B$71)*(1+_xlfn.XLOOKUP(Table1[[#This Row], [EXIT]],Sheet1!$A$70:$A$71,Sheet1!$C$70:$C$71))</f>
        <v>1793791.0124999997</v>
      </c>
      <c r="L2106" s="13" t="s">
        <v>65</v>
      </c>
      <c r="M2106" s="4">
        <f>IF(Table1[[#This Row], [EQUIPMENT]]="YES",Sheet1!$C$44*(1+Sheet1!$D$44),0)</f>
        <v>307500</v>
      </c>
      <c r="N2106" s="4">
        <f>_xlfn.XLOOKUP(Table1[[#This Row], [ROOM]],Sheet1!$A$47:$A$66,Sheet1!$F$47:$F$66)</f>
        <v>17800000</v>
      </c>
      <c r="O2106" s="9">
        <f>_xlfn.XLOOKUP(_xlfn.CONCAT(Table1[[#This Row], [TEAM]],Table1[[#This Row], [ROOM]]),'ROOM TIME'!$H$2:$H$121,'ROOM TIME'!$J$2:$J$121)</f>
        <v>62.392499999999977</v>
      </c>
      <c r="P2106" s="9">
        <f>(INDEX(Sheet1!$X$48:$Z$67,MATCH(Table1[[#This Row], [ROOM]],Sheet1!$P$48:$P$67,0),MATCH(Table1[[#This Row], [WEAPON]],Sheet1!$X$47:$Z$47,0)))/Table1[[#This Row], [NUM OF MEM]]</f>
        <v>7.5</v>
      </c>
      <c r="Q2106" s="9">
        <f>Table1[[#This Row], [ROOM TIME]]+Table1[[#This Row], [GUARD TIME]]</f>
        <v>69.892499999999984</v>
      </c>
      <c r="R2106" s="4">
        <f>Sheet1!$K$3*_xlfn.XLOOKUP(Table1[[#This Row], [DISGUISE]],Sheet1!$A$21:$A$23,Sheet1!$D$21:$D$23)</f>
        <v>69</v>
      </c>
      <c r="S2106" s="9">
        <f>Table1[[#This Row], [TOTAL TIME]]-Table1[[#This Row], [TOTAL TIME TAKEN]]</f>
        <v>-0.89249999999998408</v>
      </c>
      <c r="T2106" t="str">
        <f>IF(Table1[[#This Row], [TIME DIFFERENCE]]&gt;=0,"PASS","FAIL")</f>
        <v>FAIL</v>
      </c>
      <c r="U2106" s="9">
        <f>Table1[[#This Row], [TRC]]+Table1[[#This Row], [DRC]]+Table1[[#This Row], [WRC]]+Table1[[#This Row], [ERC]]+Table1[[#This Row], [EQRC]]</f>
        <v>8131841.0124999993</v>
      </c>
      <c r="V2106" s="9">
        <f>Table1[[#This Row], [TOTAL COST]]+_xlfn.XLOOKUP(Table1[[#This Row], [TEAM]],Sheet1!$A$12:$A$17,Sheet1!$I$12:$I$17)</f>
        <v>8428488.5124999993</v>
      </c>
      <c r="W2106" s="9">
        <f>Table1[[#This Row], [LOOT]]-Table1[[#This Row], [TOTAL COST]]</f>
        <v>9668158.9875000007</v>
      </c>
      <c r="X2106" s="4">
        <f>IF(Table1[[#This Row], [PASS/FAIL]]="FAIL",0,Table1[[#This Row], [PROFIT]])</f>
        <v>0</v>
      </c>
    </row>
    <row r="2107" spans="1:24" ht="19.5" customHeight="1" x14ac:dyDescent="0.45">
      <c r="A2107" t="s">
        <v>15</v>
      </c>
      <c r="B2107" s="14">
        <f>_xlfn.XLOOKUP(Table1[[#This Row], [TEAM]],Sheet1!$A$12:$A$17,Sheet1!$F$12:$F$17)</f>
        <v>2</v>
      </c>
      <c r="C2107" s="14">
        <f>_xlfn.XLOOKUP(Table1[[#This Row], [TEAM]],Sheet1!$A$12:$A$17,Sheet1!$G$12:$G$17)</f>
        <v>5932950</v>
      </c>
      <c r="D2107" t="s">
        <v>22</v>
      </c>
      <c r="E2107" s="4">
        <f>_xlfn.XLOOKUP(Table1[[#This Row], [ROOM]],Sheet1!$A$47:$A$66,Sheet1!$B$47:$B$66)</f>
        <v>235</v>
      </c>
      <c r="F2107" t="s">
        <v>62</v>
      </c>
      <c r="G210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7" s="13" t="s">
        <v>63</v>
      </c>
      <c r="I2107" s="4">
        <f>_xlfn.XLOOKUP(Table1[[#This Row], [WEAPON]],Sheet1!$A$27:$A$29,Sheet1!$B$27:$B$29)*Table1[[#This Row], [NUM OF MEM]]*(1+_xlfn.XLOOKUP(Table1[[#This Row], [WEAPON]],Sheet1!$A$27:$A$29,Sheet1!$C$27:$C$29))</f>
        <v>46000</v>
      </c>
      <c r="J2107" t="s">
        <v>64</v>
      </c>
      <c r="K2107" s="9">
        <f>Table1[[#This Row], [NUM OF MEM]]*Table1[[#This Row], [TOTAL TIME TAKEN]]*_xlfn.XLOOKUP(Table1[[#This Row], [EXIT]],Sheet1!$A$70:$A$71,Sheet1!$B$70:$B$71)*(1+_xlfn.XLOOKUP(Table1[[#This Row], [EXIT]],Sheet1!$A$70:$A$71,Sheet1!$C$70:$C$71))</f>
        <v>1827165.5999999994</v>
      </c>
      <c r="L2107" s="13" t="s">
        <v>65</v>
      </c>
      <c r="M2107" s="4">
        <f>IF(Table1[[#This Row], [EQUIPMENT]]="YES",Sheet1!$C$44*(1+Sheet1!$D$44),0)</f>
        <v>307500</v>
      </c>
      <c r="N2107" s="4">
        <f>_xlfn.XLOOKUP(Table1[[#This Row], [ROOM]],Sheet1!$A$47:$A$66,Sheet1!$F$47:$F$66)</f>
        <v>17800000</v>
      </c>
      <c r="O2107" s="9">
        <f>_xlfn.XLOOKUP(_xlfn.CONCAT(Table1[[#This Row], [TEAM]],Table1[[#This Row], [ROOM]]),'ROOM TIME'!$H$2:$H$121,'ROOM TIME'!$J$2:$J$121)</f>
        <v>62.392499999999977</v>
      </c>
      <c r="P2107" s="9">
        <f>(INDEX(Sheet1!$X$48:$Z$67,MATCH(Table1[[#This Row], [ROOM]],Sheet1!$P$48:$P$67,0),MATCH(Table1[[#This Row], [WEAPON]],Sheet1!$X$47:$Z$47,0)))/Table1[[#This Row], [NUM OF MEM]]</f>
        <v>8.1000000000000014</v>
      </c>
      <c r="Q2107" s="9">
        <f>Table1[[#This Row], [ROOM TIME]]+Table1[[#This Row], [GUARD TIME]]</f>
        <v>70.492499999999978</v>
      </c>
      <c r="R2107" s="4">
        <f>Sheet1!$K$3*_xlfn.XLOOKUP(Table1[[#This Row], [DISGUISE]],Sheet1!$A$21:$A$23,Sheet1!$D$21:$D$23)</f>
        <v>66</v>
      </c>
      <c r="S2107" s="9">
        <f>Table1[[#This Row], [TOTAL TIME]]-Table1[[#This Row], [TOTAL TIME TAKEN]]</f>
        <v>-4.4924999999999784</v>
      </c>
      <c r="T2107" t="str">
        <f>IF(Table1[[#This Row], [TIME DIFFERENCE]]&gt;=0,"PASS","FAIL")</f>
        <v>FAIL</v>
      </c>
      <c r="U2107" s="9">
        <f>Table1[[#This Row], [TRC]]+Table1[[#This Row], [DRC]]+Table1[[#This Row], [WRC]]+Table1[[#This Row], [ERC]]+Table1[[#This Row], [EQRC]]</f>
        <v>8124015.5999999996</v>
      </c>
      <c r="V2107" s="9">
        <f>Table1[[#This Row], [TOTAL COST]]+_xlfn.XLOOKUP(Table1[[#This Row], [TEAM]],Sheet1!$A$12:$A$17,Sheet1!$I$12:$I$17)</f>
        <v>8420663.0999999996</v>
      </c>
      <c r="W2107" s="9">
        <f>Table1[[#This Row], [LOOT]]-Table1[[#This Row], [TOTAL COST]]</f>
        <v>9675984.4000000004</v>
      </c>
      <c r="X2107" s="4">
        <f>IF(Table1[[#This Row], [PASS/FAIL]]="FAIL",0,Table1[[#This Row], [PROFIT]])</f>
        <v>0</v>
      </c>
    </row>
    <row r="2108" spans="1:24" ht="19.5" customHeight="1" x14ac:dyDescent="0.45">
      <c r="A2108" t="s">
        <v>15</v>
      </c>
      <c r="B2108" s="14">
        <f>_xlfn.XLOOKUP(Table1[[#This Row], [TEAM]],Sheet1!$A$12:$A$17,Sheet1!$F$12:$F$17)</f>
        <v>2</v>
      </c>
      <c r="C2108" s="14">
        <f>_xlfn.XLOOKUP(Table1[[#This Row], [TEAM]],Sheet1!$A$12:$A$17,Sheet1!$G$12:$G$17)</f>
        <v>5932950</v>
      </c>
      <c r="D2108" t="s">
        <v>22</v>
      </c>
      <c r="E2108" s="4">
        <f>_xlfn.XLOOKUP(Table1[[#This Row], [ROOM]],Sheet1!$A$47:$A$66,Sheet1!$B$47:$B$66)</f>
        <v>235</v>
      </c>
      <c r="F2108" t="s">
        <v>62</v>
      </c>
      <c r="G210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08" s="13" t="s">
        <v>66</v>
      </c>
      <c r="I2108" s="4">
        <f>_xlfn.XLOOKUP(Table1[[#This Row], [WEAPON]],Sheet1!$A$27:$A$29,Sheet1!$B$27:$B$29)*Table1[[#This Row], [NUM OF MEM]]*(1+_xlfn.XLOOKUP(Table1[[#This Row], [WEAPON]],Sheet1!$A$27:$A$29,Sheet1!$C$27:$C$29))</f>
        <v>72000</v>
      </c>
      <c r="J2108" t="s">
        <v>64</v>
      </c>
      <c r="K2108" s="9">
        <f>Table1[[#This Row], [NUM OF MEM]]*Table1[[#This Row], [TOTAL TIME TAKEN]]*_xlfn.XLOOKUP(Table1[[#This Row], [EXIT]],Sheet1!$A$70:$A$71,Sheet1!$B$70:$B$71)*(1+_xlfn.XLOOKUP(Table1[[#This Row], [EXIT]],Sheet1!$A$70:$A$71,Sheet1!$C$70:$C$71))</f>
        <v>1811613.5999999996</v>
      </c>
      <c r="L2108" s="13" t="s">
        <v>65</v>
      </c>
      <c r="M2108" s="4">
        <f>IF(Table1[[#This Row], [EQUIPMENT]]="YES",Sheet1!$C$44*(1+Sheet1!$D$44),0)</f>
        <v>307500</v>
      </c>
      <c r="N2108" s="4">
        <f>_xlfn.XLOOKUP(Table1[[#This Row], [ROOM]],Sheet1!$A$47:$A$66,Sheet1!$F$47:$F$66)</f>
        <v>17800000</v>
      </c>
      <c r="O2108" s="9">
        <f>_xlfn.XLOOKUP(_xlfn.CONCAT(Table1[[#This Row], [TEAM]],Table1[[#This Row], [ROOM]]),'ROOM TIME'!$H$2:$H$121,'ROOM TIME'!$J$2:$J$121)</f>
        <v>62.392499999999977</v>
      </c>
      <c r="P2108" s="9">
        <f>(INDEX(Sheet1!$X$48:$Z$67,MATCH(Table1[[#This Row], [ROOM]],Sheet1!$P$48:$P$67,0),MATCH(Table1[[#This Row], [WEAPON]],Sheet1!$X$47:$Z$47,0)))/Table1[[#This Row], [NUM OF MEM]]</f>
        <v>7.5</v>
      </c>
      <c r="Q2108" s="9">
        <f>Table1[[#This Row], [ROOM TIME]]+Table1[[#This Row], [GUARD TIME]]</f>
        <v>69.892499999999984</v>
      </c>
      <c r="R2108" s="4">
        <f>Sheet1!$K$3*_xlfn.XLOOKUP(Table1[[#This Row], [DISGUISE]],Sheet1!$A$21:$A$23,Sheet1!$D$21:$D$23)</f>
        <v>66</v>
      </c>
      <c r="S2108" s="9">
        <f>Table1[[#This Row], [TOTAL TIME]]-Table1[[#This Row], [TOTAL TIME TAKEN]]</f>
        <v>-3.8924999999999841</v>
      </c>
      <c r="T2108" t="str">
        <f>IF(Table1[[#This Row], [TIME DIFFERENCE]]&gt;=0,"PASS","FAIL")</f>
        <v>FAIL</v>
      </c>
      <c r="U2108" s="9">
        <f>Table1[[#This Row], [TRC]]+Table1[[#This Row], [DRC]]+Table1[[#This Row], [WRC]]+Table1[[#This Row], [ERC]]+Table1[[#This Row], [EQRC]]</f>
        <v>8134463.5999999996</v>
      </c>
      <c r="V2108" s="9">
        <f>Table1[[#This Row], [TOTAL COST]]+_xlfn.XLOOKUP(Table1[[#This Row], [TEAM]],Sheet1!$A$12:$A$17,Sheet1!$I$12:$I$17)</f>
        <v>8431111.0999999996</v>
      </c>
      <c r="W2108" s="9">
        <f>Table1[[#This Row], [LOOT]]-Table1[[#This Row], [TOTAL COST]]</f>
        <v>9665536.4000000004</v>
      </c>
      <c r="X2108" s="4">
        <f>IF(Table1[[#This Row], [PASS/FAIL]]="FAIL",0,Table1[[#This Row], [PROFIT]])</f>
        <v>0</v>
      </c>
    </row>
    <row r="2109" spans="1:24" ht="19.5" customHeight="1" x14ac:dyDescent="0.45">
      <c r="A2109" t="s">
        <v>15</v>
      </c>
      <c r="B2109" s="14">
        <f>_xlfn.XLOOKUP(Table1[[#This Row], [TEAM]],Sheet1!$A$12:$A$17,Sheet1!$F$12:$F$17)</f>
        <v>2</v>
      </c>
      <c r="C2109" s="14">
        <f>_xlfn.XLOOKUP(Table1[[#This Row], [TEAM]],Sheet1!$A$12:$A$17,Sheet1!$G$12:$G$17)</f>
        <v>5932950</v>
      </c>
      <c r="D2109" t="s">
        <v>22</v>
      </c>
      <c r="E2109" s="4">
        <f>_xlfn.XLOOKUP(Table1[[#This Row], [ROOM]],Sheet1!$A$47:$A$66,Sheet1!$B$47:$B$66)</f>
        <v>235</v>
      </c>
      <c r="F2109" t="s">
        <v>58</v>
      </c>
      <c r="G2109" s="4">
        <f>_xlfn.XLOOKUP(Table1[[#This Row], [DISGUISE]],Sheet1!$A$21:$A$23,Sheet1!$B$21:$B$23)*Table1[[#This Row], [NUM OF MEM]]*(1+_xlfn.XLOOKUP(Table1[[#This Row], [DISGUISE]],Sheet1!$A$21:$A$23,Sheet1!$C$21:$C$23))</f>
        <v>25600</v>
      </c>
      <c r="H2109" s="13" t="s">
        <v>66</v>
      </c>
      <c r="I2109" s="4">
        <f>_xlfn.XLOOKUP(Table1[[#This Row], [WEAPON]],Sheet1!$A$27:$A$29,Sheet1!$B$27:$B$29)*Table1[[#This Row], [NUM OF MEM]]*(1+_xlfn.XLOOKUP(Table1[[#This Row], [WEAPON]],Sheet1!$A$27:$A$29,Sheet1!$C$27:$C$29))</f>
        <v>72000</v>
      </c>
      <c r="J2109" t="s">
        <v>64</v>
      </c>
      <c r="K2109" s="9">
        <f>Table1[[#This Row], [NUM OF MEM]]*Table1[[#This Row], [TOTAL TIME TAKEN]]*_xlfn.XLOOKUP(Table1[[#This Row], [EXIT]],Sheet1!$A$70:$A$71,Sheet1!$B$70:$B$71)*(1+_xlfn.XLOOKUP(Table1[[#This Row], [EXIT]],Sheet1!$A$70:$A$71,Sheet1!$C$70:$C$71))</f>
        <v>1811613.5999999996</v>
      </c>
      <c r="L2109" s="13" t="s">
        <v>65</v>
      </c>
      <c r="M2109" s="4">
        <f>IF(Table1[[#This Row], [EQUIPMENT]]="YES",Sheet1!$C$44*(1+Sheet1!$D$44),0)</f>
        <v>307500</v>
      </c>
      <c r="N2109" s="4">
        <f>_xlfn.XLOOKUP(Table1[[#This Row], [ROOM]],Sheet1!$A$47:$A$66,Sheet1!$F$47:$F$66)</f>
        <v>17800000</v>
      </c>
      <c r="O2109" s="9">
        <f>_xlfn.XLOOKUP(_xlfn.CONCAT(Table1[[#This Row], [TEAM]],Table1[[#This Row], [ROOM]]),'ROOM TIME'!$H$2:$H$121,'ROOM TIME'!$J$2:$J$121)</f>
        <v>62.392499999999977</v>
      </c>
      <c r="P2109" s="9">
        <f>(INDEX(Sheet1!$X$48:$Z$67,MATCH(Table1[[#This Row], [ROOM]],Sheet1!$P$48:$P$67,0),MATCH(Table1[[#This Row], [WEAPON]],Sheet1!$X$47:$Z$47,0)))/Table1[[#This Row], [NUM OF MEM]]</f>
        <v>7.5</v>
      </c>
      <c r="Q2109" s="9">
        <f>Table1[[#This Row], [ROOM TIME]]+Table1[[#This Row], [GUARD TIME]]</f>
        <v>69.892499999999984</v>
      </c>
      <c r="R2109" s="4">
        <f>Sheet1!$K$3*_xlfn.XLOOKUP(Table1[[#This Row], [DISGUISE]],Sheet1!$A$21:$A$23,Sheet1!$D$21:$D$23)</f>
        <v>69</v>
      </c>
      <c r="S2109" s="9">
        <f>Table1[[#This Row], [TOTAL TIME]]-Table1[[#This Row], [TOTAL TIME TAKEN]]</f>
        <v>-0.89249999999998408</v>
      </c>
      <c r="T2109" t="str">
        <f>IF(Table1[[#This Row], [TIME DIFFERENCE]]&gt;=0,"PASS","FAIL")</f>
        <v>FAIL</v>
      </c>
      <c r="U2109" s="9">
        <f>Table1[[#This Row], [TRC]]+Table1[[#This Row], [DRC]]+Table1[[#This Row], [WRC]]+Table1[[#This Row], [ERC]]+Table1[[#This Row], [EQRC]]</f>
        <v>8149663.5999999996</v>
      </c>
      <c r="V2109" s="9">
        <f>Table1[[#This Row], [TOTAL COST]]+_xlfn.XLOOKUP(Table1[[#This Row], [TEAM]],Sheet1!$A$12:$A$17,Sheet1!$I$12:$I$17)</f>
        <v>8446311.0999999996</v>
      </c>
      <c r="W2109" s="9">
        <f>Table1[[#This Row], [LOOT]]-Table1[[#This Row], [TOTAL COST]]</f>
        <v>9650336.4000000004</v>
      </c>
      <c r="X2109" s="4">
        <f>IF(Table1[[#This Row], [PASS/FAIL]]="FAIL",0,Table1[[#This Row], [PROFIT]])</f>
        <v>0</v>
      </c>
    </row>
    <row r="2110" spans="1:24" ht="19.5" customHeight="1" x14ac:dyDescent="0.45">
      <c r="A2110" t="s">
        <v>16</v>
      </c>
      <c r="B2110" s="14">
        <f>_xlfn.XLOOKUP(Table1[[#This Row], [TEAM]],Sheet1!$A$12:$A$17,Sheet1!$F$12:$F$17)</f>
        <v>2</v>
      </c>
      <c r="C2110" s="14">
        <f>_xlfn.XLOOKUP(Table1[[#This Row], [TEAM]],Sheet1!$A$12:$A$17,Sheet1!$G$12:$G$17)</f>
        <v>6082800</v>
      </c>
      <c r="D2110" t="s">
        <v>22</v>
      </c>
      <c r="E2110" s="4">
        <f>_xlfn.XLOOKUP(Table1[[#This Row], [ROOM]],Sheet1!$A$47:$A$66,Sheet1!$B$47:$B$66)</f>
        <v>235</v>
      </c>
      <c r="F2110" t="s">
        <v>62</v>
      </c>
      <c r="G211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0" s="13" t="s">
        <v>59</v>
      </c>
      <c r="I2110" s="4">
        <f>_xlfn.XLOOKUP(Table1[[#This Row], [WEAPON]],Sheet1!$A$27:$A$29,Sheet1!$B$27:$B$29)*Table1[[#This Row], [NUM OF MEM]]*(1+_xlfn.XLOOKUP(Table1[[#This Row], [WEAPON]],Sheet1!$A$27:$A$29,Sheet1!$C$27:$C$29))</f>
        <v>91000</v>
      </c>
      <c r="J2110" t="s">
        <v>60</v>
      </c>
      <c r="K2110" s="9">
        <f>Table1[[#This Row], [NUM OF MEM]]*Table1[[#This Row], [TOTAL TIME TAKEN]]*_xlfn.XLOOKUP(Table1[[#This Row], [EXIT]],Sheet1!$A$70:$A$71,Sheet1!$B$70:$B$71)*(1+_xlfn.XLOOKUP(Table1[[#This Row], [EXIT]],Sheet1!$A$70:$A$71,Sheet1!$C$70:$C$71))</f>
        <v>1767773.1187499997</v>
      </c>
      <c r="L2110" s="13" t="s">
        <v>61</v>
      </c>
      <c r="M2110" s="4">
        <f>IF(Table1[[#This Row], [EQUIPMENT]]="YES",Sheet1!$C$44*(1+Sheet1!$D$44),0)</f>
        <v>0</v>
      </c>
      <c r="N2110" s="4">
        <f>_xlfn.XLOOKUP(Table1[[#This Row], [ROOM]],Sheet1!$A$47:$A$66,Sheet1!$F$47:$F$66)</f>
        <v>17800000</v>
      </c>
      <c r="O2110" s="9">
        <f>_xlfn.XLOOKUP(_xlfn.CONCAT(Table1[[#This Row], [TEAM]],Table1[[#This Row], [ROOM]]),'ROOM TIME'!$H$2:$H$121,'ROOM TIME'!$J$2:$J$121)</f>
        <v>61.978749999999984</v>
      </c>
      <c r="P2110" s="9">
        <f>(INDEX(Sheet1!$X$48:$Z$67,MATCH(Table1[[#This Row], [ROOM]],Sheet1!$P$48:$P$67,0),MATCH(Table1[[#This Row], [WEAPON]],Sheet1!$X$47:$Z$47,0)))/Table1[[#This Row], [NUM OF MEM]]</f>
        <v>6.8999999999999995</v>
      </c>
      <c r="Q2110" s="9">
        <f>Table1[[#This Row], [ROOM TIME]]+Table1[[#This Row], [GUARD TIME]]</f>
        <v>68.878749999999982</v>
      </c>
      <c r="R2110" s="4">
        <f>Sheet1!$K$3*_xlfn.XLOOKUP(Table1[[#This Row], [DISGUISE]],Sheet1!$A$21:$A$23,Sheet1!$D$21:$D$23)</f>
        <v>66</v>
      </c>
      <c r="S2110" s="9">
        <f>Table1[[#This Row], [TOTAL TIME]]-Table1[[#This Row], [TOTAL TIME TAKEN]]</f>
        <v>-2.8787499999999824</v>
      </c>
      <c r="T2110" t="str">
        <f>IF(Table1[[#This Row], [TIME DIFFERENCE]]&gt;=0,"PASS","FAIL")</f>
        <v>FAIL</v>
      </c>
      <c r="U2110" s="9">
        <f>Table1[[#This Row], [TRC]]+Table1[[#This Row], [DRC]]+Table1[[#This Row], [WRC]]+Table1[[#This Row], [ERC]]+Table1[[#This Row], [EQRC]]</f>
        <v>7951973.1187499994</v>
      </c>
      <c r="V2110" s="9">
        <f>Table1[[#This Row], [TOTAL COST]]+_xlfn.XLOOKUP(Table1[[#This Row], [TEAM]],Sheet1!$A$12:$A$17,Sheet1!$I$12:$I$17)</f>
        <v>8256113.1187499994</v>
      </c>
      <c r="W2110" s="9">
        <f>Table1[[#This Row], [LOOT]]-Table1[[#This Row], [TOTAL COST]]</f>
        <v>9848026.8812500015</v>
      </c>
      <c r="X2110" s="4">
        <f>IF(Table1[[#This Row], [PASS/FAIL]]="FAIL",0,Table1[[#This Row], [PROFIT]])</f>
        <v>0</v>
      </c>
    </row>
    <row r="2111" spans="1:24" ht="19.5" customHeight="1" x14ac:dyDescent="0.45">
      <c r="A2111" t="s">
        <v>16</v>
      </c>
      <c r="B2111" s="14">
        <f>_xlfn.XLOOKUP(Table1[[#This Row], [TEAM]],Sheet1!$A$12:$A$17,Sheet1!$F$12:$F$17)</f>
        <v>2</v>
      </c>
      <c r="C2111" s="14">
        <f>_xlfn.XLOOKUP(Table1[[#This Row], [TEAM]],Sheet1!$A$12:$A$17,Sheet1!$G$12:$G$17)</f>
        <v>6082800</v>
      </c>
      <c r="D2111" t="s">
        <v>22</v>
      </c>
      <c r="E2111" s="4">
        <f>_xlfn.XLOOKUP(Table1[[#This Row], [ROOM]],Sheet1!$A$47:$A$66,Sheet1!$B$47:$B$66)</f>
        <v>235</v>
      </c>
      <c r="F2111" t="s">
        <v>62</v>
      </c>
      <c r="G211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1" s="13" t="s">
        <v>59</v>
      </c>
      <c r="I2111" s="4">
        <f>_xlfn.XLOOKUP(Table1[[#This Row], [WEAPON]],Sheet1!$A$27:$A$29,Sheet1!$B$27:$B$29)*Table1[[#This Row], [NUM OF MEM]]*(1+_xlfn.XLOOKUP(Table1[[#This Row], [WEAPON]],Sheet1!$A$27:$A$29,Sheet1!$C$27:$C$29))</f>
        <v>91000</v>
      </c>
      <c r="J2111" t="s">
        <v>64</v>
      </c>
      <c r="K2111" s="9">
        <f>Table1[[#This Row], [NUM OF MEM]]*Table1[[#This Row], [TOTAL TIME TAKEN]]*_xlfn.XLOOKUP(Table1[[#This Row], [EXIT]],Sheet1!$A$70:$A$71,Sheet1!$B$70:$B$71)*(1+_xlfn.XLOOKUP(Table1[[#This Row], [EXIT]],Sheet1!$A$70:$A$71,Sheet1!$C$70:$C$71))</f>
        <v>1785337.1999999995</v>
      </c>
      <c r="L2111" s="13" t="s">
        <v>61</v>
      </c>
      <c r="M2111" s="4">
        <f>IF(Table1[[#This Row], [EQUIPMENT]]="YES",Sheet1!$C$44*(1+Sheet1!$D$44),0)</f>
        <v>0</v>
      </c>
      <c r="N2111" s="4">
        <f>_xlfn.XLOOKUP(Table1[[#This Row], [ROOM]],Sheet1!$A$47:$A$66,Sheet1!$F$47:$F$66)</f>
        <v>17800000</v>
      </c>
      <c r="O2111" s="9">
        <f>_xlfn.XLOOKUP(_xlfn.CONCAT(Table1[[#This Row], [TEAM]],Table1[[#This Row], [ROOM]]),'ROOM TIME'!$H$2:$H$121,'ROOM TIME'!$J$2:$J$121)</f>
        <v>61.978749999999984</v>
      </c>
      <c r="P2111" s="9">
        <f>(INDEX(Sheet1!$X$48:$Z$67,MATCH(Table1[[#This Row], [ROOM]],Sheet1!$P$48:$P$67,0),MATCH(Table1[[#This Row], [WEAPON]],Sheet1!$X$47:$Z$47,0)))/Table1[[#This Row], [NUM OF MEM]]</f>
        <v>6.8999999999999995</v>
      </c>
      <c r="Q2111" s="9">
        <f>Table1[[#This Row], [ROOM TIME]]+Table1[[#This Row], [GUARD TIME]]</f>
        <v>68.878749999999982</v>
      </c>
      <c r="R2111" s="4">
        <f>Sheet1!$K$3*_xlfn.XLOOKUP(Table1[[#This Row], [DISGUISE]],Sheet1!$A$21:$A$23,Sheet1!$D$21:$D$23)</f>
        <v>66</v>
      </c>
      <c r="S2111" s="9">
        <f>Table1[[#This Row], [TOTAL TIME]]-Table1[[#This Row], [TOTAL TIME TAKEN]]</f>
        <v>-2.8787499999999824</v>
      </c>
      <c r="T2111" t="str">
        <f>IF(Table1[[#This Row], [TIME DIFFERENCE]]&gt;=0,"PASS","FAIL")</f>
        <v>FAIL</v>
      </c>
      <c r="U2111" s="9">
        <f>Table1[[#This Row], [TRC]]+Table1[[#This Row], [DRC]]+Table1[[#This Row], [WRC]]+Table1[[#This Row], [ERC]]+Table1[[#This Row], [EQRC]]</f>
        <v>7969537.1999999993</v>
      </c>
      <c r="V2111" s="9">
        <f>Table1[[#This Row], [TOTAL COST]]+_xlfn.XLOOKUP(Table1[[#This Row], [TEAM]],Sheet1!$A$12:$A$17,Sheet1!$I$12:$I$17)</f>
        <v>8273677.1999999993</v>
      </c>
      <c r="W2111" s="9">
        <f>Table1[[#This Row], [LOOT]]-Table1[[#This Row], [TOTAL COST]]</f>
        <v>9830462.8000000007</v>
      </c>
      <c r="X2111" s="4">
        <f>IF(Table1[[#This Row], [PASS/FAIL]]="FAIL",0,Table1[[#This Row], [PROFIT]])</f>
        <v>0</v>
      </c>
    </row>
    <row r="2112" spans="1:24" ht="19.5" customHeight="1" x14ac:dyDescent="0.45">
      <c r="A2112" t="s">
        <v>16</v>
      </c>
      <c r="B2112" s="14">
        <f>_xlfn.XLOOKUP(Table1[[#This Row], [TEAM]],Sheet1!$A$12:$A$17,Sheet1!$F$12:$F$17)</f>
        <v>2</v>
      </c>
      <c r="C2112" s="14">
        <f>_xlfn.XLOOKUP(Table1[[#This Row], [TEAM]],Sheet1!$A$12:$A$17,Sheet1!$G$12:$G$17)</f>
        <v>6082800</v>
      </c>
      <c r="D2112" t="s">
        <v>22</v>
      </c>
      <c r="E2112" s="4">
        <f>_xlfn.XLOOKUP(Table1[[#This Row], [ROOM]],Sheet1!$A$47:$A$66,Sheet1!$B$47:$B$66)</f>
        <v>235</v>
      </c>
      <c r="F2112" t="s">
        <v>62</v>
      </c>
      <c r="G211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2" s="13" t="s">
        <v>59</v>
      </c>
      <c r="I2112" s="4">
        <f>_xlfn.XLOOKUP(Table1[[#This Row], [WEAPON]],Sheet1!$A$27:$A$29,Sheet1!$B$27:$B$29)*Table1[[#This Row], [NUM OF MEM]]*(1+_xlfn.XLOOKUP(Table1[[#This Row], [WEAPON]],Sheet1!$A$27:$A$29,Sheet1!$C$27:$C$29))</f>
        <v>91000</v>
      </c>
      <c r="J2112" t="s">
        <v>60</v>
      </c>
      <c r="K2112" s="9">
        <f>Table1[[#This Row], [NUM OF MEM]]*Table1[[#This Row], [TOTAL TIME TAKEN]]*_xlfn.XLOOKUP(Table1[[#This Row], [EXIT]],Sheet1!$A$70:$A$71,Sheet1!$B$70:$B$71)*(1+_xlfn.XLOOKUP(Table1[[#This Row], [EXIT]],Sheet1!$A$70:$A$71,Sheet1!$C$70:$C$71))</f>
        <v>1767773.1187499997</v>
      </c>
      <c r="L2112" s="13" t="s">
        <v>65</v>
      </c>
      <c r="M2112" s="4">
        <f>IF(Table1[[#This Row], [EQUIPMENT]]="YES",Sheet1!$C$44*(1+Sheet1!$D$44),0)</f>
        <v>307500</v>
      </c>
      <c r="N2112" s="4">
        <f>_xlfn.XLOOKUP(Table1[[#This Row], [ROOM]],Sheet1!$A$47:$A$66,Sheet1!$F$47:$F$66)</f>
        <v>17800000</v>
      </c>
      <c r="O2112" s="9">
        <f>_xlfn.XLOOKUP(_xlfn.CONCAT(Table1[[#This Row], [TEAM]],Table1[[#This Row], [ROOM]]),'ROOM TIME'!$H$2:$H$121,'ROOM TIME'!$J$2:$J$121)</f>
        <v>61.978749999999984</v>
      </c>
      <c r="P2112" s="9">
        <f>(INDEX(Sheet1!$X$48:$Z$67,MATCH(Table1[[#This Row], [ROOM]],Sheet1!$P$48:$P$67,0),MATCH(Table1[[#This Row], [WEAPON]],Sheet1!$X$47:$Z$47,0)))/Table1[[#This Row], [NUM OF MEM]]</f>
        <v>6.8999999999999995</v>
      </c>
      <c r="Q2112" s="9">
        <f>Table1[[#This Row], [ROOM TIME]]+Table1[[#This Row], [GUARD TIME]]</f>
        <v>68.878749999999982</v>
      </c>
      <c r="R2112" s="4">
        <f>Sheet1!$K$3*_xlfn.XLOOKUP(Table1[[#This Row], [DISGUISE]],Sheet1!$A$21:$A$23,Sheet1!$D$21:$D$23)</f>
        <v>66</v>
      </c>
      <c r="S2112" s="9">
        <f>Table1[[#This Row], [TOTAL TIME]]-Table1[[#This Row], [TOTAL TIME TAKEN]]</f>
        <v>-2.8787499999999824</v>
      </c>
      <c r="T2112" t="str">
        <f>IF(Table1[[#This Row], [TIME DIFFERENCE]]&gt;=0,"PASS","FAIL")</f>
        <v>FAIL</v>
      </c>
      <c r="U2112" s="9">
        <f>Table1[[#This Row], [TRC]]+Table1[[#This Row], [DRC]]+Table1[[#This Row], [WRC]]+Table1[[#This Row], [ERC]]+Table1[[#This Row], [EQRC]]</f>
        <v>8259473.1187499994</v>
      </c>
      <c r="V2112" s="9">
        <f>Table1[[#This Row], [TOTAL COST]]+_xlfn.XLOOKUP(Table1[[#This Row], [TEAM]],Sheet1!$A$12:$A$17,Sheet1!$I$12:$I$17)</f>
        <v>8563613.1187499985</v>
      </c>
      <c r="W2112" s="9">
        <f>Table1[[#This Row], [LOOT]]-Table1[[#This Row], [TOTAL COST]]</f>
        <v>9540526.8812500015</v>
      </c>
      <c r="X2112" s="4">
        <f>IF(Table1[[#This Row], [PASS/FAIL]]="FAIL",0,Table1[[#This Row], [PROFIT]])</f>
        <v>0</v>
      </c>
    </row>
    <row r="2113" spans="1:24" ht="19.5" customHeight="1" x14ac:dyDescent="0.45">
      <c r="A2113" t="s">
        <v>16</v>
      </c>
      <c r="B2113" s="14">
        <f>_xlfn.XLOOKUP(Table1[[#This Row], [TEAM]],Sheet1!$A$12:$A$17,Sheet1!$F$12:$F$17)</f>
        <v>2</v>
      </c>
      <c r="C2113" s="14">
        <f>_xlfn.XLOOKUP(Table1[[#This Row], [TEAM]],Sheet1!$A$12:$A$17,Sheet1!$G$12:$G$17)</f>
        <v>6082800</v>
      </c>
      <c r="D2113" t="s">
        <v>22</v>
      </c>
      <c r="E2113" s="4">
        <f>_xlfn.XLOOKUP(Table1[[#This Row], [ROOM]],Sheet1!$A$47:$A$66,Sheet1!$B$47:$B$66)</f>
        <v>235</v>
      </c>
      <c r="F2113" t="s">
        <v>62</v>
      </c>
      <c r="G2113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3" s="13" t="s">
        <v>63</v>
      </c>
      <c r="I2113" s="4">
        <f>_xlfn.XLOOKUP(Table1[[#This Row], [WEAPON]],Sheet1!$A$27:$A$29,Sheet1!$B$27:$B$29)*Table1[[#This Row], [NUM OF MEM]]*(1+_xlfn.XLOOKUP(Table1[[#This Row], [WEAPON]],Sheet1!$A$27:$A$29,Sheet1!$C$27:$C$29))</f>
        <v>46000</v>
      </c>
      <c r="J2113" t="s">
        <v>60</v>
      </c>
      <c r="K2113" s="9">
        <f>Table1[[#This Row], [NUM OF MEM]]*Table1[[#This Row], [TOTAL TIME TAKEN]]*_xlfn.XLOOKUP(Table1[[#This Row], [EXIT]],Sheet1!$A$70:$A$71,Sheet1!$B$70:$B$71)*(1+_xlfn.XLOOKUP(Table1[[#This Row], [EXIT]],Sheet1!$A$70:$A$71,Sheet1!$C$70:$C$71))</f>
        <v>1798571.1187499997</v>
      </c>
      <c r="L2113" s="13" t="s">
        <v>61</v>
      </c>
      <c r="M2113" s="4">
        <f>IF(Table1[[#This Row], [EQUIPMENT]]="YES",Sheet1!$C$44*(1+Sheet1!$D$44),0)</f>
        <v>0</v>
      </c>
      <c r="N2113" s="4">
        <f>_xlfn.XLOOKUP(Table1[[#This Row], [ROOM]],Sheet1!$A$47:$A$66,Sheet1!$F$47:$F$66)</f>
        <v>17800000</v>
      </c>
      <c r="O2113" s="9">
        <f>_xlfn.XLOOKUP(_xlfn.CONCAT(Table1[[#This Row], [TEAM]],Table1[[#This Row], [ROOM]]),'ROOM TIME'!$H$2:$H$121,'ROOM TIME'!$J$2:$J$121)</f>
        <v>61.978749999999984</v>
      </c>
      <c r="P2113" s="9">
        <f>(INDEX(Sheet1!$X$48:$Z$67,MATCH(Table1[[#This Row], [ROOM]],Sheet1!$P$48:$P$67,0),MATCH(Table1[[#This Row], [WEAPON]],Sheet1!$X$47:$Z$47,0)))/Table1[[#This Row], [NUM OF MEM]]</f>
        <v>8.1000000000000014</v>
      </c>
      <c r="Q2113" s="9">
        <f>Table1[[#This Row], [ROOM TIME]]+Table1[[#This Row], [GUARD TIME]]</f>
        <v>70.078749999999985</v>
      </c>
      <c r="R2113" s="4">
        <f>Sheet1!$K$3*_xlfn.XLOOKUP(Table1[[#This Row], [DISGUISE]],Sheet1!$A$21:$A$23,Sheet1!$D$21:$D$23)</f>
        <v>66</v>
      </c>
      <c r="S2113" s="9">
        <f>Table1[[#This Row], [TOTAL TIME]]-Table1[[#This Row], [TOTAL TIME TAKEN]]</f>
        <v>-4.0787499999999852</v>
      </c>
      <c r="T2113" t="str">
        <f>IF(Table1[[#This Row], [TIME DIFFERENCE]]&gt;=0,"PASS","FAIL")</f>
        <v>FAIL</v>
      </c>
      <c r="U2113" s="9">
        <f>Table1[[#This Row], [TRC]]+Table1[[#This Row], [DRC]]+Table1[[#This Row], [WRC]]+Table1[[#This Row], [ERC]]+Table1[[#This Row], [EQRC]]</f>
        <v>7937771.1187499994</v>
      </c>
      <c r="V2113" s="9">
        <f>Table1[[#This Row], [TOTAL COST]]+_xlfn.XLOOKUP(Table1[[#This Row], [TEAM]],Sheet1!$A$12:$A$17,Sheet1!$I$12:$I$17)</f>
        <v>8241911.1187499994</v>
      </c>
      <c r="W2113" s="9">
        <f>Table1[[#This Row], [LOOT]]-Table1[[#This Row], [TOTAL COST]]</f>
        <v>9862228.8812500015</v>
      </c>
      <c r="X2113" s="4">
        <f>IF(Table1[[#This Row], [PASS/FAIL]]="FAIL",0,Table1[[#This Row], [PROFIT]])</f>
        <v>0</v>
      </c>
    </row>
    <row r="2114" spans="1:24" ht="19.5" customHeight="1" x14ac:dyDescent="0.45">
      <c r="A2114" t="s">
        <v>16</v>
      </c>
      <c r="B2114" s="14">
        <f>_xlfn.XLOOKUP(Table1[[#This Row], [TEAM]],Sheet1!$A$12:$A$17,Sheet1!$F$12:$F$17)</f>
        <v>2</v>
      </c>
      <c r="C2114" s="14">
        <f>_xlfn.XLOOKUP(Table1[[#This Row], [TEAM]],Sheet1!$A$12:$A$17,Sheet1!$G$12:$G$17)</f>
        <v>6082800</v>
      </c>
      <c r="D2114" t="s">
        <v>22</v>
      </c>
      <c r="E2114" s="4">
        <f>_xlfn.XLOOKUP(Table1[[#This Row], [ROOM]],Sheet1!$A$47:$A$66,Sheet1!$B$47:$B$66)</f>
        <v>235</v>
      </c>
      <c r="F2114" t="s">
        <v>58</v>
      </c>
      <c r="G2114" s="4">
        <f>_xlfn.XLOOKUP(Table1[[#This Row], [DISGUISE]],Sheet1!$A$21:$A$23,Sheet1!$B$21:$B$23)*Table1[[#This Row], [NUM OF MEM]]*(1+_xlfn.XLOOKUP(Table1[[#This Row], [DISGUISE]],Sheet1!$A$21:$A$23,Sheet1!$C$21:$C$23))</f>
        <v>25600</v>
      </c>
      <c r="H2114" s="13" t="s">
        <v>63</v>
      </c>
      <c r="I2114" s="4">
        <f>_xlfn.XLOOKUP(Table1[[#This Row], [WEAPON]],Sheet1!$A$27:$A$29,Sheet1!$B$27:$B$29)*Table1[[#This Row], [NUM OF MEM]]*(1+_xlfn.XLOOKUP(Table1[[#This Row], [WEAPON]],Sheet1!$A$27:$A$29,Sheet1!$C$27:$C$29))</f>
        <v>46000</v>
      </c>
      <c r="J2114" t="s">
        <v>60</v>
      </c>
      <c r="K2114" s="9">
        <f>Table1[[#This Row], [NUM OF MEM]]*Table1[[#This Row], [TOTAL TIME TAKEN]]*_xlfn.XLOOKUP(Table1[[#This Row], [EXIT]],Sheet1!$A$70:$A$71,Sheet1!$B$70:$B$71)*(1+_xlfn.XLOOKUP(Table1[[#This Row], [EXIT]],Sheet1!$A$70:$A$71,Sheet1!$C$70:$C$71))</f>
        <v>1798571.1187499997</v>
      </c>
      <c r="L2114" s="13" t="s">
        <v>61</v>
      </c>
      <c r="M2114" s="4">
        <f>IF(Table1[[#This Row], [EQUIPMENT]]="YES",Sheet1!$C$44*(1+Sheet1!$D$44),0)</f>
        <v>0</v>
      </c>
      <c r="N2114" s="4">
        <f>_xlfn.XLOOKUP(Table1[[#This Row], [ROOM]],Sheet1!$A$47:$A$66,Sheet1!$F$47:$F$66)</f>
        <v>17800000</v>
      </c>
      <c r="O2114" s="9">
        <f>_xlfn.XLOOKUP(_xlfn.CONCAT(Table1[[#This Row], [TEAM]],Table1[[#This Row], [ROOM]]),'ROOM TIME'!$H$2:$H$121,'ROOM TIME'!$J$2:$J$121)</f>
        <v>61.978749999999984</v>
      </c>
      <c r="P2114" s="9">
        <f>(INDEX(Sheet1!$X$48:$Z$67,MATCH(Table1[[#This Row], [ROOM]],Sheet1!$P$48:$P$67,0),MATCH(Table1[[#This Row], [WEAPON]],Sheet1!$X$47:$Z$47,0)))/Table1[[#This Row], [NUM OF MEM]]</f>
        <v>8.1000000000000014</v>
      </c>
      <c r="Q2114" s="9">
        <f>Table1[[#This Row], [ROOM TIME]]+Table1[[#This Row], [GUARD TIME]]</f>
        <v>70.078749999999985</v>
      </c>
      <c r="R2114" s="4">
        <f>Sheet1!$K$3*_xlfn.XLOOKUP(Table1[[#This Row], [DISGUISE]],Sheet1!$A$21:$A$23,Sheet1!$D$21:$D$23)</f>
        <v>69</v>
      </c>
      <c r="S2114" s="9">
        <f>Table1[[#This Row], [TOTAL TIME]]-Table1[[#This Row], [TOTAL TIME TAKEN]]</f>
        <v>-1.0787499999999852</v>
      </c>
      <c r="T2114" t="str">
        <f>IF(Table1[[#This Row], [TIME DIFFERENCE]]&gt;=0,"PASS","FAIL")</f>
        <v>FAIL</v>
      </c>
      <c r="U2114" s="9">
        <f>Table1[[#This Row], [TRC]]+Table1[[#This Row], [DRC]]+Table1[[#This Row], [WRC]]+Table1[[#This Row], [ERC]]+Table1[[#This Row], [EQRC]]</f>
        <v>7952971.1187499994</v>
      </c>
      <c r="V2114" s="9">
        <f>Table1[[#This Row], [TOTAL COST]]+_xlfn.XLOOKUP(Table1[[#This Row], [TEAM]],Sheet1!$A$12:$A$17,Sheet1!$I$12:$I$17)</f>
        <v>8257111.1187499994</v>
      </c>
      <c r="W2114" s="9">
        <f>Table1[[#This Row], [LOOT]]-Table1[[#This Row], [TOTAL COST]]</f>
        <v>9847028.8812500015</v>
      </c>
      <c r="X2114" s="4">
        <f>IF(Table1[[#This Row], [PASS/FAIL]]="FAIL",0,Table1[[#This Row], [PROFIT]])</f>
        <v>0</v>
      </c>
    </row>
    <row r="2115" spans="1:24" ht="19.5" customHeight="1" x14ac:dyDescent="0.45">
      <c r="A2115" t="s">
        <v>16</v>
      </c>
      <c r="B2115" s="14">
        <f>_xlfn.XLOOKUP(Table1[[#This Row], [TEAM]],Sheet1!$A$12:$A$17,Sheet1!$F$12:$F$17)</f>
        <v>2</v>
      </c>
      <c r="C2115" s="14">
        <f>_xlfn.XLOOKUP(Table1[[#This Row], [TEAM]],Sheet1!$A$12:$A$17,Sheet1!$G$12:$G$17)</f>
        <v>6082800</v>
      </c>
      <c r="D2115" t="s">
        <v>22</v>
      </c>
      <c r="E2115" s="4">
        <f>_xlfn.XLOOKUP(Table1[[#This Row], [ROOM]],Sheet1!$A$47:$A$66,Sheet1!$B$47:$B$66)</f>
        <v>235</v>
      </c>
      <c r="F2115" t="s">
        <v>62</v>
      </c>
      <c r="G211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5" s="13" t="s">
        <v>59</v>
      </c>
      <c r="I2115" s="4">
        <f>_xlfn.XLOOKUP(Table1[[#This Row], [WEAPON]],Sheet1!$A$27:$A$29,Sheet1!$B$27:$B$29)*Table1[[#This Row], [NUM OF MEM]]*(1+_xlfn.XLOOKUP(Table1[[#This Row], [WEAPON]],Sheet1!$A$27:$A$29,Sheet1!$C$27:$C$29))</f>
        <v>91000</v>
      </c>
      <c r="J2115" t="s">
        <v>64</v>
      </c>
      <c r="K2115" s="9">
        <f>Table1[[#This Row], [NUM OF MEM]]*Table1[[#This Row], [TOTAL TIME TAKEN]]*_xlfn.XLOOKUP(Table1[[#This Row], [EXIT]],Sheet1!$A$70:$A$71,Sheet1!$B$70:$B$71)*(1+_xlfn.XLOOKUP(Table1[[#This Row], [EXIT]],Sheet1!$A$70:$A$71,Sheet1!$C$70:$C$71))</f>
        <v>1785337.1999999995</v>
      </c>
      <c r="L2115" s="13" t="s">
        <v>65</v>
      </c>
      <c r="M2115" s="4">
        <f>IF(Table1[[#This Row], [EQUIPMENT]]="YES",Sheet1!$C$44*(1+Sheet1!$D$44),0)</f>
        <v>307500</v>
      </c>
      <c r="N2115" s="4">
        <f>_xlfn.XLOOKUP(Table1[[#This Row], [ROOM]],Sheet1!$A$47:$A$66,Sheet1!$F$47:$F$66)</f>
        <v>17800000</v>
      </c>
      <c r="O2115" s="9">
        <f>_xlfn.XLOOKUP(_xlfn.CONCAT(Table1[[#This Row], [TEAM]],Table1[[#This Row], [ROOM]]),'ROOM TIME'!$H$2:$H$121,'ROOM TIME'!$J$2:$J$121)</f>
        <v>61.978749999999984</v>
      </c>
      <c r="P2115" s="9">
        <f>(INDEX(Sheet1!$X$48:$Z$67,MATCH(Table1[[#This Row], [ROOM]],Sheet1!$P$48:$P$67,0),MATCH(Table1[[#This Row], [WEAPON]],Sheet1!$X$47:$Z$47,0)))/Table1[[#This Row], [NUM OF MEM]]</f>
        <v>6.8999999999999995</v>
      </c>
      <c r="Q2115" s="9">
        <f>Table1[[#This Row], [ROOM TIME]]+Table1[[#This Row], [GUARD TIME]]</f>
        <v>68.878749999999982</v>
      </c>
      <c r="R2115" s="4">
        <f>Sheet1!$K$3*_xlfn.XLOOKUP(Table1[[#This Row], [DISGUISE]],Sheet1!$A$21:$A$23,Sheet1!$D$21:$D$23)</f>
        <v>66</v>
      </c>
      <c r="S2115" s="9">
        <f>Table1[[#This Row], [TOTAL TIME]]-Table1[[#This Row], [TOTAL TIME TAKEN]]</f>
        <v>-2.8787499999999824</v>
      </c>
      <c r="T2115" t="str">
        <f>IF(Table1[[#This Row], [TIME DIFFERENCE]]&gt;=0,"PASS","FAIL")</f>
        <v>FAIL</v>
      </c>
      <c r="U2115" s="9">
        <f>Table1[[#This Row], [TRC]]+Table1[[#This Row], [DRC]]+Table1[[#This Row], [WRC]]+Table1[[#This Row], [ERC]]+Table1[[#This Row], [EQRC]]</f>
        <v>8277037.1999999993</v>
      </c>
      <c r="V2115" s="9">
        <f>Table1[[#This Row], [TOTAL COST]]+_xlfn.XLOOKUP(Table1[[#This Row], [TEAM]],Sheet1!$A$12:$A$17,Sheet1!$I$12:$I$17)</f>
        <v>8581177.1999999993</v>
      </c>
      <c r="W2115" s="9">
        <f>Table1[[#This Row], [LOOT]]-Table1[[#This Row], [TOTAL COST]]</f>
        <v>9522962.8000000007</v>
      </c>
      <c r="X2115" s="4">
        <f>IF(Table1[[#This Row], [PASS/FAIL]]="FAIL",0,Table1[[#This Row], [PROFIT]])</f>
        <v>0</v>
      </c>
    </row>
    <row r="2116" spans="1:24" ht="19.5" customHeight="1" x14ac:dyDescent="0.45">
      <c r="A2116" t="s">
        <v>16</v>
      </c>
      <c r="B2116" s="14">
        <f>_xlfn.XLOOKUP(Table1[[#This Row], [TEAM]],Sheet1!$A$12:$A$17,Sheet1!$F$12:$F$17)</f>
        <v>2</v>
      </c>
      <c r="C2116" s="14">
        <f>_xlfn.XLOOKUP(Table1[[#This Row], [TEAM]],Sheet1!$A$12:$A$17,Sheet1!$G$12:$G$17)</f>
        <v>6082800</v>
      </c>
      <c r="D2116" t="s">
        <v>22</v>
      </c>
      <c r="E2116" s="4">
        <f>_xlfn.XLOOKUP(Table1[[#This Row], [ROOM]],Sheet1!$A$47:$A$66,Sheet1!$B$47:$B$66)</f>
        <v>235</v>
      </c>
      <c r="F2116" t="s">
        <v>62</v>
      </c>
      <c r="G2116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6" s="13" t="s">
        <v>63</v>
      </c>
      <c r="I2116" s="4">
        <f>_xlfn.XLOOKUP(Table1[[#This Row], [WEAPON]],Sheet1!$A$27:$A$29,Sheet1!$B$27:$B$29)*Table1[[#This Row], [NUM OF MEM]]*(1+_xlfn.XLOOKUP(Table1[[#This Row], [WEAPON]],Sheet1!$A$27:$A$29,Sheet1!$C$27:$C$29))</f>
        <v>46000</v>
      </c>
      <c r="J2116" t="s">
        <v>64</v>
      </c>
      <c r="K2116" s="9">
        <f>Table1[[#This Row], [NUM OF MEM]]*Table1[[#This Row], [TOTAL TIME TAKEN]]*_xlfn.XLOOKUP(Table1[[#This Row], [EXIT]],Sheet1!$A$70:$A$71,Sheet1!$B$70:$B$71)*(1+_xlfn.XLOOKUP(Table1[[#This Row], [EXIT]],Sheet1!$A$70:$A$71,Sheet1!$C$70:$C$71))</f>
        <v>1816441.1999999997</v>
      </c>
      <c r="L2116" s="13" t="s">
        <v>61</v>
      </c>
      <c r="M2116" s="4">
        <f>IF(Table1[[#This Row], [EQUIPMENT]]="YES",Sheet1!$C$44*(1+Sheet1!$D$44),0)</f>
        <v>0</v>
      </c>
      <c r="N2116" s="4">
        <f>_xlfn.XLOOKUP(Table1[[#This Row], [ROOM]],Sheet1!$A$47:$A$66,Sheet1!$F$47:$F$66)</f>
        <v>17800000</v>
      </c>
      <c r="O2116" s="9">
        <f>_xlfn.XLOOKUP(_xlfn.CONCAT(Table1[[#This Row], [TEAM]],Table1[[#This Row], [ROOM]]),'ROOM TIME'!$H$2:$H$121,'ROOM TIME'!$J$2:$J$121)</f>
        <v>61.978749999999984</v>
      </c>
      <c r="P2116" s="9">
        <f>(INDEX(Sheet1!$X$48:$Z$67,MATCH(Table1[[#This Row], [ROOM]],Sheet1!$P$48:$P$67,0),MATCH(Table1[[#This Row], [WEAPON]],Sheet1!$X$47:$Z$47,0)))/Table1[[#This Row], [NUM OF MEM]]</f>
        <v>8.1000000000000014</v>
      </c>
      <c r="Q2116" s="9">
        <f>Table1[[#This Row], [ROOM TIME]]+Table1[[#This Row], [GUARD TIME]]</f>
        <v>70.078749999999985</v>
      </c>
      <c r="R2116" s="4">
        <f>Sheet1!$K$3*_xlfn.XLOOKUP(Table1[[#This Row], [DISGUISE]],Sheet1!$A$21:$A$23,Sheet1!$D$21:$D$23)</f>
        <v>66</v>
      </c>
      <c r="S2116" s="9">
        <f>Table1[[#This Row], [TOTAL TIME]]-Table1[[#This Row], [TOTAL TIME TAKEN]]</f>
        <v>-4.0787499999999852</v>
      </c>
      <c r="T2116" t="str">
        <f>IF(Table1[[#This Row], [TIME DIFFERENCE]]&gt;=0,"PASS","FAIL")</f>
        <v>FAIL</v>
      </c>
      <c r="U2116" s="9">
        <f>Table1[[#This Row], [TRC]]+Table1[[#This Row], [DRC]]+Table1[[#This Row], [WRC]]+Table1[[#This Row], [ERC]]+Table1[[#This Row], [EQRC]]</f>
        <v>7955641.1999999993</v>
      </c>
      <c r="V2116" s="9">
        <f>Table1[[#This Row], [TOTAL COST]]+_xlfn.XLOOKUP(Table1[[#This Row], [TEAM]],Sheet1!$A$12:$A$17,Sheet1!$I$12:$I$17)</f>
        <v>8259781.1999999993</v>
      </c>
      <c r="W2116" s="9">
        <f>Table1[[#This Row], [LOOT]]-Table1[[#This Row], [TOTAL COST]]</f>
        <v>9844358.8000000007</v>
      </c>
      <c r="X2116" s="4">
        <f>IF(Table1[[#This Row], [PASS/FAIL]]="FAIL",0,Table1[[#This Row], [PROFIT]])</f>
        <v>0</v>
      </c>
    </row>
    <row r="2117" spans="1:24" ht="19.5" customHeight="1" x14ac:dyDescent="0.45">
      <c r="A2117" t="s">
        <v>16</v>
      </c>
      <c r="B2117" s="14">
        <f>_xlfn.XLOOKUP(Table1[[#This Row], [TEAM]],Sheet1!$A$12:$A$17,Sheet1!$F$12:$F$17)</f>
        <v>2</v>
      </c>
      <c r="C2117" s="14">
        <f>_xlfn.XLOOKUP(Table1[[#This Row], [TEAM]],Sheet1!$A$12:$A$17,Sheet1!$G$12:$G$17)</f>
        <v>6082800</v>
      </c>
      <c r="D2117" t="s">
        <v>22</v>
      </c>
      <c r="E2117" s="4">
        <f>_xlfn.XLOOKUP(Table1[[#This Row], [ROOM]],Sheet1!$A$47:$A$66,Sheet1!$B$47:$B$66)</f>
        <v>235</v>
      </c>
      <c r="F2117" t="s">
        <v>58</v>
      </c>
      <c r="G2117" s="4">
        <f>_xlfn.XLOOKUP(Table1[[#This Row], [DISGUISE]],Sheet1!$A$21:$A$23,Sheet1!$B$21:$B$23)*Table1[[#This Row], [NUM OF MEM]]*(1+_xlfn.XLOOKUP(Table1[[#This Row], [DISGUISE]],Sheet1!$A$21:$A$23,Sheet1!$C$21:$C$23))</f>
        <v>25600</v>
      </c>
      <c r="H2117" s="13" t="s">
        <v>63</v>
      </c>
      <c r="I2117" s="4">
        <f>_xlfn.XLOOKUP(Table1[[#This Row], [WEAPON]],Sheet1!$A$27:$A$29,Sheet1!$B$27:$B$29)*Table1[[#This Row], [NUM OF MEM]]*(1+_xlfn.XLOOKUP(Table1[[#This Row], [WEAPON]],Sheet1!$A$27:$A$29,Sheet1!$C$27:$C$29))</f>
        <v>46000</v>
      </c>
      <c r="J2117" t="s">
        <v>64</v>
      </c>
      <c r="K2117" s="9">
        <f>Table1[[#This Row], [NUM OF MEM]]*Table1[[#This Row], [TOTAL TIME TAKEN]]*_xlfn.XLOOKUP(Table1[[#This Row], [EXIT]],Sheet1!$A$70:$A$71,Sheet1!$B$70:$B$71)*(1+_xlfn.XLOOKUP(Table1[[#This Row], [EXIT]],Sheet1!$A$70:$A$71,Sheet1!$C$70:$C$71))</f>
        <v>1816441.1999999997</v>
      </c>
      <c r="L2117" s="13" t="s">
        <v>61</v>
      </c>
      <c r="M2117" s="4">
        <f>IF(Table1[[#This Row], [EQUIPMENT]]="YES",Sheet1!$C$44*(1+Sheet1!$D$44),0)</f>
        <v>0</v>
      </c>
      <c r="N2117" s="4">
        <f>_xlfn.XLOOKUP(Table1[[#This Row], [ROOM]],Sheet1!$A$47:$A$66,Sheet1!$F$47:$F$66)</f>
        <v>17800000</v>
      </c>
      <c r="O2117" s="9">
        <f>_xlfn.XLOOKUP(_xlfn.CONCAT(Table1[[#This Row], [TEAM]],Table1[[#This Row], [ROOM]]),'ROOM TIME'!$H$2:$H$121,'ROOM TIME'!$J$2:$J$121)</f>
        <v>61.978749999999984</v>
      </c>
      <c r="P2117" s="9">
        <f>(INDEX(Sheet1!$X$48:$Z$67,MATCH(Table1[[#This Row], [ROOM]],Sheet1!$P$48:$P$67,0),MATCH(Table1[[#This Row], [WEAPON]],Sheet1!$X$47:$Z$47,0)))/Table1[[#This Row], [NUM OF MEM]]</f>
        <v>8.1000000000000014</v>
      </c>
      <c r="Q2117" s="9">
        <f>Table1[[#This Row], [ROOM TIME]]+Table1[[#This Row], [GUARD TIME]]</f>
        <v>70.078749999999985</v>
      </c>
      <c r="R2117" s="4">
        <f>Sheet1!$K$3*_xlfn.XLOOKUP(Table1[[#This Row], [DISGUISE]],Sheet1!$A$21:$A$23,Sheet1!$D$21:$D$23)</f>
        <v>69</v>
      </c>
      <c r="S2117" s="9">
        <f>Table1[[#This Row], [TOTAL TIME]]-Table1[[#This Row], [TOTAL TIME TAKEN]]</f>
        <v>-1.0787499999999852</v>
      </c>
      <c r="T2117" t="str">
        <f>IF(Table1[[#This Row], [TIME DIFFERENCE]]&gt;=0,"PASS","FAIL")</f>
        <v>FAIL</v>
      </c>
      <c r="U2117" s="9">
        <f>Table1[[#This Row], [TRC]]+Table1[[#This Row], [DRC]]+Table1[[#This Row], [WRC]]+Table1[[#This Row], [ERC]]+Table1[[#This Row], [EQRC]]</f>
        <v>7970841.1999999993</v>
      </c>
      <c r="V2117" s="9">
        <f>Table1[[#This Row], [TOTAL COST]]+_xlfn.XLOOKUP(Table1[[#This Row], [TEAM]],Sheet1!$A$12:$A$17,Sheet1!$I$12:$I$17)</f>
        <v>8274981.1999999993</v>
      </c>
      <c r="W2117" s="9">
        <f>Table1[[#This Row], [LOOT]]-Table1[[#This Row], [TOTAL COST]]</f>
        <v>9829158.8000000007</v>
      </c>
      <c r="X2117" s="4">
        <f>IF(Table1[[#This Row], [PASS/FAIL]]="FAIL",0,Table1[[#This Row], [PROFIT]])</f>
        <v>0</v>
      </c>
    </row>
    <row r="2118" spans="1:24" ht="19.5" customHeight="1" x14ac:dyDescent="0.45">
      <c r="A2118" t="s">
        <v>16</v>
      </c>
      <c r="B2118" s="14">
        <f>_xlfn.XLOOKUP(Table1[[#This Row], [TEAM]],Sheet1!$A$12:$A$17,Sheet1!$F$12:$F$17)</f>
        <v>2</v>
      </c>
      <c r="C2118" s="14">
        <f>_xlfn.XLOOKUP(Table1[[#This Row], [TEAM]],Sheet1!$A$12:$A$17,Sheet1!$G$12:$G$17)</f>
        <v>6082800</v>
      </c>
      <c r="D2118" t="s">
        <v>22</v>
      </c>
      <c r="E2118" s="4">
        <f>_xlfn.XLOOKUP(Table1[[#This Row], [ROOM]],Sheet1!$A$47:$A$66,Sheet1!$B$47:$B$66)</f>
        <v>235</v>
      </c>
      <c r="F2118" t="s">
        <v>62</v>
      </c>
      <c r="G211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18" s="13" t="s">
        <v>63</v>
      </c>
      <c r="I2118" s="4">
        <f>_xlfn.XLOOKUP(Table1[[#This Row], [WEAPON]],Sheet1!$A$27:$A$29,Sheet1!$B$27:$B$29)*Table1[[#This Row], [NUM OF MEM]]*(1+_xlfn.XLOOKUP(Table1[[#This Row], [WEAPON]],Sheet1!$A$27:$A$29,Sheet1!$C$27:$C$29))</f>
        <v>46000</v>
      </c>
      <c r="J2118" t="s">
        <v>60</v>
      </c>
      <c r="K2118" s="9">
        <f>Table1[[#This Row], [NUM OF MEM]]*Table1[[#This Row], [TOTAL TIME TAKEN]]*_xlfn.XLOOKUP(Table1[[#This Row], [EXIT]],Sheet1!$A$70:$A$71,Sheet1!$B$70:$B$71)*(1+_xlfn.XLOOKUP(Table1[[#This Row], [EXIT]],Sheet1!$A$70:$A$71,Sheet1!$C$70:$C$71))</f>
        <v>1798571.1187499997</v>
      </c>
      <c r="L2118" s="13" t="s">
        <v>65</v>
      </c>
      <c r="M2118" s="4">
        <f>IF(Table1[[#This Row], [EQUIPMENT]]="YES",Sheet1!$C$44*(1+Sheet1!$D$44),0)</f>
        <v>307500</v>
      </c>
      <c r="N2118" s="4">
        <f>_xlfn.XLOOKUP(Table1[[#This Row], [ROOM]],Sheet1!$A$47:$A$66,Sheet1!$F$47:$F$66)</f>
        <v>17800000</v>
      </c>
      <c r="O2118" s="9">
        <f>_xlfn.XLOOKUP(_xlfn.CONCAT(Table1[[#This Row], [TEAM]],Table1[[#This Row], [ROOM]]),'ROOM TIME'!$H$2:$H$121,'ROOM TIME'!$J$2:$J$121)</f>
        <v>61.978749999999984</v>
      </c>
      <c r="P2118" s="9">
        <f>(INDEX(Sheet1!$X$48:$Z$67,MATCH(Table1[[#This Row], [ROOM]],Sheet1!$P$48:$P$67,0),MATCH(Table1[[#This Row], [WEAPON]],Sheet1!$X$47:$Z$47,0)))/Table1[[#This Row], [NUM OF MEM]]</f>
        <v>8.1000000000000014</v>
      </c>
      <c r="Q2118" s="9">
        <f>Table1[[#This Row], [ROOM TIME]]+Table1[[#This Row], [GUARD TIME]]</f>
        <v>70.078749999999985</v>
      </c>
      <c r="R2118" s="4">
        <f>Sheet1!$K$3*_xlfn.XLOOKUP(Table1[[#This Row], [DISGUISE]],Sheet1!$A$21:$A$23,Sheet1!$D$21:$D$23)</f>
        <v>66</v>
      </c>
      <c r="S2118" s="9">
        <f>Table1[[#This Row], [TOTAL TIME]]-Table1[[#This Row], [TOTAL TIME TAKEN]]</f>
        <v>-4.0787499999999852</v>
      </c>
      <c r="T2118" t="str">
        <f>IF(Table1[[#This Row], [TIME DIFFERENCE]]&gt;=0,"PASS","FAIL")</f>
        <v>FAIL</v>
      </c>
      <c r="U2118" s="9">
        <f>Table1[[#This Row], [TRC]]+Table1[[#This Row], [DRC]]+Table1[[#This Row], [WRC]]+Table1[[#This Row], [ERC]]+Table1[[#This Row], [EQRC]]</f>
        <v>8245271.1187499994</v>
      </c>
      <c r="V2118" s="9">
        <f>Table1[[#This Row], [TOTAL COST]]+_xlfn.XLOOKUP(Table1[[#This Row], [TEAM]],Sheet1!$A$12:$A$17,Sheet1!$I$12:$I$17)</f>
        <v>8549411.1187499985</v>
      </c>
      <c r="W2118" s="9">
        <f>Table1[[#This Row], [LOOT]]-Table1[[#This Row], [TOTAL COST]]</f>
        <v>9554728.8812500015</v>
      </c>
      <c r="X2118" s="4">
        <f>IF(Table1[[#This Row], [PASS/FAIL]]="FAIL",0,Table1[[#This Row], [PROFIT]])</f>
        <v>0</v>
      </c>
    </row>
    <row r="2119" spans="1:24" ht="19.5" customHeight="1" x14ac:dyDescent="0.45">
      <c r="A2119" t="s">
        <v>16</v>
      </c>
      <c r="B2119" s="14">
        <f>_xlfn.XLOOKUP(Table1[[#This Row], [TEAM]],Sheet1!$A$12:$A$17,Sheet1!$F$12:$F$17)</f>
        <v>2</v>
      </c>
      <c r="C2119" s="14">
        <f>_xlfn.XLOOKUP(Table1[[#This Row], [TEAM]],Sheet1!$A$12:$A$17,Sheet1!$G$12:$G$17)</f>
        <v>6082800</v>
      </c>
      <c r="D2119" t="s">
        <v>22</v>
      </c>
      <c r="E2119" s="4">
        <f>_xlfn.XLOOKUP(Table1[[#This Row], [ROOM]],Sheet1!$A$47:$A$66,Sheet1!$B$47:$B$66)</f>
        <v>235</v>
      </c>
      <c r="F2119" t="s">
        <v>58</v>
      </c>
      <c r="G2119" s="4">
        <f>_xlfn.XLOOKUP(Table1[[#This Row], [DISGUISE]],Sheet1!$A$21:$A$23,Sheet1!$B$21:$B$23)*Table1[[#This Row], [NUM OF MEM]]*(1+_xlfn.XLOOKUP(Table1[[#This Row], [DISGUISE]],Sheet1!$A$21:$A$23,Sheet1!$C$21:$C$23))</f>
        <v>25600</v>
      </c>
      <c r="H2119" s="13" t="s">
        <v>63</v>
      </c>
      <c r="I2119" s="4">
        <f>_xlfn.XLOOKUP(Table1[[#This Row], [WEAPON]],Sheet1!$A$27:$A$29,Sheet1!$B$27:$B$29)*Table1[[#This Row], [NUM OF MEM]]*(1+_xlfn.XLOOKUP(Table1[[#This Row], [WEAPON]],Sheet1!$A$27:$A$29,Sheet1!$C$27:$C$29))</f>
        <v>46000</v>
      </c>
      <c r="J2119" t="s">
        <v>60</v>
      </c>
      <c r="K2119" s="9">
        <f>Table1[[#This Row], [NUM OF MEM]]*Table1[[#This Row], [TOTAL TIME TAKEN]]*_xlfn.XLOOKUP(Table1[[#This Row], [EXIT]],Sheet1!$A$70:$A$71,Sheet1!$B$70:$B$71)*(1+_xlfn.XLOOKUP(Table1[[#This Row], [EXIT]],Sheet1!$A$70:$A$71,Sheet1!$C$70:$C$71))</f>
        <v>1798571.1187499997</v>
      </c>
      <c r="L2119" s="13" t="s">
        <v>65</v>
      </c>
      <c r="M2119" s="4">
        <f>IF(Table1[[#This Row], [EQUIPMENT]]="YES",Sheet1!$C$44*(1+Sheet1!$D$44),0)</f>
        <v>307500</v>
      </c>
      <c r="N2119" s="4">
        <f>_xlfn.XLOOKUP(Table1[[#This Row], [ROOM]],Sheet1!$A$47:$A$66,Sheet1!$F$47:$F$66)</f>
        <v>17800000</v>
      </c>
      <c r="O2119" s="9">
        <f>_xlfn.XLOOKUP(_xlfn.CONCAT(Table1[[#This Row], [TEAM]],Table1[[#This Row], [ROOM]]),'ROOM TIME'!$H$2:$H$121,'ROOM TIME'!$J$2:$J$121)</f>
        <v>61.978749999999984</v>
      </c>
      <c r="P2119" s="9">
        <f>(INDEX(Sheet1!$X$48:$Z$67,MATCH(Table1[[#This Row], [ROOM]],Sheet1!$P$48:$P$67,0),MATCH(Table1[[#This Row], [WEAPON]],Sheet1!$X$47:$Z$47,0)))/Table1[[#This Row], [NUM OF MEM]]</f>
        <v>8.1000000000000014</v>
      </c>
      <c r="Q2119" s="9">
        <f>Table1[[#This Row], [ROOM TIME]]+Table1[[#This Row], [GUARD TIME]]</f>
        <v>70.078749999999985</v>
      </c>
      <c r="R2119" s="4">
        <f>Sheet1!$K$3*_xlfn.XLOOKUP(Table1[[#This Row], [DISGUISE]],Sheet1!$A$21:$A$23,Sheet1!$D$21:$D$23)</f>
        <v>69</v>
      </c>
      <c r="S2119" s="9">
        <f>Table1[[#This Row], [TOTAL TIME]]-Table1[[#This Row], [TOTAL TIME TAKEN]]</f>
        <v>-1.0787499999999852</v>
      </c>
      <c r="T2119" t="str">
        <f>IF(Table1[[#This Row], [TIME DIFFERENCE]]&gt;=0,"PASS","FAIL")</f>
        <v>FAIL</v>
      </c>
      <c r="U2119" s="9">
        <f>Table1[[#This Row], [TRC]]+Table1[[#This Row], [DRC]]+Table1[[#This Row], [WRC]]+Table1[[#This Row], [ERC]]+Table1[[#This Row], [EQRC]]</f>
        <v>8260471.1187499994</v>
      </c>
      <c r="V2119" s="9">
        <f>Table1[[#This Row], [TOTAL COST]]+_xlfn.XLOOKUP(Table1[[#This Row], [TEAM]],Sheet1!$A$12:$A$17,Sheet1!$I$12:$I$17)</f>
        <v>8564611.1187499985</v>
      </c>
      <c r="W2119" s="9">
        <f>Table1[[#This Row], [LOOT]]-Table1[[#This Row], [TOTAL COST]]</f>
        <v>9539528.8812500015</v>
      </c>
      <c r="X2119" s="4">
        <f>IF(Table1[[#This Row], [PASS/FAIL]]="FAIL",0,Table1[[#This Row], [PROFIT]])</f>
        <v>0</v>
      </c>
    </row>
    <row r="2120" spans="1:24" ht="19.5" customHeight="1" x14ac:dyDescent="0.45">
      <c r="A2120" t="s">
        <v>16</v>
      </c>
      <c r="B2120" s="14">
        <f>_xlfn.XLOOKUP(Table1[[#This Row], [TEAM]],Sheet1!$A$12:$A$17,Sheet1!$F$12:$F$17)</f>
        <v>2</v>
      </c>
      <c r="C2120" s="14">
        <f>_xlfn.XLOOKUP(Table1[[#This Row], [TEAM]],Sheet1!$A$12:$A$17,Sheet1!$G$12:$G$17)</f>
        <v>6082800</v>
      </c>
      <c r="D2120" t="s">
        <v>22</v>
      </c>
      <c r="E2120" s="4">
        <f>_xlfn.XLOOKUP(Table1[[#This Row], [ROOM]],Sheet1!$A$47:$A$66,Sheet1!$B$47:$B$66)</f>
        <v>235</v>
      </c>
      <c r="F2120" t="s">
        <v>62</v>
      </c>
      <c r="G212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0" s="13" t="s">
        <v>63</v>
      </c>
      <c r="I2120" s="4">
        <f>_xlfn.XLOOKUP(Table1[[#This Row], [WEAPON]],Sheet1!$A$27:$A$29,Sheet1!$B$27:$B$29)*Table1[[#This Row], [NUM OF MEM]]*(1+_xlfn.XLOOKUP(Table1[[#This Row], [WEAPON]],Sheet1!$A$27:$A$29,Sheet1!$C$27:$C$29))</f>
        <v>46000</v>
      </c>
      <c r="J2120" t="s">
        <v>64</v>
      </c>
      <c r="K2120" s="9">
        <f>Table1[[#This Row], [NUM OF MEM]]*Table1[[#This Row], [TOTAL TIME TAKEN]]*_xlfn.XLOOKUP(Table1[[#This Row], [EXIT]],Sheet1!$A$70:$A$71,Sheet1!$B$70:$B$71)*(1+_xlfn.XLOOKUP(Table1[[#This Row], [EXIT]],Sheet1!$A$70:$A$71,Sheet1!$C$70:$C$71))</f>
        <v>1816441.1999999997</v>
      </c>
      <c r="L2120" s="13" t="s">
        <v>65</v>
      </c>
      <c r="M2120" s="4">
        <f>IF(Table1[[#This Row], [EQUIPMENT]]="YES",Sheet1!$C$44*(1+Sheet1!$D$44),0)</f>
        <v>307500</v>
      </c>
      <c r="N2120" s="4">
        <f>_xlfn.XLOOKUP(Table1[[#This Row], [ROOM]],Sheet1!$A$47:$A$66,Sheet1!$F$47:$F$66)</f>
        <v>17800000</v>
      </c>
      <c r="O2120" s="9">
        <f>_xlfn.XLOOKUP(_xlfn.CONCAT(Table1[[#This Row], [TEAM]],Table1[[#This Row], [ROOM]]),'ROOM TIME'!$H$2:$H$121,'ROOM TIME'!$J$2:$J$121)</f>
        <v>61.978749999999984</v>
      </c>
      <c r="P2120" s="9">
        <f>(INDEX(Sheet1!$X$48:$Z$67,MATCH(Table1[[#This Row], [ROOM]],Sheet1!$P$48:$P$67,0),MATCH(Table1[[#This Row], [WEAPON]],Sheet1!$X$47:$Z$47,0)))/Table1[[#This Row], [NUM OF MEM]]</f>
        <v>8.1000000000000014</v>
      </c>
      <c r="Q2120" s="9">
        <f>Table1[[#This Row], [ROOM TIME]]+Table1[[#This Row], [GUARD TIME]]</f>
        <v>70.078749999999985</v>
      </c>
      <c r="R2120" s="4">
        <f>Sheet1!$K$3*_xlfn.XLOOKUP(Table1[[#This Row], [DISGUISE]],Sheet1!$A$21:$A$23,Sheet1!$D$21:$D$23)</f>
        <v>66</v>
      </c>
      <c r="S2120" s="9">
        <f>Table1[[#This Row], [TOTAL TIME]]-Table1[[#This Row], [TOTAL TIME TAKEN]]</f>
        <v>-4.0787499999999852</v>
      </c>
      <c r="T2120" t="str">
        <f>IF(Table1[[#This Row], [TIME DIFFERENCE]]&gt;=0,"PASS","FAIL")</f>
        <v>FAIL</v>
      </c>
      <c r="U2120" s="9">
        <f>Table1[[#This Row], [TRC]]+Table1[[#This Row], [DRC]]+Table1[[#This Row], [WRC]]+Table1[[#This Row], [ERC]]+Table1[[#This Row], [EQRC]]</f>
        <v>8263141.1999999993</v>
      </c>
      <c r="V2120" s="9">
        <f>Table1[[#This Row], [TOTAL COST]]+_xlfn.XLOOKUP(Table1[[#This Row], [TEAM]],Sheet1!$A$12:$A$17,Sheet1!$I$12:$I$17)</f>
        <v>8567281.1999999993</v>
      </c>
      <c r="W2120" s="9">
        <f>Table1[[#This Row], [LOOT]]-Table1[[#This Row], [TOTAL COST]]</f>
        <v>9536858.8000000007</v>
      </c>
      <c r="X2120" s="4">
        <f>IF(Table1[[#This Row], [PASS/FAIL]]="FAIL",0,Table1[[#This Row], [PROFIT]])</f>
        <v>0</v>
      </c>
    </row>
    <row r="2121" spans="1:24" ht="19.5" customHeight="1" x14ac:dyDescent="0.45">
      <c r="A2121" t="s">
        <v>16</v>
      </c>
      <c r="B2121" s="14">
        <f>_xlfn.XLOOKUP(Table1[[#This Row], [TEAM]],Sheet1!$A$12:$A$17,Sheet1!$F$12:$F$17)</f>
        <v>2</v>
      </c>
      <c r="C2121" s="14">
        <f>_xlfn.XLOOKUP(Table1[[#This Row], [TEAM]],Sheet1!$A$12:$A$17,Sheet1!$G$12:$G$17)</f>
        <v>6082800</v>
      </c>
      <c r="D2121" t="s">
        <v>22</v>
      </c>
      <c r="E2121" s="4">
        <f>_xlfn.XLOOKUP(Table1[[#This Row], [ROOM]],Sheet1!$A$47:$A$66,Sheet1!$B$47:$B$66)</f>
        <v>235</v>
      </c>
      <c r="F2121" t="s">
        <v>58</v>
      </c>
      <c r="G2121" s="4">
        <f>_xlfn.XLOOKUP(Table1[[#This Row], [DISGUISE]],Sheet1!$A$21:$A$23,Sheet1!$B$21:$B$23)*Table1[[#This Row], [NUM OF MEM]]*(1+_xlfn.XLOOKUP(Table1[[#This Row], [DISGUISE]],Sheet1!$A$21:$A$23,Sheet1!$C$21:$C$23))</f>
        <v>25600</v>
      </c>
      <c r="H2121" s="13" t="s">
        <v>63</v>
      </c>
      <c r="I2121" s="4">
        <f>_xlfn.XLOOKUP(Table1[[#This Row], [WEAPON]],Sheet1!$A$27:$A$29,Sheet1!$B$27:$B$29)*Table1[[#This Row], [NUM OF MEM]]*(1+_xlfn.XLOOKUP(Table1[[#This Row], [WEAPON]],Sheet1!$A$27:$A$29,Sheet1!$C$27:$C$29))</f>
        <v>46000</v>
      </c>
      <c r="J2121" t="s">
        <v>64</v>
      </c>
      <c r="K2121" s="9">
        <f>Table1[[#This Row], [NUM OF MEM]]*Table1[[#This Row], [TOTAL TIME TAKEN]]*_xlfn.XLOOKUP(Table1[[#This Row], [EXIT]],Sheet1!$A$70:$A$71,Sheet1!$B$70:$B$71)*(1+_xlfn.XLOOKUP(Table1[[#This Row], [EXIT]],Sheet1!$A$70:$A$71,Sheet1!$C$70:$C$71))</f>
        <v>1816441.1999999997</v>
      </c>
      <c r="L2121" s="13" t="s">
        <v>65</v>
      </c>
      <c r="M2121" s="4">
        <f>IF(Table1[[#This Row], [EQUIPMENT]]="YES",Sheet1!$C$44*(1+Sheet1!$D$44),0)</f>
        <v>307500</v>
      </c>
      <c r="N2121" s="4">
        <f>_xlfn.XLOOKUP(Table1[[#This Row], [ROOM]],Sheet1!$A$47:$A$66,Sheet1!$F$47:$F$66)</f>
        <v>17800000</v>
      </c>
      <c r="O2121" s="9">
        <f>_xlfn.XLOOKUP(_xlfn.CONCAT(Table1[[#This Row], [TEAM]],Table1[[#This Row], [ROOM]]),'ROOM TIME'!$H$2:$H$121,'ROOM TIME'!$J$2:$J$121)</f>
        <v>61.978749999999984</v>
      </c>
      <c r="P2121" s="9">
        <f>(INDEX(Sheet1!$X$48:$Z$67,MATCH(Table1[[#This Row], [ROOM]],Sheet1!$P$48:$P$67,0),MATCH(Table1[[#This Row], [WEAPON]],Sheet1!$X$47:$Z$47,0)))/Table1[[#This Row], [NUM OF MEM]]</f>
        <v>8.1000000000000014</v>
      </c>
      <c r="Q2121" s="9">
        <f>Table1[[#This Row], [ROOM TIME]]+Table1[[#This Row], [GUARD TIME]]</f>
        <v>70.078749999999985</v>
      </c>
      <c r="R2121" s="4">
        <f>Sheet1!$K$3*_xlfn.XLOOKUP(Table1[[#This Row], [DISGUISE]],Sheet1!$A$21:$A$23,Sheet1!$D$21:$D$23)</f>
        <v>69</v>
      </c>
      <c r="S2121" s="9">
        <f>Table1[[#This Row], [TOTAL TIME]]-Table1[[#This Row], [TOTAL TIME TAKEN]]</f>
        <v>-1.0787499999999852</v>
      </c>
      <c r="T2121" t="str">
        <f>IF(Table1[[#This Row], [TIME DIFFERENCE]]&gt;=0,"PASS","FAIL")</f>
        <v>FAIL</v>
      </c>
      <c r="U2121" s="9">
        <f>Table1[[#This Row], [TRC]]+Table1[[#This Row], [DRC]]+Table1[[#This Row], [WRC]]+Table1[[#This Row], [ERC]]+Table1[[#This Row], [EQRC]]</f>
        <v>8278341.1999999993</v>
      </c>
      <c r="V2121" s="9">
        <f>Table1[[#This Row], [TOTAL COST]]+_xlfn.XLOOKUP(Table1[[#This Row], [TEAM]],Sheet1!$A$12:$A$17,Sheet1!$I$12:$I$17)</f>
        <v>8582481.1999999993</v>
      </c>
      <c r="W2121" s="9">
        <f>Table1[[#This Row], [LOOT]]-Table1[[#This Row], [TOTAL COST]]</f>
        <v>9521658.8000000007</v>
      </c>
      <c r="X2121" s="4">
        <f>IF(Table1[[#This Row], [PASS/FAIL]]="FAIL",0,Table1[[#This Row], [PROFIT]])</f>
        <v>0</v>
      </c>
    </row>
    <row r="2122" spans="1:24" ht="19.5" customHeight="1" x14ac:dyDescent="0.45">
      <c r="A2122" t="s">
        <v>16</v>
      </c>
      <c r="B2122" s="14">
        <f>_xlfn.XLOOKUP(Table1[[#This Row], [TEAM]],Sheet1!$A$12:$A$17,Sheet1!$F$12:$F$17)</f>
        <v>2</v>
      </c>
      <c r="C2122" s="14">
        <f>_xlfn.XLOOKUP(Table1[[#This Row], [TEAM]],Sheet1!$A$12:$A$17,Sheet1!$G$12:$G$17)</f>
        <v>6082800</v>
      </c>
      <c r="D2122" t="s">
        <v>22</v>
      </c>
      <c r="E2122" s="4">
        <f>_xlfn.XLOOKUP(Table1[[#This Row], [ROOM]],Sheet1!$A$47:$A$66,Sheet1!$B$47:$B$66)</f>
        <v>235</v>
      </c>
      <c r="F2122" t="s">
        <v>62</v>
      </c>
      <c r="G212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2" s="13" t="s">
        <v>66</v>
      </c>
      <c r="I2122" s="4">
        <f>_xlfn.XLOOKUP(Table1[[#This Row], [WEAPON]],Sheet1!$A$27:$A$29,Sheet1!$B$27:$B$29)*Table1[[#This Row], [NUM OF MEM]]*(1+_xlfn.XLOOKUP(Table1[[#This Row], [WEAPON]],Sheet1!$A$27:$A$29,Sheet1!$C$27:$C$29))</f>
        <v>72000</v>
      </c>
      <c r="J2122" t="s">
        <v>60</v>
      </c>
      <c r="K2122" s="9">
        <f>Table1[[#This Row], [NUM OF MEM]]*Table1[[#This Row], [TOTAL TIME TAKEN]]*_xlfn.XLOOKUP(Table1[[#This Row], [EXIT]],Sheet1!$A$70:$A$71,Sheet1!$B$70:$B$71)*(1+_xlfn.XLOOKUP(Table1[[#This Row], [EXIT]],Sheet1!$A$70:$A$71,Sheet1!$C$70:$C$71))</f>
        <v>1783172.1187499997</v>
      </c>
      <c r="L2122" s="13" t="s">
        <v>61</v>
      </c>
      <c r="M2122" s="4">
        <f>IF(Table1[[#This Row], [EQUIPMENT]]="YES",Sheet1!$C$44*(1+Sheet1!$D$44),0)</f>
        <v>0</v>
      </c>
      <c r="N2122" s="4">
        <f>_xlfn.XLOOKUP(Table1[[#This Row], [ROOM]],Sheet1!$A$47:$A$66,Sheet1!$F$47:$F$66)</f>
        <v>17800000</v>
      </c>
      <c r="O2122" s="9">
        <f>_xlfn.XLOOKUP(_xlfn.CONCAT(Table1[[#This Row], [TEAM]],Table1[[#This Row], [ROOM]]),'ROOM TIME'!$H$2:$H$121,'ROOM TIME'!$J$2:$J$121)</f>
        <v>61.978749999999984</v>
      </c>
      <c r="P2122" s="9">
        <f>(INDEX(Sheet1!$X$48:$Z$67,MATCH(Table1[[#This Row], [ROOM]],Sheet1!$P$48:$P$67,0),MATCH(Table1[[#This Row], [WEAPON]],Sheet1!$X$47:$Z$47,0)))/Table1[[#This Row], [NUM OF MEM]]</f>
        <v>7.5</v>
      </c>
      <c r="Q2122" s="9">
        <f>Table1[[#This Row], [ROOM TIME]]+Table1[[#This Row], [GUARD TIME]]</f>
        <v>69.478749999999991</v>
      </c>
      <c r="R2122" s="4">
        <f>Sheet1!$K$3*_xlfn.XLOOKUP(Table1[[#This Row], [DISGUISE]],Sheet1!$A$21:$A$23,Sheet1!$D$21:$D$23)</f>
        <v>66</v>
      </c>
      <c r="S2122" s="9">
        <f>Table1[[#This Row], [TOTAL TIME]]-Table1[[#This Row], [TOTAL TIME TAKEN]]</f>
        <v>-3.4787499999999909</v>
      </c>
      <c r="T2122" t="str">
        <f>IF(Table1[[#This Row], [TIME DIFFERENCE]]&gt;=0,"PASS","FAIL")</f>
        <v>FAIL</v>
      </c>
      <c r="U2122" s="9">
        <f>Table1[[#This Row], [TRC]]+Table1[[#This Row], [DRC]]+Table1[[#This Row], [WRC]]+Table1[[#This Row], [ERC]]+Table1[[#This Row], [EQRC]]</f>
        <v>7948372.1187499994</v>
      </c>
      <c r="V2122" s="9">
        <f>Table1[[#This Row], [TOTAL COST]]+_xlfn.XLOOKUP(Table1[[#This Row], [TEAM]],Sheet1!$A$12:$A$17,Sheet1!$I$12:$I$17)</f>
        <v>8252512.1187499994</v>
      </c>
      <c r="W2122" s="9">
        <f>Table1[[#This Row], [LOOT]]-Table1[[#This Row], [TOTAL COST]]</f>
        <v>9851627.8812500015</v>
      </c>
      <c r="X2122" s="4">
        <f>IF(Table1[[#This Row], [PASS/FAIL]]="FAIL",0,Table1[[#This Row], [PROFIT]])</f>
        <v>0</v>
      </c>
    </row>
    <row r="2123" spans="1:24" ht="19.5" customHeight="1" x14ac:dyDescent="0.45">
      <c r="A2123" t="s">
        <v>16</v>
      </c>
      <c r="B2123" s="14">
        <f>_xlfn.XLOOKUP(Table1[[#This Row], [TEAM]],Sheet1!$A$12:$A$17,Sheet1!$F$12:$F$17)</f>
        <v>2</v>
      </c>
      <c r="C2123" s="14">
        <f>_xlfn.XLOOKUP(Table1[[#This Row], [TEAM]],Sheet1!$A$12:$A$17,Sheet1!$G$12:$G$17)</f>
        <v>6082800</v>
      </c>
      <c r="D2123" t="s">
        <v>22</v>
      </c>
      <c r="E2123" s="4">
        <f>_xlfn.XLOOKUP(Table1[[#This Row], [ROOM]],Sheet1!$A$47:$A$66,Sheet1!$B$47:$B$66)</f>
        <v>235</v>
      </c>
      <c r="F2123" t="s">
        <v>62</v>
      </c>
      <c r="G2123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3" s="13" t="s">
        <v>66</v>
      </c>
      <c r="I2123" s="4">
        <f>_xlfn.XLOOKUP(Table1[[#This Row], [WEAPON]],Sheet1!$A$27:$A$29,Sheet1!$B$27:$B$29)*Table1[[#This Row], [NUM OF MEM]]*(1+_xlfn.XLOOKUP(Table1[[#This Row], [WEAPON]],Sheet1!$A$27:$A$29,Sheet1!$C$27:$C$29))</f>
        <v>72000</v>
      </c>
      <c r="J2123" t="s">
        <v>64</v>
      </c>
      <c r="K2123" s="9">
        <f>Table1[[#This Row], [NUM OF MEM]]*Table1[[#This Row], [TOTAL TIME TAKEN]]*_xlfn.XLOOKUP(Table1[[#This Row], [EXIT]],Sheet1!$A$70:$A$71,Sheet1!$B$70:$B$71)*(1+_xlfn.XLOOKUP(Table1[[#This Row], [EXIT]],Sheet1!$A$70:$A$71,Sheet1!$C$70:$C$71))</f>
        <v>1800889.1999999997</v>
      </c>
      <c r="L2123" s="13" t="s">
        <v>61</v>
      </c>
      <c r="M2123" s="4">
        <f>IF(Table1[[#This Row], [EQUIPMENT]]="YES",Sheet1!$C$44*(1+Sheet1!$D$44),0)</f>
        <v>0</v>
      </c>
      <c r="N2123" s="4">
        <f>_xlfn.XLOOKUP(Table1[[#This Row], [ROOM]],Sheet1!$A$47:$A$66,Sheet1!$F$47:$F$66)</f>
        <v>17800000</v>
      </c>
      <c r="O2123" s="9">
        <f>_xlfn.XLOOKUP(_xlfn.CONCAT(Table1[[#This Row], [TEAM]],Table1[[#This Row], [ROOM]]),'ROOM TIME'!$H$2:$H$121,'ROOM TIME'!$J$2:$J$121)</f>
        <v>61.978749999999984</v>
      </c>
      <c r="P2123" s="9">
        <f>(INDEX(Sheet1!$X$48:$Z$67,MATCH(Table1[[#This Row], [ROOM]],Sheet1!$P$48:$P$67,0),MATCH(Table1[[#This Row], [WEAPON]],Sheet1!$X$47:$Z$47,0)))/Table1[[#This Row], [NUM OF MEM]]</f>
        <v>7.5</v>
      </c>
      <c r="Q2123" s="9">
        <f>Table1[[#This Row], [ROOM TIME]]+Table1[[#This Row], [GUARD TIME]]</f>
        <v>69.478749999999991</v>
      </c>
      <c r="R2123" s="4">
        <f>Sheet1!$K$3*_xlfn.XLOOKUP(Table1[[#This Row], [DISGUISE]],Sheet1!$A$21:$A$23,Sheet1!$D$21:$D$23)</f>
        <v>66</v>
      </c>
      <c r="S2123" s="9">
        <f>Table1[[#This Row], [TOTAL TIME]]-Table1[[#This Row], [TOTAL TIME TAKEN]]</f>
        <v>-3.4787499999999909</v>
      </c>
      <c r="T2123" t="str">
        <f>IF(Table1[[#This Row], [TIME DIFFERENCE]]&gt;=0,"PASS","FAIL")</f>
        <v>FAIL</v>
      </c>
      <c r="U2123" s="9">
        <f>Table1[[#This Row], [TRC]]+Table1[[#This Row], [DRC]]+Table1[[#This Row], [WRC]]+Table1[[#This Row], [ERC]]+Table1[[#This Row], [EQRC]]</f>
        <v>7966089.1999999993</v>
      </c>
      <c r="V2123" s="9">
        <f>Table1[[#This Row], [TOTAL COST]]+_xlfn.XLOOKUP(Table1[[#This Row], [TEAM]],Sheet1!$A$12:$A$17,Sheet1!$I$12:$I$17)</f>
        <v>8270229.1999999993</v>
      </c>
      <c r="W2123" s="9">
        <f>Table1[[#This Row], [LOOT]]-Table1[[#This Row], [TOTAL COST]]</f>
        <v>9833910.8000000007</v>
      </c>
      <c r="X2123" s="4">
        <f>IF(Table1[[#This Row], [PASS/FAIL]]="FAIL",0,Table1[[#This Row], [PROFIT]])</f>
        <v>0</v>
      </c>
    </row>
    <row r="2124" spans="1:24" ht="19.5" customHeight="1" x14ac:dyDescent="0.45">
      <c r="A2124" t="s">
        <v>16</v>
      </c>
      <c r="B2124" s="14">
        <f>_xlfn.XLOOKUP(Table1[[#This Row], [TEAM]],Sheet1!$A$12:$A$17,Sheet1!$F$12:$F$17)</f>
        <v>2</v>
      </c>
      <c r="C2124" s="14">
        <f>_xlfn.XLOOKUP(Table1[[#This Row], [TEAM]],Sheet1!$A$12:$A$17,Sheet1!$G$12:$G$17)</f>
        <v>6082800</v>
      </c>
      <c r="D2124" t="s">
        <v>22</v>
      </c>
      <c r="E2124" s="4">
        <f>_xlfn.XLOOKUP(Table1[[#This Row], [ROOM]],Sheet1!$A$47:$A$66,Sheet1!$B$47:$B$66)</f>
        <v>235</v>
      </c>
      <c r="F2124" t="s">
        <v>62</v>
      </c>
      <c r="G2124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4" s="13" t="s">
        <v>66</v>
      </c>
      <c r="I2124" s="4">
        <f>_xlfn.XLOOKUP(Table1[[#This Row], [WEAPON]],Sheet1!$A$27:$A$29,Sheet1!$B$27:$B$29)*Table1[[#This Row], [NUM OF MEM]]*(1+_xlfn.XLOOKUP(Table1[[#This Row], [WEAPON]],Sheet1!$A$27:$A$29,Sheet1!$C$27:$C$29))</f>
        <v>72000</v>
      </c>
      <c r="J2124" t="s">
        <v>60</v>
      </c>
      <c r="K2124" s="9">
        <f>Table1[[#This Row], [NUM OF MEM]]*Table1[[#This Row], [TOTAL TIME TAKEN]]*_xlfn.XLOOKUP(Table1[[#This Row], [EXIT]],Sheet1!$A$70:$A$71,Sheet1!$B$70:$B$71)*(1+_xlfn.XLOOKUP(Table1[[#This Row], [EXIT]],Sheet1!$A$70:$A$71,Sheet1!$C$70:$C$71))</f>
        <v>1783172.1187499997</v>
      </c>
      <c r="L2124" s="13" t="s">
        <v>65</v>
      </c>
      <c r="M2124" s="4">
        <f>IF(Table1[[#This Row], [EQUIPMENT]]="YES",Sheet1!$C$44*(1+Sheet1!$D$44),0)</f>
        <v>307500</v>
      </c>
      <c r="N2124" s="4">
        <f>_xlfn.XLOOKUP(Table1[[#This Row], [ROOM]],Sheet1!$A$47:$A$66,Sheet1!$F$47:$F$66)</f>
        <v>17800000</v>
      </c>
      <c r="O2124" s="9">
        <f>_xlfn.XLOOKUP(_xlfn.CONCAT(Table1[[#This Row], [TEAM]],Table1[[#This Row], [ROOM]]),'ROOM TIME'!$H$2:$H$121,'ROOM TIME'!$J$2:$J$121)</f>
        <v>61.978749999999984</v>
      </c>
      <c r="P2124" s="9">
        <f>(INDEX(Sheet1!$X$48:$Z$67,MATCH(Table1[[#This Row], [ROOM]],Sheet1!$P$48:$P$67,0),MATCH(Table1[[#This Row], [WEAPON]],Sheet1!$X$47:$Z$47,0)))/Table1[[#This Row], [NUM OF MEM]]</f>
        <v>7.5</v>
      </c>
      <c r="Q2124" s="9">
        <f>Table1[[#This Row], [ROOM TIME]]+Table1[[#This Row], [GUARD TIME]]</f>
        <v>69.478749999999991</v>
      </c>
      <c r="R2124" s="4">
        <f>Sheet1!$K$3*_xlfn.XLOOKUP(Table1[[#This Row], [DISGUISE]],Sheet1!$A$21:$A$23,Sheet1!$D$21:$D$23)</f>
        <v>66</v>
      </c>
      <c r="S2124" s="9">
        <f>Table1[[#This Row], [TOTAL TIME]]-Table1[[#This Row], [TOTAL TIME TAKEN]]</f>
        <v>-3.4787499999999909</v>
      </c>
      <c r="T2124" t="str">
        <f>IF(Table1[[#This Row], [TIME DIFFERENCE]]&gt;=0,"PASS","FAIL")</f>
        <v>FAIL</v>
      </c>
      <c r="U2124" s="9">
        <f>Table1[[#This Row], [TRC]]+Table1[[#This Row], [DRC]]+Table1[[#This Row], [WRC]]+Table1[[#This Row], [ERC]]+Table1[[#This Row], [EQRC]]</f>
        <v>8255872.1187499994</v>
      </c>
      <c r="V2124" s="9">
        <f>Table1[[#This Row], [TOTAL COST]]+_xlfn.XLOOKUP(Table1[[#This Row], [TEAM]],Sheet1!$A$12:$A$17,Sheet1!$I$12:$I$17)</f>
        <v>8560012.1187499985</v>
      </c>
      <c r="W2124" s="9">
        <f>Table1[[#This Row], [LOOT]]-Table1[[#This Row], [TOTAL COST]]</f>
        <v>9544127.8812500015</v>
      </c>
      <c r="X2124" s="4">
        <f>IF(Table1[[#This Row], [PASS/FAIL]]="FAIL",0,Table1[[#This Row], [PROFIT]])</f>
        <v>0</v>
      </c>
    </row>
    <row r="2125" spans="1:24" ht="19.5" customHeight="1" x14ac:dyDescent="0.45">
      <c r="A2125" t="s">
        <v>16</v>
      </c>
      <c r="B2125" s="14">
        <f>_xlfn.XLOOKUP(Table1[[#This Row], [TEAM]],Sheet1!$A$12:$A$17,Sheet1!$F$12:$F$17)</f>
        <v>2</v>
      </c>
      <c r="C2125" s="14">
        <f>_xlfn.XLOOKUP(Table1[[#This Row], [TEAM]],Sheet1!$A$12:$A$17,Sheet1!$G$12:$G$17)</f>
        <v>6082800</v>
      </c>
      <c r="D2125" t="s">
        <v>22</v>
      </c>
      <c r="E2125" s="4">
        <f>_xlfn.XLOOKUP(Table1[[#This Row], [ROOM]],Sheet1!$A$47:$A$66,Sheet1!$B$47:$B$66)</f>
        <v>235</v>
      </c>
      <c r="F2125" t="s">
        <v>62</v>
      </c>
      <c r="G212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5" s="13" t="s">
        <v>66</v>
      </c>
      <c r="I2125" s="4">
        <f>_xlfn.XLOOKUP(Table1[[#This Row], [WEAPON]],Sheet1!$A$27:$A$29,Sheet1!$B$27:$B$29)*Table1[[#This Row], [NUM OF MEM]]*(1+_xlfn.XLOOKUP(Table1[[#This Row], [WEAPON]],Sheet1!$A$27:$A$29,Sheet1!$C$27:$C$29))</f>
        <v>72000</v>
      </c>
      <c r="J2125" t="s">
        <v>64</v>
      </c>
      <c r="K2125" s="9">
        <f>Table1[[#This Row], [NUM OF MEM]]*Table1[[#This Row], [TOTAL TIME TAKEN]]*_xlfn.XLOOKUP(Table1[[#This Row], [EXIT]],Sheet1!$A$70:$A$71,Sheet1!$B$70:$B$71)*(1+_xlfn.XLOOKUP(Table1[[#This Row], [EXIT]],Sheet1!$A$70:$A$71,Sheet1!$C$70:$C$71))</f>
        <v>1800889.1999999997</v>
      </c>
      <c r="L2125" s="13" t="s">
        <v>65</v>
      </c>
      <c r="M2125" s="4">
        <f>IF(Table1[[#This Row], [EQUIPMENT]]="YES",Sheet1!$C$44*(1+Sheet1!$D$44),0)</f>
        <v>307500</v>
      </c>
      <c r="N2125" s="4">
        <f>_xlfn.XLOOKUP(Table1[[#This Row], [ROOM]],Sheet1!$A$47:$A$66,Sheet1!$F$47:$F$66)</f>
        <v>17800000</v>
      </c>
      <c r="O2125" s="9">
        <f>_xlfn.XLOOKUP(_xlfn.CONCAT(Table1[[#This Row], [TEAM]],Table1[[#This Row], [ROOM]]),'ROOM TIME'!$H$2:$H$121,'ROOM TIME'!$J$2:$J$121)</f>
        <v>61.978749999999984</v>
      </c>
      <c r="P2125" s="9">
        <f>(INDEX(Sheet1!$X$48:$Z$67,MATCH(Table1[[#This Row], [ROOM]],Sheet1!$P$48:$P$67,0),MATCH(Table1[[#This Row], [WEAPON]],Sheet1!$X$47:$Z$47,0)))/Table1[[#This Row], [NUM OF MEM]]</f>
        <v>7.5</v>
      </c>
      <c r="Q2125" s="9">
        <f>Table1[[#This Row], [ROOM TIME]]+Table1[[#This Row], [GUARD TIME]]</f>
        <v>69.478749999999991</v>
      </c>
      <c r="R2125" s="4">
        <f>Sheet1!$K$3*_xlfn.XLOOKUP(Table1[[#This Row], [DISGUISE]],Sheet1!$A$21:$A$23,Sheet1!$D$21:$D$23)</f>
        <v>66</v>
      </c>
      <c r="S2125" s="9">
        <f>Table1[[#This Row], [TOTAL TIME]]-Table1[[#This Row], [TOTAL TIME TAKEN]]</f>
        <v>-3.4787499999999909</v>
      </c>
      <c r="T2125" t="str">
        <f>IF(Table1[[#This Row], [TIME DIFFERENCE]]&gt;=0,"PASS","FAIL")</f>
        <v>FAIL</v>
      </c>
      <c r="U2125" s="9">
        <f>Table1[[#This Row], [TRC]]+Table1[[#This Row], [DRC]]+Table1[[#This Row], [WRC]]+Table1[[#This Row], [ERC]]+Table1[[#This Row], [EQRC]]</f>
        <v>8273589.1999999993</v>
      </c>
      <c r="V2125" s="9">
        <f>Table1[[#This Row], [TOTAL COST]]+_xlfn.XLOOKUP(Table1[[#This Row], [TEAM]],Sheet1!$A$12:$A$17,Sheet1!$I$12:$I$17)</f>
        <v>8577729.1999999993</v>
      </c>
      <c r="W2125" s="9">
        <f>Table1[[#This Row], [LOOT]]-Table1[[#This Row], [TOTAL COST]]</f>
        <v>9526410.8000000007</v>
      </c>
      <c r="X2125" s="4">
        <f>IF(Table1[[#This Row], [PASS/FAIL]]="FAIL",0,Table1[[#This Row], [PROFIT]])</f>
        <v>0</v>
      </c>
    </row>
    <row r="2126" spans="1:24" ht="19.5" customHeight="1" x14ac:dyDescent="0.45">
      <c r="A2126" t="s">
        <v>14</v>
      </c>
      <c r="B2126" s="14">
        <f>_xlfn.XLOOKUP(Table1[[#This Row], [TEAM]],Sheet1!$A$12:$A$17,Sheet1!$F$12:$F$17)</f>
        <v>2</v>
      </c>
      <c r="C2126" s="14">
        <f>_xlfn.XLOOKUP(Table1[[#This Row], [TEAM]],Sheet1!$A$12:$A$17,Sheet1!$G$12:$G$17)</f>
        <v>5949600</v>
      </c>
      <c r="D2126" t="s">
        <v>23</v>
      </c>
      <c r="E2126" s="4">
        <f>_xlfn.XLOOKUP(Table1[[#This Row], [ROOM]],Sheet1!$A$47:$A$66,Sheet1!$B$47:$B$66)</f>
        <v>245</v>
      </c>
      <c r="F2126" t="s">
        <v>62</v>
      </c>
      <c r="G2126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6" s="13" t="s">
        <v>59</v>
      </c>
      <c r="I2126" s="4">
        <f>_xlfn.XLOOKUP(Table1[[#This Row], [WEAPON]],Sheet1!$A$27:$A$29,Sheet1!$B$27:$B$29)*Table1[[#This Row], [NUM OF MEM]]*(1+_xlfn.XLOOKUP(Table1[[#This Row], [WEAPON]],Sheet1!$A$27:$A$29,Sheet1!$C$27:$C$29))</f>
        <v>91000</v>
      </c>
      <c r="J2126" t="s">
        <v>60</v>
      </c>
      <c r="K2126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1710379.7624999997</v>
      </c>
      <c r="L2126" s="13" t="s">
        <v>61</v>
      </c>
      <c r="M2126" s="4">
        <f>IF(Table1[[#This Row], [EQUIPMENT]]="YES",Sheet1!$C$44*(1+Sheet1!$D$44),0)</f>
        <v>0</v>
      </c>
      <c r="N2126" s="4">
        <f>_xlfn.XLOOKUP(Table1[[#This Row], [ROOM]],Sheet1!$A$47:$A$66,Sheet1!$F$47:$F$66)</f>
        <v>17400000</v>
      </c>
      <c r="O2126" s="9">
        <f>_xlfn.XLOOKUP(_xlfn.CONCAT(Table1[[#This Row], [TEAM]],Table1[[#This Row], [ROOM]]),'ROOM TIME'!$H$2:$H$121,'ROOM TIME'!$J$2:$J$121)</f>
        <v>60.317499999999981</v>
      </c>
      <c r="P2126" s="9">
        <f>(INDEX(Sheet1!$X$48:$Z$67,MATCH(Table1[[#This Row], [ROOM]],Sheet1!$P$48:$P$67,0),MATCH(Table1[[#This Row], [WEAPON]],Sheet1!$X$47:$Z$47,0)))/Table1[[#This Row], [NUM OF MEM]]</f>
        <v>6.3249999999999993</v>
      </c>
      <c r="Q2126" s="9">
        <f>Table1[[#This Row], [ROOM TIME]]+Table1[[#This Row], [GUARD TIME]]</f>
        <v>66.642499999999984</v>
      </c>
      <c r="R2126" s="4">
        <f>Sheet1!$K$3*_xlfn.XLOOKUP(Table1[[#This Row], [DISGUISE]],Sheet1!$A$21:$A$23,Sheet1!$D$21:$D$23)</f>
        <v>66</v>
      </c>
      <c r="S2126" s="9">
        <f>Table1[[#This Row], [TOTAL TIME]]-Table1[[#This Row], [TOTAL TIME TAKEN]]</f>
        <v>-0.64249999999998408</v>
      </c>
      <c r="T2126" t="str">
        <f>IF(Table1[[#This Row], [TIME DIFFERENCE]]&gt;=0,"PASS","FAIL")</f>
        <v>FAIL</v>
      </c>
      <c r="U2126" s="9">
        <f>Table1[[#This Row], [TRC]]+Table1[[#This Row], [DRC]]+Table1[[#This Row], [WRC]]+Table1[[#This Row], [ERC]]+Table1[[#This Row], [EQRC]]</f>
        <v>7761379.7624999993</v>
      </c>
      <c r="V2126" s="9">
        <f>Table1[[#This Row], [TOTAL COST]]+_xlfn.XLOOKUP(Table1[[#This Row], [TEAM]],Sheet1!$A$12:$A$17,Sheet1!$I$12:$I$17)</f>
        <v>8058859.7624999993</v>
      </c>
      <c r="W2126" s="9">
        <f>Table1[[#This Row], [LOOT]]-Table1[[#This Row], [TOTAL COST]]</f>
        <v>9638620.2375000007</v>
      </c>
      <c r="X2126" s="4">
        <f>IF(Table1[[#This Row], [PASS/FAIL]]="FAIL",0,Table1[[#This Row], [PROFIT]])</f>
        <v>0</v>
      </c>
    </row>
    <row r="2127" spans="1:24" ht="19.5" customHeight="1" x14ac:dyDescent="0.45">
      <c r="A2127" t="s">
        <v>14</v>
      </c>
      <c r="B2127" s="14">
        <f>_xlfn.XLOOKUP(Table1[[#This Row], [TEAM]],Sheet1!$A$12:$A$17,Sheet1!$F$12:$F$17)</f>
        <v>2</v>
      </c>
      <c r="C2127" s="14">
        <f>_xlfn.XLOOKUP(Table1[[#This Row], [TEAM]],Sheet1!$A$12:$A$17,Sheet1!$G$12:$G$17)</f>
        <v>5949600</v>
      </c>
      <c r="D2127" t="s">
        <v>23</v>
      </c>
      <c r="E2127" s="4">
        <f>_xlfn.XLOOKUP(Table1[[#This Row], [ROOM]],Sheet1!$A$47:$A$66,Sheet1!$B$47:$B$66)</f>
        <v>245</v>
      </c>
      <c r="F2127" t="s">
        <v>62</v>
      </c>
      <c r="G212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7" s="13" t="s">
        <v>59</v>
      </c>
      <c r="I2127" s="4">
        <f>_xlfn.XLOOKUP(Table1[[#This Row], [WEAPON]],Sheet1!$A$27:$A$29,Sheet1!$B$27:$B$29)*Table1[[#This Row], [NUM OF MEM]]*(1+_xlfn.XLOOKUP(Table1[[#This Row], [WEAPON]],Sheet1!$A$27:$A$29,Sheet1!$C$27:$C$29))</f>
        <v>91000</v>
      </c>
      <c r="J2127" t="s">
        <v>64</v>
      </c>
      <c r="K2127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1727373.5999999996</v>
      </c>
      <c r="L2127" s="13" t="s">
        <v>61</v>
      </c>
      <c r="M2127" s="4">
        <f>IF(Table1[[#This Row], [EQUIPMENT]]="YES",Sheet1!$C$44*(1+Sheet1!$D$44),0)</f>
        <v>0</v>
      </c>
      <c r="N2127" s="4">
        <f>_xlfn.XLOOKUP(Table1[[#This Row], [ROOM]],Sheet1!$A$47:$A$66,Sheet1!$F$47:$F$66)</f>
        <v>17400000</v>
      </c>
      <c r="O2127" s="9">
        <f>_xlfn.XLOOKUP(_xlfn.CONCAT(Table1[[#This Row], [TEAM]],Table1[[#This Row], [ROOM]]),'ROOM TIME'!$H$2:$H$121,'ROOM TIME'!$J$2:$J$121)</f>
        <v>60.317499999999981</v>
      </c>
      <c r="P2127" s="9">
        <f>(INDEX(Sheet1!$X$48:$Z$67,MATCH(Table1[[#This Row], [ROOM]],Sheet1!$P$48:$P$67,0),MATCH(Table1[[#This Row], [WEAPON]],Sheet1!$X$47:$Z$47,0)))/Table1[[#This Row], [NUM OF MEM]]</f>
        <v>6.3249999999999993</v>
      </c>
      <c r="Q2127" s="9">
        <f>Table1[[#This Row], [ROOM TIME]]+Table1[[#This Row], [GUARD TIME]]</f>
        <v>66.642499999999984</v>
      </c>
      <c r="R2127" s="4">
        <f>Sheet1!$K$3*_xlfn.XLOOKUP(Table1[[#This Row], [DISGUISE]],Sheet1!$A$21:$A$23,Sheet1!$D$21:$D$23)</f>
        <v>66</v>
      </c>
      <c r="S2127" s="9">
        <f>Table1[[#This Row], [TOTAL TIME]]-Table1[[#This Row], [TOTAL TIME TAKEN]]</f>
        <v>-0.64249999999998408</v>
      </c>
      <c r="T2127" t="str">
        <f>IF(Table1[[#This Row], [TIME DIFFERENCE]]&gt;=0,"PASS","FAIL")</f>
        <v>FAIL</v>
      </c>
      <c r="U2127" s="9">
        <f>Table1[[#This Row], [TRC]]+Table1[[#This Row], [DRC]]+Table1[[#This Row], [WRC]]+Table1[[#This Row], [ERC]]+Table1[[#This Row], [EQRC]]</f>
        <v>7778373.5999999996</v>
      </c>
      <c r="V2127" s="9">
        <f>Table1[[#This Row], [TOTAL COST]]+_xlfn.XLOOKUP(Table1[[#This Row], [TEAM]],Sheet1!$A$12:$A$17,Sheet1!$I$12:$I$17)</f>
        <v>8075853.5999999996</v>
      </c>
      <c r="W2127" s="9">
        <f>Table1[[#This Row], [LOOT]]-Table1[[#This Row], [TOTAL COST]]</f>
        <v>9621626.4000000004</v>
      </c>
      <c r="X2127" s="4">
        <f>IF(Table1[[#This Row], [PASS/FAIL]]="FAIL",0,Table1[[#This Row], [PROFIT]])</f>
        <v>0</v>
      </c>
    </row>
    <row r="2128" spans="1:24" ht="19.5" customHeight="1" x14ac:dyDescent="0.45">
      <c r="A2128" t="s">
        <v>14</v>
      </c>
      <c r="B2128" s="14">
        <f>_xlfn.XLOOKUP(Table1[[#This Row], [TEAM]],Sheet1!$A$12:$A$17,Sheet1!$F$12:$F$17)</f>
        <v>2</v>
      </c>
      <c r="C2128" s="14">
        <f>_xlfn.XLOOKUP(Table1[[#This Row], [TEAM]],Sheet1!$A$12:$A$17,Sheet1!$G$12:$G$17)</f>
        <v>5949600</v>
      </c>
      <c r="D2128" t="s">
        <v>23</v>
      </c>
      <c r="E2128" s="4">
        <f>_xlfn.XLOOKUP(Table1[[#This Row], [ROOM]],Sheet1!$A$47:$A$66,Sheet1!$B$47:$B$66)</f>
        <v>245</v>
      </c>
      <c r="F2128" t="s">
        <v>62</v>
      </c>
      <c r="G212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8" s="13" t="s">
        <v>59</v>
      </c>
      <c r="I2128" s="4">
        <f>_xlfn.XLOOKUP(Table1[[#This Row], [WEAPON]],Sheet1!$A$27:$A$29,Sheet1!$B$27:$B$29)*Table1[[#This Row], [NUM OF MEM]]*(1+_xlfn.XLOOKUP(Table1[[#This Row], [WEAPON]],Sheet1!$A$27:$A$29,Sheet1!$C$27:$C$29))</f>
        <v>91000</v>
      </c>
      <c r="J2128" t="s">
        <v>60</v>
      </c>
      <c r="K2128" s="9">
        <f>Table1[[#This Row], [NUM OF MEM]]*Table1[[#This Row], [TOTAL TIME TAKEN]]*_xlfn.XLOOKUP(Table1[[#This Row], [EXIT]],Sheet1!$A$70:$A$71,Sheet1!$B$70:$B$71)*(1+_xlfn.XLOOKUP(Table1[[#This Row], [EXIT]],Sheet1!$A$70:$A$71,Sheet1!$C$70:$C$71))</f>
        <v>1710379.7624999997</v>
      </c>
      <c r="L2128" s="13" t="s">
        <v>65</v>
      </c>
      <c r="M2128" s="4">
        <f>IF(Table1[[#This Row], [EQUIPMENT]]="YES",Sheet1!$C$44*(1+Sheet1!$D$44),0)</f>
        <v>307500</v>
      </c>
      <c r="N2128" s="4">
        <f>_xlfn.XLOOKUP(Table1[[#This Row], [ROOM]],Sheet1!$A$47:$A$66,Sheet1!$F$47:$F$66)</f>
        <v>17400000</v>
      </c>
      <c r="O2128" s="9">
        <f>_xlfn.XLOOKUP(_xlfn.CONCAT(Table1[[#This Row], [TEAM]],Table1[[#This Row], [ROOM]]),'ROOM TIME'!$H$2:$H$121,'ROOM TIME'!$J$2:$J$121)</f>
        <v>60.317499999999981</v>
      </c>
      <c r="P2128" s="9">
        <f>(INDEX(Sheet1!$X$48:$Z$67,MATCH(Table1[[#This Row], [ROOM]],Sheet1!$P$48:$P$67,0),MATCH(Table1[[#This Row], [WEAPON]],Sheet1!$X$47:$Z$47,0)))/Table1[[#This Row], [NUM OF MEM]]</f>
        <v>6.3249999999999993</v>
      </c>
      <c r="Q2128" s="9">
        <f>Table1[[#This Row], [ROOM TIME]]+Table1[[#This Row], [GUARD TIME]]</f>
        <v>66.642499999999984</v>
      </c>
      <c r="R2128" s="4">
        <f>Sheet1!$K$3*_xlfn.XLOOKUP(Table1[[#This Row], [DISGUISE]],Sheet1!$A$21:$A$23,Sheet1!$D$21:$D$23)</f>
        <v>66</v>
      </c>
      <c r="S2128" s="9">
        <f>Table1[[#This Row], [TOTAL TIME]]-Table1[[#This Row], [TOTAL TIME TAKEN]]</f>
        <v>-0.64249999999998408</v>
      </c>
      <c r="T2128" t="str">
        <f>IF(Table1[[#This Row], [TIME DIFFERENCE]]&gt;=0,"PASS","FAIL")</f>
        <v>FAIL</v>
      </c>
      <c r="U2128" s="9">
        <f>Table1[[#This Row], [TRC]]+Table1[[#This Row], [DRC]]+Table1[[#This Row], [WRC]]+Table1[[#This Row], [ERC]]+Table1[[#This Row], [EQRC]]</f>
        <v>8068879.7624999993</v>
      </c>
      <c r="V2128" s="9">
        <f>Table1[[#This Row], [TOTAL COST]]+_xlfn.XLOOKUP(Table1[[#This Row], [TEAM]],Sheet1!$A$12:$A$17,Sheet1!$I$12:$I$17)</f>
        <v>8366359.7624999993</v>
      </c>
      <c r="W2128" s="9">
        <f>Table1[[#This Row], [LOOT]]-Table1[[#This Row], [TOTAL COST]]</f>
        <v>9331120.2375000007</v>
      </c>
      <c r="X2128" s="4">
        <f>IF(Table1[[#This Row], [PASS/FAIL]]="FAIL",0,Table1[[#This Row], [PROFIT]])</f>
        <v>0</v>
      </c>
    </row>
    <row r="2129" spans="1:24" ht="19.5" customHeight="1" x14ac:dyDescent="0.45">
      <c r="A2129" t="s">
        <v>14</v>
      </c>
      <c r="B2129" s="14">
        <f>_xlfn.XLOOKUP(Table1[[#This Row], [TEAM]],Sheet1!$A$12:$A$17,Sheet1!$F$12:$F$17)</f>
        <v>2</v>
      </c>
      <c r="C2129" s="14">
        <f>_xlfn.XLOOKUP(Table1[[#This Row], [TEAM]],Sheet1!$A$12:$A$17,Sheet1!$G$12:$G$17)</f>
        <v>5949600</v>
      </c>
      <c r="D2129" t="s">
        <v>23</v>
      </c>
      <c r="E2129" s="4">
        <f>_xlfn.XLOOKUP(Table1[[#This Row], [ROOM]],Sheet1!$A$47:$A$66,Sheet1!$B$47:$B$66)</f>
        <v>245</v>
      </c>
      <c r="F2129" t="s">
        <v>62</v>
      </c>
      <c r="G2129" s="4">
        <f>_xlfn.XLOOKUP(Table1[[#This Row], [DISGUISE]],Sheet1!$A$21:$A$23,Sheet1!$B$21:$B$23)*Table1[[#This Row], [NUM OF MEM]]*(1+_xlfn.XLOOKUP(Table1[[#This Row], [DISGUISE]],Sheet1!$A$21:$A$23,Sheet1!$C$21:$C$23))</f>
        <v>10400</v>
      </c>
      <c r="H2129" s="13" t="s">
        <v>63</v>
      </c>
      <c r="I2129" s="4">
        <f>_xlfn.XLOOKUP(Table1[[#This Row], [WEAPON]],Sheet1!$A$27:$A$29,Sheet1!$B$27:$B$29)*Table1[[#This Row], [NUM OF MEM]]*(1+_xlfn.XLOOKUP(Table1[[#This Row], [WEAPON]],Sheet1!$A$27:$A$29,Sheet1!$C$27:$C$29))</f>
        <v>46000</v>
      </c>
      <c r="J2129" t="s">
        <v>60</v>
      </c>
      <c r="K2129" s="9">
        <f>Table1[[#This Row], [NUM OF MEM]]*Table1[[#This Row], [TOTAL TIME TAKEN]]*_xlfn.XLOOKUP(Table1[[#This Row], [EXIT]],Sheet1!$A$70:$A$71,Sheet1!$B$70:$B$71)*(1+_xlfn.XLOOKUP(Table1[[#This Row], [EXIT]],Sheet1!$A$70:$A$71,Sheet1!$C$70:$C$71))</f>
        <v>1738611.2624999993</v>
      </c>
      <c r="L2129" s="13" t="s">
        <v>61</v>
      </c>
      <c r="M2129" s="4">
        <f>IF(Table1[[#This Row], [EQUIPMENT]]="YES",Sheet1!$C$44*(1+Sheet1!$D$44),0)</f>
        <v>0</v>
      </c>
      <c r="N2129" s="4">
        <f>_xlfn.XLOOKUP(Table1[[#This Row], [ROOM]],Sheet1!$A$47:$A$66,Sheet1!$F$47:$F$66)</f>
        <v>17400000</v>
      </c>
      <c r="O2129" s="9">
        <f>_xlfn.XLOOKUP(_xlfn.CONCAT(Table1[[#This Row], [TEAM]],Table1[[#This Row], [ROOM]]),'ROOM TIME'!$H$2:$H$121,'ROOM TIME'!$J$2:$J$121)</f>
        <v>60.317499999999981</v>
      </c>
      <c r="P2129" s="9">
        <f>(INDEX(Sheet1!$X$48:$Z$67,MATCH(Table1[[#This Row], [ROOM]],Sheet1!$P$48:$P$67,0),MATCH(Table1[[#This Row], [WEAPON]],Sheet1!$X$47:$Z$47,0)))/Table1[[#This Row], [NUM OF MEM]]</f>
        <v>7.4250000000000007</v>
      </c>
      <c r="Q2129" s="9">
        <f>Table1[[#This Row], [ROOM TIME]]+Table1[[#This Row], [GUARD TIME]]</f>
        <v>67.742499999999978</v>
      </c>
      <c r="R2129" s="4">
        <f>Sheet1!$K$3*_xlfn.XLOOKUP(Table1[[#This Row], [DISGUISE]],Sheet1!$A$21:$A$23,Sheet1!$D$21:$D$23)</f>
        <v>66</v>
      </c>
      <c r="S2129" s="9">
        <f>Table1[[#This Row], [TOTAL TIME]]-Table1[[#This Row], [TOTAL TIME TAKEN]]</f>
        <v>-1.7424999999999784</v>
      </c>
      <c r="T2129" t="str">
        <f>IF(Table1[[#This Row], [TIME DIFFERENCE]]&gt;=0,"PASS","FAIL")</f>
        <v>FAIL</v>
      </c>
      <c r="U2129" s="9">
        <f>Table1[[#This Row], [TRC]]+Table1[[#This Row], [DRC]]+Table1[[#This Row], [WRC]]+Table1[[#This Row], [ERC]]+Table1[[#This Row], [EQRC]]</f>
        <v>7744611.2624999993</v>
      </c>
      <c r="V2129" s="9">
        <f>Table1[[#This Row], [TOTAL COST]]+_xlfn.XLOOKUP(Table1[[#This Row], [TEAM]],Sheet1!$A$12:$A$17,Sheet1!$I$12:$I$17)</f>
        <v>8042091.2624999993</v>
      </c>
      <c r="W2129" s="9">
        <f>Table1[[#This Row], [LOOT]]-Table1[[#This Row], [TOTAL COST]]</f>
        <v>9655388.7375000007</v>
      </c>
      <c r="X2129" s="4">
        <f>IF(Table1[[#This Row], [PASS/FAIL]]="FAIL",0,Table1[[#This Row], [PROFIT]])</f>
        <v>0</v>
      </c>
    </row>
    <row r="2130" spans="1:24" ht="19.5" customHeight="1" x14ac:dyDescent="0.45">
      <c r="A2130" t="s">
        <v>14</v>
      </c>
      <c r="B2130" s="14">
        <f>_xlfn.XLOOKUP(Table1[[#This Row], [TEAM]],Sheet1!$A$12:$A$17,Sheet1!$F$12:$F$17)</f>
        <v>2</v>
      </c>
      <c r="C2130" s="14">
        <f>_xlfn.XLOOKUP(Table1[[#This Row], [TEAM]],Sheet1!$A$12:$A$17,Sheet1!$G$12:$G$17)</f>
        <v>5949600</v>
      </c>
      <c r="D2130" t="s">
        <v>23</v>
      </c>
      <c r="E2130" s="4">
        <f>_xlfn.XLOOKUP(Table1[[#This Row], [ROOM]],Sheet1!$A$47:$A$66,Sheet1!$B$47:$B$66)</f>
        <v>245</v>
      </c>
      <c r="F2130" t="s">
        <v>62</v>
      </c>
      <c r="G213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0" s="13" t="s">
        <v>59</v>
      </c>
      <c r="I2130" s="4">
        <f>_xlfn.XLOOKUP(Table1[[#This Row], [WEAPON]],Sheet1!$A$27:$A$29,Sheet1!$B$27:$B$29)*Table1[[#This Row], [NUM OF MEM]]*(1+_xlfn.XLOOKUP(Table1[[#This Row], [WEAPON]],Sheet1!$A$27:$A$29,Sheet1!$C$27:$C$29))</f>
        <v>91000</v>
      </c>
      <c r="J2130" t="s">
        <v>64</v>
      </c>
      <c r="K2130" s="9">
        <f>Table1[[#This Row], [NUM OF MEM]]*Table1[[#This Row], [TOTAL TIME TAKEN]]*_xlfn.XLOOKUP(Table1[[#This Row], [EXIT]],Sheet1!$A$70:$A$71,Sheet1!$B$70:$B$71)*(1+_xlfn.XLOOKUP(Table1[[#This Row], [EXIT]],Sheet1!$A$70:$A$71,Sheet1!$C$70:$C$71))</f>
        <v>1727373.5999999996</v>
      </c>
      <c r="L2130" s="13" t="s">
        <v>65</v>
      </c>
      <c r="M2130" s="4">
        <f>IF(Table1[[#This Row], [EQUIPMENT]]="YES",Sheet1!$C$44*(1+Sheet1!$D$44),0)</f>
        <v>307500</v>
      </c>
      <c r="N2130" s="4">
        <f>_xlfn.XLOOKUP(Table1[[#This Row], [ROOM]],Sheet1!$A$47:$A$66,Sheet1!$F$47:$F$66)</f>
        <v>17400000</v>
      </c>
      <c r="O2130" s="9">
        <f>_xlfn.XLOOKUP(_xlfn.CONCAT(Table1[[#This Row], [TEAM]],Table1[[#This Row], [ROOM]]),'ROOM TIME'!$H$2:$H$121,'ROOM TIME'!$J$2:$J$121)</f>
        <v>60.317499999999981</v>
      </c>
      <c r="P2130" s="9">
        <f>(INDEX(Sheet1!$X$48:$Z$67,MATCH(Table1[[#This Row], [ROOM]],Sheet1!$P$48:$P$67,0),MATCH(Table1[[#This Row], [WEAPON]],Sheet1!$X$47:$Z$47,0)))/Table1[[#This Row], [NUM OF MEM]]</f>
        <v>6.3249999999999993</v>
      </c>
      <c r="Q2130" s="9">
        <f>Table1[[#This Row], [ROOM TIME]]+Table1[[#This Row], [GUARD TIME]]</f>
        <v>66.642499999999984</v>
      </c>
      <c r="R2130" s="4">
        <f>Sheet1!$K$3*_xlfn.XLOOKUP(Table1[[#This Row], [DISGUISE]],Sheet1!$A$21:$A$23,Sheet1!$D$21:$D$23)</f>
        <v>66</v>
      </c>
      <c r="S2130" s="9">
        <f>Table1[[#This Row], [TOTAL TIME]]-Table1[[#This Row], [TOTAL TIME TAKEN]]</f>
        <v>-0.64249999999998408</v>
      </c>
      <c r="T2130" t="str">
        <f>IF(Table1[[#This Row], [TIME DIFFERENCE]]&gt;=0,"PASS","FAIL")</f>
        <v>FAIL</v>
      </c>
      <c r="U2130" s="9">
        <f>Table1[[#This Row], [TRC]]+Table1[[#This Row], [DRC]]+Table1[[#This Row], [WRC]]+Table1[[#This Row], [ERC]]+Table1[[#This Row], [EQRC]]</f>
        <v>8085873.5999999996</v>
      </c>
      <c r="V2130" s="9">
        <f>Table1[[#This Row], [TOTAL COST]]+_xlfn.XLOOKUP(Table1[[#This Row], [TEAM]],Sheet1!$A$12:$A$17,Sheet1!$I$12:$I$17)</f>
        <v>8383353.5999999996</v>
      </c>
      <c r="W2130" s="9">
        <f>Table1[[#This Row], [LOOT]]-Table1[[#This Row], [TOTAL COST]]</f>
        <v>9314126.4000000004</v>
      </c>
      <c r="X2130" s="4">
        <f>IF(Table1[[#This Row], [PASS/FAIL]]="FAIL",0,Table1[[#This Row], [PROFIT]])</f>
        <v>0</v>
      </c>
    </row>
    <row r="2131" spans="1:24" ht="19.5" customHeight="1" x14ac:dyDescent="0.45">
      <c r="A2131" t="s">
        <v>14</v>
      </c>
      <c r="B2131" s="14">
        <f>_xlfn.XLOOKUP(Table1[[#This Row], [TEAM]],Sheet1!$A$12:$A$17,Sheet1!$F$12:$F$17)</f>
        <v>2</v>
      </c>
      <c r="C2131" s="14">
        <f>_xlfn.XLOOKUP(Table1[[#This Row], [TEAM]],Sheet1!$A$12:$A$17,Sheet1!$G$12:$G$17)</f>
        <v>5949600</v>
      </c>
      <c r="D2131" t="s">
        <v>23</v>
      </c>
      <c r="E2131" s="4">
        <f>_xlfn.XLOOKUP(Table1[[#This Row], [ROOM]],Sheet1!$A$47:$A$66,Sheet1!$B$47:$B$66)</f>
        <v>245</v>
      </c>
      <c r="F2131" t="s">
        <v>62</v>
      </c>
      <c r="G213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1" s="13" t="s">
        <v>63</v>
      </c>
      <c r="I2131" s="4">
        <f>_xlfn.XLOOKUP(Table1[[#This Row], [WEAPON]],Sheet1!$A$27:$A$29,Sheet1!$B$27:$B$29)*Table1[[#This Row], [NUM OF MEM]]*(1+_xlfn.XLOOKUP(Table1[[#This Row], [WEAPON]],Sheet1!$A$27:$A$29,Sheet1!$C$27:$C$29))</f>
        <v>46000</v>
      </c>
      <c r="J2131" t="s">
        <v>64</v>
      </c>
      <c r="K2131" s="9">
        <f>Table1[[#This Row], [NUM OF MEM]]*Table1[[#This Row], [TOTAL TIME TAKEN]]*_xlfn.XLOOKUP(Table1[[#This Row], [EXIT]],Sheet1!$A$70:$A$71,Sheet1!$B$70:$B$71)*(1+_xlfn.XLOOKUP(Table1[[#This Row], [EXIT]],Sheet1!$A$70:$A$71,Sheet1!$C$70:$C$71))</f>
        <v>1755885.5999999994</v>
      </c>
      <c r="L2131" s="13" t="s">
        <v>61</v>
      </c>
      <c r="M2131" s="4">
        <f>IF(Table1[[#This Row], [EQUIPMENT]]="YES",Sheet1!$C$44*(1+Sheet1!$D$44),0)</f>
        <v>0</v>
      </c>
      <c r="N2131" s="4">
        <f>_xlfn.XLOOKUP(Table1[[#This Row], [ROOM]],Sheet1!$A$47:$A$66,Sheet1!$F$47:$F$66)</f>
        <v>17400000</v>
      </c>
      <c r="O2131" s="9">
        <f>_xlfn.XLOOKUP(_xlfn.CONCAT(Table1[[#This Row], [TEAM]],Table1[[#This Row], [ROOM]]),'ROOM TIME'!$H$2:$H$121,'ROOM TIME'!$J$2:$J$121)</f>
        <v>60.317499999999981</v>
      </c>
      <c r="P2131" s="9">
        <f>(INDEX(Sheet1!$X$48:$Z$67,MATCH(Table1[[#This Row], [ROOM]],Sheet1!$P$48:$P$67,0),MATCH(Table1[[#This Row], [WEAPON]],Sheet1!$X$47:$Z$47,0)))/Table1[[#This Row], [NUM OF MEM]]</f>
        <v>7.4250000000000007</v>
      </c>
      <c r="Q2131" s="9">
        <f>Table1[[#This Row], [ROOM TIME]]+Table1[[#This Row], [GUARD TIME]]</f>
        <v>67.742499999999978</v>
      </c>
      <c r="R2131" s="4">
        <f>Sheet1!$K$3*_xlfn.XLOOKUP(Table1[[#This Row], [DISGUISE]],Sheet1!$A$21:$A$23,Sheet1!$D$21:$D$23)</f>
        <v>66</v>
      </c>
      <c r="S2131" s="9">
        <f>Table1[[#This Row], [TOTAL TIME]]-Table1[[#This Row], [TOTAL TIME TAKEN]]</f>
        <v>-1.7424999999999784</v>
      </c>
      <c r="T2131" t="str">
        <f>IF(Table1[[#This Row], [TIME DIFFERENCE]]&gt;=0,"PASS","FAIL")</f>
        <v>FAIL</v>
      </c>
      <c r="U2131" s="9">
        <f>Table1[[#This Row], [TRC]]+Table1[[#This Row], [DRC]]+Table1[[#This Row], [WRC]]+Table1[[#This Row], [ERC]]+Table1[[#This Row], [EQRC]]</f>
        <v>7761885.5999999996</v>
      </c>
      <c r="V2131" s="9">
        <f>Table1[[#This Row], [TOTAL COST]]+_xlfn.XLOOKUP(Table1[[#This Row], [TEAM]],Sheet1!$A$12:$A$17,Sheet1!$I$12:$I$17)</f>
        <v>8059365.5999999996</v>
      </c>
      <c r="W2131" s="9">
        <f>Table1[[#This Row], [LOOT]]-Table1[[#This Row], [TOTAL COST]]</f>
        <v>9638114.4000000004</v>
      </c>
      <c r="X2131" s="4">
        <f>IF(Table1[[#This Row], [PASS/FAIL]]="FAIL",0,Table1[[#This Row], [PROFIT]])</f>
        <v>0</v>
      </c>
    </row>
    <row r="2132" spans="1:24" ht="19.5" customHeight="1" x14ac:dyDescent="0.45">
      <c r="A2132" t="s">
        <v>14</v>
      </c>
      <c r="B2132" s="14">
        <f>_xlfn.XLOOKUP(Table1[[#This Row], [TEAM]],Sheet1!$A$12:$A$17,Sheet1!$F$12:$F$17)</f>
        <v>2</v>
      </c>
      <c r="C2132" s="14">
        <f>_xlfn.XLOOKUP(Table1[[#This Row], [TEAM]],Sheet1!$A$12:$A$17,Sheet1!$G$12:$G$17)</f>
        <v>5949600</v>
      </c>
      <c r="D2132" t="s">
        <v>23</v>
      </c>
      <c r="E2132" s="4">
        <f>_xlfn.XLOOKUP(Table1[[#This Row], [ROOM]],Sheet1!$A$47:$A$66,Sheet1!$B$47:$B$66)</f>
        <v>245</v>
      </c>
      <c r="F2132" t="s">
        <v>62</v>
      </c>
      <c r="G213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2" s="13" t="s">
        <v>63</v>
      </c>
      <c r="I2132" s="4">
        <f>_xlfn.XLOOKUP(Table1[[#This Row], [WEAPON]],Sheet1!$A$27:$A$29,Sheet1!$B$27:$B$29)*Table1[[#This Row], [NUM OF MEM]]*(1+_xlfn.XLOOKUP(Table1[[#This Row], [WEAPON]],Sheet1!$A$27:$A$29,Sheet1!$C$27:$C$29))</f>
        <v>46000</v>
      </c>
      <c r="J2132" t="s">
        <v>60</v>
      </c>
      <c r="K2132" s="9">
        <f>Table1[[#This Row], [NUM OF MEM]]*Table1[[#This Row], [TOTAL TIME TAKEN]]*_xlfn.XLOOKUP(Table1[[#This Row], [EXIT]],Sheet1!$A$70:$A$71,Sheet1!$B$70:$B$71)*(1+_xlfn.XLOOKUP(Table1[[#This Row], [EXIT]],Sheet1!$A$70:$A$71,Sheet1!$C$70:$C$71))</f>
        <v>1738611.2624999993</v>
      </c>
      <c r="L2132" s="13" t="s">
        <v>65</v>
      </c>
      <c r="M2132" s="4">
        <f>IF(Table1[[#This Row], [EQUIPMENT]]="YES",Sheet1!$C$44*(1+Sheet1!$D$44),0)</f>
        <v>307500</v>
      </c>
      <c r="N2132" s="4">
        <f>_xlfn.XLOOKUP(Table1[[#This Row], [ROOM]],Sheet1!$A$47:$A$66,Sheet1!$F$47:$F$66)</f>
        <v>17400000</v>
      </c>
      <c r="O2132" s="9">
        <f>_xlfn.XLOOKUP(_xlfn.CONCAT(Table1[[#This Row], [TEAM]],Table1[[#This Row], [ROOM]]),'ROOM TIME'!$H$2:$H$121,'ROOM TIME'!$J$2:$J$121)</f>
        <v>60.317499999999981</v>
      </c>
      <c r="P2132" s="9">
        <f>(INDEX(Sheet1!$X$48:$Z$67,MATCH(Table1[[#This Row], [ROOM]],Sheet1!$P$48:$P$67,0),MATCH(Table1[[#This Row], [WEAPON]],Sheet1!$X$47:$Z$47,0)))/Table1[[#This Row], [NUM OF MEM]]</f>
        <v>7.4250000000000007</v>
      </c>
      <c r="Q2132" s="9">
        <f>Table1[[#This Row], [ROOM TIME]]+Table1[[#This Row], [GUARD TIME]]</f>
        <v>67.742499999999978</v>
      </c>
      <c r="R2132" s="4">
        <f>Sheet1!$K$3*_xlfn.XLOOKUP(Table1[[#This Row], [DISGUISE]],Sheet1!$A$21:$A$23,Sheet1!$D$21:$D$23)</f>
        <v>66</v>
      </c>
      <c r="S2132" s="9">
        <f>Table1[[#This Row], [TOTAL TIME]]-Table1[[#This Row], [TOTAL TIME TAKEN]]</f>
        <v>-1.7424999999999784</v>
      </c>
      <c r="T2132" t="str">
        <f>IF(Table1[[#This Row], [TIME DIFFERENCE]]&gt;=0,"PASS","FAIL")</f>
        <v>FAIL</v>
      </c>
      <c r="U2132" s="9">
        <f>Table1[[#This Row], [TRC]]+Table1[[#This Row], [DRC]]+Table1[[#This Row], [WRC]]+Table1[[#This Row], [ERC]]+Table1[[#This Row], [EQRC]]</f>
        <v>8052111.2624999993</v>
      </c>
      <c r="V2132" s="9">
        <f>Table1[[#This Row], [TOTAL COST]]+_xlfn.XLOOKUP(Table1[[#This Row], [TEAM]],Sheet1!$A$12:$A$17,Sheet1!$I$12:$I$17)</f>
        <v>8349591.2624999993</v>
      </c>
      <c r="W2132" s="9">
        <f>Table1[[#This Row], [LOOT]]-Table1[[#This Row], [TOTAL COST]]</f>
        <v>9347888.7375000007</v>
      </c>
      <c r="X2132" s="4">
        <f>IF(Table1[[#This Row], [PASS/FAIL]]="FAIL",0,Table1[[#This Row], [PROFIT]])</f>
        <v>0</v>
      </c>
    </row>
    <row r="2133" spans="1:24" ht="19.5" customHeight="1" x14ac:dyDescent="0.45">
      <c r="A2133" t="s">
        <v>14</v>
      </c>
      <c r="B2133" s="14">
        <f>_xlfn.XLOOKUP(Table1[[#This Row], [TEAM]],Sheet1!$A$12:$A$17,Sheet1!$F$12:$F$17)</f>
        <v>2</v>
      </c>
      <c r="C2133" s="14">
        <f>_xlfn.XLOOKUP(Table1[[#This Row], [TEAM]],Sheet1!$A$12:$A$17,Sheet1!$G$12:$G$17)</f>
        <v>5949600</v>
      </c>
      <c r="D2133" t="s">
        <v>23</v>
      </c>
      <c r="E2133" s="4">
        <f>_xlfn.XLOOKUP(Table1[[#This Row], [ROOM]],Sheet1!$A$47:$A$66,Sheet1!$B$47:$B$66)</f>
        <v>245</v>
      </c>
      <c r="F2133" t="s">
        <v>62</v>
      </c>
      <c r="G2133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3" s="13" t="s">
        <v>63</v>
      </c>
      <c r="I2133" s="4">
        <f>_xlfn.XLOOKUP(Table1[[#This Row], [WEAPON]],Sheet1!$A$27:$A$29,Sheet1!$B$27:$B$29)*Table1[[#This Row], [NUM OF MEM]]*(1+_xlfn.XLOOKUP(Table1[[#This Row], [WEAPON]],Sheet1!$A$27:$A$29,Sheet1!$C$27:$C$29))</f>
        <v>46000</v>
      </c>
      <c r="J2133" t="s">
        <v>64</v>
      </c>
      <c r="K2133" s="9">
        <f>Table1[[#This Row], [NUM OF MEM]]*Table1[[#This Row], [TOTAL TIME TAKEN]]*_xlfn.XLOOKUP(Table1[[#This Row], [EXIT]],Sheet1!$A$70:$A$71,Sheet1!$B$70:$B$71)*(1+_xlfn.XLOOKUP(Table1[[#This Row], [EXIT]],Sheet1!$A$70:$A$71,Sheet1!$C$70:$C$71))</f>
        <v>1755885.5999999994</v>
      </c>
      <c r="L2133" s="13" t="s">
        <v>65</v>
      </c>
      <c r="M2133" s="4">
        <f>IF(Table1[[#This Row], [EQUIPMENT]]="YES",Sheet1!$C$44*(1+Sheet1!$D$44),0)</f>
        <v>307500</v>
      </c>
      <c r="N2133" s="4">
        <f>_xlfn.XLOOKUP(Table1[[#This Row], [ROOM]],Sheet1!$A$47:$A$66,Sheet1!$F$47:$F$66)</f>
        <v>17400000</v>
      </c>
      <c r="O2133" s="9">
        <f>_xlfn.XLOOKUP(_xlfn.CONCAT(Table1[[#This Row], [TEAM]],Table1[[#This Row], [ROOM]]),'ROOM TIME'!$H$2:$H$121,'ROOM TIME'!$J$2:$J$121)</f>
        <v>60.317499999999981</v>
      </c>
      <c r="P2133" s="9">
        <f>(INDEX(Sheet1!$X$48:$Z$67,MATCH(Table1[[#This Row], [ROOM]],Sheet1!$P$48:$P$67,0),MATCH(Table1[[#This Row], [WEAPON]],Sheet1!$X$47:$Z$47,0)))/Table1[[#This Row], [NUM OF MEM]]</f>
        <v>7.4250000000000007</v>
      </c>
      <c r="Q2133" s="9">
        <f>Table1[[#This Row], [ROOM TIME]]+Table1[[#This Row], [GUARD TIME]]</f>
        <v>67.742499999999978</v>
      </c>
      <c r="R2133" s="4">
        <f>Sheet1!$K$3*_xlfn.XLOOKUP(Table1[[#This Row], [DISGUISE]],Sheet1!$A$21:$A$23,Sheet1!$D$21:$D$23)</f>
        <v>66</v>
      </c>
      <c r="S2133" s="9">
        <f>Table1[[#This Row], [TOTAL TIME]]-Table1[[#This Row], [TOTAL TIME TAKEN]]</f>
        <v>-1.7424999999999784</v>
      </c>
      <c r="T2133" t="str">
        <f>IF(Table1[[#This Row], [TIME DIFFERENCE]]&gt;=0,"PASS","FAIL")</f>
        <v>FAIL</v>
      </c>
      <c r="U2133" s="9">
        <f>Table1[[#This Row], [TRC]]+Table1[[#This Row], [DRC]]+Table1[[#This Row], [WRC]]+Table1[[#This Row], [ERC]]+Table1[[#This Row], [EQRC]]</f>
        <v>8069385.5999999996</v>
      </c>
      <c r="V2133" s="9">
        <f>Table1[[#This Row], [TOTAL COST]]+_xlfn.XLOOKUP(Table1[[#This Row], [TEAM]],Sheet1!$A$12:$A$17,Sheet1!$I$12:$I$17)</f>
        <v>8366865.5999999996</v>
      </c>
      <c r="W2133" s="9">
        <f>Table1[[#This Row], [LOOT]]-Table1[[#This Row], [TOTAL COST]]</f>
        <v>9330614.4000000004</v>
      </c>
      <c r="X2133" s="4">
        <f>IF(Table1[[#This Row], [PASS/FAIL]]="FAIL",0,Table1[[#This Row], [PROFIT]])</f>
        <v>0</v>
      </c>
    </row>
    <row r="2134" spans="1:24" ht="19.5" customHeight="1" x14ac:dyDescent="0.45">
      <c r="A2134" t="s">
        <v>14</v>
      </c>
      <c r="B2134" s="14">
        <f>_xlfn.XLOOKUP(Table1[[#This Row], [TEAM]],Sheet1!$A$12:$A$17,Sheet1!$F$12:$F$17)</f>
        <v>2</v>
      </c>
      <c r="C2134" s="14">
        <f>_xlfn.XLOOKUP(Table1[[#This Row], [TEAM]],Sheet1!$A$12:$A$17,Sheet1!$G$12:$G$17)</f>
        <v>5949600</v>
      </c>
      <c r="D2134" t="s">
        <v>23</v>
      </c>
      <c r="E2134" s="4">
        <f>_xlfn.XLOOKUP(Table1[[#This Row], [ROOM]],Sheet1!$A$47:$A$66,Sheet1!$B$47:$B$66)</f>
        <v>245</v>
      </c>
      <c r="F2134" t="s">
        <v>62</v>
      </c>
      <c r="G2134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4" s="13" t="s">
        <v>66</v>
      </c>
      <c r="I2134" s="4">
        <f>_xlfn.XLOOKUP(Table1[[#This Row], [WEAPON]],Sheet1!$A$27:$A$29,Sheet1!$B$27:$B$29)*Table1[[#This Row], [NUM OF MEM]]*(1+_xlfn.XLOOKUP(Table1[[#This Row], [WEAPON]],Sheet1!$A$27:$A$29,Sheet1!$C$27:$C$29))</f>
        <v>72000</v>
      </c>
      <c r="J2134" t="s">
        <v>60</v>
      </c>
      <c r="K2134" s="9">
        <f>Table1[[#This Row], [NUM OF MEM]]*Table1[[#This Row], [TOTAL TIME TAKEN]]*_xlfn.XLOOKUP(Table1[[#This Row], [EXIT]],Sheet1!$A$70:$A$71,Sheet1!$B$70:$B$71)*(1+_xlfn.XLOOKUP(Table1[[#This Row], [EXIT]],Sheet1!$A$70:$A$71,Sheet1!$C$70:$C$71))</f>
        <v>1724495.5124999997</v>
      </c>
      <c r="L2134" s="13" t="s">
        <v>61</v>
      </c>
      <c r="M2134" s="4">
        <f>IF(Table1[[#This Row], [EQUIPMENT]]="YES",Sheet1!$C$44*(1+Sheet1!$D$44),0)</f>
        <v>0</v>
      </c>
      <c r="N2134" s="4">
        <f>_xlfn.XLOOKUP(Table1[[#This Row], [ROOM]],Sheet1!$A$47:$A$66,Sheet1!$F$47:$F$66)</f>
        <v>17400000</v>
      </c>
      <c r="O2134" s="9">
        <f>_xlfn.XLOOKUP(_xlfn.CONCAT(Table1[[#This Row], [TEAM]],Table1[[#This Row], [ROOM]]),'ROOM TIME'!$H$2:$H$121,'ROOM TIME'!$J$2:$J$121)</f>
        <v>60.317499999999981</v>
      </c>
      <c r="P2134" s="9">
        <f>(INDEX(Sheet1!$X$48:$Z$67,MATCH(Table1[[#This Row], [ROOM]],Sheet1!$P$48:$P$67,0),MATCH(Table1[[#This Row], [WEAPON]],Sheet1!$X$47:$Z$47,0)))/Table1[[#This Row], [NUM OF MEM]]</f>
        <v>6.875</v>
      </c>
      <c r="Q2134" s="9">
        <f>Table1[[#This Row], [ROOM TIME]]+Table1[[#This Row], [GUARD TIME]]</f>
        <v>67.192499999999981</v>
      </c>
      <c r="R2134" s="4">
        <f>Sheet1!$K$3*_xlfn.XLOOKUP(Table1[[#This Row], [DISGUISE]],Sheet1!$A$21:$A$23,Sheet1!$D$21:$D$23)</f>
        <v>66</v>
      </c>
      <c r="S2134" s="9">
        <f>Table1[[#This Row], [TOTAL TIME]]-Table1[[#This Row], [TOTAL TIME TAKEN]]</f>
        <v>-1.1924999999999812</v>
      </c>
      <c r="T2134" t="str">
        <f>IF(Table1[[#This Row], [TIME DIFFERENCE]]&gt;=0,"PASS","FAIL")</f>
        <v>FAIL</v>
      </c>
      <c r="U2134" s="9">
        <f>Table1[[#This Row], [TRC]]+Table1[[#This Row], [DRC]]+Table1[[#This Row], [WRC]]+Table1[[#This Row], [ERC]]+Table1[[#This Row], [EQRC]]</f>
        <v>7756495.5124999993</v>
      </c>
      <c r="V2134" s="9">
        <f>Table1[[#This Row], [TOTAL COST]]+_xlfn.XLOOKUP(Table1[[#This Row], [TEAM]],Sheet1!$A$12:$A$17,Sheet1!$I$12:$I$17)</f>
        <v>8053975.5124999993</v>
      </c>
      <c r="W2134" s="9">
        <f>Table1[[#This Row], [LOOT]]-Table1[[#This Row], [TOTAL COST]]</f>
        <v>9643504.4875000007</v>
      </c>
      <c r="X2134" s="4">
        <f>IF(Table1[[#This Row], [PASS/FAIL]]="FAIL",0,Table1[[#This Row], [PROFIT]])</f>
        <v>0</v>
      </c>
    </row>
    <row r="2135" spans="1:24" ht="19.5" customHeight="1" x14ac:dyDescent="0.45">
      <c r="A2135" t="s">
        <v>14</v>
      </c>
      <c r="B2135" s="14">
        <f>_xlfn.XLOOKUP(Table1[[#This Row], [TEAM]],Sheet1!$A$12:$A$17,Sheet1!$F$12:$F$17)</f>
        <v>2</v>
      </c>
      <c r="C2135" s="14">
        <f>_xlfn.XLOOKUP(Table1[[#This Row], [TEAM]],Sheet1!$A$12:$A$17,Sheet1!$G$12:$G$17)</f>
        <v>5949600</v>
      </c>
      <c r="D2135" t="s">
        <v>23</v>
      </c>
      <c r="E2135" s="4">
        <f>_xlfn.XLOOKUP(Table1[[#This Row], [ROOM]],Sheet1!$A$47:$A$66,Sheet1!$B$47:$B$66)</f>
        <v>245</v>
      </c>
      <c r="F2135" t="s">
        <v>62</v>
      </c>
      <c r="G213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5" s="13" t="s">
        <v>66</v>
      </c>
      <c r="I2135" s="4">
        <f>_xlfn.XLOOKUP(Table1[[#This Row], [WEAPON]],Sheet1!$A$27:$A$29,Sheet1!$B$27:$B$29)*Table1[[#This Row], [NUM OF MEM]]*(1+_xlfn.XLOOKUP(Table1[[#This Row], [WEAPON]],Sheet1!$A$27:$A$29,Sheet1!$C$27:$C$29))</f>
        <v>72000</v>
      </c>
      <c r="J2135" t="s">
        <v>64</v>
      </c>
      <c r="K2135" s="9">
        <f>Table1[[#This Row], [NUM OF MEM]]*Table1[[#This Row], [TOTAL TIME TAKEN]]*_xlfn.XLOOKUP(Table1[[#This Row], [EXIT]],Sheet1!$A$70:$A$71,Sheet1!$B$70:$B$71)*(1+_xlfn.XLOOKUP(Table1[[#This Row], [EXIT]],Sheet1!$A$70:$A$71,Sheet1!$C$70:$C$71))</f>
        <v>1741629.5999999994</v>
      </c>
      <c r="L2135" s="13" t="s">
        <v>61</v>
      </c>
      <c r="M2135" s="4">
        <f>IF(Table1[[#This Row], [EQUIPMENT]]="YES",Sheet1!$C$44*(1+Sheet1!$D$44),0)</f>
        <v>0</v>
      </c>
      <c r="N2135" s="4">
        <f>_xlfn.XLOOKUP(Table1[[#This Row], [ROOM]],Sheet1!$A$47:$A$66,Sheet1!$F$47:$F$66)</f>
        <v>17400000</v>
      </c>
      <c r="O2135" s="9">
        <f>_xlfn.XLOOKUP(_xlfn.CONCAT(Table1[[#This Row], [TEAM]],Table1[[#This Row], [ROOM]]),'ROOM TIME'!$H$2:$H$121,'ROOM TIME'!$J$2:$J$121)</f>
        <v>60.317499999999981</v>
      </c>
      <c r="P2135" s="9">
        <f>(INDEX(Sheet1!$X$48:$Z$67,MATCH(Table1[[#This Row], [ROOM]],Sheet1!$P$48:$P$67,0),MATCH(Table1[[#This Row], [WEAPON]],Sheet1!$X$47:$Z$47,0)))/Table1[[#This Row], [NUM OF MEM]]</f>
        <v>6.875</v>
      </c>
      <c r="Q2135" s="9">
        <f>Table1[[#This Row], [ROOM TIME]]+Table1[[#This Row], [GUARD TIME]]</f>
        <v>67.192499999999981</v>
      </c>
      <c r="R2135" s="4">
        <f>Sheet1!$K$3*_xlfn.XLOOKUP(Table1[[#This Row], [DISGUISE]],Sheet1!$A$21:$A$23,Sheet1!$D$21:$D$23)</f>
        <v>66</v>
      </c>
      <c r="S2135" s="9">
        <f>Table1[[#This Row], [TOTAL TIME]]-Table1[[#This Row], [TOTAL TIME TAKEN]]</f>
        <v>-1.1924999999999812</v>
      </c>
      <c r="T2135" t="str">
        <f>IF(Table1[[#This Row], [TIME DIFFERENCE]]&gt;=0,"PASS","FAIL")</f>
        <v>FAIL</v>
      </c>
      <c r="U2135" s="9">
        <f>Table1[[#This Row], [TRC]]+Table1[[#This Row], [DRC]]+Table1[[#This Row], [WRC]]+Table1[[#This Row], [ERC]]+Table1[[#This Row], [EQRC]]</f>
        <v>7773629.5999999996</v>
      </c>
      <c r="V2135" s="9">
        <f>Table1[[#This Row], [TOTAL COST]]+_xlfn.XLOOKUP(Table1[[#This Row], [TEAM]],Sheet1!$A$12:$A$17,Sheet1!$I$12:$I$17)</f>
        <v>8071109.5999999996</v>
      </c>
      <c r="W2135" s="9">
        <f>Table1[[#This Row], [LOOT]]-Table1[[#This Row], [TOTAL COST]]</f>
        <v>9626370.4000000004</v>
      </c>
      <c r="X2135" s="4">
        <f>IF(Table1[[#This Row], [PASS/FAIL]]="FAIL",0,Table1[[#This Row], [PROFIT]])</f>
        <v>0</v>
      </c>
    </row>
    <row r="2136" spans="1:24" ht="19.5" customHeight="1" x14ac:dyDescent="0.45">
      <c r="A2136" t="s">
        <v>14</v>
      </c>
      <c r="B2136" s="14">
        <f>_xlfn.XLOOKUP(Table1[[#This Row], [TEAM]],Sheet1!$A$12:$A$17,Sheet1!$F$12:$F$17)</f>
        <v>2</v>
      </c>
      <c r="C2136" s="14">
        <f>_xlfn.XLOOKUP(Table1[[#This Row], [TEAM]],Sheet1!$A$12:$A$17,Sheet1!$G$12:$G$17)</f>
        <v>5949600</v>
      </c>
      <c r="D2136" t="s">
        <v>23</v>
      </c>
      <c r="E2136" s="4">
        <f>_xlfn.XLOOKUP(Table1[[#This Row], [ROOM]],Sheet1!$A$47:$A$66,Sheet1!$B$47:$B$66)</f>
        <v>245</v>
      </c>
      <c r="F2136" t="s">
        <v>62</v>
      </c>
      <c r="G2136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6" s="13" t="s">
        <v>66</v>
      </c>
      <c r="I2136" s="4">
        <f>_xlfn.XLOOKUP(Table1[[#This Row], [WEAPON]],Sheet1!$A$27:$A$29,Sheet1!$B$27:$B$29)*Table1[[#This Row], [NUM OF MEM]]*(1+_xlfn.XLOOKUP(Table1[[#This Row], [WEAPON]],Sheet1!$A$27:$A$29,Sheet1!$C$27:$C$29))</f>
        <v>72000</v>
      </c>
      <c r="J2136" t="s">
        <v>60</v>
      </c>
      <c r="K2136" s="9">
        <f>Table1[[#This Row], [NUM OF MEM]]*Table1[[#This Row], [TOTAL TIME TAKEN]]*_xlfn.XLOOKUP(Table1[[#This Row], [EXIT]],Sheet1!$A$70:$A$71,Sheet1!$B$70:$B$71)*(1+_xlfn.XLOOKUP(Table1[[#This Row], [EXIT]],Sheet1!$A$70:$A$71,Sheet1!$C$70:$C$71))</f>
        <v>1724495.5124999997</v>
      </c>
      <c r="L2136" s="13" t="s">
        <v>65</v>
      </c>
      <c r="M2136" s="4">
        <f>IF(Table1[[#This Row], [EQUIPMENT]]="YES",Sheet1!$C$44*(1+Sheet1!$D$44),0)</f>
        <v>307500</v>
      </c>
      <c r="N2136" s="4">
        <f>_xlfn.XLOOKUP(Table1[[#This Row], [ROOM]],Sheet1!$A$47:$A$66,Sheet1!$F$47:$F$66)</f>
        <v>17400000</v>
      </c>
      <c r="O2136" s="9">
        <f>_xlfn.XLOOKUP(_xlfn.CONCAT(Table1[[#This Row], [TEAM]],Table1[[#This Row], [ROOM]]),'ROOM TIME'!$H$2:$H$121,'ROOM TIME'!$J$2:$J$121)</f>
        <v>60.317499999999981</v>
      </c>
      <c r="P2136" s="9">
        <f>(INDEX(Sheet1!$X$48:$Z$67,MATCH(Table1[[#This Row], [ROOM]],Sheet1!$P$48:$P$67,0),MATCH(Table1[[#This Row], [WEAPON]],Sheet1!$X$47:$Z$47,0)))/Table1[[#This Row], [NUM OF MEM]]</f>
        <v>6.875</v>
      </c>
      <c r="Q2136" s="9">
        <f>Table1[[#This Row], [ROOM TIME]]+Table1[[#This Row], [GUARD TIME]]</f>
        <v>67.192499999999981</v>
      </c>
      <c r="R2136" s="4">
        <f>Sheet1!$K$3*_xlfn.XLOOKUP(Table1[[#This Row], [DISGUISE]],Sheet1!$A$21:$A$23,Sheet1!$D$21:$D$23)</f>
        <v>66</v>
      </c>
      <c r="S2136" s="9">
        <f>Table1[[#This Row], [TOTAL TIME]]-Table1[[#This Row], [TOTAL TIME TAKEN]]</f>
        <v>-1.1924999999999812</v>
      </c>
      <c r="T2136" t="str">
        <f>IF(Table1[[#This Row], [TIME DIFFERENCE]]&gt;=0,"PASS","FAIL")</f>
        <v>FAIL</v>
      </c>
      <c r="U2136" s="9">
        <f>Table1[[#This Row], [TRC]]+Table1[[#This Row], [DRC]]+Table1[[#This Row], [WRC]]+Table1[[#This Row], [ERC]]+Table1[[#This Row], [EQRC]]</f>
        <v>8063995.5124999993</v>
      </c>
      <c r="V2136" s="9">
        <f>Table1[[#This Row], [TOTAL COST]]+_xlfn.XLOOKUP(Table1[[#This Row], [TEAM]],Sheet1!$A$12:$A$17,Sheet1!$I$12:$I$17)</f>
        <v>8361475.5124999993</v>
      </c>
      <c r="W2136" s="9">
        <f>Table1[[#This Row], [LOOT]]-Table1[[#This Row], [TOTAL COST]]</f>
        <v>9336004.4875000007</v>
      </c>
      <c r="X2136" s="4">
        <f>IF(Table1[[#This Row], [PASS/FAIL]]="FAIL",0,Table1[[#This Row], [PROFIT]])</f>
        <v>0</v>
      </c>
    </row>
    <row r="2137" spans="1:24" ht="19.5" customHeight="1" x14ac:dyDescent="0.45">
      <c r="A2137" t="s">
        <v>14</v>
      </c>
      <c r="B2137" s="14">
        <f>_xlfn.XLOOKUP(Table1[[#This Row], [TEAM]],Sheet1!$A$12:$A$17,Sheet1!$F$12:$F$17)</f>
        <v>2</v>
      </c>
      <c r="C2137" s="14">
        <f>_xlfn.XLOOKUP(Table1[[#This Row], [TEAM]],Sheet1!$A$12:$A$17,Sheet1!$G$12:$G$17)</f>
        <v>5949600</v>
      </c>
      <c r="D2137" t="s">
        <v>23</v>
      </c>
      <c r="E2137" s="4">
        <f>_xlfn.XLOOKUP(Table1[[#This Row], [ROOM]],Sheet1!$A$47:$A$66,Sheet1!$B$47:$B$66)</f>
        <v>245</v>
      </c>
      <c r="F2137" t="s">
        <v>62</v>
      </c>
      <c r="G213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7" s="13" t="s">
        <v>66</v>
      </c>
      <c r="I2137" s="4">
        <f>_xlfn.XLOOKUP(Table1[[#This Row], [WEAPON]],Sheet1!$A$27:$A$29,Sheet1!$B$27:$B$29)*Table1[[#This Row], [NUM OF MEM]]*(1+_xlfn.XLOOKUP(Table1[[#This Row], [WEAPON]],Sheet1!$A$27:$A$29,Sheet1!$C$27:$C$29))</f>
        <v>72000</v>
      </c>
      <c r="J2137" t="s">
        <v>64</v>
      </c>
      <c r="K2137" s="9">
        <f>Table1[[#This Row], [NUM OF MEM]]*Table1[[#This Row], [TOTAL TIME TAKEN]]*_xlfn.XLOOKUP(Table1[[#This Row], [EXIT]],Sheet1!$A$70:$A$71,Sheet1!$B$70:$B$71)*(1+_xlfn.XLOOKUP(Table1[[#This Row], [EXIT]],Sheet1!$A$70:$A$71,Sheet1!$C$70:$C$71))</f>
        <v>1741629.5999999994</v>
      </c>
      <c r="L2137" s="13" t="s">
        <v>65</v>
      </c>
      <c r="M2137" s="4">
        <f>IF(Table1[[#This Row], [EQUIPMENT]]="YES",Sheet1!$C$44*(1+Sheet1!$D$44),0)</f>
        <v>307500</v>
      </c>
      <c r="N2137" s="4">
        <f>_xlfn.XLOOKUP(Table1[[#This Row], [ROOM]],Sheet1!$A$47:$A$66,Sheet1!$F$47:$F$66)</f>
        <v>17400000</v>
      </c>
      <c r="O2137" s="9">
        <f>_xlfn.XLOOKUP(_xlfn.CONCAT(Table1[[#This Row], [TEAM]],Table1[[#This Row], [ROOM]]),'ROOM TIME'!$H$2:$H$121,'ROOM TIME'!$J$2:$J$121)</f>
        <v>60.317499999999981</v>
      </c>
      <c r="P2137" s="9">
        <f>(INDEX(Sheet1!$X$48:$Z$67,MATCH(Table1[[#This Row], [ROOM]],Sheet1!$P$48:$P$67,0),MATCH(Table1[[#This Row], [WEAPON]],Sheet1!$X$47:$Z$47,0)))/Table1[[#This Row], [NUM OF MEM]]</f>
        <v>6.875</v>
      </c>
      <c r="Q2137" s="9">
        <f>Table1[[#This Row], [ROOM TIME]]+Table1[[#This Row], [GUARD TIME]]</f>
        <v>67.192499999999981</v>
      </c>
      <c r="R2137" s="4">
        <f>Sheet1!$K$3*_xlfn.XLOOKUP(Table1[[#This Row], [DISGUISE]],Sheet1!$A$21:$A$23,Sheet1!$D$21:$D$23)</f>
        <v>66</v>
      </c>
      <c r="S2137" s="9">
        <f>Table1[[#This Row], [TOTAL TIME]]-Table1[[#This Row], [TOTAL TIME TAKEN]]</f>
        <v>-1.1924999999999812</v>
      </c>
      <c r="T2137" t="str">
        <f>IF(Table1[[#This Row], [TIME DIFFERENCE]]&gt;=0,"PASS","FAIL")</f>
        <v>FAIL</v>
      </c>
      <c r="U2137" s="9">
        <f>Table1[[#This Row], [TRC]]+Table1[[#This Row], [DRC]]+Table1[[#This Row], [WRC]]+Table1[[#This Row], [ERC]]+Table1[[#This Row], [EQRC]]</f>
        <v>8081129.5999999996</v>
      </c>
      <c r="V2137" s="9">
        <f>Table1[[#This Row], [TOTAL COST]]+_xlfn.XLOOKUP(Table1[[#This Row], [TEAM]],Sheet1!$A$12:$A$17,Sheet1!$I$12:$I$17)</f>
        <v>8378609.5999999996</v>
      </c>
      <c r="W2137" s="9">
        <f>Table1[[#This Row], [LOOT]]-Table1[[#This Row], [TOTAL COST]]</f>
        <v>9318870.4000000004</v>
      </c>
      <c r="X2137" s="4">
        <f>IF(Table1[[#This Row], [PASS/FAIL]]="FAIL",0,Table1[[#This Row], [PROFIT]])</f>
        <v>0</v>
      </c>
    </row>
    <row r="2138" spans="1:24" ht="19.5" customHeight="1" x14ac:dyDescent="0.45">
      <c r="A2138" t="s">
        <v>15</v>
      </c>
      <c r="B2138" s="14">
        <f>_xlfn.XLOOKUP(Table1[[#This Row], [TEAM]],Sheet1!$A$12:$A$17,Sheet1!$F$12:$F$17)</f>
        <v>2</v>
      </c>
      <c r="C2138" s="14">
        <f>_xlfn.XLOOKUP(Table1[[#This Row], [TEAM]],Sheet1!$A$12:$A$17,Sheet1!$G$12:$G$17)</f>
        <v>5932950</v>
      </c>
      <c r="D2138" t="s">
        <v>23</v>
      </c>
      <c r="E2138" s="4">
        <f>_xlfn.XLOOKUP(Table1[[#This Row], [ROOM]],Sheet1!$A$47:$A$66,Sheet1!$B$47:$B$66)</f>
        <v>245</v>
      </c>
      <c r="F2138" t="s">
        <v>62</v>
      </c>
      <c r="G213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8" s="13" t="s">
        <v>59</v>
      </c>
      <c r="I2138" s="4">
        <f>_xlfn.XLOOKUP(Table1[[#This Row], [WEAPON]],Sheet1!$A$27:$A$29,Sheet1!$B$27:$B$29)*Table1[[#This Row], [NUM OF MEM]]*(1+_xlfn.XLOOKUP(Table1[[#This Row], [WEAPON]],Sheet1!$A$27:$A$29,Sheet1!$C$27:$C$29))</f>
        <v>91000</v>
      </c>
      <c r="J2138" t="s">
        <v>60</v>
      </c>
      <c r="K2138" s="9">
        <f>Table1[[#This Row], [NUM OF MEM]]*Table1[[#This Row], [TOTAL TIME TAKEN]]*_xlfn.XLOOKUP(Table1[[#This Row], [EXIT]],Sheet1!$A$70:$A$71,Sheet1!$B$70:$B$71)*(1+_xlfn.XLOOKUP(Table1[[#This Row], [EXIT]],Sheet1!$A$70:$A$71,Sheet1!$C$70:$C$71))</f>
        <v>1707332.0437499993</v>
      </c>
      <c r="L2138" s="13" t="s">
        <v>61</v>
      </c>
      <c r="M2138" s="4">
        <f>IF(Table1[[#This Row], [EQUIPMENT]]="YES",Sheet1!$C$44*(1+Sheet1!$D$44),0)</f>
        <v>0</v>
      </c>
      <c r="N2138" s="4">
        <f>_xlfn.XLOOKUP(Table1[[#This Row], [ROOM]],Sheet1!$A$47:$A$66,Sheet1!$F$47:$F$66)</f>
        <v>17400000</v>
      </c>
      <c r="O2138" s="9">
        <f>_xlfn.XLOOKUP(_xlfn.CONCAT(Table1[[#This Row], [TEAM]],Table1[[#This Row], [ROOM]]),'ROOM TIME'!$H$2:$H$121,'ROOM TIME'!$J$2:$J$121)</f>
        <v>60.198749999999983</v>
      </c>
      <c r="P2138" s="9">
        <f>(INDEX(Sheet1!$X$48:$Z$67,MATCH(Table1[[#This Row], [ROOM]],Sheet1!$P$48:$P$67,0),MATCH(Table1[[#This Row], [WEAPON]],Sheet1!$X$47:$Z$47,0)))/Table1[[#This Row], [NUM OF MEM]]</f>
        <v>6.3249999999999993</v>
      </c>
      <c r="Q2138" s="9">
        <f>Table1[[#This Row], [ROOM TIME]]+Table1[[#This Row], [GUARD TIME]]</f>
        <v>66.523749999999978</v>
      </c>
      <c r="R2138" s="4">
        <f>Sheet1!$K$3*_xlfn.XLOOKUP(Table1[[#This Row], [DISGUISE]],Sheet1!$A$21:$A$23,Sheet1!$D$21:$D$23)</f>
        <v>66</v>
      </c>
      <c r="S2138" s="9">
        <f>Table1[[#This Row], [TOTAL TIME]]-Table1[[#This Row], [TOTAL TIME TAKEN]]</f>
        <v>-0.5237499999999784</v>
      </c>
      <c r="T2138" t="str">
        <f>IF(Table1[[#This Row], [TIME DIFFERENCE]]&gt;=0,"PASS","FAIL")</f>
        <v>FAIL</v>
      </c>
      <c r="U2138" s="9">
        <f>Table1[[#This Row], [TRC]]+Table1[[#This Row], [DRC]]+Table1[[#This Row], [WRC]]+Table1[[#This Row], [ERC]]+Table1[[#This Row], [EQRC]]</f>
        <v>7741682.0437499993</v>
      </c>
      <c r="V2138" s="9">
        <f>Table1[[#This Row], [TOTAL COST]]+_xlfn.XLOOKUP(Table1[[#This Row], [TEAM]],Sheet1!$A$12:$A$17,Sheet1!$I$12:$I$17)</f>
        <v>8038329.5437499993</v>
      </c>
      <c r="W2138" s="9">
        <f>Table1[[#This Row], [LOOT]]-Table1[[#This Row], [TOTAL COST]]</f>
        <v>9658317.9562500007</v>
      </c>
      <c r="X2138" s="4">
        <f>IF(Table1[[#This Row], [PASS/FAIL]]="FAIL",0,Table1[[#This Row], [PROFIT]])</f>
        <v>0</v>
      </c>
    </row>
    <row r="2139" spans="1:24" ht="19.5" customHeight="1" x14ac:dyDescent="0.45">
      <c r="A2139" t="s">
        <v>15</v>
      </c>
      <c r="B2139" s="14">
        <f>_xlfn.XLOOKUP(Table1[[#This Row], [TEAM]],Sheet1!$A$12:$A$17,Sheet1!$F$12:$F$17)</f>
        <v>2</v>
      </c>
      <c r="C2139" s="14">
        <f>_xlfn.XLOOKUP(Table1[[#This Row], [TEAM]],Sheet1!$A$12:$A$17,Sheet1!$G$12:$G$17)</f>
        <v>5932950</v>
      </c>
      <c r="D2139" t="s">
        <v>23</v>
      </c>
      <c r="E2139" s="4">
        <f>_xlfn.XLOOKUP(Table1[[#This Row], [ROOM]],Sheet1!$A$47:$A$66,Sheet1!$B$47:$B$66)</f>
        <v>245</v>
      </c>
      <c r="F2139" t="s">
        <v>62</v>
      </c>
      <c r="G2139" s="4">
        <f>_xlfn.XLOOKUP(Table1[[#This Row], [DISGUISE]],Sheet1!$A$21:$A$23,Sheet1!$B$21:$B$23)*Table1[[#This Row], [NUM OF MEM]]*(1+_xlfn.XLOOKUP(Table1[[#This Row], [DISGUISE]],Sheet1!$A$21:$A$23,Sheet1!$C$21:$C$23))</f>
        <v>10400</v>
      </c>
      <c r="H2139" s="13" t="s">
        <v>59</v>
      </c>
      <c r="I2139" s="4">
        <f>_xlfn.XLOOKUP(Table1[[#This Row], [WEAPON]],Sheet1!$A$27:$A$29,Sheet1!$B$27:$B$29)*Table1[[#This Row], [NUM OF MEM]]*(1+_xlfn.XLOOKUP(Table1[[#This Row], [WEAPON]],Sheet1!$A$27:$A$29,Sheet1!$C$27:$C$29))</f>
        <v>91000</v>
      </c>
      <c r="J2139" t="s">
        <v>64</v>
      </c>
      <c r="K2139" s="9">
        <f>Table1[[#This Row], [NUM OF MEM]]*Table1[[#This Row], [TOTAL TIME TAKEN]]*_xlfn.XLOOKUP(Table1[[#This Row], [EXIT]],Sheet1!$A$70:$A$71,Sheet1!$B$70:$B$71)*(1+_xlfn.XLOOKUP(Table1[[#This Row], [EXIT]],Sheet1!$A$70:$A$71,Sheet1!$C$70:$C$71))</f>
        <v>1724295.5999999994</v>
      </c>
      <c r="L2139" s="13" t="s">
        <v>61</v>
      </c>
      <c r="M2139" s="4">
        <f>IF(Table1[[#This Row], [EQUIPMENT]]="YES",Sheet1!$C$44*(1+Sheet1!$D$44),0)</f>
        <v>0</v>
      </c>
      <c r="N2139" s="4">
        <f>_xlfn.XLOOKUP(Table1[[#This Row], [ROOM]],Sheet1!$A$47:$A$66,Sheet1!$F$47:$F$66)</f>
        <v>17400000</v>
      </c>
      <c r="O2139" s="9">
        <f>_xlfn.XLOOKUP(_xlfn.CONCAT(Table1[[#This Row], [TEAM]],Table1[[#This Row], [ROOM]]),'ROOM TIME'!$H$2:$H$121,'ROOM TIME'!$J$2:$J$121)</f>
        <v>60.198749999999983</v>
      </c>
      <c r="P2139" s="9">
        <f>(INDEX(Sheet1!$X$48:$Z$67,MATCH(Table1[[#This Row], [ROOM]],Sheet1!$P$48:$P$67,0),MATCH(Table1[[#This Row], [WEAPON]],Sheet1!$X$47:$Z$47,0)))/Table1[[#This Row], [NUM OF MEM]]</f>
        <v>6.3249999999999993</v>
      </c>
      <c r="Q2139" s="9">
        <f>Table1[[#This Row], [ROOM TIME]]+Table1[[#This Row], [GUARD TIME]]</f>
        <v>66.523749999999978</v>
      </c>
      <c r="R2139" s="4">
        <f>Sheet1!$K$3*_xlfn.XLOOKUP(Table1[[#This Row], [DISGUISE]],Sheet1!$A$21:$A$23,Sheet1!$D$21:$D$23)</f>
        <v>66</v>
      </c>
      <c r="S2139" s="9">
        <f>Table1[[#This Row], [TOTAL TIME]]-Table1[[#This Row], [TOTAL TIME TAKEN]]</f>
        <v>-0.5237499999999784</v>
      </c>
      <c r="T2139" t="str">
        <f>IF(Table1[[#This Row], [TIME DIFFERENCE]]&gt;=0,"PASS","FAIL")</f>
        <v>FAIL</v>
      </c>
      <c r="U2139" s="9">
        <f>Table1[[#This Row], [TRC]]+Table1[[#This Row], [DRC]]+Table1[[#This Row], [WRC]]+Table1[[#This Row], [ERC]]+Table1[[#This Row], [EQRC]]</f>
        <v>7758645.5999999996</v>
      </c>
      <c r="V2139" s="9">
        <f>Table1[[#This Row], [TOTAL COST]]+_xlfn.XLOOKUP(Table1[[#This Row], [TEAM]],Sheet1!$A$12:$A$17,Sheet1!$I$12:$I$17)</f>
        <v>8055293.0999999996</v>
      </c>
      <c r="W2139" s="9">
        <f>Table1[[#This Row], [LOOT]]-Table1[[#This Row], [TOTAL COST]]</f>
        <v>9641354.4000000004</v>
      </c>
      <c r="X2139" s="4">
        <f>IF(Table1[[#This Row], [PASS/FAIL]]="FAIL",0,Table1[[#This Row], [PROFIT]])</f>
        <v>0</v>
      </c>
    </row>
    <row r="2140" spans="1:24" ht="19.5" customHeight="1" x14ac:dyDescent="0.45">
      <c r="A2140" t="s">
        <v>15</v>
      </c>
      <c r="B2140" s="14">
        <f>_xlfn.XLOOKUP(Table1[[#This Row], [TEAM]],Sheet1!$A$12:$A$17,Sheet1!$F$12:$F$17)</f>
        <v>2</v>
      </c>
      <c r="C2140" s="14">
        <f>_xlfn.XLOOKUP(Table1[[#This Row], [TEAM]],Sheet1!$A$12:$A$17,Sheet1!$G$12:$G$17)</f>
        <v>5932950</v>
      </c>
      <c r="D2140" t="s">
        <v>23</v>
      </c>
      <c r="E2140" s="4">
        <f>_xlfn.XLOOKUP(Table1[[#This Row], [ROOM]],Sheet1!$A$47:$A$66,Sheet1!$B$47:$B$66)</f>
        <v>245</v>
      </c>
      <c r="F2140" t="s">
        <v>62</v>
      </c>
      <c r="G214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0" s="13" t="s">
        <v>59</v>
      </c>
      <c r="I2140" s="4">
        <f>_xlfn.XLOOKUP(Table1[[#This Row], [WEAPON]],Sheet1!$A$27:$A$29,Sheet1!$B$27:$B$29)*Table1[[#This Row], [NUM OF MEM]]*(1+_xlfn.XLOOKUP(Table1[[#This Row], [WEAPON]],Sheet1!$A$27:$A$29,Sheet1!$C$27:$C$29))</f>
        <v>91000</v>
      </c>
      <c r="J2140" t="s">
        <v>60</v>
      </c>
      <c r="K2140" s="9">
        <f>Table1[[#This Row], [NUM OF MEM]]*Table1[[#This Row], [TOTAL TIME TAKEN]]*_xlfn.XLOOKUP(Table1[[#This Row], [EXIT]],Sheet1!$A$70:$A$71,Sheet1!$B$70:$B$71)*(1+_xlfn.XLOOKUP(Table1[[#This Row], [EXIT]],Sheet1!$A$70:$A$71,Sheet1!$C$70:$C$71))</f>
        <v>1707332.0437499993</v>
      </c>
      <c r="L2140" s="13" t="s">
        <v>65</v>
      </c>
      <c r="M2140" s="4">
        <f>IF(Table1[[#This Row], [EQUIPMENT]]="YES",Sheet1!$C$44*(1+Sheet1!$D$44),0)</f>
        <v>307500</v>
      </c>
      <c r="N2140" s="4">
        <f>_xlfn.XLOOKUP(Table1[[#This Row], [ROOM]],Sheet1!$A$47:$A$66,Sheet1!$F$47:$F$66)</f>
        <v>17400000</v>
      </c>
      <c r="O2140" s="9">
        <f>_xlfn.XLOOKUP(_xlfn.CONCAT(Table1[[#This Row], [TEAM]],Table1[[#This Row], [ROOM]]),'ROOM TIME'!$H$2:$H$121,'ROOM TIME'!$J$2:$J$121)</f>
        <v>60.198749999999983</v>
      </c>
      <c r="P2140" s="9">
        <f>(INDEX(Sheet1!$X$48:$Z$67,MATCH(Table1[[#This Row], [ROOM]],Sheet1!$P$48:$P$67,0),MATCH(Table1[[#This Row], [WEAPON]],Sheet1!$X$47:$Z$47,0)))/Table1[[#This Row], [NUM OF MEM]]</f>
        <v>6.3249999999999993</v>
      </c>
      <c r="Q2140" s="9">
        <f>Table1[[#This Row], [ROOM TIME]]+Table1[[#This Row], [GUARD TIME]]</f>
        <v>66.523749999999978</v>
      </c>
      <c r="R2140" s="4">
        <f>Sheet1!$K$3*_xlfn.XLOOKUP(Table1[[#This Row], [DISGUISE]],Sheet1!$A$21:$A$23,Sheet1!$D$21:$D$23)</f>
        <v>66</v>
      </c>
      <c r="S2140" s="9">
        <f>Table1[[#This Row], [TOTAL TIME]]-Table1[[#This Row], [TOTAL TIME TAKEN]]</f>
        <v>-0.5237499999999784</v>
      </c>
      <c r="T2140" t="str">
        <f>IF(Table1[[#This Row], [TIME DIFFERENCE]]&gt;=0,"PASS","FAIL")</f>
        <v>FAIL</v>
      </c>
      <c r="U2140" s="9">
        <f>Table1[[#This Row], [TRC]]+Table1[[#This Row], [DRC]]+Table1[[#This Row], [WRC]]+Table1[[#This Row], [ERC]]+Table1[[#This Row], [EQRC]]</f>
        <v>8049182.0437499993</v>
      </c>
      <c r="V2140" s="9">
        <f>Table1[[#This Row], [TOTAL COST]]+_xlfn.XLOOKUP(Table1[[#This Row], [TEAM]],Sheet1!$A$12:$A$17,Sheet1!$I$12:$I$17)</f>
        <v>8345829.5437499993</v>
      </c>
      <c r="W2140" s="9">
        <f>Table1[[#This Row], [LOOT]]-Table1[[#This Row], [TOTAL COST]]</f>
        <v>9350817.9562500007</v>
      </c>
      <c r="X2140" s="4">
        <f>IF(Table1[[#This Row], [PASS/FAIL]]="FAIL",0,Table1[[#This Row], [PROFIT]])</f>
        <v>0</v>
      </c>
    </row>
    <row r="2141" spans="1:24" ht="19.5" customHeight="1" x14ac:dyDescent="0.45">
      <c r="A2141" t="s">
        <v>15</v>
      </c>
      <c r="B2141" s="14">
        <f>_xlfn.XLOOKUP(Table1[[#This Row], [TEAM]],Sheet1!$A$12:$A$17,Sheet1!$F$12:$F$17)</f>
        <v>2</v>
      </c>
      <c r="C2141" s="14">
        <f>_xlfn.XLOOKUP(Table1[[#This Row], [TEAM]],Sheet1!$A$12:$A$17,Sheet1!$G$12:$G$17)</f>
        <v>5932950</v>
      </c>
      <c r="D2141" t="s">
        <v>23</v>
      </c>
      <c r="E2141" s="4">
        <f>_xlfn.XLOOKUP(Table1[[#This Row], [ROOM]],Sheet1!$A$47:$A$66,Sheet1!$B$47:$B$66)</f>
        <v>245</v>
      </c>
      <c r="F2141" t="s">
        <v>62</v>
      </c>
      <c r="G214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1" s="13" t="s">
        <v>63</v>
      </c>
      <c r="I2141" s="4">
        <f>_xlfn.XLOOKUP(Table1[[#This Row], [WEAPON]],Sheet1!$A$27:$A$29,Sheet1!$B$27:$B$29)*Table1[[#This Row], [NUM OF MEM]]*(1+_xlfn.XLOOKUP(Table1[[#This Row], [WEAPON]],Sheet1!$A$27:$A$29,Sheet1!$C$27:$C$29))</f>
        <v>46000</v>
      </c>
      <c r="J2141" t="s">
        <v>60</v>
      </c>
      <c r="K2141" s="9">
        <f>Table1[[#This Row], [NUM OF MEM]]*Table1[[#This Row], [TOTAL TIME TAKEN]]*_xlfn.XLOOKUP(Table1[[#This Row], [EXIT]],Sheet1!$A$70:$A$71,Sheet1!$B$70:$B$71)*(1+_xlfn.XLOOKUP(Table1[[#This Row], [EXIT]],Sheet1!$A$70:$A$71,Sheet1!$C$70:$C$71))</f>
        <v>1735563.5437499997</v>
      </c>
      <c r="L2141" s="13" t="s">
        <v>61</v>
      </c>
      <c r="M2141" s="4">
        <f>IF(Table1[[#This Row], [EQUIPMENT]]="YES",Sheet1!$C$44*(1+Sheet1!$D$44),0)</f>
        <v>0</v>
      </c>
      <c r="N2141" s="4">
        <f>_xlfn.XLOOKUP(Table1[[#This Row], [ROOM]],Sheet1!$A$47:$A$66,Sheet1!$F$47:$F$66)</f>
        <v>17400000</v>
      </c>
      <c r="O2141" s="9">
        <f>_xlfn.XLOOKUP(_xlfn.CONCAT(Table1[[#This Row], [TEAM]],Table1[[#This Row], [ROOM]]),'ROOM TIME'!$H$2:$H$121,'ROOM TIME'!$J$2:$J$121)</f>
        <v>60.198749999999983</v>
      </c>
      <c r="P2141" s="9">
        <f>(INDEX(Sheet1!$X$48:$Z$67,MATCH(Table1[[#This Row], [ROOM]],Sheet1!$P$48:$P$67,0),MATCH(Table1[[#This Row], [WEAPON]],Sheet1!$X$47:$Z$47,0)))/Table1[[#This Row], [NUM OF MEM]]</f>
        <v>7.4250000000000007</v>
      </c>
      <c r="Q2141" s="9">
        <f>Table1[[#This Row], [ROOM TIME]]+Table1[[#This Row], [GUARD TIME]]</f>
        <v>67.623749999999987</v>
      </c>
      <c r="R2141" s="4">
        <f>Sheet1!$K$3*_xlfn.XLOOKUP(Table1[[#This Row], [DISGUISE]],Sheet1!$A$21:$A$23,Sheet1!$D$21:$D$23)</f>
        <v>66</v>
      </c>
      <c r="S2141" s="9">
        <f>Table1[[#This Row], [TOTAL TIME]]-Table1[[#This Row], [TOTAL TIME TAKEN]]</f>
        <v>-1.6237499999999869</v>
      </c>
      <c r="T2141" t="str">
        <f>IF(Table1[[#This Row], [TIME DIFFERENCE]]&gt;=0,"PASS","FAIL")</f>
        <v>FAIL</v>
      </c>
      <c r="U2141" s="9">
        <f>Table1[[#This Row], [TRC]]+Table1[[#This Row], [DRC]]+Table1[[#This Row], [WRC]]+Table1[[#This Row], [ERC]]+Table1[[#This Row], [EQRC]]</f>
        <v>7724913.5437499993</v>
      </c>
      <c r="V2141" s="9">
        <f>Table1[[#This Row], [TOTAL COST]]+_xlfn.XLOOKUP(Table1[[#This Row], [TEAM]],Sheet1!$A$12:$A$17,Sheet1!$I$12:$I$17)</f>
        <v>8021561.0437499993</v>
      </c>
      <c r="W2141" s="9">
        <f>Table1[[#This Row], [LOOT]]-Table1[[#This Row], [TOTAL COST]]</f>
        <v>9675086.4562500007</v>
      </c>
      <c r="X2141" s="4">
        <f>IF(Table1[[#This Row], [PASS/FAIL]]="FAIL",0,Table1[[#This Row], [PROFIT]])</f>
        <v>0</v>
      </c>
    </row>
    <row r="2142" spans="1:24" ht="19.5" customHeight="1" x14ac:dyDescent="0.45">
      <c r="A2142" t="s">
        <v>15</v>
      </c>
      <c r="B2142" s="14">
        <f>_xlfn.XLOOKUP(Table1[[#This Row], [TEAM]],Sheet1!$A$12:$A$17,Sheet1!$F$12:$F$17)</f>
        <v>2</v>
      </c>
      <c r="C2142" s="14">
        <f>_xlfn.XLOOKUP(Table1[[#This Row], [TEAM]],Sheet1!$A$12:$A$17,Sheet1!$G$12:$G$17)</f>
        <v>5932950</v>
      </c>
      <c r="D2142" t="s">
        <v>23</v>
      </c>
      <c r="E2142" s="4">
        <f>_xlfn.XLOOKUP(Table1[[#This Row], [ROOM]],Sheet1!$A$47:$A$66,Sheet1!$B$47:$B$66)</f>
        <v>245</v>
      </c>
      <c r="F2142" t="s">
        <v>62</v>
      </c>
      <c r="G214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2" s="13" t="s">
        <v>59</v>
      </c>
      <c r="I2142" s="4">
        <f>_xlfn.XLOOKUP(Table1[[#This Row], [WEAPON]],Sheet1!$A$27:$A$29,Sheet1!$B$27:$B$29)*Table1[[#This Row], [NUM OF MEM]]*(1+_xlfn.XLOOKUP(Table1[[#This Row], [WEAPON]],Sheet1!$A$27:$A$29,Sheet1!$C$27:$C$29))</f>
        <v>91000</v>
      </c>
      <c r="J2142" t="s">
        <v>64</v>
      </c>
      <c r="K2142" s="9">
        <f>Table1[[#This Row], [NUM OF MEM]]*Table1[[#This Row], [TOTAL TIME TAKEN]]*_xlfn.XLOOKUP(Table1[[#This Row], [EXIT]],Sheet1!$A$70:$A$71,Sheet1!$B$70:$B$71)*(1+_xlfn.XLOOKUP(Table1[[#This Row], [EXIT]],Sheet1!$A$70:$A$71,Sheet1!$C$70:$C$71))</f>
        <v>1724295.5999999994</v>
      </c>
      <c r="L2142" s="13" t="s">
        <v>65</v>
      </c>
      <c r="M2142" s="4">
        <f>IF(Table1[[#This Row], [EQUIPMENT]]="YES",Sheet1!$C$44*(1+Sheet1!$D$44),0)</f>
        <v>307500</v>
      </c>
      <c r="N2142" s="4">
        <f>_xlfn.XLOOKUP(Table1[[#This Row], [ROOM]],Sheet1!$A$47:$A$66,Sheet1!$F$47:$F$66)</f>
        <v>17400000</v>
      </c>
      <c r="O2142" s="9">
        <f>_xlfn.XLOOKUP(_xlfn.CONCAT(Table1[[#This Row], [TEAM]],Table1[[#This Row], [ROOM]]),'ROOM TIME'!$H$2:$H$121,'ROOM TIME'!$J$2:$J$121)</f>
        <v>60.198749999999983</v>
      </c>
      <c r="P2142" s="9">
        <f>(INDEX(Sheet1!$X$48:$Z$67,MATCH(Table1[[#This Row], [ROOM]],Sheet1!$P$48:$P$67,0),MATCH(Table1[[#This Row], [WEAPON]],Sheet1!$X$47:$Z$47,0)))/Table1[[#This Row], [NUM OF MEM]]</f>
        <v>6.3249999999999993</v>
      </c>
      <c r="Q2142" s="9">
        <f>Table1[[#This Row], [ROOM TIME]]+Table1[[#This Row], [GUARD TIME]]</f>
        <v>66.523749999999978</v>
      </c>
      <c r="R2142" s="4">
        <f>Sheet1!$K$3*_xlfn.XLOOKUP(Table1[[#This Row], [DISGUISE]],Sheet1!$A$21:$A$23,Sheet1!$D$21:$D$23)</f>
        <v>66</v>
      </c>
      <c r="S2142" s="9">
        <f>Table1[[#This Row], [TOTAL TIME]]-Table1[[#This Row], [TOTAL TIME TAKEN]]</f>
        <v>-0.5237499999999784</v>
      </c>
      <c r="T2142" t="str">
        <f>IF(Table1[[#This Row], [TIME DIFFERENCE]]&gt;=0,"PASS","FAIL")</f>
        <v>FAIL</v>
      </c>
      <c r="U2142" s="9">
        <f>Table1[[#This Row], [TRC]]+Table1[[#This Row], [DRC]]+Table1[[#This Row], [WRC]]+Table1[[#This Row], [ERC]]+Table1[[#This Row], [EQRC]]</f>
        <v>8066145.5999999996</v>
      </c>
      <c r="V2142" s="9">
        <f>Table1[[#This Row], [TOTAL COST]]+_xlfn.XLOOKUP(Table1[[#This Row], [TEAM]],Sheet1!$A$12:$A$17,Sheet1!$I$12:$I$17)</f>
        <v>8362793.0999999996</v>
      </c>
      <c r="W2142" s="9">
        <f>Table1[[#This Row], [LOOT]]-Table1[[#This Row], [TOTAL COST]]</f>
        <v>9333854.4000000004</v>
      </c>
      <c r="X2142" s="4">
        <f>IF(Table1[[#This Row], [PASS/FAIL]]="FAIL",0,Table1[[#This Row], [PROFIT]])</f>
        <v>0</v>
      </c>
    </row>
    <row r="2143" spans="1:24" ht="19.5" customHeight="1" x14ac:dyDescent="0.45">
      <c r="A2143" t="s">
        <v>15</v>
      </c>
      <c r="B2143" s="14">
        <f>_xlfn.XLOOKUP(Table1[[#This Row], [TEAM]],Sheet1!$A$12:$A$17,Sheet1!$F$12:$F$17)</f>
        <v>2</v>
      </c>
      <c r="C2143" s="14">
        <f>_xlfn.XLOOKUP(Table1[[#This Row], [TEAM]],Sheet1!$A$12:$A$17,Sheet1!$G$12:$G$17)</f>
        <v>5932950</v>
      </c>
      <c r="D2143" t="s">
        <v>23</v>
      </c>
      <c r="E2143" s="4">
        <f>_xlfn.XLOOKUP(Table1[[#This Row], [ROOM]],Sheet1!$A$47:$A$66,Sheet1!$B$47:$B$66)</f>
        <v>245</v>
      </c>
      <c r="F2143" t="s">
        <v>62</v>
      </c>
      <c r="G2143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3" s="13" t="s">
        <v>63</v>
      </c>
      <c r="I2143" s="4">
        <f>_xlfn.XLOOKUP(Table1[[#This Row], [WEAPON]],Sheet1!$A$27:$A$29,Sheet1!$B$27:$B$29)*Table1[[#This Row], [NUM OF MEM]]*(1+_xlfn.XLOOKUP(Table1[[#This Row], [WEAPON]],Sheet1!$A$27:$A$29,Sheet1!$C$27:$C$29))</f>
        <v>46000</v>
      </c>
      <c r="J2143" t="s">
        <v>64</v>
      </c>
      <c r="K2143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1752807.5999999996</v>
      </c>
      <c r="L2143" s="13" t="s">
        <v>61</v>
      </c>
      <c r="M2143" s="4">
        <f>IF(Table1[[#This Row], [EQUIPMENT]]="YES",Sheet1!$C$44*(1+Sheet1!$D$44),0)</f>
        <v>0</v>
      </c>
      <c r="N2143" s="4">
        <f>_xlfn.XLOOKUP(Table1[[#This Row], [ROOM]],Sheet1!$A$47:$A$66,Sheet1!$F$47:$F$66)</f>
        <v>17400000</v>
      </c>
      <c r="O2143" s="9">
        <f>_xlfn.XLOOKUP(_xlfn.CONCAT(Table1[[#This Row], [TEAM]],Table1[[#This Row], [ROOM]]),'ROOM TIME'!$H$2:$H$121,'ROOM TIME'!$J$2:$J$121)</f>
        <v>60.198749999999983</v>
      </c>
      <c r="P2143" s="9">
        <f>(INDEX(Sheet1!$X$48:$Z$67,MATCH(Table1[[#This Row], [ROOM]],Sheet1!$P$48:$P$67,0),MATCH(Table1[[#This Row], [WEAPON]],Sheet1!$X$47:$Z$47,0)))/Table1[[#This Row], [NUM OF MEM]]</f>
        <v>7.4250000000000007</v>
      </c>
      <c r="Q2143" s="9">
        <f>Table1[[#This Row], [ROOM TIME]]+Table1[[#This Row], [GUARD TIME]]</f>
        <v>67.623749999999987</v>
      </c>
      <c r="R2143" s="4">
        <f>Sheet1!$K$3*_xlfn.XLOOKUP(Table1[[#This Row], [DISGUISE]],Sheet1!$A$21:$A$23,Sheet1!$D$21:$D$23)</f>
        <v>66</v>
      </c>
      <c r="S2143" s="9">
        <f>Table1[[#This Row], [TOTAL TIME]]-Table1[[#This Row], [TOTAL TIME TAKEN]]</f>
        <v>-1.6237499999999869</v>
      </c>
      <c r="T2143" t="str">
        <f>IF(Table1[[#This Row], [TIME DIFFERENCE]]&gt;=0,"PASS","FAIL")</f>
        <v>FAIL</v>
      </c>
      <c r="U2143" s="9">
        <f>Table1[[#This Row], [TRC]]+Table1[[#This Row], [DRC]]+Table1[[#This Row], [WRC]]+Table1[[#This Row], [ERC]]+Table1[[#This Row], [EQRC]]</f>
        <v>7742157.5999999996</v>
      </c>
      <c r="V2143" s="9">
        <f>Table1[[#This Row], [TOTAL COST]]+_xlfn.XLOOKUP(Table1[[#This Row], [TEAM]],Sheet1!$A$12:$A$17,Sheet1!$I$12:$I$17)</f>
        <v>8038805.0999999996</v>
      </c>
      <c r="W2143" s="9">
        <f>Table1[[#This Row], [LOOT]]-Table1[[#This Row], [TOTAL COST]]</f>
        <v>9657842.4000000004</v>
      </c>
      <c r="X2143" s="4">
        <f>IF(Table1[[#This Row], [PASS/FAIL]]="FAIL",0,Table1[[#This Row], [PROFIT]])</f>
        <v>0</v>
      </c>
    </row>
    <row r="2144" spans="1:24" ht="19.5" customHeight="1" x14ac:dyDescent="0.45">
      <c r="A2144" t="s">
        <v>15</v>
      </c>
      <c r="B2144" s="14">
        <f>_xlfn.XLOOKUP(Table1[[#This Row], [TEAM]],Sheet1!$A$12:$A$17,Sheet1!$F$12:$F$17)</f>
        <v>2</v>
      </c>
      <c r="C2144" s="14">
        <f>_xlfn.XLOOKUP(Table1[[#This Row], [TEAM]],Sheet1!$A$12:$A$17,Sheet1!$G$12:$G$17)</f>
        <v>5932950</v>
      </c>
      <c r="D2144" t="s">
        <v>23</v>
      </c>
      <c r="E2144" s="4">
        <f>_xlfn.XLOOKUP(Table1[[#This Row], [ROOM]],Sheet1!$A$47:$A$66,Sheet1!$B$47:$B$66)</f>
        <v>245</v>
      </c>
      <c r="F2144" t="s">
        <v>62</v>
      </c>
      <c r="G2144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4" s="13" t="s">
        <v>63</v>
      </c>
      <c r="I2144" s="4">
        <f>_xlfn.XLOOKUP(Table1[[#This Row], [WEAPON]],Sheet1!$A$27:$A$29,Sheet1!$B$27:$B$29)*Table1[[#This Row], [NUM OF MEM]]*(1+_xlfn.XLOOKUP(Table1[[#This Row], [WEAPON]],Sheet1!$A$27:$A$29,Sheet1!$C$27:$C$29))</f>
        <v>46000</v>
      </c>
      <c r="J2144" t="s">
        <v>60</v>
      </c>
      <c r="K2144" s="9">
        <f>Table1[[#This Row], [NUM OF MEM]]*Table1[[#This Row], [TOTAL TIME TAKEN]]*_xlfn.XLOOKUP(Table1[[#This Row], [EXIT]],Sheet1!$A$70:$A$71,Sheet1!$B$70:$B$71)*(1+_xlfn.XLOOKUP(Table1[[#This Row], [EXIT]],Sheet1!$A$70:$A$71,Sheet1!$C$70:$C$71))</f>
        <v>1735563.5437499997</v>
      </c>
      <c r="L2144" s="13" t="s">
        <v>65</v>
      </c>
      <c r="M2144" s="4">
        <f>IF(Table1[[#This Row], [EQUIPMENT]]="YES",Sheet1!$C$44*(1+Sheet1!$D$44),0)</f>
        <v>307500</v>
      </c>
      <c r="N2144" s="4">
        <f>_xlfn.XLOOKUP(Table1[[#This Row], [ROOM]],Sheet1!$A$47:$A$66,Sheet1!$F$47:$F$66)</f>
        <v>17400000</v>
      </c>
      <c r="O2144" s="9">
        <f>_xlfn.XLOOKUP(_xlfn.CONCAT(Table1[[#This Row], [TEAM]],Table1[[#This Row], [ROOM]]),'ROOM TIME'!$H$2:$H$121,'ROOM TIME'!$J$2:$J$121)</f>
        <v>60.198749999999983</v>
      </c>
      <c r="P2144" s="9">
        <f>(INDEX(Sheet1!$X$48:$Z$67,MATCH(Table1[[#This Row], [ROOM]],Sheet1!$P$48:$P$67,0),MATCH(Table1[[#This Row], [WEAPON]],Sheet1!$X$47:$Z$47,0)))/Table1[[#This Row], [NUM OF MEM]]</f>
        <v>7.4250000000000007</v>
      </c>
      <c r="Q2144" s="9">
        <f>Table1[[#This Row], [ROOM TIME]]+Table1[[#This Row], [GUARD TIME]]</f>
        <v>67.623749999999987</v>
      </c>
      <c r="R2144" s="4">
        <f>Sheet1!$K$3*_xlfn.XLOOKUP(Table1[[#This Row], [DISGUISE]],Sheet1!$A$21:$A$23,Sheet1!$D$21:$D$23)</f>
        <v>66</v>
      </c>
      <c r="S2144" s="9">
        <f>Table1[[#This Row], [TOTAL TIME]]-Table1[[#This Row], [TOTAL TIME TAKEN]]</f>
        <v>-1.6237499999999869</v>
      </c>
      <c r="T2144" t="str">
        <f>IF(Table1[[#This Row], [TIME DIFFERENCE]]&gt;=0,"PASS","FAIL")</f>
        <v>FAIL</v>
      </c>
      <c r="U2144" s="9">
        <f>Table1[[#This Row], [TRC]]+Table1[[#This Row], [DRC]]+Table1[[#This Row], [WRC]]+Table1[[#This Row], [ERC]]+Table1[[#This Row], [EQRC]]</f>
        <v>8032413.5437499993</v>
      </c>
      <c r="V2144" s="9">
        <f>Table1[[#This Row], [TOTAL COST]]+_xlfn.XLOOKUP(Table1[[#This Row], [TEAM]],Sheet1!$A$12:$A$17,Sheet1!$I$12:$I$17)</f>
        <v>8329061.0437499993</v>
      </c>
      <c r="W2144" s="9">
        <f>Table1[[#This Row], [LOOT]]-Table1[[#This Row], [TOTAL COST]]</f>
        <v>9367586.4562500007</v>
      </c>
      <c r="X2144" s="4">
        <f>IF(Table1[[#This Row], [PASS/FAIL]]="FAIL",0,Table1[[#This Row], [PROFIT]])</f>
        <v>0</v>
      </c>
    </row>
    <row r="2145" spans="1:24" ht="19.5" customHeight="1" x14ac:dyDescent="0.45">
      <c r="A2145" t="s">
        <v>15</v>
      </c>
      <c r="B2145" s="14">
        <f>_xlfn.XLOOKUP(Table1[[#This Row], [TEAM]],Sheet1!$A$12:$A$17,Sheet1!$F$12:$F$17)</f>
        <v>2</v>
      </c>
      <c r="C2145" s="14">
        <f>_xlfn.XLOOKUP(Table1[[#This Row], [TEAM]],Sheet1!$A$12:$A$17,Sheet1!$G$12:$G$17)</f>
        <v>5932950</v>
      </c>
      <c r="D2145" t="s">
        <v>23</v>
      </c>
      <c r="E2145" s="4">
        <f>_xlfn.XLOOKUP(Table1[[#This Row], [ROOM]],Sheet1!$A$47:$A$66,Sheet1!$B$47:$B$66)</f>
        <v>245</v>
      </c>
      <c r="F2145" t="s">
        <v>62</v>
      </c>
      <c r="G214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5" s="13" t="s">
        <v>63</v>
      </c>
      <c r="I2145" s="4">
        <f>_xlfn.XLOOKUP(Table1[[#This Row], [WEAPON]],Sheet1!$A$27:$A$29,Sheet1!$B$27:$B$29)*Table1[[#This Row], [NUM OF MEM]]*(1+_xlfn.XLOOKUP(Table1[[#This Row], [WEAPON]],Sheet1!$A$27:$A$29,Sheet1!$C$27:$C$29))</f>
        <v>46000</v>
      </c>
      <c r="J2145" t="s">
        <v>64</v>
      </c>
      <c r="K2145" s="9">
        <f>Table1[[#This Row], [NUM OF MEM]]*Table1[[#This Row], [TOTAL TIME TAKEN]]*_xlfn.XLOOKUP(Table1[[#This Row], [EXIT]],Sheet1!$A$70:$A$71,Sheet1!$B$70:$B$71)*(1+_xlfn.XLOOKUP(Table1[[#This Row], [EXIT]],Sheet1!$A$70:$A$71,Sheet1!$C$70:$C$71))</f>
        <v>1752807.5999999996</v>
      </c>
      <c r="L2145" s="13" t="s">
        <v>65</v>
      </c>
      <c r="M2145" s="4">
        <f>IF(Table1[[#This Row], [EQUIPMENT]]="YES",Sheet1!$C$44*(1+Sheet1!$D$44),0)</f>
        <v>307500</v>
      </c>
      <c r="N2145" s="4">
        <f>_xlfn.XLOOKUP(Table1[[#This Row], [ROOM]],Sheet1!$A$47:$A$66,Sheet1!$F$47:$F$66)</f>
        <v>17400000</v>
      </c>
      <c r="O2145" s="9">
        <f>_xlfn.XLOOKUP(_xlfn.CONCAT(Table1[[#This Row], [TEAM]],Table1[[#This Row], [ROOM]]),'ROOM TIME'!$H$2:$H$121,'ROOM TIME'!$J$2:$J$121)</f>
        <v>60.198749999999983</v>
      </c>
      <c r="P2145" s="9">
        <f>(INDEX(Sheet1!$X$48:$Z$67,MATCH(Table1[[#This Row], [ROOM]],Sheet1!$P$48:$P$67,0),MATCH(Table1[[#This Row], [WEAPON]],Sheet1!$X$47:$Z$47,0)))/Table1[[#This Row], [NUM OF MEM]]</f>
        <v>7.4250000000000007</v>
      </c>
      <c r="Q2145" s="9">
        <f>Table1[[#This Row], [ROOM TIME]]+Table1[[#This Row], [GUARD TIME]]</f>
        <v>67.623749999999987</v>
      </c>
      <c r="R2145" s="4">
        <f>Sheet1!$K$3*_xlfn.XLOOKUP(Table1[[#This Row], [DISGUISE]],Sheet1!$A$21:$A$23,Sheet1!$D$21:$D$23)</f>
        <v>66</v>
      </c>
      <c r="S2145" s="9">
        <f>Table1[[#This Row], [TOTAL TIME]]-Table1[[#This Row], [TOTAL TIME TAKEN]]</f>
        <v>-1.6237499999999869</v>
      </c>
      <c r="T2145" t="str">
        <f>IF(Table1[[#This Row], [TIME DIFFERENCE]]&gt;=0,"PASS","FAIL")</f>
        <v>FAIL</v>
      </c>
      <c r="U2145" s="9">
        <f>Table1[[#This Row], [TRC]]+Table1[[#This Row], [DRC]]+Table1[[#This Row], [WRC]]+Table1[[#This Row], [ERC]]+Table1[[#This Row], [EQRC]]</f>
        <v>8049657.5999999996</v>
      </c>
      <c r="V2145" s="9">
        <f>Table1[[#This Row], [TOTAL COST]]+_xlfn.XLOOKUP(Table1[[#This Row], [TEAM]],Sheet1!$A$12:$A$17,Sheet1!$I$12:$I$17)</f>
        <v>8346305.0999999996</v>
      </c>
      <c r="W2145" s="9">
        <f>Table1[[#This Row], [LOOT]]-Table1[[#This Row], [TOTAL COST]]</f>
        <v>9350342.4000000004</v>
      </c>
      <c r="X2145" s="4">
        <f>IF(Table1[[#This Row], [PASS/FAIL]]="FAIL",0,Table1[[#This Row], [PROFIT]])</f>
        <v>0</v>
      </c>
    </row>
    <row r="2146" spans="1:24" ht="19.5" customHeight="1" x14ac:dyDescent="0.45">
      <c r="A2146" t="s">
        <v>15</v>
      </c>
      <c r="B2146" s="14">
        <f>_xlfn.XLOOKUP(Table1[[#This Row], [TEAM]],Sheet1!$A$12:$A$17,Sheet1!$F$12:$F$17)</f>
        <v>2</v>
      </c>
      <c r="C2146" s="14">
        <f>_xlfn.XLOOKUP(Table1[[#This Row], [TEAM]],Sheet1!$A$12:$A$17,Sheet1!$G$12:$G$17)</f>
        <v>5932950</v>
      </c>
      <c r="D2146" t="s">
        <v>23</v>
      </c>
      <c r="E2146" s="4">
        <f>_xlfn.XLOOKUP(Table1[[#This Row], [ROOM]],Sheet1!$A$47:$A$66,Sheet1!$B$47:$B$66)</f>
        <v>245</v>
      </c>
      <c r="F2146" t="s">
        <v>62</v>
      </c>
      <c r="G2146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6" s="13" t="s">
        <v>66</v>
      </c>
      <c r="I2146" s="4">
        <f>_xlfn.XLOOKUP(Table1[[#This Row], [WEAPON]],Sheet1!$A$27:$A$29,Sheet1!$B$27:$B$29)*Table1[[#This Row], [NUM OF MEM]]*(1+_xlfn.XLOOKUP(Table1[[#This Row], [WEAPON]],Sheet1!$A$27:$A$29,Sheet1!$C$27:$C$29))</f>
        <v>72000</v>
      </c>
      <c r="J2146" t="s">
        <v>60</v>
      </c>
      <c r="K2146" s="9">
        <f>Table1[[#This Row], [NUM OF MEM]]*Table1[[#This Row], [TOTAL TIME TAKEN]]*_xlfn.XLOOKUP(Table1[[#This Row], [EXIT]],Sheet1!$A$70:$A$71,Sheet1!$B$70:$B$71)*(1+_xlfn.XLOOKUP(Table1[[#This Row], [EXIT]],Sheet1!$A$70:$A$71,Sheet1!$C$70:$C$71))</f>
        <v>1721447.7937499997</v>
      </c>
      <c r="L2146" s="13" t="s">
        <v>61</v>
      </c>
      <c r="M2146" s="4">
        <f>IF(Table1[[#This Row], [EQUIPMENT]]="YES",Sheet1!$C$44*(1+Sheet1!$D$44),0)</f>
        <v>0</v>
      </c>
      <c r="N2146" s="4">
        <f>_xlfn.XLOOKUP(Table1[[#This Row], [ROOM]],Sheet1!$A$47:$A$66,Sheet1!$F$47:$F$66)</f>
        <v>17400000</v>
      </c>
      <c r="O2146" s="9">
        <f>_xlfn.XLOOKUP(_xlfn.CONCAT(Table1[[#This Row], [TEAM]],Table1[[#This Row], [ROOM]]),'ROOM TIME'!$H$2:$H$121,'ROOM TIME'!$J$2:$J$121)</f>
        <v>60.198749999999983</v>
      </c>
      <c r="P2146" s="9">
        <f>(INDEX(Sheet1!$X$48:$Z$67,MATCH(Table1[[#This Row], [ROOM]],Sheet1!$P$48:$P$67,0),MATCH(Table1[[#This Row], [WEAPON]],Sheet1!$X$47:$Z$47,0)))/Table1[[#This Row], [NUM OF MEM]]</f>
        <v>6.875</v>
      </c>
      <c r="Q2146" s="9">
        <f>Table1[[#This Row], [ROOM TIME]]+Table1[[#This Row], [GUARD TIME]]</f>
        <v>67.07374999999999</v>
      </c>
      <c r="R2146" s="4">
        <f>Sheet1!$K$3*_xlfn.XLOOKUP(Table1[[#This Row], [DISGUISE]],Sheet1!$A$21:$A$23,Sheet1!$D$21:$D$23)</f>
        <v>66</v>
      </c>
      <c r="S2146" s="9">
        <f>Table1[[#This Row], [TOTAL TIME]]-Table1[[#This Row], [TOTAL TIME TAKEN]]</f>
        <v>-1.0737499999999898</v>
      </c>
      <c r="T2146" t="str">
        <f>IF(Table1[[#This Row], [TIME DIFFERENCE]]&gt;=0,"PASS","FAIL")</f>
        <v>FAIL</v>
      </c>
      <c r="U2146" s="9">
        <f>Table1[[#This Row], [TRC]]+Table1[[#This Row], [DRC]]+Table1[[#This Row], [WRC]]+Table1[[#This Row], [ERC]]+Table1[[#This Row], [EQRC]]</f>
        <v>7736797.7937499993</v>
      </c>
      <c r="V2146" s="9">
        <f>Table1[[#This Row], [TOTAL COST]]+_xlfn.XLOOKUP(Table1[[#This Row], [TEAM]],Sheet1!$A$12:$A$17,Sheet1!$I$12:$I$17)</f>
        <v>8033445.2937499993</v>
      </c>
      <c r="W2146" s="9">
        <f>Table1[[#This Row], [LOOT]]-Table1[[#This Row], [TOTAL COST]]</f>
        <v>9663202.2062500007</v>
      </c>
      <c r="X2146" s="4">
        <f>IF(Table1[[#This Row], [PASS/FAIL]]="FAIL",0,Table1[[#This Row], [PROFIT]])</f>
        <v>0</v>
      </c>
    </row>
    <row r="2147" spans="1:24" ht="19.5" customHeight="1" x14ac:dyDescent="0.45">
      <c r="A2147" t="s">
        <v>15</v>
      </c>
      <c r="B2147" s="14">
        <f>_xlfn.XLOOKUP(Table1[[#This Row], [TEAM]],Sheet1!$A$12:$A$17,Sheet1!$F$12:$F$17)</f>
        <v>2</v>
      </c>
      <c r="C2147" s="14">
        <f>_xlfn.XLOOKUP(Table1[[#This Row], [TEAM]],Sheet1!$A$12:$A$17,Sheet1!$G$12:$G$17)</f>
        <v>5932950</v>
      </c>
      <c r="D2147" t="s">
        <v>23</v>
      </c>
      <c r="E2147" s="4">
        <f>_xlfn.XLOOKUP(Table1[[#This Row], [ROOM]],Sheet1!$A$47:$A$66,Sheet1!$B$47:$B$66)</f>
        <v>245</v>
      </c>
      <c r="F2147" t="s">
        <v>62</v>
      </c>
      <c r="G214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7" s="13" t="s">
        <v>66</v>
      </c>
      <c r="I2147" s="4">
        <f>_xlfn.XLOOKUP(Table1[[#This Row], [WEAPON]],Sheet1!$A$27:$A$29,Sheet1!$B$27:$B$29)*Table1[[#This Row], [NUM OF MEM]]*(1+_xlfn.XLOOKUP(Table1[[#This Row], [WEAPON]],Sheet1!$A$27:$A$29,Sheet1!$C$27:$C$29))</f>
        <v>72000</v>
      </c>
      <c r="J2147" t="s">
        <v>64</v>
      </c>
      <c r="K2147" s="9">
        <f>Table1[[#This Row], [NUM OF MEM]]*Table1[[#This Row], [TOTAL TIME TAKEN]]*_xlfn.XLOOKUP(Table1[[#This Row], [EXIT]],Sheet1!$A$70:$A$71,Sheet1!$B$70:$B$71)*(1+_xlfn.XLOOKUP(Table1[[#This Row], [EXIT]],Sheet1!$A$70:$A$71,Sheet1!$C$70:$C$71))</f>
        <v>1738551.5999999996</v>
      </c>
      <c r="L2147" s="13" t="s">
        <v>61</v>
      </c>
      <c r="M2147" s="4">
        <f>IF(Table1[[#This Row], [EQUIPMENT]]="YES",Sheet1!$C$44*(1+Sheet1!$D$44),0)</f>
        <v>0</v>
      </c>
      <c r="N2147" s="4">
        <f>_xlfn.XLOOKUP(Table1[[#This Row], [ROOM]],Sheet1!$A$47:$A$66,Sheet1!$F$47:$F$66)</f>
        <v>17400000</v>
      </c>
      <c r="O2147" s="9">
        <f>_xlfn.XLOOKUP(_xlfn.CONCAT(Table1[[#This Row], [TEAM]],Table1[[#This Row], [ROOM]]),'ROOM TIME'!$H$2:$H$121,'ROOM TIME'!$J$2:$J$121)</f>
        <v>60.198749999999983</v>
      </c>
      <c r="P2147" s="9">
        <f>(INDEX(Sheet1!$X$48:$Z$67,MATCH(Table1[[#This Row], [ROOM]],Sheet1!$P$48:$P$67,0),MATCH(Table1[[#This Row], [WEAPON]],Sheet1!$X$47:$Z$47,0)))/Table1[[#This Row], [NUM OF MEM]]</f>
        <v>6.875</v>
      </c>
      <c r="Q2147" s="9">
        <f>Table1[[#This Row], [ROOM TIME]]+Table1[[#This Row], [GUARD TIME]]</f>
        <v>67.07374999999999</v>
      </c>
      <c r="R2147" s="4">
        <f>Sheet1!$K$3*_xlfn.XLOOKUP(Table1[[#This Row], [DISGUISE]],Sheet1!$A$21:$A$23,Sheet1!$D$21:$D$23)</f>
        <v>66</v>
      </c>
      <c r="S2147" s="9">
        <f>Table1[[#This Row], [TOTAL TIME]]-Table1[[#This Row], [TOTAL TIME TAKEN]]</f>
        <v>-1.0737499999999898</v>
      </c>
      <c r="T2147" t="str">
        <f>IF(Table1[[#This Row], [TIME DIFFERENCE]]&gt;=0,"PASS","FAIL")</f>
        <v>FAIL</v>
      </c>
      <c r="U2147" s="9">
        <f>Table1[[#This Row], [TRC]]+Table1[[#This Row], [DRC]]+Table1[[#This Row], [WRC]]+Table1[[#This Row], [ERC]]+Table1[[#This Row], [EQRC]]</f>
        <v>7753901.5999999996</v>
      </c>
      <c r="V2147" s="9">
        <f>Table1[[#This Row], [TOTAL COST]]+_xlfn.XLOOKUP(Table1[[#This Row], [TEAM]],Sheet1!$A$12:$A$17,Sheet1!$I$12:$I$17)</f>
        <v>8050549.0999999996</v>
      </c>
      <c r="W2147" s="9">
        <f>Table1[[#This Row], [LOOT]]-Table1[[#This Row], [TOTAL COST]]</f>
        <v>9646098.4000000004</v>
      </c>
      <c r="X2147" s="4">
        <f>IF(Table1[[#This Row], [PASS/FAIL]]="FAIL",0,Table1[[#This Row], [PROFIT]])</f>
        <v>0</v>
      </c>
    </row>
    <row r="2148" spans="1:24" ht="19.5" customHeight="1" x14ac:dyDescent="0.45">
      <c r="A2148" t="s">
        <v>15</v>
      </c>
      <c r="B2148" s="14">
        <f>_xlfn.XLOOKUP(Table1[[#This Row], [TEAM]],Sheet1!$A$12:$A$17,Sheet1!$F$12:$F$17)</f>
        <v>2</v>
      </c>
      <c r="C2148" s="14">
        <f>_xlfn.XLOOKUP(Table1[[#This Row], [TEAM]],Sheet1!$A$12:$A$17,Sheet1!$G$12:$G$17)</f>
        <v>5932950</v>
      </c>
      <c r="D2148" t="s">
        <v>23</v>
      </c>
      <c r="E2148" s="4">
        <f>_xlfn.XLOOKUP(Table1[[#This Row], [ROOM]],Sheet1!$A$47:$A$66,Sheet1!$B$47:$B$66)</f>
        <v>245</v>
      </c>
      <c r="F2148" t="s">
        <v>62</v>
      </c>
      <c r="G214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8" s="13" t="s">
        <v>66</v>
      </c>
      <c r="I2148" s="4">
        <f>_xlfn.XLOOKUP(Table1[[#This Row], [WEAPON]],Sheet1!$A$27:$A$29,Sheet1!$B$27:$B$29)*Table1[[#This Row], [NUM OF MEM]]*(1+_xlfn.XLOOKUP(Table1[[#This Row], [WEAPON]],Sheet1!$A$27:$A$29,Sheet1!$C$27:$C$29))</f>
        <v>72000</v>
      </c>
      <c r="J2148" t="s">
        <v>60</v>
      </c>
      <c r="K2148" s="9">
        <f>Table1[[#This Row], [NUM OF MEM]]*Table1[[#This Row], [TOTAL TIME TAKEN]]*_xlfn.XLOOKUP(Table1[[#This Row], [EXIT]],Sheet1!$A$70:$A$71,Sheet1!$B$70:$B$71)*(1+_xlfn.XLOOKUP(Table1[[#This Row], [EXIT]],Sheet1!$A$70:$A$71,Sheet1!$C$70:$C$71))</f>
        <v>1721447.7937499997</v>
      </c>
      <c r="L2148" s="13" t="s">
        <v>65</v>
      </c>
      <c r="M2148" s="4">
        <f>IF(Table1[[#This Row], [EQUIPMENT]]="YES",Sheet1!$C$44*(1+Sheet1!$D$44),0)</f>
        <v>307500</v>
      </c>
      <c r="N2148" s="4">
        <f>_xlfn.XLOOKUP(Table1[[#This Row], [ROOM]],Sheet1!$A$47:$A$66,Sheet1!$F$47:$F$66)</f>
        <v>17400000</v>
      </c>
      <c r="O2148" s="9">
        <f>_xlfn.XLOOKUP(_xlfn.CONCAT(Table1[[#This Row], [TEAM]],Table1[[#This Row], [ROOM]]),'ROOM TIME'!$H$2:$H$121,'ROOM TIME'!$J$2:$J$121)</f>
        <v>60.198749999999983</v>
      </c>
      <c r="P2148" s="9">
        <f>(INDEX(Sheet1!$X$48:$Z$67,MATCH(Table1[[#This Row], [ROOM]],Sheet1!$P$48:$P$67,0),MATCH(Table1[[#This Row], [WEAPON]],Sheet1!$X$47:$Z$47,0)))/Table1[[#This Row], [NUM OF MEM]]</f>
        <v>6.875</v>
      </c>
      <c r="Q2148" s="9">
        <f>Table1[[#This Row], [ROOM TIME]]+Table1[[#This Row], [GUARD TIME]]</f>
        <v>67.07374999999999</v>
      </c>
      <c r="R2148" s="4">
        <f>Sheet1!$K$3*_xlfn.XLOOKUP(Table1[[#This Row], [DISGUISE]],Sheet1!$A$21:$A$23,Sheet1!$D$21:$D$23)</f>
        <v>66</v>
      </c>
      <c r="S2148" s="9">
        <f>Table1[[#This Row], [TOTAL TIME]]-Table1[[#This Row], [TOTAL TIME TAKEN]]</f>
        <v>-1.0737499999999898</v>
      </c>
      <c r="T2148" t="str">
        <f>IF(Table1[[#This Row], [TIME DIFFERENCE]]&gt;=0,"PASS","FAIL")</f>
        <v>FAIL</v>
      </c>
      <c r="U2148" s="9">
        <f>Table1[[#This Row], [TRC]]+Table1[[#This Row], [DRC]]+Table1[[#This Row], [WRC]]+Table1[[#This Row], [ERC]]+Table1[[#This Row], [EQRC]]</f>
        <v>8044297.7937499993</v>
      </c>
      <c r="V2148" s="9">
        <f>Table1[[#This Row], [TOTAL COST]]+_xlfn.XLOOKUP(Table1[[#This Row], [TEAM]],Sheet1!$A$12:$A$17,Sheet1!$I$12:$I$17)</f>
        <v>8340945.2937499993</v>
      </c>
      <c r="W2148" s="9">
        <f>Table1[[#This Row], [LOOT]]-Table1[[#This Row], [TOTAL COST]]</f>
        <v>9355702.2062500007</v>
      </c>
      <c r="X2148" s="4">
        <f>IF(Table1[[#This Row], [PASS/FAIL]]="FAIL",0,Table1[[#This Row], [PROFIT]])</f>
        <v>0</v>
      </c>
    </row>
    <row r="2149" spans="1:24" ht="19.5" customHeight="1" x14ac:dyDescent="0.45">
      <c r="A2149" t="s">
        <v>15</v>
      </c>
      <c r="B2149" s="14">
        <f>_xlfn.XLOOKUP(Table1[[#This Row], [TEAM]],Sheet1!$A$12:$A$17,Sheet1!$F$12:$F$17)</f>
        <v>2</v>
      </c>
      <c r="C2149" s="14">
        <f>_xlfn.XLOOKUP(Table1[[#This Row], [TEAM]],Sheet1!$A$12:$A$17,Sheet1!$G$12:$G$17)</f>
        <v>5932950</v>
      </c>
      <c r="D2149" t="s">
        <v>23</v>
      </c>
      <c r="E2149" s="4">
        <f>_xlfn.XLOOKUP(Table1[[#This Row], [ROOM]],Sheet1!$A$47:$A$66,Sheet1!$B$47:$B$66)</f>
        <v>245</v>
      </c>
      <c r="F2149" t="s">
        <v>62</v>
      </c>
      <c r="G2149" s="4">
        <f>_xlfn.XLOOKUP(Table1[[#This Row], [DISGUISE]],Sheet1!$A$21:$A$23,Sheet1!$B$21:$B$23)*Table1[[#This Row], [NUM OF MEM]]*(1+_xlfn.XLOOKUP(Table1[[#This Row], [DISGUISE]],Sheet1!$A$21:$A$23,Sheet1!$C$21:$C$23))</f>
        <v>10400</v>
      </c>
      <c r="H2149" s="13" t="s">
        <v>66</v>
      </c>
      <c r="I2149" s="4">
        <f>_xlfn.XLOOKUP(Table1[[#This Row], [WEAPON]],Sheet1!$A$27:$A$29,Sheet1!$B$27:$B$29)*Table1[[#This Row], [NUM OF MEM]]*(1+_xlfn.XLOOKUP(Table1[[#This Row], [WEAPON]],Sheet1!$A$27:$A$29,Sheet1!$C$27:$C$29))</f>
        <v>72000</v>
      </c>
      <c r="J2149" t="s">
        <v>64</v>
      </c>
      <c r="K2149" s="9">
        <f>Table1[[#This Row], [NUM OF MEM]]*Table1[[#This Row], [TOTAL TIME TAKEN]]*_xlfn.XLOOKUP(Table1[[#This Row], [EXIT]],Sheet1!$A$70:$A$71,Sheet1!$B$70:$B$71)*(1+_xlfn.XLOOKUP(Table1[[#This Row], [EXIT]],Sheet1!$A$70:$A$71,Sheet1!$C$70:$C$71))</f>
        <v>1738551.5999999996</v>
      </c>
      <c r="L2149" s="13" t="s">
        <v>65</v>
      </c>
      <c r="M2149" s="4">
        <f>IF(Table1[[#This Row], [EQUIPMENT]]="YES",Sheet1!$C$44*(1+Sheet1!$D$44),0)</f>
        <v>307500</v>
      </c>
      <c r="N2149" s="4">
        <f>_xlfn.XLOOKUP(Table1[[#This Row], [ROOM]],Sheet1!$A$47:$A$66,Sheet1!$F$47:$F$66)</f>
        <v>17400000</v>
      </c>
      <c r="O2149" s="9">
        <f>_xlfn.XLOOKUP(_xlfn.CONCAT(Table1[[#This Row], [TEAM]],Table1[[#This Row], [ROOM]]),'ROOM TIME'!$H$2:$H$121,'ROOM TIME'!$J$2:$J$121)</f>
        <v>60.198749999999983</v>
      </c>
      <c r="P2149" s="9">
        <f>(INDEX(Sheet1!$X$48:$Z$67,MATCH(Table1[[#This Row], [ROOM]],Sheet1!$P$48:$P$67,0),MATCH(Table1[[#This Row], [WEAPON]],Sheet1!$X$47:$Z$47,0)))/Table1[[#This Row], [NUM OF MEM]]</f>
        <v>6.875</v>
      </c>
      <c r="Q2149" s="9">
        <f>Table1[[#This Row], [ROOM TIME]]+Table1[[#This Row], [GUARD TIME]]</f>
        <v>67.07374999999999</v>
      </c>
      <c r="R2149" s="4">
        <f>Sheet1!$K$3*_xlfn.XLOOKUP(Table1[[#This Row], [DISGUISE]],Sheet1!$A$21:$A$23,Sheet1!$D$21:$D$23)</f>
        <v>66</v>
      </c>
      <c r="S2149" s="9">
        <f>Table1[[#This Row], [TOTAL TIME]]-Table1[[#This Row], [TOTAL TIME TAKEN]]</f>
        <v>-1.0737499999999898</v>
      </c>
      <c r="T2149" t="str">
        <f>IF(Table1[[#This Row], [TIME DIFFERENCE]]&gt;=0,"PASS","FAIL")</f>
        <v>FAIL</v>
      </c>
      <c r="U2149" s="9">
        <f>Table1[[#This Row], [TRC]]+Table1[[#This Row], [DRC]]+Table1[[#This Row], [WRC]]+Table1[[#This Row], [ERC]]+Table1[[#This Row], [EQRC]]</f>
        <v>8061401.5999999996</v>
      </c>
      <c r="V2149" s="9">
        <f>Table1[[#This Row], [TOTAL COST]]+_xlfn.XLOOKUP(Table1[[#This Row], [TEAM]],Sheet1!$A$12:$A$17,Sheet1!$I$12:$I$17)</f>
        <v>8358049.0999999996</v>
      </c>
      <c r="W2149" s="9">
        <f>Table1[[#This Row], [LOOT]]-Table1[[#This Row], [TOTAL COST]]</f>
        <v>9338598.4000000004</v>
      </c>
      <c r="X2149" s="4">
        <f>IF(Table1[[#This Row], [PASS/FAIL]]="FAIL",0,Table1[[#This Row], [PROFIT]])</f>
        <v>0</v>
      </c>
    </row>
    <row r="2150" spans="1:24" ht="19.5" customHeight="1" x14ac:dyDescent="0.45">
      <c r="A2150" t="s">
        <v>16</v>
      </c>
      <c r="B2150" s="14">
        <f>_xlfn.XLOOKUP(Table1[[#This Row], [TEAM]],Sheet1!$A$12:$A$17,Sheet1!$F$12:$F$17)</f>
        <v>2</v>
      </c>
      <c r="C2150" s="14">
        <f>_xlfn.XLOOKUP(Table1[[#This Row], [TEAM]],Sheet1!$A$12:$A$17,Sheet1!$G$12:$G$17)</f>
        <v>6082800</v>
      </c>
      <c r="D2150" t="s">
        <v>23</v>
      </c>
      <c r="E2150" s="4">
        <f>_xlfn.XLOOKUP(Table1[[#This Row], [ROOM]],Sheet1!$A$47:$A$66,Sheet1!$B$47:$B$66)</f>
        <v>245</v>
      </c>
      <c r="F2150" t="s">
        <v>62</v>
      </c>
      <c r="G215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0" s="13" t="s">
        <v>59</v>
      </c>
      <c r="I2150" s="4">
        <f>_xlfn.XLOOKUP(Table1[[#This Row], [WEAPON]],Sheet1!$A$27:$A$29,Sheet1!$B$27:$B$29)*Table1[[#This Row], [NUM OF MEM]]*(1+_xlfn.XLOOKUP(Table1[[#This Row], [WEAPON]],Sheet1!$A$27:$A$29,Sheet1!$C$27:$C$29))</f>
        <v>91000</v>
      </c>
      <c r="J2150" t="s">
        <v>60</v>
      </c>
      <c r="K2150" s="9">
        <f>Table1[[#This Row], [NUM OF MEM]]*Table1[[#This Row], [TOTAL TIME TAKEN]]*_xlfn.XLOOKUP(Table1[[#This Row], [EXIT]],Sheet1!$A$70:$A$71,Sheet1!$B$70:$B$71)*(1+_xlfn.XLOOKUP(Table1[[#This Row], [EXIT]],Sheet1!$A$70:$A$71,Sheet1!$C$70:$C$71))</f>
        <v>1729436.0249999997</v>
      </c>
      <c r="L2150" s="13" t="s">
        <v>61</v>
      </c>
      <c r="M2150" s="4">
        <f>IF(Table1[[#This Row], [EQUIPMENT]]="YES",Sheet1!$C$44*(1+Sheet1!$D$44),0)</f>
        <v>0</v>
      </c>
      <c r="N2150" s="4">
        <f>_xlfn.XLOOKUP(Table1[[#This Row], [ROOM]],Sheet1!$A$47:$A$66,Sheet1!$F$47:$F$66)</f>
        <v>17400000</v>
      </c>
      <c r="O2150" s="9">
        <f>_xlfn.XLOOKUP(_xlfn.CONCAT(Table1[[#This Row], [TEAM]],Table1[[#This Row], [ROOM]]),'ROOM TIME'!$H$2:$H$121,'ROOM TIME'!$J$2:$J$121)</f>
        <v>61.059999999999988</v>
      </c>
      <c r="P2150" s="9">
        <f>(INDEX(Sheet1!$X$48:$Z$67,MATCH(Table1[[#This Row], [ROOM]],Sheet1!$P$48:$P$67,0),MATCH(Table1[[#This Row], [WEAPON]],Sheet1!$X$47:$Z$47,0)))/Table1[[#This Row], [NUM OF MEM]]</f>
        <v>6.3249999999999993</v>
      </c>
      <c r="Q2150" s="9">
        <f>Table1[[#This Row], [ROOM TIME]]+Table1[[#This Row], [GUARD TIME]]</f>
        <v>67.384999999999991</v>
      </c>
      <c r="R2150" s="4">
        <f>Sheet1!$K$3*_xlfn.XLOOKUP(Table1[[#This Row], [DISGUISE]],Sheet1!$A$21:$A$23,Sheet1!$D$21:$D$23)</f>
        <v>66</v>
      </c>
      <c r="S2150" s="9">
        <f>Table1[[#This Row], [TOTAL TIME]]-Table1[[#This Row], [TOTAL TIME TAKEN]]</f>
        <v>-1.3849999999999909</v>
      </c>
      <c r="T2150" t="str">
        <f>IF(Table1[[#This Row], [TIME DIFFERENCE]]&gt;=0,"PASS","FAIL")</f>
        <v>FAIL</v>
      </c>
      <c r="U2150" s="9">
        <f>Table1[[#This Row], [TRC]]+Table1[[#This Row], [DRC]]+Table1[[#This Row], [WRC]]+Table1[[#This Row], [ERC]]+Table1[[#This Row], [EQRC]]</f>
        <v>7913636.0249999994</v>
      </c>
      <c r="V2150" s="9">
        <f>Table1[[#This Row], [TOTAL COST]]+_xlfn.XLOOKUP(Table1[[#This Row], [TEAM]],Sheet1!$A$12:$A$17,Sheet1!$I$12:$I$17)</f>
        <v>8217776.0249999994</v>
      </c>
      <c r="W2150" s="9">
        <f>Table1[[#This Row], [LOOT]]-Table1[[#This Row], [TOTAL COST]]</f>
        <v>9486363.9750000015</v>
      </c>
      <c r="X2150" s="4">
        <f>IF(Table1[[#This Row], [PASS/FAIL]]="FAIL",0,Table1[[#This Row], [PROFIT]])</f>
        <v>0</v>
      </c>
    </row>
    <row r="2151" spans="1:24" ht="19.5" customHeight="1" x14ac:dyDescent="0.45">
      <c r="A2151" t="s">
        <v>16</v>
      </c>
      <c r="B2151" s="14">
        <f>_xlfn.XLOOKUP(Table1[[#This Row], [TEAM]],Sheet1!$A$12:$A$17,Sheet1!$F$12:$F$17)</f>
        <v>2</v>
      </c>
      <c r="C2151" s="14">
        <f>_xlfn.XLOOKUP(Table1[[#This Row], [TEAM]],Sheet1!$A$12:$A$17,Sheet1!$G$12:$G$17)</f>
        <v>6082800</v>
      </c>
      <c r="D2151" t="s">
        <v>23</v>
      </c>
      <c r="E2151" s="4">
        <f>_xlfn.XLOOKUP(Table1[[#This Row], [ROOM]],Sheet1!$A$47:$A$66,Sheet1!$B$47:$B$66)</f>
        <v>245</v>
      </c>
      <c r="F2151" t="s">
        <v>62</v>
      </c>
      <c r="G215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1" s="13" t="s">
        <v>59</v>
      </c>
      <c r="I2151" s="4">
        <f>_xlfn.XLOOKUP(Table1[[#This Row], [WEAPON]],Sheet1!$A$27:$A$29,Sheet1!$B$27:$B$29)*Table1[[#This Row], [NUM OF MEM]]*(1+_xlfn.XLOOKUP(Table1[[#This Row], [WEAPON]],Sheet1!$A$27:$A$29,Sheet1!$C$27:$C$29))</f>
        <v>91000</v>
      </c>
      <c r="J2151" t="s">
        <v>64</v>
      </c>
      <c r="K2151" s="9">
        <f>Table1[[#This Row], [NUM OF MEM]]*Table1[[#This Row], [TOTAL TIME TAKEN]]*_xlfn.XLOOKUP(Table1[[#This Row], [EXIT]],Sheet1!$A$70:$A$71,Sheet1!$B$70:$B$71)*(1+_xlfn.XLOOKUP(Table1[[#This Row], [EXIT]],Sheet1!$A$70:$A$71,Sheet1!$C$70:$C$71))</f>
        <v>1746619.1999999997</v>
      </c>
      <c r="L2151" s="13" t="s">
        <v>61</v>
      </c>
      <c r="M2151" s="4">
        <f>IF(Table1[[#This Row], [EQUIPMENT]]="YES",Sheet1!$C$44*(1+Sheet1!$D$44),0)</f>
        <v>0</v>
      </c>
      <c r="N2151" s="4">
        <f>_xlfn.XLOOKUP(Table1[[#This Row], [ROOM]],Sheet1!$A$47:$A$66,Sheet1!$F$47:$F$66)</f>
        <v>17400000</v>
      </c>
      <c r="O2151" s="9">
        <f>_xlfn.XLOOKUP(_xlfn.CONCAT(Table1[[#This Row], [TEAM]],Table1[[#This Row], [ROOM]]),'ROOM TIME'!$H$2:$H$121,'ROOM TIME'!$J$2:$J$121)</f>
        <v>61.059999999999988</v>
      </c>
      <c r="P2151" s="9">
        <f>(INDEX(Sheet1!$X$48:$Z$67,MATCH(Table1[[#This Row], [ROOM]],Sheet1!$P$48:$P$67,0),MATCH(Table1[[#This Row], [WEAPON]],Sheet1!$X$47:$Z$47,0)))/Table1[[#This Row], [NUM OF MEM]]</f>
        <v>6.3249999999999993</v>
      </c>
      <c r="Q2151" s="9">
        <f>Table1[[#This Row], [ROOM TIME]]+Table1[[#This Row], [GUARD TIME]]</f>
        <v>67.384999999999991</v>
      </c>
      <c r="R2151" s="4">
        <f>Sheet1!$K$3*_xlfn.XLOOKUP(Table1[[#This Row], [DISGUISE]],Sheet1!$A$21:$A$23,Sheet1!$D$21:$D$23)</f>
        <v>66</v>
      </c>
      <c r="S2151" s="9">
        <f>Table1[[#This Row], [TOTAL TIME]]-Table1[[#This Row], [TOTAL TIME TAKEN]]</f>
        <v>-1.3849999999999909</v>
      </c>
      <c r="T2151" t="str">
        <f>IF(Table1[[#This Row], [TIME DIFFERENCE]]&gt;=0,"PASS","FAIL")</f>
        <v>FAIL</v>
      </c>
      <c r="U2151" s="9">
        <f>Table1[[#This Row], [TRC]]+Table1[[#This Row], [DRC]]+Table1[[#This Row], [WRC]]+Table1[[#This Row], [ERC]]+Table1[[#This Row], [EQRC]]</f>
        <v>7930819.1999999993</v>
      </c>
      <c r="V2151" s="9">
        <f>Table1[[#This Row], [TOTAL COST]]+_xlfn.XLOOKUP(Table1[[#This Row], [TEAM]],Sheet1!$A$12:$A$17,Sheet1!$I$12:$I$17)</f>
        <v>8234959.1999999993</v>
      </c>
      <c r="W2151" s="9">
        <f>Table1[[#This Row], [LOOT]]-Table1[[#This Row], [TOTAL COST]]</f>
        <v>9469180.8000000007</v>
      </c>
      <c r="X2151" s="4">
        <f>IF(Table1[[#This Row], [PASS/FAIL]]="FAIL",0,Table1[[#This Row], [PROFIT]])</f>
        <v>0</v>
      </c>
    </row>
    <row r="2152" spans="1:24" ht="19.5" customHeight="1" x14ac:dyDescent="0.45">
      <c r="A2152" t="s">
        <v>16</v>
      </c>
      <c r="B2152" s="14">
        <f>_xlfn.XLOOKUP(Table1[[#This Row], [TEAM]],Sheet1!$A$12:$A$17,Sheet1!$F$12:$F$17)</f>
        <v>2</v>
      </c>
      <c r="C2152" s="14">
        <f>_xlfn.XLOOKUP(Table1[[#This Row], [TEAM]],Sheet1!$A$12:$A$17,Sheet1!$G$12:$G$17)</f>
        <v>6082800</v>
      </c>
      <c r="D2152" t="s">
        <v>23</v>
      </c>
      <c r="E2152" s="4">
        <f>_xlfn.XLOOKUP(Table1[[#This Row], [ROOM]],Sheet1!$A$47:$A$66,Sheet1!$B$47:$B$66)</f>
        <v>245</v>
      </c>
      <c r="F2152" t="s">
        <v>62</v>
      </c>
      <c r="G2152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2" s="13" t="s">
        <v>59</v>
      </c>
      <c r="I2152" s="4">
        <f>_xlfn.XLOOKUP(Table1[[#This Row], [WEAPON]],Sheet1!$A$27:$A$29,Sheet1!$B$27:$B$29)*Table1[[#This Row], [NUM OF MEM]]*(1+_xlfn.XLOOKUP(Table1[[#This Row], [WEAPON]],Sheet1!$A$27:$A$29,Sheet1!$C$27:$C$29))</f>
        <v>91000</v>
      </c>
      <c r="J2152" t="s">
        <v>60</v>
      </c>
      <c r="K2152" s="9">
        <f>Table1[[#This Row], [NUM OF MEM]]*Table1[[#This Row], [TOTAL TIME TAKEN]]*_xlfn.XLOOKUP(Table1[[#This Row], [EXIT]],Sheet1!$A$70:$A$71,Sheet1!$B$70:$B$71)*(1+_xlfn.XLOOKUP(Table1[[#This Row], [EXIT]],Sheet1!$A$70:$A$71,Sheet1!$C$70:$C$71))</f>
        <v>1729436.0249999997</v>
      </c>
      <c r="L2152" s="13" t="s">
        <v>65</v>
      </c>
      <c r="M2152" s="4">
        <f>IF(Table1[[#This Row], [EQUIPMENT]]="YES",Sheet1!$C$44*(1+Sheet1!$D$44),0)</f>
        <v>307500</v>
      </c>
      <c r="N2152" s="4">
        <f>_xlfn.XLOOKUP(Table1[[#This Row], [ROOM]],Sheet1!$A$47:$A$66,Sheet1!$F$47:$F$66)</f>
        <v>17400000</v>
      </c>
      <c r="O2152" s="9">
        <f>_xlfn.XLOOKUP(_xlfn.CONCAT(Table1[[#This Row], [TEAM]],Table1[[#This Row], [ROOM]]),'ROOM TIME'!$H$2:$H$121,'ROOM TIME'!$J$2:$J$121)</f>
        <v>61.059999999999988</v>
      </c>
      <c r="P2152" s="9">
        <f>(INDEX(Sheet1!$X$48:$Z$67,MATCH(Table1[[#This Row], [ROOM]],Sheet1!$P$48:$P$67,0),MATCH(Table1[[#This Row], [WEAPON]],Sheet1!$X$47:$Z$47,0)))/Table1[[#This Row], [NUM OF MEM]]</f>
        <v>6.3249999999999993</v>
      </c>
      <c r="Q2152" s="9">
        <f>Table1[[#This Row], [ROOM TIME]]+Table1[[#This Row], [GUARD TIME]]</f>
        <v>67.384999999999991</v>
      </c>
      <c r="R2152" s="4">
        <f>Sheet1!$K$3*_xlfn.XLOOKUP(Table1[[#This Row], [DISGUISE]],Sheet1!$A$21:$A$23,Sheet1!$D$21:$D$23)</f>
        <v>66</v>
      </c>
      <c r="S2152" s="9">
        <f>Table1[[#This Row], [TOTAL TIME]]-Table1[[#This Row], [TOTAL TIME TAKEN]]</f>
        <v>-1.3849999999999909</v>
      </c>
      <c r="T2152" t="str">
        <f>IF(Table1[[#This Row], [TIME DIFFERENCE]]&gt;=0,"PASS","FAIL")</f>
        <v>FAIL</v>
      </c>
      <c r="U2152" s="9">
        <f>Table1[[#This Row], [TRC]]+Table1[[#This Row], [DRC]]+Table1[[#This Row], [WRC]]+Table1[[#This Row], [ERC]]+Table1[[#This Row], [EQRC]]</f>
        <v>8221136.0249999994</v>
      </c>
      <c r="V2152" s="9">
        <f>Table1[[#This Row], [TOTAL COST]]+_xlfn.XLOOKUP(Table1[[#This Row], [TEAM]],Sheet1!$A$12:$A$17,Sheet1!$I$12:$I$17)</f>
        <v>8525276.0249999985</v>
      </c>
      <c r="W2152" s="9">
        <f>Table1[[#This Row], [LOOT]]-Table1[[#This Row], [TOTAL COST]]</f>
        <v>9178863.9750000015</v>
      </c>
      <c r="X2152" s="4">
        <f>IF(Table1[[#This Row], [PASS/FAIL]]="FAIL",0,Table1[[#This Row], [PROFIT]])</f>
        <v>0</v>
      </c>
    </row>
    <row r="2153" spans="1:24" ht="19.5" customHeight="1" x14ac:dyDescent="0.45">
      <c r="A2153" t="s">
        <v>16</v>
      </c>
      <c r="B2153" s="14">
        <f>_xlfn.XLOOKUP(Table1[[#This Row], [TEAM]],Sheet1!$A$12:$A$17,Sheet1!$F$12:$F$17)</f>
        <v>2</v>
      </c>
      <c r="C2153" s="14">
        <f>_xlfn.XLOOKUP(Table1[[#This Row], [TEAM]],Sheet1!$A$12:$A$17,Sheet1!$G$12:$G$17)</f>
        <v>6082800</v>
      </c>
      <c r="D2153" t="s">
        <v>23</v>
      </c>
      <c r="E2153" s="4">
        <f>_xlfn.XLOOKUP(Table1[[#This Row], [ROOM]],Sheet1!$A$47:$A$66,Sheet1!$B$47:$B$66)</f>
        <v>245</v>
      </c>
      <c r="F2153" t="s">
        <v>62</v>
      </c>
      <c r="G2153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3" s="13" t="s">
        <v>63</v>
      </c>
      <c r="I2153" s="4">
        <f>_xlfn.XLOOKUP(Table1[[#This Row], [WEAPON]],Sheet1!$A$27:$A$29,Sheet1!$B$27:$B$29)*Table1[[#This Row], [NUM OF MEM]]*(1+_xlfn.XLOOKUP(Table1[[#This Row], [WEAPON]],Sheet1!$A$27:$A$29,Sheet1!$C$27:$C$29))</f>
        <v>46000</v>
      </c>
      <c r="J2153" t="s">
        <v>60</v>
      </c>
      <c r="K2153" s="9">
        <f>Table1[[#This Row], [NUM OF MEM]]*Table1[[#This Row], [TOTAL TIME TAKEN]]*_xlfn.XLOOKUP(Table1[[#This Row], [EXIT]],Sheet1!$A$70:$A$71,Sheet1!$B$70:$B$71)*(1+_xlfn.XLOOKUP(Table1[[#This Row], [EXIT]],Sheet1!$A$70:$A$71,Sheet1!$C$70:$C$71))</f>
        <v>1757667.5249999997</v>
      </c>
      <c r="L2153" s="13" t="s">
        <v>61</v>
      </c>
      <c r="M2153" s="4">
        <f>IF(Table1[[#This Row], [EQUIPMENT]]="YES",Sheet1!$C$44*(1+Sheet1!$D$44),0)</f>
        <v>0</v>
      </c>
      <c r="N2153" s="4">
        <f>_xlfn.XLOOKUP(Table1[[#This Row], [ROOM]],Sheet1!$A$47:$A$66,Sheet1!$F$47:$F$66)</f>
        <v>17400000</v>
      </c>
      <c r="O2153" s="9">
        <f>_xlfn.XLOOKUP(_xlfn.CONCAT(Table1[[#This Row], [TEAM]],Table1[[#This Row], [ROOM]]),'ROOM TIME'!$H$2:$H$121,'ROOM TIME'!$J$2:$J$121)</f>
        <v>61.059999999999988</v>
      </c>
      <c r="P2153" s="9">
        <f>(INDEX(Sheet1!$X$48:$Z$67,MATCH(Table1[[#This Row], [ROOM]],Sheet1!$P$48:$P$67,0),MATCH(Table1[[#This Row], [WEAPON]],Sheet1!$X$47:$Z$47,0)))/Table1[[#This Row], [NUM OF MEM]]</f>
        <v>7.4250000000000007</v>
      </c>
      <c r="Q2153" s="9">
        <f>Table1[[#This Row], [ROOM TIME]]+Table1[[#This Row], [GUARD TIME]]</f>
        <v>68.484999999999985</v>
      </c>
      <c r="R2153" s="4">
        <f>Sheet1!$K$3*_xlfn.XLOOKUP(Table1[[#This Row], [DISGUISE]],Sheet1!$A$21:$A$23,Sheet1!$D$21:$D$23)</f>
        <v>66</v>
      </c>
      <c r="S2153" s="9">
        <f>Table1[[#This Row], [TOTAL TIME]]-Table1[[#This Row], [TOTAL TIME TAKEN]]</f>
        <v>-2.4849999999999852</v>
      </c>
      <c r="T2153" t="str">
        <f>IF(Table1[[#This Row], [TIME DIFFERENCE]]&gt;=0,"PASS","FAIL")</f>
        <v>FAIL</v>
      </c>
      <c r="U2153" s="9">
        <f>Table1[[#This Row], [TRC]]+Table1[[#This Row], [DRC]]+Table1[[#This Row], [WRC]]+Table1[[#This Row], [ERC]]+Table1[[#This Row], [EQRC]]</f>
        <v>7896867.5249999994</v>
      </c>
      <c r="V2153" s="9">
        <f>Table1[[#This Row], [TOTAL COST]]+_xlfn.XLOOKUP(Table1[[#This Row], [TEAM]],Sheet1!$A$12:$A$17,Sheet1!$I$12:$I$17)</f>
        <v>8201007.5249999994</v>
      </c>
      <c r="W2153" s="9">
        <f>Table1[[#This Row], [LOOT]]-Table1[[#This Row], [TOTAL COST]]</f>
        <v>9503132.4750000015</v>
      </c>
      <c r="X2153" s="4">
        <f>IF(Table1[[#This Row], [PASS/FAIL]]="FAIL",0,Table1[[#This Row], [PROFIT]])</f>
        <v>0</v>
      </c>
    </row>
    <row r="2154" spans="1:24" ht="19.5" customHeight="1" x14ac:dyDescent="0.45">
      <c r="A2154" t="s">
        <v>16</v>
      </c>
      <c r="B2154" s="14">
        <f>_xlfn.XLOOKUP(Table1[[#This Row], [TEAM]],Sheet1!$A$12:$A$17,Sheet1!$F$12:$F$17)</f>
        <v>2</v>
      </c>
      <c r="C2154" s="14">
        <f>_xlfn.XLOOKUP(Table1[[#This Row], [TEAM]],Sheet1!$A$12:$A$17,Sheet1!$G$12:$G$17)</f>
        <v>6082800</v>
      </c>
      <c r="D2154" t="s">
        <v>23</v>
      </c>
      <c r="E2154" s="4">
        <f>_xlfn.XLOOKUP(Table1[[#This Row], [ROOM]],Sheet1!$A$47:$A$66,Sheet1!$B$47:$B$66)</f>
        <v>245</v>
      </c>
      <c r="F2154" t="s">
        <v>62</v>
      </c>
      <c r="G2154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4" s="13" t="s">
        <v>59</v>
      </c>
      <c r="I2154" s="4">
        <f>_xlfn.XLOOKUP(Table1[[#This Row], [WEAPON]],Sheet1!$A$27:$A$29,Sheet1!$B$27:$B$29)*Table1[[#This Row], [NUM OF MEM]]*(1+_xlfn.XLOOKUP(Table1[[#This Row], [WEAPON]],Sheet1!$A$27:$A$29,Sheet1!$C$27:$C$29))</f>
        <v>91000</v>
      </c>
      <c r="J2154" t="s">
        <v>64</v>
      </c>
      <c r="K2154" s="9">
        <f>Table1[[#This Row], [NUM OF MEM]]*Table1[[#This Row], [TOTAL TIME TAKEN]]*_xlfn.XLOOKUP(Table1[[#This Row], [EXIT]],Sheet1!$A$70:$A$71,Sheet1!$B$70:$B$71)*(1+_xlfn.XLOOKUP(Table1[[#This Row], [EXIT]],Sheet1!$A$70:$A$71,Sheet1!$C$70:$C$71))</f>
        <v>1746619.1999999997</v>
      </c>
      <c r="L2154" s="13" t="s">
        <v>65</v>
      </c>
      <c r="M2154" s="4">
        <f>IF(Table1[[#This Row], [EQUIPMENT]]="YES",Sheet1!$C$44*(1+Sheet1!$D$44),0)</f>
        <v>307500</v>
      </c>
      <c r="N2154" s="4">
        <f>_xlfn.XLOOKUP(Table1[[#This Row], [ROOM]],Sheet1!$A$47:$A$66,Sheet1!$F$47:$F$66)</f>
        <v>17400000</v>
      </c>
      <c r="O2154" s="9">
        <f>_xlfn.XLOOKUP(_xlfn.CONCAT(Table1[[#This Row], [TEAM]],Table1[[#This Row], [ROOM]]),'ROOM TIME'!$H$2:$H$121,'ROOM TIME'!$J$2:$J$121)</f>
        <v>61.059999999999988</v>
      </c>
      <c r="P2154" s="9">
        <f>(INDEX(Sheet1!$X$48:$Z$67,MATCH(Table1[[#This Row], [ROOM]],Sheet1!$P$48:$P$67,0),MATCH(Table1[[#This Row], [WEAPON]],Sheet1!$X$47:$Z$47,0)))/Table1[[#This Row], [NUM OF MEM]]</f>
        <v>6.3249999999999993</v>
      </c>
      <c r="Q2154" s="9">
        <f>Table1[[#This Row], [ROOM TIME]]+Table1[[#This Row], [GUARD TIME]]</f>
        <v>67.384999999999991</v>
      </c>
      <c r="R2154" s="4">
        <f>Sheet1!$K$3*_xlfn.XLOOKUP(Table1[[#This Row], [DISGUISE]],Sheet1!$A$21:$A$23,Sheet1!$D$21:$D$23)</f>
        <v>66</v>
      </c>
      <c r="S2154" s="9">
        <f>Table1[[#This Row], [TOTAL TIME]]-Table1[[#This Row], [TOTAL TIME TAKEN]]</f>
        <v>-1.3849999999999909</v>
      </c>
      <c r="T2154" t="str">
        <f>IF(Table1[[#This Row], [TIME DIFFERENCE]]&gt;=0,"PASS","FAIL")</f>
        <v>FAIL</v>
      </c>
      <c r="U2154" s="9">
        <f>Table1[[#This Row], [TRC]]+Table1[[#This Row], [DRC]]+Table1[[#This Row], [WRC]]+Table1[[#This Row], [ERC]]+Table1[[#This Row], [EQRC]]</f>
        <v>8238319.1999999993</v>
      </c>
      <c r="V2154" s="9">
        <f>Table1[[#This Row], [TOTAL COST]]+_xlfn.XLOOKUP(Table1[[#This Row], [TEAM]],Sheet1!$A$12:$A$17,Sheet1!$I$12:$I$17)</f>
        <v>8542459.1999999993</v>
      </c>
      <c r="W2154" s="9">
        <f>Table1[[#This Row], [LOOT]]-Table1[[#This Row], [TOTAL COST]]</f>
        <v>9161680.8000000007</v>
      </c>
      <c r="X2154" s="4">
        <f>IF(Table1[[#This Row], [PASS/FAIL]]="FAIL",0,Table1[[#This Row], [PROFIT]])</f>
        <v>0</v>
      </c>
    </row>
    <row r="2155" spans="1:24" ht="19.5" customHeight="1" x14ac:dyDescent="0.45">
      <c r="A2155" t="s">
        <v>16</v>
      </c>
      <c r="B2155" s="14">
        <f>_xlfn.XLOOKUP(Table1[[#This Row], [TEAM]],Sheet1!$A$12:$A$17,Sheet1!$F$12:$F$17)</f>
        <v>2</v>
      </c>
      <c r="C2155" s="14">
        <f>_xlfn.XLOOKUP(Table1[[#This Row], [TEAM]],Sheet1!$A$12:$A$17,Sheet1!$G$12:$G$17)</f>
        <v>6082800</v>
      </c>
      <c r="D2155" t="s">
        <v>23</v>
      </c>
      <c r="E2155" s="4">
        <f>_xlfn.XLOOKUP(Table1[[#This Row], [ROOM]],Sheet1!$A$47:$A$66,Sheet1!$B$47:$B$66)</f>
        <v>245</v>
      </c>
      <c r="F2155" t="s">
        <v>62</v>
      </c>
      <c r="G2155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5" s="13" t="s">
        <v>63</v>
      </c>
      <c r="I2155" s="4">
        <f>_xlfn.XLOOKUP(Table1[[#This Row], [WEAPON]],Sheet1!$A$27:$A$29,Sheet1!$B$27:$B$29)*Table1[[#This Row], [NUM OF MEM]]*(1+_xlfn.XLOOKUP(Table1[[#This Row], [WEAPON]],Sheet1!$A$27:$A$29,Sheet1!$C$27:$C$29))</f>
        <v>46000</v>
      </c>
      <c r="J2155" t="s">
        <v>64</v>
      </c>
      <c r="K2155" s="9">
        <f>Table1[[#This Row], [NUM OF MEM]]*Table1[[#This Row], [TOTAL TIME TAKEN]]*_xlfn.XLOOKUP(Table1[[#This Row], [EXIT]],Sheet1!$A$70:$A$71,Sheet1!$B$70:$B$71)*(1+_xlfn.XLOOKUP(Table1[[#This Row], [EXIT]],Sheet1!$A$70:$A$71,Sheet1!$C$70:$C$71))</f>
        <v>1775131.1999999997</v>
      </c>
      <c r="L2155" s="13" t="s">
        <v>61</v>
      </c>
      <c r="M2155" s="4">
        <f>IF(Table1[[#This Row], [EQUIPMENT]]="YES",Sheet1!$C$44*(1+Sheet1!$D$44),0)</f>
        <v>0</v>
      </c>
      <c r="N2155" s="4">
        <f>_xlfn.XLOOKUP(Table1[[#This Row], [ROOM]],Sheet1!$A$47:$A$66,Sheet1!$F$47:$F$66)</f>
        <v>17400000</v>
      </c>
      <c r="O2155" s="9">
        <f>_xlfn.XLOOKUP(_xlfn.CONCAT(Table1[[#This Row], [TEAM]],Table1[[#This Row], [ROOM]]),'ROOM TIME'!$H$2:$H$121,'ROOM TIME'!$J$2:$J$121)</f>
        <v>61.059999999999988</v>
      </c>
      <c r="P2155" s="9">
        <f>(INDEX(Sheet1!$X$48:$Z$67,MATCH(Table1[[#This Row], [ROOM]],Sheet1!$P$48:$P$67,0),MATCH(Table1[[#This Row], [WEAPON]],Sheet1!$X$47:$Z$47,0)))/Table1[[#This Row], [NUM OF MEM]]</f>
        <v>7.4250000000000007</v>
      </c>
      <c r="Q2155" s="9">
        <f>Table1[[#This Row], [ROOM TIME]]+Table1[[#This Row], [GUARD TIME]]</f>
        <v>68.484999999999985</v>
      </c>
      <c r="R2155" s="4">
        <f>Sheet1!$K$3*_xlfn.XLOOKUP(Table1[[#This Row], [DISGUISE]],Sheet1!$A$21:$A$23,Sheet1!$D$21:$D$23)</f>
        <v>66</v>
      </c>
      <c r="S2155" s="9">
        <f>Table1[[#This Row], [TOTAL TIME]]-Table1[[#This Row], [TOTAL TIME TAKEN]]</f>
        <v>-2.4849999999999852</v>
      </c>
      <c r="T2155" t="str">
        <f>IF(Table1[[#This Row], [TIME DIFFERENCE]]&gt;=0,"PASS","FAIL")</f>
        <v>FAIL</v>
      </c>
      <c r="U2155" s="9">
        <f>Table1[[#This Row], [TRC]]+Table1[[#This Row], [DRC]]+Table1[[#This Row], [WRC]]+Table1[[#This Row], [ERC]]+Table1[[#This Row], [EQRC]]</f>
        <v>7914331.1999999993</v>
      </c>
      <c r="V2155" s="9">
        <f>Table1[[#This Row], [TOTAL COST]]+_xlfn.XLOOKUP(Table1[[#This Row], [TEAM]],Sheet1!$A$12:$A$17,Sheet1!$I$12:$I$17)</f>
        <v>8218471.1999999993</v>
      </c>
      <c r="W2155" s="9">
        <f>Table1[[#This Row], [LOOT]]-Table1[[#This Row], [TOTAL COST]]</f>
        <v>9485668.8000000007</v>
      </c>
      <c r="X2155" s="4">
        <f>IF(Table1[[#This Row], [PASS/FAIL]]="FAIL",0,Table1[[#This Row], [PROFIT]])</f>
        <v>0</v>
      </c>
    </row>
    <row r="2156" spans="1:24" ht="19.5" customHeight="1" x14ac:dyDescent="0.45">
      <c r="A2156" t="s">
        <v>16</v>
      </c>
      <c r="B2156" s="14">
        <f>_xlfn.XLOOKUP(Table1[[#This Row], [TEAM]],Sheet1!$A$12:$A$17,Sheet1!$F$12:$F$17)</f>
        <v>2</v>
      </c>
      <c r="C2156" s="14">
        <f>_xlfn.XLOOKUP(Table1[[#This Row], [TEAM]],Sheet1!$A$12:$A$17,Sheet1!$G$12:$G$17)</f>
        <v>6082800</v>
      </c>
      <c r="D2156" t="s">
        <v>23</v>
      </c>
      <c r="E2156" s="4">
        <f>_xlfn.XLOOKUP(Table1[[#This Row], [ROOM]],Sheet1!$A$47:$A$66,Sheet1!$B$47:$B$66)</f>
        <v>245</v>
      </c>
      <c r="F2156" t="s">
        <v>62</v>
      </c>
      <c r="G2156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6" s="13" t="s">
        <v>63</v>
      </c>
      <c r="I2156" s="4">
        <f>_xlfn.XLOOKUP(Table1[[#This Row], [WEAPON]],Sheet1!$A$27:$A$29,Sheet1!$B$27:$B$29)*Table1[[#This Row], [NUM OF MEM]]*(1+_xlfn.XLOOKUP(Table1[[#This Row], [WEAPON]],Sheet1!$A$27:$A$29,Sheet1!$C$27:$C$29))</f>
        <v>46000</v>
      </c>
      <c r="J2156" t="s">
        <v>60</v>
      </c>
      <c r="K2156" s="9">
        <f>Table1[[#This Row], [NUM OF MEM]]*Table1[[#This Row], [TOTAL TIME TAKEN]]*_xlfn.XLOOKUP(Table1[[#This Row], [EXIT]],Sheet1!$A$70:$A$71,Sheet1!$B$70:$B$71)*(1+_xlfn.XLOOKUP(Table1[[#This Row], [EXIT]],Sheet1!$A$70:$A$71,Sheet1!$C$70:$C$71))</f>
        <v>1757667.5249999997</v>
      </c>
      <c r="L2156" s="13" t="s">
        <v>65</v>
      </c>
      <c r="M2156" s="4">
        <f>IF(Table1[[#This Row], [EQUIPMENT]]="YES",Sheet1!$C$44*(1+Sheet1!$D$44),0)</f>
        <v>307500</v>
      </c>
      <c r="N2156" s="4">
        <f>_xlfn.XLOOKUP(Table1[[#This Row], [ROOM]],Sheet1!$A$47:$A$66,Sheet1!$F$47:$F$66)</f>
        <v>17400000</v>
      </c>
      <c r="O2156" s="9">
        <f>_xlfn.XLOOKUP(_xlfn.CONCAT(Table1[[#This Row], [TEAM]],Table1[[#This Row], [ROOM]]),'ROOM TIME'!$H$2:$H$121,'ROOM TIME'!$J$2:$J$121)</f>
        <v>61.059999999999988</v>
      </c>
      <c r="P2156" s="9">
        <f>(INDEX(Sheet1!$X$48:$Z$67,MATCH(Table1[[#This Row], [ROOM]],Sheet1!$P$48:$P$67,0),MATCH(Table1[[#This Row], [WEAPON]],Sheet1!$X$47:$Z$47,0)))/Table1[[#This Row], [NUM OF MEM]]</f>
        <v>7.4250000000000007</v>
      </c>
      <c r="Q2156" s="9">
        <f>Table1[[#This Row], [ROOM TIME]]+Table1[[#This Row], [GUARD TIME]]</f>
        <v>68.484999999999985</v>
      </c>
      <c r="R2156" s="4">
        <f>Sheet1!$K$3*_xlfn.XLOOKUP(Table1[[#This Row], [DISGUISE]],Sheet1!$A$21:$A$23,Sheet1!$D$21:$D$23)</f>
        <v>66</v>
      </c>
      <c r="S2156" s="9">
        <f>Table1[[#This Row], [TOTAL TIME]]-Table1[[#This Row], [TOTAL TIME TAKEN]]</f>
        <v>-2.4849999999999852</v>
      </c>
      <c r="T2156" t="str">
        <f>IF(Table1[[#This Row], [TIME DIFFERENCE]]&gt;=0,"PASS","FAIL")</f>
        <v>FAIL</v>
      </c>
      <c r="U2156" s="9">
        <f>Table1[[#This Row], [TRC]]+Table1[[#This Row], [DRC]]+Table1[[#This Row], [WRC]]+Table1[[#This Row], [ERC]]+Table1[[#This Row], [EQRC]]</f>
        <v>8204367.5249999994</v>
      </c>
      <c r="V2156" s="9">
        <f>Table1[[#This Row], [TOTAL COST]]+_xlfn.XLOOKUP(Table1[[#This Row], [TEAM]],Sheet1!$A$12:$A$17,Sheet1!$I$12:$I$17)</f>
        <v>8508507.5249999985</v>
      </c>
      <c r="W2156" s="9">
        <f>Table1[[#This Row], [LOOT]]-Table1[[#This Row], [TOTAL COST]]</f>
        <v>9195632.4750000015</v>
      </c>
      <c r="X2156" s="4">
        <f>IF(Table1[[#This Row], [PASS/FAIL]]="FAIL",0,Table1[[#This Row], [PROFIT]])</f>
        <v>0</v>
      </c>
    </row>
    <row r="2157" spans="1:24" ht="19.5" customHeight="1" x14ac:dyDescent="0.45">
      <c r="A2157" t="s">
        <v>16</v>
      </c>
      <c r="B2157" s="14">
        <f>_xlfn.XLOOKUP(Table1[[#This Row], [TEAM]],Sheet1!$A$12:$A$17,Sheet1!$F$12:$F$17)</f>
        <v>2</v>
      </c>
      <c r="C2157" s="14">
        <f>_xlfn.XLOOKUP(Table1[[#This Row], [TEAM]],Sheet1!$A$12:$A$17,Sheet1!$G$12:$G$17)</f>
        <v>6082800</v>
      </c>
      <c r="D2157" t="s">
        <v>23</v>
      </c>
      <c r="E2157" s="4">
        <f>_xlfn.XLOOKUP(Table1[[#This Row], [ROOM]],Sheet1!$A$47:$A$66,Sheet1!$B$47:$B$66)</f>
        <v>245</v>
      </c>
      <c r="F2157" t="s">
        <v>62</v>
      </c>
      <c r="G2157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7" s="13" t="s">
        <v>63</v>
      </c>
      <c r="I2157" s="4">
        <f>_xlfn.XLOOKUP(Table1[[#This Row], [WEAPON]],Sheet1!$A$27:$A$29,Sheet1!$B$27:$B$29)*Table1[[#This Row], [NUM OF MEM]]*(1+_xlfn.XLOOKUP(Table1[[#This Row], [WEAPON]],Sheet1!$A$27:$A$29,Sheet1!$C$27:$C$29))</f>
        <v>46000</v>
      </c>
      <c r="J2157" t="s">
        <v>64</v>
      </c>
      <c r="K2157" s="9">
        <f>Table1[[#This Row], [NUM OF MEM]]*Table1[[#This Row], [TOTAL TIME TAKEN]]*_xlfn.XLOOKUP(Table1[[#This Row], [EXIT]],Sheet1!$A$70:$A$71,Sheet1!$B$70:$B$71)*(1+_xlfn.XLOOKUP(Table1[[#This Row], [EXIT]],Sheet1!$A$70:$A$71,Sheet1!$C$70:$C$71))</f>
        <v>1775131.1999999997</v>
      </c>
      <c r="L2157" s="13" t="s">
        <v>65</v>
      </c>
      <c r="M2157" s="4">
        <f>IF(Table1[[#This Row], [EQUIPMENT]]="YES",Sheet1!$C$44*(1+Sheet1!$D$44),0)</f>
        <v>307500</v>
      </c>
      <c r="N2157" s="4">
        <f>_xlfn.XLOOKUP(Table1[[#This Row], [ROOM]],Sheet1!$A$47:$A$66,Sheet1!$F$47:$F$66)</f>
        <v>17400000</v>
      </c>
      <c r="O2157" s="9">
        <f>_xlfn.XLOOKUP(_xlfn.CONCAT(Table1[[#This Row], [TEAM]],Table1[[#This Row], [ROOM]]),'ROOM TIME'!$H$2:$H$121,'ROOM TIME'!$J$2:$J$121)</f>
        <v>61.059999999999988</v>
      </c>
      <c r="P2157" s="9">
        <f>(INDEX(Sheet1!$X$48:$Z$67,MATCH(Table1[[#This Row], [ROOM]],Sheet1!$P$48:$P$67,0),MATCH(Table1[[#This Row], [WEAPON]],Sheet1!$X$47:$Z$47,0)))/Table1[[#This Row], [NUM OF MEM]]</f>
        <v>7.4250000000000007</v>
      </c>
      <c r="Q2157" s="9">
        <f>Table1[[#This Row], [ROOM TIME]]+Table1[[#This Row], [GUARD TIME]]</f>
        <v>68.484999999999985</v>
      </c>
      <c r="R2157" s="4">
        <f>Sheet1!$K$3*_xlfn.XLOOKUP(Table1[[#This Row], [DISGUISE]],Sheet1!$A$21:$A$23,Sheet1!$D$21:$D$23)</f>
        <v>66</v>
      </c>
      <c r="S2157" s="9">
        <f>Table1[[#This Row], [TOTAL TIME]]-Table1[[#This Row], [TOTAL TIME TAKEN]]</f>
        <v>-2.4849999999999852</v>
      </c>
      <c r="T2157" t="str">
        <f>IF(Table1[[#This Row], [TIME DIFFERENCE]]&gt;=0,"PASS","FAIL")</f>
        <v>FAIL</v>
      </c>
      <c r="U2157" s="9">
        <f>Table1[[#This Row], [TRC]]+Table1[[#This Row], [DRC]]+Table1[[#This Row], [WRC]]+Table1[[#This Row], [ERC]]+Table1[[#This Row], [EQRC]]</f>
        <v>8221831.1999999993</v>
      </c>
      <c r="V2157" s="9">
        <f>Table1[[#This Row], [TOTAL COST]]+_xlfn.XLOOKUP(Table1[[#This Row], [TEAM]],Sheet1!$A$12:$A$17,Sheet1!$I$12:$I$17)</f>
        <v>8525971.1999999993</v>
      </c>
      <c r="W2157" s="9">
        <f>Table1[[#This Row], [LOOT]]-Table1[[#This Row], [TOTAL COST]]</f>
        <v>9178168.8000000007</v>
      </c>
      <c r="X2157" s="4">
        <f>IF(Table1[[#This Row], [PASS/FAIL]]="FAIL",0,Table1[[#This Row], [PROFIT]])</f>
        <v>0</v>
      </c>
    </row>
    <row r="2158" spans="1:24" ht="19.5" customHeight="1" x14ac:dyDescent="0.45">
      <c r="A2158" t="s">
        <v>16</v>
      </c>
      <c r="B2158" s="14">
        <f>_xlfn.XLOOKUP(Table1[[#This Row], [TEAM]],Sheet1!$A$12:$A$17,Sheet1!$F$12:$F$17)</f>
        <v>2</v>
      </c>
      <c r="C2158" s="14">
        <f>_xlfn.XLOOKUP(Table1[[#This Row], [TEAM]],Sheet1!$A$12:$A$17,Sheet1!$G$12:$G$17)</f>
        <v>6082800</v>
      </c>
      <c r="D2158" t="s">
        <v>23</v>
      </c>
      <c r="E2158" s="4">
        <f>_xlfn.XLOOKUP(Table1[[#This Row], [ROOM]],Sheet1!$A$47:$A$66,Sheet1!$B$47:$B$66)</f>
        <v>245</v>
      </c>
      <c r="F2158" t="s">
        <v>62</v>
      </c>
      <c r="G2158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8" s="13" t="s">
        <v>66</v>
      </c>
      <c r="I2158" s="4">
        <f>_xlfn.XLOOKUP(Table1[[#This Row], [WEAPON]],Sheet1!$A$27:$A$29,Sheet1!$B$27:$B$29)*Table1[[#This Row], [NUM OF MEM]]*(1+_xlfn.XLOOKUP(Table1[[#This Row], [WEAPON]],Sheet1!$A$27:$A$29,Sheet1!$C$27:$C$29))</f>
        <v>72000</v>
      </c>
      <c r="J2158" t="s">
        <v>60</v>
      </c>
      <c r="K2158" s="9">
        <f>Table1[[#This Row], [NUM OF MEM]]*Table1[[#This Row], [TOTAL TIME TAKEN]]*_xlfn.XLOOKUP(Table1[[#This Row], [EXIT]],Sheet1!$A$70:$A$71,Sheet1!$B$70:$B$71)*(1+_xlfn.XLOOKUP(Table1[[#This Row], [EXIT]],Sheet1!$A$70:$A$71,Sheet1!$C$70:$C$71))</f>
        <v>1743551.7749999997</v>
      </c>
      <c r="L2158" s="13" t="s">
        <v>61</v>
      </c>
      <c r="M2158" s="4">
        <f>IF(Table1[[#This Row], [EQUIPMENT]]="YES",Sheet1!$C$44*(1+Sheet1!$D$44),0)</f>
        <v>0</v>
      </c>
      <c r="N2158" s="4">
        <f>_xlfn.XLOOKUP(Table1[[#This Row], [ROOM]],Sheet1!$A$47:$A$66,Sheet1!$F$47:$F$66)</f>
        <v>17400000</v>
      </c>
      <c r="O2158" s="9">
        <f>_xlfn.XLOOKUP(_xlfn.CONCAT(Table1[[#This Row], [TEAM]],Table1[[#This Row], [ROOM]]),'ROOM TIME'!$H$2:$H$121,'ROOM TIME'!$J$2:$J$121)</f>
        <v>61.059999999999988</v>
      </c>
      <c r="P2158" s="9">
        <f>(INDEX(Sheet1!$X$48:$Z$67,MATCH(Table1[[#This Row], [ROOM]],Sheet1!$P$48:$P$67,0),MATCH(Table1[[#This Row], [WEAPON]],Sheet1!$X$47:$Z$47,0)))/Table1[[#This Row], [NUM OF MEM]]</f>
        <v>6.875</v>
      </c>
      <c r="Q2158" s="9">
        <f>Table1[[#This Row], [ROOM TIME]]+Table1[[#This Row], [GUARD TIME]]</f>
        <v>67.934999999999988</v>
      </c>
      <c r="R2158" s="4">
        <f>Sheet1!$K$3*_xlfn.XLOOKUP(Table1[[#This Row], [DISGUISE]],Sheet1!$A$21:$A$23,Sheet1!$D$21:$D$23)</f>
        <v>66</v>
      </c>
      <c r="S2158" s="9">
        <f>Table1[[#This Row], [TOTAL TIME]]-Table1[[#This Row], [TOTAL TIME TAKEN]]</f>
        <v>-1.9349999999999881</v>
      </c>
      <c r="T2158" t="str">
        <f>IF(Table1[[#This Row], [TIME DIFFERENCE]]&gt;=0,"PASS","FAIL")</f>
        <v>FAIL</v>
      </c>
      <c r="U2158" s="9">
        <f>Table1[[#This Row], [TRC]]+Table1[[#This Row], [DRC]]+Table1[[#This Row], [WRC]]+Table1[[#This Row], [ERC]]+Table1[[#This Row], [EQRC]]</f>
        <v>7908751.7749999994</v>
      </c>
      <c r="V2158" s="9">
        <f>Table1[[#This Row], [TOTAL COST]]+_xlfn.XLOOKUP(Table1[[#This Row], [TEAM]],Sheet1!$A$12:$A$17,Sheet1!$I$12:$I$17)</f>
        <v>8212891.7749999994</v>
      </c>
      <c r="W2158" s="9">
        <f>Table1[[#This Row], [LOOT]]-Table1[[#This Row], [TOTAL COST]]</f>
        <v>9491248.2250000015</v>
      </c>
      <c r="X2158" s="4">
        <f>IF(Table1[[#This Row], [PASS/FAIL]]="FAIL",0,Table1[[#This Row], [PROFIT]])</f>
        <v>0</v>
      </c>
    </row>
    <row r="2159" spans="1:24" ht="19.5" customHeight="1" x14ac:dyDescent="0.45">
      <c r="A2159" t="s">
        <v>16</v>
      </c>
      <c r="B2159" s="14">
        <f>_xlfn.XLOOKUP(Table1[[#This Row], [TEAM]],Sheet1!$A$12:$A$17,Sheet1!$F$12:$F$17)</f>
        <v>2</v>
      </c>
      <c r="C2159" s="14">
        <f>_xlfn.XLOOKUP(Table1[[#This Row], [TEAM]],Sheet1!$A$12:$A$17,Sheet1!$G$12:$G$17)</f>
        <v>6082800</v>
      </c>
      <c r="D2159" t="s">
        <v>23</v>
      </c>
      <c r="E2159" s="4">
        <f>_xlfn.XLOOKUP(Table1[[#This Row], [ROOM]],Sheet1!$A$47:$A$66,Sheet1!$B$47:$B$66)</f>
        <v>245</v>
      </c>
      <c r="F2159" t="s">
        <v>62</v>
      </c>
      <c r="G2159" s="4">
        <f>_xlfn.XLOOKUP(Table1[[#This Row], [DISGUISE]],Sheet1!$A$21:$A$23,Sheet1!$B$21:$B$23)*Table1[[#This Row], [NUM OF MEM]]*(1+_xlfn.XLOOKUP(Table1[[#This Row], [DISGUISE]],Sheet1!$A$21:$A$23,Sheet1!$C$21:$C$23))</f>
        <v>10400</v>
      </c>
      <c r="H2159" s="13" t="s">
        <v>66</v>
      </c>
      <c r="I2159" s="4">
        <f>_xlfn.XLOOKUP(Table1[[#This Row], [WEAPON]],Sheet1!$A$27:$A$29,Sheet1!$B$27:$B$29)*Table1[[#This Row], [NUM OF MEM]]*(1+_xlfn.XLOOKUP(Table1[[#This Row], [WEAPON]],Sheet1!$A$27:$A$29,Sheet1!$C$27:$C$29))</f>
        <v>72000</v>
      </c>
      <c r="J2159" t="s">
        <v>64</v>
      </c>
      <c r="K2159" s="9">
        <f>Table1[[#This Row], [NUM OF MEM]]*Table1[[#This Row], [TOTAL TIME TAKEN]]*_xlfn.XLOOKUP(Table1[[#This Row], [EXIT]],Sheet1!$A$70:$A$71,Sheet1!$B$70:$B$71)*(1+_xlfn.XLOOKUP(Table1[[#This Row], [EXIT]],Sheet1!$A$70:$A$71,Sheet1!$C$70:$C$71))</f>
        <v>1760875.1999999997</v>
      </c>
      <c r="L2159" s="13" t="s">
        <v>61</v>
      </c>
      <c r="M2159" s="4">
        <f>IF(Table1[[#This Row], [EQUIPMENT]]="YES",Sheet1!$C$44*(1+Sheet1!$D$44),0)</f>
        <v>0</v>
      </c>
      <c r="N2159" s="4">
        <f>_xlfn.XLOOKUP(Table1[[#This Row], [ROOM]],Sheet1!$A$47:$A$66,Sheet1!$F$47:$F$66)</f>
        <v>17400000</v>
      </c>
      <c r="O2159" s="9">
        <f>_xlfn.XLOOKUP(_xlfn.CONCAT(Table1[[#This Row], [TEAM]],Table1[[#This Row], [ROOM]]),'ROOM TIME'!$H$2:$H$121,'ROOM TIME'!$J$2:$J$121)</f>
        <v>61.059999999999988</v>
      </c>
      <c r="P2159" s="9">
        <f>(INDEX(Sheet1!$X$48:$Z$67,MATCH(Table1[[#This Row], [ROOM]],Sheet1!$P$48:$P$67,0),MATCH(Table1[[#This Row], [WEAPON]],Sheet1!$X$47:$Z$47,0)))/Table1[[#This Row], [NUM OF MEM]]</f>
        <v>6.875</v>
      </c>
      <c r="Q2159" s="9">
        <f>Table1[[#This Row], [ROOM TIME]]+Table1[[#This Row], [GUARD TIME]]</f>
        <v>67.934999999999988</v>
      </c>
      <c r="R2159" s="4">
        <f>Sheet1!$K$3*_xlfn.XLOOKUP(Table1[[#This Row], [DISGUISE]],Sheet1!$A$21:$A$23,Sheet1!$D$21:$D$23)</f>
        <v>66</v>
      </c>
      <c r="S2159" s="9">
        <f>Table1[[#This Row], [TOTAL TIME]]-Table1[[#This Row], [TOTAL TIME TAKEN]]</f>
        <v>-1.9349999999999881</v>
      </c>
      <c r="T2159" t="str">
        <f>IF(Table1[[#This Row], [TIME DIFFERENCE]]&gt;=0,"PASS","FAIL")</f>
        <v>FAIL</v>
      </c>
      <c r="U2159" s="9">
        <f>Table1[[#This Row], [TRC]]+Table1[[#This Row], [DRC]]+Table1[[#This Row], [WRC]]+Table1[[#This Row], [ERC]]+Table1[[#This Row], [EQRC]]</f>
        <v>7926075.1999999993</v>
      </c>
      <c r="V2159" s="9">
        <f>Table1[[#This Row], [TOTAL COST]]+_xlfn.XLOOKUP(Table1[[#This Row], [TEAM]],Sheet1!$A$12:$A$17,Sheet1!$I$12:$I$17)</f>
        <v>8230215.1999999993</v>
      </c>
      <c r="W2159" s="9">
        <f>Table1[[#This Row], [LOOT]]-Table1[[#This Row], [TOTAL COST]]</f>
        <v>9473924.8000000007</v>
      </c>
      <c r="X2159" s="4">
        <f>IF(Table1[[#This Row], [PASS/FAIL]]="FAIL",0,Table1[[#This Row], [PROFIT]])</f>
        <v>0</v>
      </c>
    </row>
    <row r="2160" spans="1:24" ht="19.5" customHeight="1" x14ac:dyDescent="0.45">
      <c r="A2160" t="s">
        <v>16</v>
      </c>
      <c r="B2160" s="14">
        <f>_xlfn.XLOOKUP(Table1[[#This Row], [TEAM]],Sheet1!$A$12:$A$17,Sheet1!$F$12:$F$17)</f>
        <v>2</v>
      </c>
      <c r="C2160" s="14">
        <f>_xlfn.XLOOKUP(Table1[[#This Row], [TEAM]],Sheet1!$A$12:$A$17,Sheet1!$G$12:$G$17)</f>
        <v>6082800</v>
      </c>
      <c r="D2160" t="s">
        <v>23</v>
      </c>
      <c r="E2160" s="4">
        <f>_xlfn.XLOOKUP(Table1[[#This Row], [ROOM]],Sheet1!$A$47:$A$66,Sheet1!$B$47:$B$66)</f>
        <v>245</v>
      </c>
      <c r="F2160" t="s">
        <v>62</v>
      </c>
      <c r="G2160" s="4">
        <f>_xlfn.XLOOKUP(Table1[[#This Row], [DISGUISE]],Sheet1!$A$21:$A$23,Sheet1!$B$21:$B$23)*Table1[[#This Row], [NUM OF MEM]]*(1+_xlfn.XLOOKUP(Table1[[#This Row], [DISGUISE]],Sheet1!$A$21:$A$23,Sheet1!$C$21:$C$23))</f>
        <v>10400</v>
      </c>
      <c r="H2160" s="13" t="s">
        <v>66</v>
      </c>
      <c r="I2160" s="4">
        <f>_xlfn.XLOOKUP(Table1[[#This Row], [WEAPON]],Sheet1!$A$27:$A$29,Sheet1!$B$27:$B$29)*Table1[[#This Row], [NUM OF MEM]]*(1+_xlfn.XLOOKUP(Table1[[#This Row], [WEAPON]],Sheet1!$A$27:$A$29,Sheet1!$C$27:$C$29))</f>
        <v>72000</v>
      </c>
      <c r="J2160" t="s">
        <v>60</v>
      </c>
      <c r="K2160" s="9">
        <f>Table1[[#This Row], [NUM OF MEM]]*Table1[[#This Row], [TOTAL TIME TAKEN]]*_xlfn.XLOOKUP(Table1[[#This Row], [EXIT]],Sheet1!$A$70:$A$71,Sheet1!$B$70:$B$71)*(1+_xlfn.XLOOKUP(Table1[[#This Row], [EXIT]],Sheet1!$A$70:$A$71,Sheet1!$C$70:$C$71))</f>
        <v>1743551.7749999997</v>
      </c>
      <c r="L2160" s="13" t="s">
        <v>65</v>
      </c>
      <c r="M2160" s="4">
        <f>IF(Table1[[#This Row], [EQUIPMENT]]="YES",Sheet1!$C$44*(1+Sheet1!$D$44),0)</f>
        <v>307500</v>
      </c>
      <c r="N2160" s="4">
        <f>_xlfn.XLOOKUP(Table1[[#This Row], [ROOM]],Sheet1!$A$47:$A$66,Sheet1!$F$47:$F$66)</f>
        <v>17400000</v>
      </c>
      <c r="O2160" s="9">
        <f>_xlfn.XLOOKUP(_xlfn.CONCAT(Table1[[#This Row], [TEAM]],Table1[[#This Row], [ROOM]]),'ROOM TIME'!$H$2:$H$121,'ROOM TIME'!$J$2:$J$121)</f>
        <v>61.059999999999988</v>
      </c>
      <c r="P2160" s="9">
        <f>(INDEX(Sheet1!$X$48:$Z$67,MATCH(Table1[[#This Row], [ROOM]],Sheet1!$P$48:$P$67,0),MATCH(Table1[[#This Row], [WEAPON]],Sheet1!$X$47:$Z$47,0)))/Table1[[#This Row], [NUM OF MEM]]</f>
        <v>6.875</v>
      </c>
      <c r="Q2160" s="9">
        <f>Table1[[#This Row], [ROOM TIME]]+Table1[[#This Row], [GUARD TIME]]</f>
        <v>67.934999999999988</v>
      </c>
      <c r="R2160" s="4">
        <f>Sheet1!$K$3*_xlfn.XLOOKUP(Table1[[#This Row], [DISGUISE]],Sheet1!$A$21:$A$23,Sheet1!$D$21:$D$23)</f>
        <v>66</v>
      </c>
      <c r="S2160" s="9">
        <f>Table1[[#This Row], [TOTAL TIME]]-Table1[[#This Row], [TOTAL TIME TAKEN]]</f>
        <v>-1.9349999999999881</v>
      </c>
      <c r="T2160" t="str">
        <f>IF(Table1[[#This Row], [TIME DIFFERENCE]]&gt;=0,"PASS","FAIL")</f>
        <v>FAIL</v>
      </c>
      <c r="U2160" s="9">
        <f>Table1[[#This Row], [TRC]]+Table1[[#This Row], [DRC]]+Table1[[#This Row], [WRC]]+Table1[[#This Row], [ERC]]+Table1[[#This Row], [EQRC]]</f>
        <v>8216251.7749999994</v>
      </c>
      <c r="V2160" s="9">
        <f>Table1[[#This Row], [TOTAL COST]]+_xlfn.XLOOKUP(Table1[[#This Row], [TEAM]],Sheet1!$A$12:$A$17,Sheet1!$I$12:$I$17)</f>
        <v>8520391.7749999985</v>
      </c>
      <c r="W2160" s="9">
        <f>Table1[[#This Row], [LOOT]]-Table1[[#This Row], [TOTAL COST]]</f>
        <v>9183748.2250000015</v>
      </c>
      <c r="X2160" s="4">
        <f>IF(Table1[[#This Row], [PASS/FAIL]]="FAIL",0,Table1[[#This Row], [PROFIT]])</f>
        <v>0</v>
      </c>
    </row>
    <row r="2161" spans="1:24" ht="19.5" customHeight="1" x14ac:dyDescent="0.45">
      <c r="A2161" t="s">
        <v>16</v>
      </c>
      <c r="B2161" s="14">
        <f>_xlfn.XLOOKUP(Table1[[#This Row], [TEAM]],Sheet1!$A$12:$A$17,Sheet1!$F$12:$F$17)</f>
        <v>2</v>
      </c>
      <c r="C2161" s="14">
        <f>_xlfn.XLOOKUP(Table1[[#This Row], [TEAM]],Sheet1!$A$12:$A$17,Sheet1!$G$12:$G$17)</f>
        <v>6082800</v>
      </c>
      <c r="D2161" t="s">
        <v>23</v>
      </c>
      <c r="E2161" s="4">
        <f>_xlfn.XLOOKUP(Table1[[#This Row], [ROOM]],Sheet1!$A$47:$A$66,Sheet1!$B$47:$B$66)</f>
        <v>245</v>
      </c>
      <c r="F2161" t="s">
        <v>62</v>
      </c>
      <c r="G2161" s="4">
        <f>_xlfn.XLOOKUP(Table1[[#This Row], [DISGUISE]],Sheet1!$A$21:$A$23,Sheet1!$B$21:$B$23)*Table1[[#This Row], [NUM OF MEM]]*(1+_xlfn.XLOOKUP(Table1[[#This Row], [DISGUISE]],Sheet1!$A$21:$A$23,Sheet1!$C$21:$C$23))</f>
        <v>10400</v>
      </c>
      <c r="H2161" s="13" t="s">
        <v>66</v>
      </c>
      <c r="I2161" s="4">
        <f>_xlfn.XLOOKUP(Table1[[#This Row], [WEAPON]],Sheet1!$A$27:$A$29,Sheet1!$B$27:$B$29)*Table1[[#This Row], [NUM OF MEM]]*(1+_xlfn.XLOOKUP(Table1[[#This Row], [WEAPON]],Sheet1!$A$27:$A$29,Sheet1!$C$27:$C$29))</f>
        <v>72000</v>
      </c>
      <c r="J2161" t="s">
        <v>64</v>
      </c>
      <c r="K2161" s="9">
        <f>Table1[[#This Row], [NUM OF MEM]]*Table1[[#This Row], [TOTAL TIME TAKEN]]*_xlfn.XLOOKUP(Table1[[#This Row], [EXIT]],Sheet1!$A$70:$A$71,Sheet1!$B$70:$B$71)*(1+_xlfn.XLOOKUP(Table1[[#This Row], [EXIT]],Sheet1!$A$70:$A$71,Sheet1!$C$70:$C$71))</f>
        <v>1760875.1999999997</v>
      </c>
      <c r="L2161" s="13" t="s">
        <v>65</v>
      </c>
      <c r="M2161" s="4">
        <f>IF(Table1[[#This Row], [EQUIPMENT]]="YES",Sheet1!$C$44*(1+Sheet1!$D$44),0)</f>
        <v>307500</v>
      </c>
      <c r="N2161" s="4">
        <f>_xlfn.XLOOKUP(Table1[[#This Row], [ROOM]],Sheet1!$A$47:$A$66,Sheet1!$F$47:$F$66)</f>
        <v>17400000</v>
      </c>
      <c r="O2161" s="9">
        <f>_xlfn.XLOOKUP(_xlfn.CONCAT(Table1[[#This Row], [TEAM]],Table1[[#This Row], [ROOM]]),'ROOM TIME'!$H$2:$H$121,'ROOM TIME'!$J$2:$J$121)</f>
        <v>61.059999999999988</v>
      </c>
      <c r="P2161" s="9">
        <f>(INDEX(Sheet1!$X$48:$Z$67,MATCH(Table1[[#This Row], [ROOM]],Sheet1!$P$48:$P$67,0),MATCH(Table1[[#This Row], [WEAPON]],Sheet1!$X$47:$Z$47,0)))/Table1[[#This Row], [NUM OF MEM]]</f>
        <v>6.875</v>
      </c>
      <c r="Q2161" s="9">
        <f>Table1[[#This Row], [ROOM TIME]]+Table1[[#This Row], [GUARD TIME]]</f>
        <v>67.934999999999988</v>
      </c>
      <c r="R2161" s="4">
        <f>Sheet1!$K$3*_xlfn.XLOOKUP(Table1[[#This Row], [DISGUISE]],Sheet1!$A$21:$A$23,Sheet1!$D$21:$D$23)</f>
        <v>66</v>
      </c>
      <c r="S2161" s="9">
        <f>Table1[[#This Row], [TOTAL TIME]]-Table1[[#This Row], [TOTAL TIME TAKEN]]</f>
        <v>-1.9349999999999881</v>
      </c>
      <c r="T2161" t="str">
        <f>IF(Table1[[#This Row], [TIME DIFFERENCE]]&gt;=0,"PASS","FAIL")</f>
        <v>FAIL</v>
      </c>
      <c r="U2161" s="9">
        <f>Table1[[#This Row], [TRC]]+Table1[[#This Row], [DRC]]+Table1[[#This Row], [WRC]]+Table1[[#This Row], [ERC]]+Table1[[#This Row], [EQRC]]</f>
        <v>8233575.1999999993</v>
      </c>
      <c r="V2161" s="9">
        <f>Table1[[#This Row], [TOTAL COST]]+_xlfn.XLOOKUP(Table1[[#This Row], [TEAM]],Sheet1!$A$12:$A$17,Sheet1!$I$12:$I$17)</f>
        <v>8537715.1999999993</v>
      </c>
      <c r="W2161" s="9">
        <f>Table1[[#This Row], [LOOT]]-Table1[[#This Row], [TOTAL COST]]</f>
        <v>9166424.8000000007</v>
      </c>
      <c r="X2161" s="4">
        <f>IF(Table1[[#This Row], [PASS/FAIL]]="FAIL",0,Table1[[#This Row], [PROFIT]])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121"/>
  <sheetViews>
    <sheetView workbookViewId="0"/>
  </sheetViews>
  <sheetFormatPr defaultRowHeight="14.25" x14ac:dyDescent="0.45"/>
  <cols>
    <col min="1" max="2" width="14.1328125" bestFit="1" customWidth="1"/>
    <col min="3" max="6" width="14.1328125" style="6" bestFit="1" customWidth="1"/>
    <col min="7" max="9" width="14.1328125" bestFit="1" customWidth="1"/>
    <col min="10" max="10" width="14.1328125" style="11" bestFit="1" customWidth="1"/>
    <col min="11" max="14" width="14.1328125" bestFit="1" customWidth="1"/>
    <col min="15" max="18" width="14.1328125" style="12" bestFit="1" customWidth="1"/>
    <col min="19" max="19" width="14.1328125" bestFit="1" customWidth="1"/>
    <col min="20" max="25" width="14.1328125" style="12" bestFit="1" customWidth="1"/>
  </cols>
  <sheetData>
    <row r="1" spans="1:25" ht="19.5" customHeight="1" x14ac:dyDescent="0.45">
      <c r="A1" t="s">
        <v>5</v>
      </c>
      <c r="B1" t="s">
        <v>6</v>
      </c>
      <c r="C1" s="2"/>
      <c r="D1" s="2"/>
      <c r="E1" s="2"/>
      <c r="F1" s="2"/>
      <c r="H1" t="s">
        <v>7</v>
      </c>
      <c r="J1" s="7" t="s">
        <v>8</v>
      </c>
      <c r="O1" s="2"/>
      <c r="P1" s="2"/>
      <c r="Q1" s="2"/>
      <c r="R1" s="2"/>
      <c r="T1" s="8"/>
      <c r="U1" s="8"/>
      <c r="V1" s="8"/>
      <c r="W1" s="8"/>
      <c r="X1" s="8"/>
      <c r="Y1" s="8"/>
    </row>
    <row r="2" spans="1:25" ht="19.5" customHeight="1" x14ac:dyDescent="0.45">
      <c r="A2" t="s">
        <v>9</v>
      </c>
      <c r="B2" t="s">
        <v>10</v>
      </c>
      <c r="C2" s="4">
        <v>123</v>
      </c>
      <c r="D2" s="4">
        <f t="shared" ref="D2:D33" si="0">VALUE(LEFT(C2,1))</f>
        <v>1</v>
      </c>
      <c r="E2" s="4">
        <f t="shared" ref="E2:E33" si="1">VALUE(MID(C2,2,1))</f>
        <v>2</v>
      </c>
      <c r="F2" s="4">
        <f t="shared" ref="F2:F33" si="2">VALUE(RIGHT(C2,1))</f>
        <v>3</v>
      </c>
      <c r="H2" t="str">
        <f t="shared" ref="H2:H33" si="3">_xlfn.CONCAT(A2,B2)</f>
        <v>PR1</v>
      </c>
      <c r="J2" s="9">
        <f>(_xlfn.XLOOKUP(_xlfn.CONCAT(A2,D2),Sheet1!$AE$26:$AE$61,Sheet1!$AF$26:$AF$61)+_xlfn.XLOOKUP(_xlfn.CONCAT('ROOM TIME'!A2,'ROOM TIME'!E2),Sheet1!$AE$26:$AE$61,Sheet1!$AF$26:$AF$61)+_xlfn.XLOOKUP(_xlfn.CONCAT('ROOM TIME'!A2,'ROOM TIME'!F2),Sheet1!$AE$26:$AE$61,Sheet1!$AF$26:$AF$61))/_xlfn.XLOOKUP(A2,Sheet1!$A$12:$A$17,Sheet1!$F$12:$F$17)</f>
        <v>39.636111111111099</v>
      </c>
      <c r="O2" s="2"/>
      <c r="P2" s="2"/>
      <c r="Q2" s="2"/>
      <c r="R2" s="2"/>
      <c r="T2" s="4">
        <v>3</v>
      </c>
      <c r="U2" s="4">
        <v>3</v>
      </c>
      <c r="V2" s="4">
        <v>3</v>
      </c>
      <c r="W2" s="4">
        <v>2</v>
      </c>
      <c r="X2" s="4">
        <v>2</v>
      </c>
      <c r="Y2" s="4">
        <v>2</v>
      </c>
    </row>
    <row r="3" spans="1:25" ht="19.5" customHeight="1" x14ac:dyDescent="0.45">
      <c r="A3" t="s">
        <v>9</v>
      </c>
      <c r="B3" t="s">
        <v>11</v>
      </c>
      <c r="C3" s="4">
        <v>124</v>
      </c>
      <c r="D3" s="4">
        <f t="shared" si="0"/>
        <v>1</v>
      </c>
      <c r="E3" s="4">
        <f t="shared" si="1"/>
        <v>2</v>
      </c>
      <c r="F3" s="4">
        <f t="shared" si="2"/>
        <v>4</v>
      </c>
      <c r="H3" t="str">
        <f t="shared" si="3"/>
        <v>PR2</v>
      </c>
      <c r="J3" s="9">
        <f>(_xlfn.XLOOKUP(_xlfn.CONCAT(A3,D3),Sheet1!$AE$26:$AE$61,Sheet1!$AF$26:$AF$61)+_xlfn.XLOOKUP(_xlfn.CONCAT('ROOM TIME'!A3,'ROOM TIME'!E3),Sheet1!$AE$26:$AE$61,Sheet1!$AF$26:$AF$61)+_xlfn.XLOOKUP(_xlfn.CONCAT('ROOM TIME'!A3,'ROOM TIME'!F3),Sheet1!$AE$26:$AE$61,Sheet1!$AF$26:$AF$61))/_xlfn.XLOOKUP(A3,Sheet1!$A$12:$A$17,Sheet1!$F$12:$F$17)</f>
        <v>38.752777777777773</v>
      </c>
      <c r="O3" s="2"/>
      <c r="P3" s="2"/>
      <c r="Q3" s="2"/>
      <c r="R3" s="2"/>
      <c r="T3" s="10" t="s">
        <v>9</v>
      </c>
      <c r="U3" s="10" t="s">
        <v>12</v>
      </c>
      <c r="V3" s="10" t="s">
        <v>13</v>
      </c>
      <c r="W3" s="10" t="s">
        <v>14</v>
      </c>
      <c r="X3" s="10" t="s">
        <v>15</v>
      </c>
      <c r="Y3" s="10" t="s">
        <v>16</v>
      </c>
    </row>
    <row r="4" spans="1:25" ht="19.5" customHeight="1" x14ac:dyDescent="0.45">
      <c r="A4" t="s">
        <v>9</v>
      </c>
      <c r="B4" t="s">
        <v>17</v>
      </c>
      <c r="C4" s="4">
        <v>125</v>
      </c>
      <c r="D4" s="4">
        <f t="shared" si="0"/>
        <v>1</v>
      </c>
      <c r="E4" s="4">
        <f t="shared" si="1"/>
        <v>2</v>
      </c>
      <c r="F4" s="4">
        <f t="shared" si="2"/>
        <v>5</v>
      </c>
      <c r="H4" t="str">
        <f t="shared" si="3"/>
        <v>PR3</v>
      </c>
      <c r="J4" s="9">
        <f>(_xlfn.XLOOKUP(_xlfn.CONCAT(A4,D4),Sheet1!$AE$26:$AE$61,Sheet1!$AF$26:$AF$61)+_xlfn.XLOOKUP(_xlfn.CONCAT('ROOM TIME'!A4,'ROOM TIME'!E4),Sheet1!$AE$26:$AE$61,Sheet1!$AF$26:$AF$61)+_xlfn.XLOOKUP(_xlfn.CONCAT('ROOM TIME'!A4,'ROOM TIME'!F4),Sheet1!$AE$26:$AE$61,Sheet1!$AF$26:$AF$61))/_xlfn.XLOOKUP(A4,Sheet1!$A$12:$A$17,Sheet1!$F$12:$F$17)</f>
        <v>38.398333333333326</v>
      </c>
      <c r="O4" s="2"/>
      <c r="P4" s="2"/>
      <c r="Q4" s="2"/>
      <c r="R4" s="2"/>
      <c r="T4" s="8"/>
      <c r="U4" s="8"/>
      <c r="V4" s="8"/>
      <c r="W4" s="8"/>
      <c r="X4" s="8"/>
      <c r="Y4" s="8"/>
    </row>
    <row r="5" spans="1:25" ht="19.5" customHeight="1" x14ac:dyDescent="0.45">
      <c r="A5" t="s">
        <v>9</v>
      </c>
      <c r="B5" t="s">
        <v>18</v>
      </c>
      <c r="C5" s="4">
        <v>134</v>
      </c>
      <c r="D5" s="4">
        <f t="shared" si="0"/>
        <v>1</v>
      </c>
      <c r="E5" s="4">
        <f t="shared" si="1"/>
        <v>3</v>
      </c>
      <c r="F5" s="4">
        <f t="shared" si="2"/>
        <v>4</v>
      </c>
      <c r="H5" t="str">
        <f t="shared" si="3"/>
        <v>PR4</v>
      </c>
      <c r="J5" s="9">
        <f>(_xlfn.XLOOKUP(_xlfn.CONCAT(A5,D5),Sheet1!$AE$26:$AE$61,Sheet1!$AF$26:$AF$61)+_xlfn.XLOOKUP(_xlfn.CONCAT('ROOM TIME'!A5,'ROOM TIME'!E5),Sheet1!$AE$26:$AE$61,Sheet1!$AF$26:$AF$61)+_xlfn.XLOOKUP(_xlfn.CONCAT('ROOM TIME'!A5,'ROOM TIME'!F5),Sheet1!$AE$26:$AE$61,Sheet1!$AF$26:$AF$61))/_xlfn.XLOOKUP(A5,Sheet1!$A$12:$A$17,Sheet1!$F$12:$F$17)</f>
        <v>39.003888888888881</v>
      </c>
      <c r="N5" t="s">
        <v>10</v>
      </c>
      <c r="O5" s="4">
        <v>123</v>
      </c>
      <c r="P5" s="4">
        <f t="shared" ref="P5:P24" si="4">VALUE(LEFT(O5,1))</f>
        <v>1</v>
      </c>
      <c r="Q5" s="4">
        <f t="shared" ref="Q5:Q24" si="5">VALUE(MID(O5,2,1))</f>
        <v>2</v>
      </c>
      <c r="R5" s="4">
        <f t="shared" ref="R5:R24" si="6">VALUE(RIGHT(O5,1))</f>
        <v>3</v>
      </c>
      <c r="T5" s="9">
        <f>(INDEX(Sheet1!$AI$26:$AN$31,MATCH('ROOM TIME'!T3,Sheet1!$AH$26:$AH$31),MATCH('ROOM TIME'!$P5,Sheet1!$AI$25:$AN$25))+INDEX(Sheet1!$AI$26:$AN$31,MATCH('ROOM TIME'!T3,Sheet1!$AH$26:$AH$31),MATCH('ROOM TIME'!$Q5,Sheet1!$AI$25:$AN$25))+INDEX(Sheet1!$AI$26:$AN$31,MATCH('ROOM TIME'!T3,Sheet1!$AH$26:$AH$31),MATCH('ROOM TIME'!$R5,Sheet1!$AI$25:$AN$25)))/T2</f>
        <v>39.071111111111101</v>
      </c>
      <c r="U5" s="9">
        <f>(INDEX(Sheet1!$AI$26:$AN$31,MATCH('ROOM TIME'!U3,Sheet1!$AH$26:$AH$31),MATCH('ROOM TIME'!$P5,Sheet1!$AI$25:$AN$25))+INDEX(Sheet1!$AI$26:$AN$31,MATCH('ROOM TIME'!U3,Sheet1!$AH$26:$AH$31),MATCH('ROOM TIME'!$Q5,Sheet1!$AI$25:$AN$25))+INDEX(Sheet1!$AI$26:$AN$31,MATCH('ROOM TIME'!U3,Sheet1!$AH$26:$AH$31),MATCH('ROOM TIME'!$R5,Sheet1!$AI$25:$AN$25)))/U2</f>
        <v>41.4311111111111</v>
      </c>
      <c r="V5" s="9">
        <f>(INDEX(Sheet1!$AI$26:$AN$31,MATCH('ROOM TIME'!V3,Sheet1!$AH$26:$AH$31),MATCH('ROOM TIME'!$P5,Sheet1!$AI$25:$AN$25))+INDEX(Sheet1!$AI$26:$AN$31,MATCH('ROOM TIME'!V3,Sheet1!$AH$26:$AH$31),MATCH('ROOM TIME'!$Q5,Sheet1!$AI$25:$AN$25))+INDEX(Sheet1!$AI$26:$AN$31,MATCH('ROOM TIME'!V3,Sheet1!$AH$26:$AH$31),MATCH('ROOM TIME'!$R5,Sheet1!$AI$25:$AN$25)))/V2</f>
        <v>43.266666666666652</v>
      </c>
      <c r="W5" s="9">
        <f>(INDEX(Sheet1!$AI$26:$AN$31,MATCH('ROOM TIME'!W3,Sheet1!$AH$26:$AH$31),MATCH('ROOM TIME'!$P5,Sheet1!$AI$25:$AN$25))+INDEX(Sheet1!$AI$26:$AN$31,MATCH('ROOM TIME'!W3,Sheet1!$AH$26:$AH$31),MATCH('ROOM TIME'!$Q5,Sheet1!$AI$25:$AN$25))+INDEX(Sheet1!$AI$26:$AN$31,MATCH('ROOM TIME'!W3,Sheet1!$AH$26:$AH$31),MATCH('ROOM TIME'!$R5,Sheet1!$AI$25:$AN$25)))/W2</f>
        <v>62.539999999999992</v>
      </c>
      <c r="X5" s="9">
        <f>(INDEX(Sheet1!$AI$26:$AN$31,MATCH('ROOM TIME'!X3,Sheet1!$AH$26:$AH$31),MATCH('ROOM TIME'!$P5,Sheet1!$AI$25:$AN$25))+INDEX(Sheet1!$AI$26:$AN$31,MATCH('ROOM TIME'!X3,Sheet1!$AH$26:$AH$31),MATCH('ROOM TIME'!$Q5,Sheet1!$AI$25:$AN$25))+INDEX(Sheet1!$AI$26:$AN$31,MATCH('ROOM TIME'!X3,Sheet1!$AH$26:$AH$31),MATCH('ROOM TIME'!$R5,Sheet1!$AI$25:$AN$25)))/X2</f>
        <v>62.539999999999978</v>
      </c>
      <c r="Y5" s="9">
        <f>(INDEX(Sheet1!$AI$26:$AN$31,MATCH('ROOM TIME'!Y3,Sheet1!$AH$26:$AH$31),MATCH('ROOM TIME'!$P5,Sheet1!$AI$25:$AN$25))+INDEX(Sheet1!$AI$26:$AN$31,MATCH('ROOM TIME'!Y3,Sheet1!$AH$26:$AH$31),MATCH('ROOM TIME'!$Q5,Sheet1!$AI$25:$AN$25))+INDEX(Sheet1!$AI$26:$AN$31,MATCH('ROOM TIME'!Y3,Sheet1!$AH$26:$AH$31),MATCH('ROOM TIME'!$R5,Sheet1!$AI$25:$AN$25)))/Y2</f>
        <v>61.949999999999982</v>
      </c>
    </row>
    <row r="6" spans="1:25" ht="19.5" customHeight="1" x14ac:dyDescent="0.45">
      <c r="A6" t="s">
        <v>9</v>
      </c>
      <c r="B6" t="s">
        <v>19</v>
      </c>
      <c r="C6" s="4">
        <v>135</v>
      </c>
      <c r="D6" s="4">
        <f t="shared" si="0"/>
        <v>1</v>
      </c>
      <c r="E6" s="4">
        <f t="shared" si="1"/>
        <v>3</v>
      </c>
      <c r="F6" s="4">
        <f t="shared" si="2"/>
        <v>5</v>
      </c>
      <c r="H6" t="str">
        <f t="shared" si="3"/>
        <v>PR5</v>
      </c>
      <c r="J6" s="9">
        <f>(_xlfn.XLOOKUP(_xlfn.CONCAT(A6,D6),Sheet1!$AE$26:$AE$61,Sheet1!$AF$26:$AF$61)+_xlfn.XLOOKUP(_xlfn.CONCAT('ROOM TIME'!A6,'ROOM TIME'!E6),Sheet1!$AE$26:$AE$61,Sheet1!$AF$26:$AF$61)+_xlfn.XLOOKUP(_xlfn.CONCAT('ROOM TIME'!A6,'ROOM TIME'!F6),Sheet1!$AE$26:$AE$61,Sheet1!$AF$26:$AF$61))/_xlfn.XLOOKUP(A6,Sheet1!$A$12:$A$17,Sheet1!$F$12:$F$17)</f>
        <v>38.649444444444434</v>
      </c>
      <c r="N6" t="s">
        <v>11</v>
      </c>
      <c r="O6" s="4">
        <v>124</v>
      </c>
      <c r="P6" s="4">
        <f t="shared" si="4"/>
        <v>1</v>
      </c>
      <c r="Q6" s="4">
        <f t="shared" si="5"/>
        <v>2</v>
      </c>
      <c r="R6" s="4">
        <f t="shared" si="6"/>
        <v>4</v>
      </c>
      <c r="T6" s="8"/>
      <c r="U6" s="8"/>
      <c r="V6" s="8"/>
      <c r="W6" s="8"/>
      <c r="X6" s="8"/>
      <c r="Y6" s="8"/>
    </row>
    <row r="7" spans="1:25" ht="19.5" customHeight="1" x14ac:dyDescent="0.45">
      <c r="A7" t="s">
        <v>9</v>
      </c>
      <c r="B7" t="s">
        <v>20</v>
      </c>
      <c r="C7" s="4">
        <v>145</v>
      </c>
      <c r="D7" s="4">
        <f t="shared" si="0"/>
        <v>1</v>
      </c>
      <c r="E7" s="4">
        <f t="shared" si="1"/>
        <v>4</v>
      </c>
      <c r="F7" s="4">
        <f t="shared" si="2"/>
        <v>5</v>
      </c>
      <c r="H7" t="str">
        <f t="shared" si="3"/>
        <v>PR6</v>
      </c>
      <c r="J7" s="9">
        <f>(_xlfn.XLOOKUP(_xlfn.CONCAT(A7,D7),Sheet1!$AE$26:$AE$61,Sheet1!$AF$26:$AF$61)+_xlfn.XLOOKUP(_xlfn.CONCAT('ROOM TIME'!A7,'ROOM TIME'!E7),Sheet1!$AE$26:$AE$61,Sheet1!$AF$26:$AF$61)+_xlfn.XLOOKUP(_xlfn.CONCAT('ROOM TIME'!A7,'ROOM TIME'!F7),Sheet1!$AE$26:$AE$61,Sheet1!$AF$26:$AF$61))/_xlfn.XLOOKUP(A7,Sheet1!$A$12:$A$17,Sheet1!$F$12:$F$17)</f>
        <v>37.766111111111101</v>
      </c>
      <c r="N7" t="s">
        <v>17</v>
      </c>
      <c r="O7" s="4">
        <v>125</v>
      </c>
      <c r="P7" s="4">
        <f t="shared" si="4"/>
        <v>1</v>
      </c>
      <c r="Q7" s="4">
        <f t="shared" si="5"/>
        <v>2</v>
      </c>
      <c r="R7" s="4">
        <f t="shared" si="6"/>
        <v>5</v>
      </c>
      <c r="T7" s="8"/>
      <c r="U7" s="8"/>
      <c r="V7" s="8"/>
      <c r="W7" s="8"/>
      <c r="X7" s="8"/>
      <c r="Y7" s="8"/>
    </row>
    <row r="8" spans="1:25" ht="19.5" customHeight="1" x14ac:dyDescent="0.45">
      <c r="A8" t="s">
        <v>9</v>
      </c>
      <c r="B8" t="s">
        <v>21</v>
      </c>
      <c r="C8" s="4">
        <v>234</v>
      </c>
      <c r="D8" s="4">
        <f t="shared" si="0"/>
        <v>2</v>
      </c>
      <c r="E8" s="4">
        <f t="shared" si="1"/>
        <v>3</v>
      </c>
      <c r="F8" s="4">
        <f t="shared" si="2"/>
        <v>4</v>
      </c>
      <c r="H8" t="str">
        <f t="shared" si="3"/>
        <v>PR7</v>
      </c>
      <c r="J8" s="9">
        <f>(_xlfn.XLOOKUP(_xlfn.CONCAT(A8,D8),Sheet1!$AE$26:$AE$61,Sheet1!$AF$26:$AF$61)+_xlfn.XLOOKUP(_xlfn.CONCAT('ROOM TIME'!A8,'ROOM TIME'!E8),Sheet1!$AE$26:$AE$61,Sheet1!$AF$26:$AF$61)+_xlfn.XLOOKUP(_xlfn.CONCAT('ROOM TIME'!A8,'ROOM TIME'!F8),Sheet1!$AE$26:$AE$61,Sheet1!$AF$26:$AF$61))/_xlfn.XLOOKUP(A8,Sheet1!$A$12:$A$17,Sheet1!$F$12:$F$17)</f>
        <v>39.698888888888881</v>
      </c>
      <c r="N8" t="s">
        <v>18</v>
      </c>
      <c r="O8" s="4">
        <v>126</v>
      </c>
      <c r="P8" s="4">
        <f t="shared" si="4"/>
        <v>1</v>
      </c>
      <c r="Q8" s="4">
        <f t="shared" si="5"/>
        <v>2</v>
      </c>
      <c r="R8" s="4">
        <f t="shared" si="6"/>
        <v>6</v>
      </c>
      <c r="T8" s="8"/>
      <c r="U8" s="8"/>
      <c r="V8" s="8"/>
      <c r="W8" s="8"/>
      <c r="X8" s="8"/>
      <c r="Y8" s="8"/>
    </row>
    <row r="9" spans="1:25" ht="19.5" customHeight="1" x14ac:dyDescent="0.45">
      <c r="A9" t="s">
        <v>9</v>
      </c>
      <c r="B9" t="s">
        <v>22</v>
      </c>
      <c r="C9" s="4">
        <v>235</v>
      </c>
      <c r="D9" s="4">
        <f t="shared" si="0"/>
        <v>2</v>
      </c>
      <c r="E9" s="4">
        <f t="shared" si="1"/>
        <v>3</v>
      </c>
      <c r="F9" s="4">
        <f t="shared" si="2"/>
        <v>5</v>
      </c>
      <c r="H9" t="str">
        <f t="shared" si="3"/>
        <v>PR8</v>
      </c>
      <c r="J9" s="9">
        <f>(_xlfn.XLOOKUP(_xlfn.CONCAT(A9,D9),Sheet1!$AE$26:$AE$61,Sheet1!$AF$26:$AF$61)+_xlfn.XLOOKUP(_xlfn.CONCAT('ROOM TIME'!A9,'ROOM TIME'!E9),Sheet1!$AE$26:$AE$61,Sheet1!$AF$26:$AF$61)+_xlfn.XLOOKUP(_xlfn.CONCAT('ROOM TIME'!A9,'ROOM TIME'!F9),Sheet1!$AE$26:$AE$61,Sheet1!$AF$26:$AF$61))/_xlfn.XLOOKUP(A9,Sheet1!$A$12:$A$17,Sheet1!$F$12:$F$17)</f>
        <v>39.344444444444434</v>
      </c>
      <c r="N9" t="s">
        <v>19</v>
      </c>
      <c r="O9" s="4">
        <v>134</v>
      </c>
      <c r="P9" s="4">
        <f t="shared" si="4"/>
        <v>1</v>
      </c>
      <c r="Q9" s="4">
        <f t="shared" si="5"/>
        <v>3</v>
      </c>
      <c r="R9" s="4">
        <f t="shared" si="6"/>
        <v>4</v>
      </c>
      <c r="T9" s="8"/>
      <c r="U9" s="8"/>
      <c r="V9" s="8"/>
      <c r="W9" s="8"/>
      <c r="X9" s="8"/>
      <c r="Y9" s="8"/>
    </row>
    <row r="10" spans="1:25" ht="19.5" customHeight="1" x14ac:dyDescent="0.45">
      <c r="A10" t="s">
        <v>9</v>
      </c>
      <c r="B10" t="s">
        <v>23</v>
      </c>
      <c r="C10" s="4">
        <v>245</v>
      </c>
      <c r="D10" s="4">
        <f t="shared" si="0"/>
        <v>2</v>
      </c>
      <c r="E10" s="4">
        <f t="shared" si="1"/>
        <v>4</v>
      </c>
      <c r="F10" s="4">
        <f t="shared" si="2"/>
        <v>5</v>
      </c>
      <c r="H10" t="str">
        <f t="shared" si="3"/>
        <v>PR9</v>
      </c>
      <c r="J10" s="9">
        <f>(_xlfn.XLOOKUP(_xlfn.CONCAT(A10,D10),Sheet1!$AE$26:$AE$61,Sheet1!$AF$26:$AF$61)+_xlfn.XLOOKUP(_xlfn.CONCAT('ROOM TIME'!A10,'ROOM TIME'!E10),Sheet1!$AE$26:$AE$61,Sheet1!$AF$26:$AF$61)+_xlfn.XLOOKUP(_xlfn.CONCAT('ROOM TIME'!A10,'ROOM TIME'!F10),Sheet1!$AE$26:$AE$61,Sheet1!$AF$26:$AF$61))/_xlfn.XLOOKUP(A10,Sheet1!$A$12:$A$17,Sheet1!$F$12:$F$17)</f>
        <v>38.461111111111101</v>
      </c>
      <c r="N10" t="s">
        <v>20</v>
      </c>
      <c r="O10" s="4">
        <v>135</v>
      </c>
      <c r="P10" s="4">
        <f t="shared" si="4"/>
        <v>1</v>
      </c>
      <c r="Q10" s="4">
        <f t="shared" si="5"/>
        <v>3</v>
      </c>
      <c r="R10" s="4">
        <f t="shared" si="6"/>
        <v>5</v>
      </c>
      <c r="T10" s="8"/>
      <c r="U10" s="8"/>
      <c r="V10" s="8"/>
      <c r="W10" s="8"/>
      <c r="X10" s="8"/>
      <c r="Y10" s="8"/>
    </row>
    <row r="11" spans="1:25" ht="19.5" customHeight="1" x14ac:dyDescent="0.45">
      <c r="A11" t="s">
        <v>9</v>
      </c>
      <c r="B11" t="s">
        <v>24</v>
      </c>
      <c r="C11" s="4">
        <v>345</v>
      </c>
      <c r="D11" s="4">
        <f t="shared" si="0"/>
        <v>3</v>
      </c>
      <c r="E11" s="4">
        <f t="shared" si="1"/>
        <v>4</v>
      </c>
      <c r="F11" s="4">
        <f t="shared" si="2"/>
        <v>5</v>
      </c>
      <c r="H11" t="str">
        <f t="shared" si="3"/>
        <v>PR10</v>
      </c>
      <c r="J11" s="9">
        <f>(_xlfn.XLOOKUP(_xlfn.CONCAT(A11,D11),Sheet1!$AE$26:$AE$61,Sheet1!$AF$26:$AF$61)+_xlfn.XLOOKUP(_xlfn.CONCAT('ROOM TIME'!A11,'ROOM TIME'!E11),Sheet1!$AE$26:$AE$61,Sheet1!$AF$26:$AF$61)+_xlfn.XLOOKUP(_xlfn.CONCAT('ROOM TIME'!A11,'ROOM TIME'!F11),Sheet1!$AE$26:$AE$61,Sheet1!$AF$26:$AF$61))/_xlfn.XLOOKUP(A11,Sheet1!$A$12:$A$17,Sheet1!$F$12:$F$17)</f>
        <v>38.712222222222216</v>
      </c>
      <c r="N11" t="s">
        <v>21</v>
      </c>
      <c r="O11" s="4">
        <v>136</v>
      </c>
      <c r="P11" s="4">
        <f t="shared" si="4"/>
        <v>1</v>
      </c>
      <c r="Q11" s="4">
        <f t="shared" si="5"/>
        <v>3</v>
      </c>
      <c r="R11" s="4">
        <f t="shared" si="6"/>
        <v>6</v>
      </c>
      <c r="T11" s="8"/>
      <c r="U11" s="8"/>
      <c r="V11" s="8"/>
      <c r="W11" s="8"/>
      <c r="X11" s="8"/>
      <c r="Y11" s="8"/>
    </row>
    <row r="12" spans="1:25" ht="19.5" customHeight="1" x14ac:dyDescent="0.45">
      <c r="A12" t="s">
        <v>9</v>
      </c>
      <c r="B12" t="s">
        <v>25</v>
      </c>
      <c r="C12" s="4">
        <v>126</v>
      </c>
      <c r="D12" s="4">
        <f t="shared" si="0"/>
        <v>1</v>
      </c>
      <c r="E12" s="4">
        <f t="shared" si="1"/>
        <v>2</v>
      </c>
      <c r="F12" s="4">
        <f t="shared" si="2"/>
        <v>6</v>
      </c>
      <c r="H12" t="str">
        <f t="shared" si="3"/>
        <v>PR11</v>
      </c>
      <c r="J12" s="9">
        <f>(_xlfn.XLOOKUP(_xlfn.CONCAT(A12,D12),Sheet1!$AE$26:$AE$61,Sheet1!$AF$26:$AF$61)+_xlfn.XLOOKUP(_xlfn.CONCAT('ROOM TIME'!A12,'ROOM TIME'!E12),Sheet1!$AE$26:$AE$61,Sheet1!$AF$26:$AF$61)+_xlfn.XLOOKUP(_xlfn.CONCAT('ROOM TIME'!A12,'ROOM TIME'!F12),Sheet1!$AE$26:$AE$61,Sheet1!$AF$26:$AF$61))/_xlfn.XLOOKUP(A12,Sheet1!$A$12:$A$17,Sheet1!$F$12:$F$17)</f>
        <v>36.191666666666656</v>
      </c>
      <c r="N12" t="s">
        <v>22</v>
      </c>
      <c r="O12" s="4">
        <v>145</v>
      </c>
      <c r="P12" s="4">
        <f t="shared" si="4"/>
        <v>1</v>
      </c>
      <c r="Q12" s="4">
        <f t="shared" si="5"/>
        <v>4</v>
      </c>
      <c r="R12" s="4">
        <f t="shared" si="6"/>
        <v>5</v>
      </c>
      <c r="T12" s="8"/>
      <c r="U12" s="8"/>
      <c r="V12" s="8"/>
      <c r="W12" s="8"/>
      <c r="X12" s="8"/>
      <c r="Y12" s="8"/>
    </row>
    <row r="13" spans="1:25" ht="19.5" customHeight="1" x14ac:dyDescent="0.45">
      <c r="A13" t="s">
        <v>9</v>
      </c>
      <c r="B13" t="s">
        <v>26</v>
      </c>
      <c r="C13" s="4">
        <v>136</v>
      </c>
      <c r="D13" s="4">
        <f t="shared" si="0"/>
        <v>1</v>
      </c>
      <c r="E13" s="4">
        <f t="shared" si="1"/>
        <v>3</v>
      </c>
      <c r="F13" s="4">
        <f t="shared" si="2"/>
        <v>6</v>
      </c>
      <c r="H13" t="str">
        <f t="shared" si="3"/>
        <v>PR12</v>
      </c>
      <c r="J13" s="9">
        <f>(_xlfn.XLOOKUP(_xlfn.CONCAT(A13,D13),Sheet1!$AE$26:$AE$61,Sheet1!$AF$26:$AF$61)+_xlfn.XLOOKUP(_xlfn.CONCAT('ROOM TIME'!A13,'ROOM TIME'!E13),Sheet1!$AE$26:$AE$61,Sheet1!$AF$26:$AF$61)+_xlfn.XLOOKUP(_xlfn.CONCAT('ROOM TIME'!A13,'ROOM TIME'!F13),Sheet1!$AE$26:$AE$61,Sheet1!$AF$26:$AF$61))/_xlfn.XLOOKUP(A13,Sheet1!$A$12:$A$17,Sheet1!$F$12:$F$17)</f>
        <v>36.442777777777771</v>
      </c>
      <c r="N13" t="s">
        <v>23</v>
      </c>
      <c r="O13" s="4">
        <v>146</v>
      </c>
      <c r="P13" s="4">
        <f t="shared" si="4"/>
        <v>1</v>
      </c>
      <c r="Q13" s="4">
        <f t="shared" si="5"/>
        <v>4</v>
      </c>
      <c r="R13" s="4">
        <f t="shared" si="6"/>
        <v>6</v>
      </c>
      <c r="T13" s="8"/>
      <c r="U13" s="8"/>
      <c r="V13" s="8"/>
      <c r="W13" s="8"/>
      <c r="X13" s="8"/>
      <c r="Y13" s="8"/>
    </row>
    <row r="14" spans="1:25" ht="19.5" customHeight="1" x14ac:dyDescent="0.45">
      <c r="A14" t="s">
        <v>9</v>
      </c>
      <c r="B14" t="s">
        <v>27</v>
      </c>
      <c r="C14" s="4">
        <v>146</v>
      </c>
      <c r="D14" s="4">
        <f t="shared" si="0"/>
        <v>1</v>
      </c>
      <c r="E14" s="4">
        <f t="shared" si="1"/>
        <v>4</v>
      </c>
      <c r="F14" s="4">
        <f t="shared" si="2"/>
        <v>6</v>
      </c>
      <c r="H14" t="str">
        <f t="shared" si="3"/>
        <v>PR13</v>
      </c>
      <c r="J14" s="9">
        <f>(_xlfn.XLOOKUP(_xlfn.CONCAT(A14,D14),Sheet1!$AE$26:$AE$61,Sheet1!$AF$26:$AF$61)+_xlfn.XLOOKUP(_xlfn.CONCAT('ROOM TIME'!A14,'ROOM TIME'!E14),Sheet1!$AE$26:$AE$61,Sheet1!$AF$26:$AF$61)+_xlfn.XLOOKUP(_xlfn.CONCAT('ROOM TIME'!A14,'ROOM TIME'!F14),Sheet1!$AE$26:$AE$61,Sheet1!$AF$26:$AF$61))/_xlfn.XLOOKUP(A14,Sheet1!$A$12:$A$17,Sheet1!$F$12:$F$17)</f>
        <v>35.559444444444431</v>
      </c>
      <c r="N14" t="s">
        <v>24</v>
      </c>
      <c r="O14" s="4">
        <v>156</v>
      </c>
      <c r="P14" s="4">
        <f t="shared" si="4"/>
        <v>1</v>
      </c>
      <c r="Q14" s="4">
        <f t="shared" si="5"/>
        <v>5</v>
      </c>
      <c r="R14" s="4">
        <f t="shared" si="6"/>
        <v>6</v>
      </c>
      <c r="T14" s="8"/>
      <c r="U14" s="8"/>
      <c r="V14" s="8"/>
      <c r="W14" s="8"/>
      <c r="X14" s="8"/>
      <c r="Y14" s="8"/>
    </row>
    <row r="15" spans="1:25" ht="19.5" customHeight="1" x14ac:dyDescent="0.45">
      <c r="A15" t="s">
        <v>9</v>
      </c>
      <c r="B15" t="s">
        <v>28</v>
      </c>
      <c r="C15" s="4">
        <v>156</v>
      </c>
      <c r="D15" s="4">
        <f t="shared" si="0"/>
        <v>1</v>
      </c>
      <c r="E15" s="4">
        <f t="shared" si="1"/>
        <v>5</v>
      </c>
      <c r="F15" s="4">
        <f t="shared" si="2"/>
        <v>6</v>
      </c>
      <c r="H15" t="str">
        <f t="shared" si="3"/>
        <v>PR14</v>
      </c>
      <c r="J15" s="9">
        <f>(_xlfn.XLOOKUP(_xlfn.CONCAT(A15,D15),Sheet1!$AE$26:$AE$61,Sheet1!$AF$26:$AF$61)+_xlfn.XLOOKUP(_xlfn.CONCAT('ROOM TIME'!A15,'ROOM TIME'!E15),Sheet1!$AE$26:$AE$61,Sheet1!$AF$26:$AF$61)+_xlfn.XLOOKUP(_xlfn.CONCAT('ROOM TIME'!A15,'ROOM TIME'!F15),Sheet1!$AE$26:$AE$61,Sheet1!$AF$26:$AF$61))/_xlfn.XLOOKUP(A15,Sheet1!$A$12:$A$17,Sheet1!$F$12:$F$17)</f>
        <v>35.204999999999991</v>
      </c>
      <c r="N15" t="s">
        <v>25</v>
      </c>
      <c r="O15" s="4">
        <v>234</v>
      </c>
      <c r="P15" s="4">
        <f t="shared" si="4"/>
        <v>2</v>
      </c>
      <c r="Q15" s="4">
        <f t="shared" si="5"/>
        <v>3</v>
      </c>
      <c r="R15" s="4">
        <f t="shared" si="6"/>
        <v>4</v>
      </c>
      <c r="T15" s="8"/>
      <c r="U15" s="8"/>
      <c r="V15" s="8"/>
      <c r="W15" s="8"/>
      <c r="X15" s="8"/>
      <c r="Y15" s="8"/>
    </row>
    <row r="16" spans="1:25" ht="19.5" customHeight="1" x14ac:dyDescent="0.45">
      <c r="A16" t="s">
        <v>9</v>
      </c>
      <c r="B16" t="s">
        <v>29</v>
      </c>
      <c r="C16" s="4">
        <v>236</v>
      </c>
      <c r="D16" s="4">
        <f t="shared" si="0"/>
        <v>2</v>
      </c>
      <c r="E16" s="4">
        <f t="shared" si="1"/>
        <v>3</v>
      </c>
      <c r="F16" s="4">
        <f t="shared" si="2"/>
        <v>6</v>
      </c>
      <c r="H16" t="str">
        <f t="shared" si="3"/>
        <v>PR15</v>
      </c>
      <c r="J16" s="9">
        <f>(_xlfn.XLOOKUP(_xlfn.CONCAT(A16,D16),Sheet1!$AE$26:$AE$61,Sheet1!$AF$26:$AF$61)+_xlfn.XLOOKUP(_xlfn.CONCAT('ROOM TIME'!A16,'ROOM TIME'!E16),Sheet1!$AE$26:$AE$61,Sheet1!$AF$26:$AF$61)+_xlfn.XLOOKUP(_xlfn.CONCAT('ROOM TIME'!A16,'ROOM TIME'!F16),Sheet1!$AE$26:$AE$61,Sheet1!$AF$26:$AF$61))/_xlfn.XLOOKUP(A16,Sheet1!$A$12:$A$17,Sheet1!$F$12:$F$17)</f>
        <v>37.137777777777764</v>
      </c>
      <c r="N16" t="s">
        <v>26</v>
      </c>
      <c r="O16" s="4">
        <v>235</v>
      </c>
      <c r="P16" s="4">
        <f t="shared" si="4"/>
        <v>2</v>
      </c>
      <c r="Q16" s="4">
        <f t="shared" si="5"/>
        <v>3</v>
      </c>
      <c r="R16" s="4">
        <f t="shared" si="6"/>
        <v>5</v>
      </c>
      <c r="T16" s="8"/>
      <c r="U16" s="8"/>
      <c r="V16" s="8"/>
      <c r="W16" s="8"/>
      <c r="X16" s="8"/>
      <c r="Y16" s="8"/>
    </row>
    <row r="17" spans="1:25" ht="19.5" customHeight="1" x14ac:dyDescent="0.45">
      <c r="A17" t="s">
        <v>9</v>
      </c>
      <c r="B17" t="s">
        <v>30</v>
      </c>
      <c r="C17" s="4">
        <v>246</v>
      </c>
      <c r="D17" s="4">
        <f t="shared" si="0"/>
        <v>2</v>
      </c>
      <c r="E17" s="4">
        <f t="shared" si="1"/>
        <v>4</v>
      </c>
      <c r="F17" s="4">
        <f t="shared" si="2"/>
        <v>6</v>
      </c>
      <c r="H17" t="str">
        <f t="shared" si="3"/>
        <v>PR16</v>
      </c>
      <c r="J17" s="9">
        <f>(_xlfn.XLOOKUP(_xlfn.CONCAT(A17,D17),Sheet1!$AE$26:$AE$61,Sheet1!$AF$26:$AF$61)+_xlfn.XLOOKUP(_xlfn.CONCAT('ROOM TIME'!A17,'ROOM TIME'!E17),Sheet1!$AE$26:$AE$61,Sheet1!$AF$26:$AF$61)+_xlfn.XLOOKUP(_xlfn.CONCAT('ROOM TIME'!A17,'ROOM TIME'!F17),Sheet1!$AE$26:$AE$61,Sheet1!$AF$26:$AF$61))/_xlfn.XLOOKUP(A17,Sheet1!$A$12:$A$17,Sheet1!$F$12:$F$17)</f>
        <v>36.254444444444438</v>
      </c>
      <c r="N17" t="s">
        <v>27</v>
      </c>
      <c r="O17" s="4">
        <v>236</v>
      </c>
      <c r="P17" s="4">
        <f t="shared" si="4"/>
        <v>2</v>
      </c>
      <c r="Q17" s="4">
        <f t="shared" si="5"/>
        <v>3</v>
      </c>
      <c r="R17" s="4">
        <f t="shared" si="6"/>
        <v>6</v>
      </c>
      <c r="T17" s="8"/>
      <c r="U17" s="8"/>
      <c r="V17" s="8"/>
      <c r="W17" s="8"/>
      <c r="X17" s="8"/>
      <c r="Y17" s="8"/>
    </row>
    <row r="18" spans="1:25" ht="19.5" customHeight="1" x14ac:dyDescent="0.45">
      <c r="A18" t="s">
        <v>9</v>
      </c>
      <c r="B18" t="s">
        <v>31</v>
      </c>
      <c r="C18" s="4">
        <v>256</v>
      </c>
      <c r="D18" s="4">
        <f t="shared" si="0"/>
        <v>2</v>
      </c>
      <c r="E18" s="4">
        <f t="shared" si="1"/>
        <v>5</v>
      </c>
      <c r="F18" s="4">
        <f t="shared" si="2"/>
        <v>6</v>
      </c>
      <c r="H18" t="str">
        <f t="shared" si="3"/>
        <v>PR17</v>
      </c>
      <c r="J18" s="9">
        <f>(_xlfn.XLOOKUP(_xlfn.CONCAT(A18,D18),Sheet1!$AE$26:$AE$61,Sheet1!$AF$26:$AF$61)+_xlfn.XLOOKUP(_xlfn.CONCAT('ROOM TIME'!A18,'ROOM TIME'!E18),Sheet1!$AE$26:$AE$61,Sheet1!$AF$26:$AF$61)+_xlfn.XLOOKUP(_xlfn.CONCAT('ROOM TIME'!A18,'ROOM TIME'!F18),Sheet1!$AE$26:$AE$61,Sheet1!$AF$26:$AF$61))/_xlfn.XLOOKUP(A18,Sheet1!$A$12:$A$17,Sheet1!$F$12:$F$17)</f>
        <v>35.899999999999991</v>
      </c>
      <c r="N18" t="s">
        <v>28</v>
      </c>
      <c r="O18" s="4">
        <v>245</v>
      </c>
      <c r="P18" s="4">
        <f t="shared" si="4"/>
        <v>2</v>
      </c>
      <c r="Q18" s="4">
        <f t="shared" si="5"/>
        <v>4</v>
      </c>
      <c r="R18" s="4">
        <f t="shared" si="6"/>
        <v>5</v>
      </c>
      <c r="T18" s="8"/>
      <c r="U18" s="8"/>
      <c r="V18" s="8"/>
      <c r="W18" s="8"/>
      <c r="X18" s="8"/>
      <c r="Y18" s="8"/>
    </row>
    <row r="19" spans="1:25" ht="19.5" customHeight="1" x14ac:dyDescent="0.45">
      <c r="A19" t="s">
        <v>9</v>
      </c>
      <c r="B19" t="s">
        <v>32</v>
      </c>
      <c r="C19" s="4">
        <v>346</v>
      </c>
      <c r="D19" s="4">
        <f t="shared" si="0"/>
        <v>3</v>
      </c>
      <c r="E19" s="4">
        <f t="shared" si="1"/>
        <v>4</v>
      </c>
      <c r="F19" s="4">
        <f t="shared" si="2"/>
        <v>6</v>
      </c>
      <c r="H19" t="str">
        <f t="shared" si="3"/>
        <v>PR18</v>
      </c>
      <c r="J19" s="9">
        <f>(_xlfn.XLOOKUP(_xlfn.CONCAT(A19,D19),Sheet1!$AE$26:$AE$61,Sheet1!$AF$26:$AF$61)+_xlfn.XLOOKUP(_xlfn.CONCAT('ROOM TIME'!A19,'ROOM TIME'!E19),Sheet1!$AE$26:$AE$61,Sheet1!$AF$26:$AF$61)+_xlfn.XLOOKUP(_xlfn.CONCAT('ROOM TIME'!A19,'ROOM TIME'!F19),Sheet1!$AE$26:$AE$61,Sheet1!$AF$26:$AF$61))/_xlfn.XLOOKUP(A19,Sheet1!$A$12:$A$17,Sheet1!$F$12:$F$17)</f>
        <v>36.505555555555546</v>
      </c>
      <c r="N19" t="s">
        <v>29</v>
      </c>
      <c r="O19" s="4">
        <v>246</v>
      </c>
      <c r="P19" s="4">
        <f t="shared" si="4"/>
        <v>2</v>
      </c>
      <c r="Q19" s="4">
        <f t="shared" si="5"/>
        <v>4</v>
      </c>
      <c r="R19" s="4">
        <f t="shared" si="6"/>
        <v>6</v>
      </c>
      <c r="T19" s="8"/>
      <c r="U19" s="8"/>
      <c r="V19" s="8"/>
      <c r="W19" s="8"/>
      <c r="X19" s="8"/>
      <c r="Y19" s="8"/>
    </row>
    <row r="20" spans="1:25" ht="19.5" customHeight="1" x14ac:dyDescent="0.45">
      <c r="A20" t="s">
        <v>9</v>
      </c>
      <c r="B20" t="s">
        <v>33</v>
      </c>
      <c r="C20" s="4">
        <v>356</v>
      </c>
      <c r="D20" s="4">
        <f t="shared" si="0"/>
        <v>3</v>
      </c>
      <c r="E20" s="4">
        <f t="shared" si="1"/>
        <v>5</v>
      </c>
      <c r="F20" s="4">
        <f t="shared" si="2"/>
        <v>6</v>
      </c>
      <c r="H20" t="str">
        <f t="shared" si="3"/>
        <v>PR19</v>
      </c>
      <c r="J20" s="9">
        <f>(_xlfn.XLOOKUP(_xlfn.CONCAT(A20,D20),Sheet1!$AE$26:$AE$61,Sheet1!$AF$26:$AF$61)+_xlfn.XLOOKUP(_xlfn.CONCAT('ROOM TIME'!A20,'ROOM TIME'!E20),Sheet1!$AE$26:$AE$61,Sheet1!$AF$26:$AF$61)+_xlfn.XLOOKUP(_xlfn.CONCAT('ROOM TIME'!A20,'ROOM TIME'!F20),Sheet1!$AE$26:$AE$61,Sheet1!$AF$26:$AF$61))/_xlfn.XLOOKUP(A20,Sheet1!$A$12:$A$17,Sheet1!$F$12:$F$17)</f>
        <v>36.151111111111099</v>
      </c>
      <c r="N20" t="s">
        <v>30</v>
      </c>
      <c r="O20" s="4">
        <v>256</v>
      </c>
      <c r="P20" s="4">
        <f t="shared" si="4"/>
        <v>2</v>
      </c>
      <c r="Q20" s="4">
        <f t="shared" si="5"/>
        <v>5</v>
      </c>
      <c r="R20" s="4">
        <f t="shared" si="6"/>
        <v>6</v>
      </c>
      <c r="T20" s="8"/>
      <c r="U20" s="8"/>
      <c r="V20" s="8"/>
      <c r="W20" s="8"/>
      <c r="X20" s="8"/>
      <c r="Y20" s="8"/>
    </row>
    <row r="21" spans="1:25" ht="19.5" customHeight="1" x14ac:dyDescent="0.45">
      <c r="A21" t="s">
        <v>9</v>
      </c>
      <c r="B21" t="s">
        <v>34</v>
      </c>
      <c r="C21" s="4">
        <v>456</v>
      </c>
      <c r="D21" s="4">
        <f t="shared" si="0"/>
        <v>4</v>
      </c>
      <c r="E21" s="4">
        <f t="shared" si="1"/>
        <v>5</v>
      </c>
      <c r="F21" s="4">
        <f t="shared" si="2"/>
        <v>6</v>
      </c>
      <c r="H21" t="str">
        <f t="shared" si="3"/>
        <v>PR20</v>
      </c>
      <c r="J21" s="9">
        <f>(_xlfn.XLOOKUP(_xlfn.CONCAT(A21,D21),Sheet1!$AE$26:$AE$61,Sheet1!$AF$26:$AF$61)+_xlfn.XLOOKUP(_xlfn.CONCAT('ROOM TIME'!A21,'ROOM TIME'!E21),Sheet1!$AE$26:$AE$61,Sheet1!$AF$26:$AF$61)+_xlfn.XLOOKUP(_xlfn.CONCAT('ROOM TIME'!A21,'ROOM TIME'!F21),Sheet1!$AE$26:$AE$61,Sheet1!$AF$26:$AF$61))/_xlfn.XLOOKUP(A21,Sheet1!$A$12:$A$17,Sheet1!$F$12:$F$17)</f>
        <v>35.267777777777766</v>
      </c>
      <c r="N21" t="s">
        <v>31</v>
      </c>
      <c r="O21" s="4">
        <v>345</v>
      </c>
      <c r="P21" s="4">
        <f t="shared" si="4"/>
        <v>3</v>
      </c>
      <c r="Q21" s="4">
        <f t="shared" si="5"/>
        <v>4</v>
      </c>
      <c r="R21" s="4">
        <f t="shared" si="6"/>
        <v>5</v>
      </c>
      <c r="T21" s="8"/>
      <c r="U21" s="8"/>
      <c r="V21" s="8"/>
      <c r="W21" s="8"/>
      <c r="X21" s="8"/>
      <c r="Y21" s="8"/>
    </row>
    <row r="22" spans="1:25" ht="19.5" customHeight="1" x14ac:dyDescent="0.45">
      <c r="A22" t="s">
        <v>12</v>
      </c>
      <c r="B22" t="s">
        <v>10</v>
      </c>
      <c r="C22" s="4">
        <v>123</v>
      </c>
      <c r="D22" s="4">
        <f t="shared" si="0"/>
        <v>1</v>
      </c>
      <c r="E22" s="4">
        <f t="shared" si="1"/>
        <v>2</v>
      </c>
      <c r="F22" s="4">
        <f t="shared" si="2"/>
        <v>3</v>
      </c>
      <c r="H22" t="str">
        <f t="shared" si="3"/>
        <v>QR1</v>
      </c>
      <c r="J22" s="9">
        <f>(_xlfn.XLOOKUP(_xlfn.CONCAT(A22,D22),Sheet1!$AE$26:$AE$61,Sheet1!$AF$26:$AF$61)+_xlfn.XLOOKUP(_xlfn.CONCAT('ROOM TIME'!A22,'ROOM TIME'!E22),Sheet1!$AE$26:$AE$61,Sheet1!$AF$26:$AF$61)+_xlfn.XLOOKUP(_xlfn.CONCAT('ROOM TIME'!A22,'ROOM TIME'!F22),Sheet1!$AE$26:$AE$61,Sheet1!$AF$26:$AF$61))/_xlfn.XLOOKUP(A22,Sheet1!$A$12:$A$17,Sheet1!$F$12:$F$17)</f>
        <v>41.967777777777762</v>
      </c>
      <c r="L22" t="s">
        <v>35</v>
      </c>
      <c r="N22" t="s">
        <v>32</v>
      </c>
      <c r="O22" s="4">
        <v>346</v>
      </c>
      <c r="P22" s="4">
        <f t="shared" si="4"/>
        <v>3</v>
      </c>
      <c r="Q22" s="4">
        <f t="shared" si="5"/>
        <v>4</v>
      </c>
      <c r="R22" s="4">
        <f t="shared" si="6"/>
        <v>6</v>
      </c>
      <c r="T22" s="8"/>
      <c r="U22" s="8"/>
      <c r="V22" s="8"/>
      <c r="W22" s="8"/>
      <c r="X22" s="8"/>
      <c r="Y22" s="8"/>
    </row>
    <row r="23" spans="1:25" ht="19.5" customHeight="1" x14ac:dyDescent="0.45">
      <c r="A23" t="s">
        <v>12</v>
      </c>
      <c r="B23" t="s">
        <v>11</v>
      </c>
      <c r="C23" s="4">
        <v>124</v>
      </c>
      <c r="D23" s="4">
        <f t="shared" si="0"/>
        <v>1</v>
      </c>
      <c r="E23" s="4">
        <f t="shared" si="1"/>
        <v>2</v>
      </c>
      <c r="F23" s="4">
        <f t="shared" si="2"/>
        <v>4</v>
      </c>
      <c r="H23" t="str">
        <f t="shared" si="3"/>
        <v>QR2</v>
      </c>
      <c r="J23" s="9">
        <f>(_xlfn.XLOOKUP(_xlfn.CONCAT(A23,D23),Sheet1!$AE$26:$AE$61,Sheet1!$AF$26:$AF$61)+_xlfn.XLOOKUP(_xlfn.CONCAT('ROOM TIME'!A23,'ROOM TIME'!E23),Sheet1!$AE$26:$AE$61,Sheet1!$AF$26:$AF$61)+_xlfn.XLOOKUP(_xlfn.CONCAT('ROOM TIME'!A23,'ROOM TIME'!F23),Sheet1!$AE$26:$AE$61,Sheet1!$AF$26:$AF$61))/_xlfn.XLOOKUP(A23,Sheet1!$A$12:$A$17,Sheet1!$F$12:$F$17)</f>
        <v>40.401111111111099</v>
      </c>
      <c r="N23" t="s">
        <v>33</v>
      </c>
      <c r="O23" s="4">
        <v>356</v>
      </c>
      <c r="P23" s="4">
        <f t="shared" si="4"/>
        <v>3</v>
      </c>
      <c r="Q23" s="4">
        <f t="shared" si="5"/>
        <v>5</v>
      </c>
      <c r="R23" s="4">
        <f t="shared" si="6"/>
        <v>6</v>
      </c>
      <c r="T23" s="8"/>
      <c r="U23" s="8"/>
      <c r="V23" s="8"/>
      <c r="W23" s="8"/>
      <c r="X23" s="8"/>
      <c r="Y23" s="8"/>
    </row>
    <row r="24" spans="1:25" ht="19.5" customHeight="1" x14ac:dyDescent="0.45">
      <c r="A24" t="s">
        <v>12</v>
      </c>
      <c r="B24" t="s">
        <v>17</v>
      </c>
      <c r="C24" s="4">
        <v>125</v>
      </c>
      <c r="D24" s="4">
        <f t="shared" si="0"/>
        <v>1</v>
      </c>
      <c r="E24" s="4">
        <f t="shared" si="1"/>
        <v>2</v>
      </c>
      <c r="F24" s="4">
        <f t="shared" si="2"/>
        <v>5</v>
      </c>
      <c r="H24" t="str">
        <f t="shared" si="3"/>
        <v>QR3</v>
      </c>
      <c r="J24" s="9">
        <f>(_xlfn.XLOOKUP(_xlfn.CONCAT(A24,D24),Sheet1!$AE$26:$AE$61,Sheet1!$AF$26:$AF$61)+_xlfn.XLOOKUP(_xlfn.CONCAT('ROOM TIME'!A24,'ROOM TIME'!E24),Sheet1!$AE$26:$AE$61,Sheet1!$AF$26:$AF$61)+_xlfn.XLOOKUP(_xlfn.CONCAT('ROOM TIME'!A24,'ROOM TIME'!F24),Sheet1!$AE$26:$AE$61,Sheet1!$AF$26:$AF$61))/_xlfn.XLOOKUP(A24,Sheet1!$A$12:$A$17,Sheet1!$F$12:$F$17)</f>
        <v>40.132222222222204</v>
      </c>
      <c r="N24" t="s">
        <v>34</v>
      </c>
      <c r="O24" s="4">
        <v>456</v>
      </c>
      <c r="P24" s="4">
        <f t="shared" si="4"/>
        <v>4</v>
      </c>
      <c r="Q24" s="4">
        <f t="shared" si="5"/>
        <v>5</v>
      </c>
      <c r="R24" s="4">
        <f t="shared" si="6"/>
        <v>6</v>
      </c>
      <c r="T24" s="8"/>
      <c r="U24" s="8"/>
      <c r="V24" s="8"/>
      <c r="W24" s="8"/>
      <c r="X24" s="8"/>
      <c r="Y24" s="8"/>
    </row>
    <row r="25" spans="1:25" ht="19.5" customHeight="1" x14ac:dyDescent="0.45">
      <c r="A25" t="s">
        <v>12</v>
      </c>
      <c r="B25" t="s">
        <v>18</v>
      </c>
      <c r="C25" s="4">
        <v>134</v>
      </c>
      <c r="D25" s="4">
        <f t="shared" si="0"/>
        <v>1</v>
      </c>
      <c r="E25" s="4">
        <f t="shared" si="1"/>
        <v>3</v>
      </c>
      <c r="F25" s="4">
        <f t="shared" si="2"/>
        <v>4</v>
      </c>
      <c r="H25" t="str">
        <f t="shared" si="3"/>
        <v>QR4</v>
      </c>
      <c r="J25" s="9">
        <f>(_xlfn.XLOOKUP(_xlfn.CONCAT(A25,D25),Sheet1!$AE$26:$AE$61,Sheet1!$AF$26:$AF$61)+_xlfn.XLOOKUP(_xlfn.CONCAT('ROOM TIME'!A25,'ROOM TIME'!E25),Sheet1!$AE$26:$AE$61,Sheet1!$AF$26:$AF$61)+_xlfn.XLOOKUP(_xlfn.CONCAT('ROOM TIME'!A25,'ROOM TIME'!F25),Sheet1!$AE$26:$AE$61,Sheet1!$AF$26:$AF$61))/_xlfn.XLOOKUP(A25,Sheet1!$A$12:$A$17,Sheet1!$F$12:$F$17)</f>
        <v>41.41888888888888</v>
      </c>
      <c r="O25" s="2"/>
      <c r="P25" s="2"/>
      <c r="Q25" s="2"/>
      <c r="R25" s="2"/>
      <c r="T25" s="8"/>
      <c r="U25" s="8"/>
      <c r="V25" s="8"/>
      <c r="W25" s="8"/>
      <c r="X25" s="8"/>
      <c r="Y25" s="8"/>
    </row>
    <row r="26" spans="1:25" ht="19.5" customHeight="1" x14ac:dyDescent="0.45">
      <c r="A26" t="s">
        <v>12</v>
      </c>
      <c r="B26" t="s">
        <v>19</v>
      </c>
      <c r="C26" s="4">
        <v>135</v>
      </c>
      <c r="D26" s="4">
        <f t="shared" si="0"/>
        <v>1</v>
      </c>
      <c r="E26" s="4">
        <f t="shared" si="1"/>
        <v>3</v>
      </c>
      <c r="F26" s="4">
        <f t="shared" si="2"/>
        <v>5</v>
      </c>
      <c r="H26" t="str">
        <f t="shared" si="3"/>
        <v>QR5</v>
      </c>
      <c r="J26" s="9">
        <f>(_xlfn.XLOOKUP(_xlfn.CONCAT(A26,D26),Sheet1!$AE$26:$AE$61,Sheet1!$AF$26:$AF$61)+_xlfn.XLOOKUP(_xlfn.CONCAT('ROOM TIME'!A26,'ROOM TIME'!E26),Sheet1!$AE$26:$AE$61,Sheet1!$AF$26:$AF$61)+_xlfn.XLOOKUP(_xlfn.CONCAT('ROOM TIME'!A26,'ROOM TIME'!F26),Sheet1!$AE$26:$AE$61,Sheet1!$AF$26:$AF$61))/_xlfn.XLOOKUP(A26,Sheet1!$A$12:$A$17,Sheet1!$F$12:$F$17)</f>
        <v>41.149999999999984</v>
      </c>
      <c r="O26" s="2"/>
      <c r="P26" s="2"/>
      <c r="Q26" s="2"/>
      <c r="R26" s="2"/>
      <c r="T26" s="8"/>
      <c r="U26" s="8"/>
      <c r="V26" s="8"/>
      <c r="W26" s="8"/>
      <c r="X26" s="8"/>
      <c r="Y26" s="8"/>
    </row>
    <row r="27" spans="1:25" ht="19.5" customHeight="1" x14ac:dyDescent="0.45">
      <c r="A27" t="s">
        <v>12</v>
      </c>
      <c r="B27" t="s">
        <v>20</v>
      </c>
      <c r="C27" s="4">
        <v>145</v>
      </c>
      <c r="D27" s="4">
        <f t="shared" si="0"/>
        <v>1</v>
      </c>
      <c r="E27" s="4">
        <f t="shared" si="1"/>
        <v>4</v>
      </c>
      <c r="F27" s="4">
        <f t="shared" si="2"/>
        <v>5</v>
      </c>
      <c r="H27" t="str">
        <f t="shared" si="3"/>
        <v>QR6</v>
      </c>
      <c r="J27" s="9">
        <f>(_xlfn.XLOOKUP(_xlfn.CONCAT(A27,D27),Sheet1!$AE$26:$AE$61,Sheet1!$AF$26:$AF$61)+_xlfn.XLOOKUP(_xlfn.CONCAT('ROOM TIME'!A27,'ROOM TIME'!E27),Sheet1!$AE$26:$AE$61,Sheet1!$AF$26:$AF$61)+_xlfn.XLOOKUP(_xlfn.CONCAT('ROOM TIME'!A27,'ROOM TIME'!F27),Sheet1!$AE$26:$AE$61,Sheet1!$AF$26:$AF$61))/_xlfn.XLOOKUP(A27,Sheet1!$A$12:$A$17,Sheet1!$F$12:$F$17)</f>
        <v>39.583333333333321</v>
      </c>
      <c r="O27" s="2"/>
      <c r="P27" s="2"/>
      <c r="Q27" s="2"/>
      <c r="R27" s="2"/>
      <c r="T27" s="8"/>
      <c r="U27" s="8"/>
      <c r="V27" s="8"/>
      <c r="W27" s="8"/>
      <c r="X27" s="8"/>
      <c r="Y27" s="8"/>
    </row>
    <row r="28" spans="1:25" ht="19.5" customHeight="1" x14ac:dyDescent="0.45">
      <c r="A28" t="s">
        <v>12</v>
      </c>
      <c r="B28" t="s">
        <v>21</v>
      </c>
      <c r="C28" s="4">
        <v>234</v>
      </c>
      <c r="D28" s="4">
        <f t="shared" si="0"/>
        <v>2</v>
      </c>
      <c r="E28" s="4">
        <f t="shared" si="1"/>
        <v>3</v>
      </c>
      <c r="F28" s="4">
        <f t="shared" si="2"/>
        <v>4</v>
      </c>
      <c r="H28" t="str">
        <f t="shared" si="3"/>
        <v>QR7</v>
      </c>
      <c r="J28" s="9">
        <f>(_xlfn.XLOOKUP(_xlfn.CONCAT(A28,D28),Sheet1!$AE$26:$AE$61,Sheet1!$AF$26:$AF$61)+_xlfn.XLOOKUP(_xlfn.CONCAT('ROOM TIME'!A28,'ROOM TIME'!E28),Sheet1!$AE$26:$AE$61,Sheet1!$AF$26:$AF$61)+_xlfn.XLOOKUP(_xlfn.CONCAT('ROOM TIME'!A28,'ROOM TIME'!F28),Sheet1!$AE$26:$AE$61,Sheet1!$AF$26:$AF$61))/_xlfn.XLOOKUP(A28,Sheet1!$A$12:$A$17,Sheet1!$F$12:$F$17)</f>
        <v>41.748888888888878</v>
      </c>
      <c r="O28" s="2"/>
      <c r="P28" s="2"/>
      <c r="Q28" s="2"/>
      <c r="R28" s="2"/>
      <c r="T28" s="8"/>
      <c r="U28" s="8"/>
      <c r="V28" s="8"/>
      <c r="W28" s="8"/>
      <c r="X28" s="8"/>
      <c r="Y28" s="8"/>
    </row>
    <row r="29" spans="1:25" ht="19.5" customHeight="1" x14ac:dyDescent="0.45">
      <c r="A29" t="s">
        <v>12</v>
      </c>
      <c r="B29" t="s">
        <v>22</v>
      </c>
      <c r="C29" s="4">
        <v>235</v>
      </c>
      <c r="D29" s="4">
        <f t="shared" si="0"/>
        <v>2</v>
      </c>
      <c r="E29" s="4">
        <f t="shared" si="1"/>
        <v>3</v>
      </c>
      <c r="F29" s="4">
        <f t="shared" si="2"/>
        <v>5</v>
      </c>
      <c r="H29" t="str">
        <f t="shared" si="3"/>
        <v>QR8</v>
      </c>
      <c r="J29" s="9">
        <f>(_xlfn.XLOOKUP(_xlfn.CONCAT(A29,D29),Sheet1!$AE$26:$AE$61,Sheet1!$AF$26:$AF$61)+_xlfn.XLOOKUP(_xlfn.CONCAT('ROOM TIME'!A29,'ROOM TIME'!E29),Sheet1!$AE$26:$AE$61,Sheet1!$AF$26:$AF$61)+_xlfn.XLOOKUP(_xlfn.CONCAT('ROOM TIME'!A29,'ROOM TIME'!F29),Sheet1!$AE$26:$AE$61,Sheet1!$AF$26:$AF$61))/_xlfn.XLOOKUP(A29,Sheet1!$A$12:$A$17,Sheet1!$F$12:$F$17)</f>
        <v>41.479999999999983</v>
      </c>
      <c r="O29" s="2"/>
      <c r="P29" s="2"/>
      <c r="Q29" s="2"/>
      <c r="R29" s="2"/>
      <c r="T29" s="8"/>
      <c r="U29" s="8"/>
      <c r="V29" s="8"/>
      <c r="W29" s="8"/>
      <c r="X29" s="8"/>
      <c r="Y29" s="8"/>
    </row>
    <row r="30" spans="1:25" ht="19.5" customHeight="1" x14ac:dyDescent="0.45">
      <c r="A30" t="s">
        <v>12</v>
      </c>
      <c r="B30" t="s">
        <v>23</v>
      </c>
      <c r="C30" s="4">
        <v>245</v>
      </c>
      <c r="D30" s="4">
        <f t="shared" si="0"/>
        <v>2</v>
      </c>
      <c r="E30" s="4">
        <f t="shared" si="1"/>
        <v>4</v>
      </c>
      <c r="F30" s="4">
        <f t="shared" si="2"/>
        <v>5</v>
      </c>
      <c r="H30" t="str">
        <f t="shared" si="3"/>
        <v>QR9</v>
      </c>
      <c r="J30" s="9">
        <f>(_xlfn.XLOOKUP(_xlfn.CONCAT(A30,D30),Sheet1!$AE$26:$AE$61,Sheet1!$AF$26:$AF$61)+_xlfn.XLOOKUP(_xlfn.CONCAT('ROOM TIME'!A30,'ROOM TIME'!E30),Sheet1!$AE$26:$AE$61,Sheet1!$AF$26:$AF$61)+_xlfn.XLOOKUP(_xlfn.CONCAT('ROOM TIME'!A30,'ROOM TIME'!F30),Sheet1!$AE$26:$AE$61,Sheet1!$AF$26:$AF$61))/_xlfn.XLOOKUP(A30,Sheet1!$A$12:$A$17,Sheet1!$F$12:$F$17)</f>
        <v>39.91333333333332</v>
      </c>
      <c r="O30" s="2"/>
      <c r="P30" s="2"/>
      <c r="Q30" s="2"/>
      <c r="R30" s="2"/>
      <c r="T30" s="8"/>
      <c r="U30" s="8"/>
      <c r="V30" s="8"/>
      <c r="W30" s="8"/>
      <c r="X30" s="8"/>
      <c r="Y30" s="8"/>
    </row>
    <row r="31" spans="1:25" ht="19.5" customHeight="1" x14ac:dyDescent="0.45">
      <c r="A31" t="s">
        <v>12</v>
      </c>
      <c r="B31" t="s">
        <v>24</v>
      </c>
      <c r="C31" s="4">
        <v>345</v>
      </c>
      <c r="D31" s="4">
        <f t="shared" si="0"/>
        <v>3</v>
      </c>
      <c r="E31" s="4">
        <f t="shared" si="1"/>
        <v>4</v>
      </c>
      <c r="F31" s="4">
        <f t="shared" si="2"/>
        <v>5</v>
      </c>
      <c r="H31" t="str">
        <f t="shared" si="3"/>
        <v>QR10</v>
      </c>
      <c r="J31" s="9">
        <f>(_xlfn.XLOOKUP(_xlfn.CONCAT(A31,D31),Sheet1!$AE$26:$AE$61,Sheet1!$AF$26:$AF$61)+_xlfn.XLOOKUP(_xlfn.CONCAT('ROOM TIME'!A31,'ROOM TIME'!E31),Sheet1!$AE$26:$AE$61,Sheet1!$AF$26:$AF$61)+_xlfn.XLOOKUP(_xlfn.CONCAT('ROOM TIME'!A31,'ROOM TIME'!F31),Sheet1!$AE$26:$AE$61,Sheet1!$AF$26:$AF$61))/_xlfn.XLOOKUP(A31,Sheet1!$A$12:$A$17,Sheet1!$F$12:$F$17)</f>
        <v>40.9311111111111</v>
      </c>
      <c r="O31" s="2"/>
      <c r="P31" s="2"/>
      <c r="Q31" s="2"/>
      <c r="R31" s="2"/>
      <c r="T31" s="8"/>
      <c r="U31" s="8"/>
      <c r="V31" s="8"/>
      <c r="W31" s="8"/>
      <c r="X31" s="8"/>
      <c r="Y31" s="8"/>
    </row>
    <row r="32" spans="1:25" ht="19.5" customHeight="1" x14ac:dyDescent="0.45">
      <c r="A32" t="s">
        <v>12</v>
      </c>
      <c r="B32" t="s">
        <v>25</v>
      </c>
      <c r="C32" s="4">
        <v>126</v>
      </c>
      <c r="D32" s="4">
        <f t="shared" si="0"/>
        <v>1</v>
      </c>
      <c r="E32" s="4">
        <f t="shared" si="1"/>
        <v>2</v>
      </c>
      <c r="F32" s="4">
        <f t="shared" si="2"/>
        <v>6</v>
      </c>
      <c r="H32" t="str">
        <f t="shared" si="3"/>
        <v>QR11</v>
      </c>
      <c r="J32" s="9">
        <f>(_xlfn.XLOOKUP(_xlfn.CONCAT(A32,D32),Sheet1!$AE$26:$AE$61,Sheet1!$AF$26:$AF$61)+_xlfn.XLOOKUP(_xlfn.CONCAT('ROOM TIME'!A32,'ROOM TIME'!E32),Sheet1!$AE$26:$AE$61,Sheet1!$AF$26:$AF$61)+_xlfn.XLOOKUP(_xlfn.CONCAT('ROOM TIME'!A32,'ROOM TIME'!F32),Sheet1!$AE$26:$AE$61,Sheet1!$AF$26:$AF$61))/_xlfn.XLOOKUP(A32,Sheet1!$A$12:$A$17,Sheet1!$F$12:$F$17)</f>
        <v>37.801111111111091</v>
      </c>
      <c r="O32" s="2"/>
      <c r="P32" s="2"/>
      <c r="Q32" s="2"/>
      <c r="R32" s="2"/>
      <c r="T32" s="8"/>
      <c r="U32" s="8"/>
      <c r="V32" s="8"/>
      <c r="W32" s="8"/>
      <c r="X32" s="8"/>
      <c r="Y32" s="8"/>
    </row>
    <row r="33" spans="1:25" ht="19.5" customHeight="1" x14ac:dyDescent="0.45">
      <c r="A33" t="s">
        <v>12</v>
      </c>
      <c r="B33" t="s">
        <v>26</v>
      </c>
      <c r="C33" s="4">
        <v>136</v>
      </c>
      <c r="D33" s="4">
        <f t="shared" si="0"/>
        <v>1</v>
      </c>
      <c r="E33" s="4">
        <f t="shared" si="1"/>
        <v>3</v>
      </c>
      <c r="F33" s="4">
        <f t="shared" si="2"/>
        <v>6</v>
      </c>
      <c r="H33" t="str">
        <f t="shared" si="3"/>
        <v>QR12</v>
      </c>
      <c r="J33" s="9">
        <f>(_xlfn.XLOOKUP(_xlfn.CONCAT(A33,D33),Sheet1!$AE$26:$AE$61,Sheet1!$AF$26:$AF$61)+_xlfn.XLOOKUP(_xlfn.CONCAT('ROOM TIME'!A33,'ROOM TIME'!E33),Sheet1!$AE$26:$AE$61,Sheet1!$AF$26:$AF$61)+_xlfn.XLOOKUP(_xlfn.CONCAT('ROOM TIME'!A33,'ROOM TIME'!F33),Sheet1!$AE$26:$AE$61,Sheet1!$AF$26:$AF$61))/_xlfn.XLOOKUP(A33,Sheet1!$A$12:$A$17,Sheet1!$F$12:$F$17)</f>
        <v>38.818888888888871</v>
      </c>
      <c r="O33" s="2"/>
      <c r="P33" s="2"/>
      <c r="Q33" s="2"/>
      <c r="R33" s="2"/>
      <c r="T33" s="8"/>
      <c r="U33" s="8"/>
      <c r="V33" s="8"/>
      <c r="W33" s="8"/>
      <c r="X33" s="8"/>
      <c r="Y33" s="8"/>
    </row>
    <row r="34" spans="1:25" ht="19.5" customHeight="1" x14ac:dyDescent="0.45">
      <c r="A34" t="s">
        <v>12</v>
      </c>
      <c r="B34" t="s">
        <v>27</v>
      </c>
      <c r="C34" s="4">
        <v>146</v>
      </c>
      <c r="D34" s="4">
        <f t="shared" ref="D34:D65" si="7">VALUE(LEFT(C34,1))</f>
        <v>1</v>
      </c>
      <c r="E34" s="4">
        <f t="shared" ref="E34:E65" si="8">VALUE(MID(C34,2,1))</f>
        <v>4</v>
      </c>
      <c r="F34" s="4">
        <f t="shared" ref="F34:F65" si="9">VALUE(RIGHT(C34,1))</f>
        <v>6</v>
      </c>
      <c r="H34" t="str">
        <f t="shared" ref="H34:H65" si="10">_xlfn.CONCAT(A34,B34)</f>
        <v>QR13</v>
      </c>
      <c r="J34" s="9">
        <f>(_xlfn.XLOOKUP(_xlfn.CONCAT(A34,D34),Sheet1!$AE$26:$AE$61,Sheet1!$AF$26:$AF$61)+_xlfn.XLOOKUP(_xlfn.CONCAT('ROOM TIME'!A34,'ROOM TIME'!E34),Sheet1!$AE$26:$AE$61,Sheet1!$AF$26:$AF$61)+_xlfn.XLOOKUP(_xlfn.CONCAT('ROOM TIME'!A34,'ROOM TIME'!F34),Sheet1!$AE$26:$AE$61,Sheet1!$AF$26:$AF$61))/_xlfn.XLOOKUP(A34,Sheet1!$A$12:$A$17,Sheet1!$F$12:$F$17)</f>
        <v>37.252222222222208</v>
      </c>
      <c r="O34" s="2"/>
      <c r="P34" s="2"/>
      <c r="Q34" s="2"/>
      <c r="R34" s="2"/>
      <c r="T34" s="8"/>
      <c r="U34" s="8"/>
      <c r="V34" s="8"/>
      <c r="W34" s="8"/>
      <c r="X34" s="8"/>
      <c r="Y34" s="8"/>
    </row>
    <row r="35" spans="1:25" ht="19.5" customHeight="1" x14ac:dyDescent="0.45">
      <c r="A35" t="s">
        <v>12</v>
      </c>
      <c r="B35" t="s">
        <v>28</v>
      </c>
      <c r="C35" s="4">
        <v>156</v>
      </c>
      <c r="D35" s="4">
        <f t="shared" si="7"/>
        <v>1</v>
      </c>
      <c r="E35" s="4">
        <f t="shared" si="8"/>
        <v>5</v>
      </c>
      <c r="F35" s="4">
        <f t="shared" si="9"/>
        <v>6</v>
      </c>
      <c r="H35" t="str">
        <f t="shared" si="10"/>
        <v>QR14</v>
      </c>
      <c r="J35" s="9">
        <f>(_xlfn.XLOOKUP(_xlfn.CONCAT(A35,D35),Sheet1!$AE$26:$AE$61,Sheet1!$AF$26:$AF$61)+_xlfn.XLOOKUP(_xlfn.CONCAT('ROOM TIME'!A35,'ROOM TIME'!E35),Sheet1!$AE$26:$AE$61,Sheet1!$AF$26:$AF$61)+_xlfn.XLOOKUP(_xlfn.CONCAT('ROOM TIME'!A35,'ROOM TIME'!F35),Sheet1!$AE$26:$AE$61,Sheet1!$AF$26:$AF$61))/_xlfn.XLOOKUP(A35,Sheet1!$A$12:$A$17,Sheet1!$F$12:$F$17)</f>
        <v>36.98333333333332</v>
      </c>
      <c r="O35" s="2"/>
      <c r="P35" s="2"/>
      <c r="Q35" s="2"/>
      <c r="R35" s="2"/>
      <c r="T35" s="8"/>
      <c r="U35" s="8"/>
      <c r="V35" s="8"/>
      <c r="W35" s="8"/>
      <c r="X35" s="8"/>
      <c r="Y35" s="8"/>
    </row>
    <row r="36" spans="1:25" ht="19.5" customHeight="1" x14ac:dyDescent="0.45">
      <c r="A36" t="s">
        <v>12</v>
      </c>
      <c r="B36" t="s">
        <v>29</v>
      </c>
      <c r="C36" s="4">
        <v>236</v>
      </c>
      <c r="D36" s="4">
        <f t="shared" si="7"/>
        <v>2</v>
      </c>
      <c r="E36" s="4">
        <f t="shared" si="8"/>
        <v>3</v>
      </c>
      <c r="F36" s="4">
        <f t="shared" si="9"/>
        <v>6</v>
      </c>
      <c r="H36" t="str">
        <f t="shared" si="10"/>
        <v>QR15</v>
      </c>
      <c r="J36" s="9">
        <f>(_xlfn.XLOOKUP(_xlfn.CONCAT(A36,D36),Sheet1!$AE$26:$AE$61,Sheet1!$AF$26:$AF$61)+_xlfn.XLOOKUP(_xlfn.CONCAT('ROOM TIME'!A36,'ROOM TIME'!E36),Sheet1!$AE$26:$AE$61,Sheet1!$AF$26:$AF$61)+_xlfn.XLOOKUP(_xlfn.CONCAT('ROOM TIME'!A36,'ROOM TIME'!F36),Sheet1!$AE$26:$AE$61,Sheet1!$AF$26:$AF$61))/_xlfn.XLOOKUP(A36,Sheet1!$A$12:$A$17,Sheet1!$F$12:$F$17)</f>
        <v>39.14888888888887</v>
      </c>
      <c r="O36" s="2"/>
      <c r="P36" s="2"/>
      <c r="Q36" s="2"/>
      <c r="R36" s="2"/>
      <c r="T36" s="8"/>
      <c r="U36" s="8"/>
      <c r="V36" s="8"/>
      <c r="W36" s="8"/>
      <c r="X36" s="8"/>
      <c r="Y36" s="8"/>
    </row>
    <row r="37" spans="1:25" ht="19.5" customHeight="1" x14ac:dyDescent="0.45">
      <c r="A37" t="s">
        <v>12</v>
      </c>
      <c r="B37" t="s">
        <v>30</v>
      </c>
      <c r="C37" s="4">
        <v>246</v>
      </c>
      <c r="D37" s="4">
        <f t="shared" si="7"/>
        <v>2</v>
      </c>
      <c r="E37" s="4">
        <f t="shared" si="8"/>
        <v>4</v>
      </c>
      <c r="F37" s="4">
        <f t="shared" si="9"/>
        <v>6</v>
      </c>
      <c r="H37" t="str">
        <f t="shared" si="10"/>
        <v>QR16</v>
      </c>
      <c r="J37" s="9">
        <f>(_xlfn.XLOOKUP(_xlfn.CONCAT(A37,D37),Sheet1!$AE$26:$AE$61,Sheet1!$AF$26:$AF$61)+_xlfn.XLOOKUP(_xlfn.CONCAT('ROOM TIME'!A37,'ROOM TIME'!E37),Sheet1!$AE$26:$AE$61,Sheet1!$AF$26:$AF$61)+_xlfn.XLOOKUP(_xlfn.CONCAT('ROOM TIME'!A37,'ROOM TIME'!F37),Sheet1!$AE$26:$AE$61,Sheet1!$AF$26:$AF$61))/_xlfn.XLOOKUP(A37,Sheet1!$A$12:$A$17,Sheet1!$F$12:$F$17)</f>
        <v>37.582222222222207</v>
      </c>
      <c r="O37" s="2"/>
      <c r="P37" s="2"/>
      <c r="Q37" s="2"/>
      <c r="R37" s="2"/>
      <c r="T37" s="8"/>
      <c r="U37" s="8"/>
      <c r="V37" s="8"/>
      <c r="W37" s="8"/>
      <c r="X37" s="8"/>
      <c r="Y37" s="8"/>
    </row>
    <row r="38" spans="1:25" ht="19.5" customHeight="1" x14ac:dyDescent="0.45">
      <c r="A38" t="s">
        <v>12</v>
      </c>
      <c r="B38" t="s">
        <v>31</v>
      </c>
      <c r="C38" s="4">
        <v>256</v>
      </c>
      <c r="D38" s="4">
        <f t="shared" si="7"/>
        <v>2</v>
      </c>
      <c r="E38" s="4">
        <f t="shared" si="8"/>
        <v>5</v>
      </c>
      <c r="F38" s="4">
        <f t="shared" si="9"/>
        <v>6</v>
      </c>
      <c r="H38" t="str">
        <f t="shared" si="10"/>
        <v>QR17</v>
      </c>
      <c r="J38" s="9">
        <f>(_xlfn.XLOOKUP(_xlfn.CONCAT(A38,D38),Sheet1!$AE$26:$AE$61,Sheet1!$AF$26:$AF$61)+_xlfn.XLOOKUP(_xlfn.CONCAT('ROOM TIME'!A38,'ROOM TIME'!E38),Sheet1!$AE$26:$AE$61,Sheet1!$AF$26:$AF$61)+_xlfn.XLOOKUP(_xlfn.CONCAT('ROOM TIME'!A38,'ROOM TIME'!F38),Sheet1!$AE$26:$AE$61,Sheet1!$AF$26:$AF$61))/_xlfn.XLOOKUP(A38,Sheet1!$A$12:$A$17,Sheet1!$F$12:$F$17)</f>
        <v>37.313333333333318</v>
      </c>
      <c r="O38" s="2"/>
      <c r="P38" s="2"/>
      <c r="Q38" s="2"/>
      <c r="R38" s="2"/>
      <c r="T38" s="8"/>
      <c r="U38" s="8"/>
      <c r="V38" s="8"/>
      <c r="W38" s="8"/>
      <c r="X38" s="8"/>
      <c r="Y38" s="8"/>
    </row>
    <row r="39" spans="1:25" ht="19.5" customHeight="1" x14ac:dyDescent="0.45">
      <c r="A39" t="s">
        <v>12</v>
      </c>
      <c r="B39" t="s">
        <v>32</v>
      </c>
      <c r="C39" s="4">
        <v>346</v>
      </c>
      <c r="D39" s="4">
        <f t="shared" si="7"/>
        <v>3</v>
      </c>
      <c r="E39" s="4">
        <f t="shared" si="8"/>
        <v>4</v>
      </c>
      <c r="F39" s="4">
        <f t="shared" si="9"/>
        <v>6</v>
      </c>
      <c r="H39" t="str">
        <f t="shared" si="10"/>
        <v>QR18</v>
      </c>
      <c r="J39" s="9">
        <f>(_xlfn.XLOOKUP(_xlfn.CONCAT(A39,D39),Sheet1!$AE$26:$AE$61,Sheet1!$AF$26:$AF$61)+_xlfn.XLOOKUP(_xlfn.CONCAT('ROOM TIME'!A39,'ROOM TIME'!E39),Sheet1!$AE$26:$AE$61,Sheet1!$AF$26:$AF$61)+_xlfn.XLOOKUP(_xlfn.CONCAT('ROOM TIME'!A39,'ROOM TIME'!F39),Sheet1!$AE$26:$AE$61,Sheet1!$AF$26:$AF$61))/_xlfn.XLOOKUP(A39,Sheet1!$A$12:$A$17,Sheet1!$F$12:$F$17)</f>
        <v>38.599999999999987</v>
      </c>
      <c r="O39" s="2"/>
      <c r="P39" s="2"/>
      <c r="Q39" s="2"/>
      <c r="R39" s="2"/>
      <c r="T39" s="8"/>
      <c r="U39" s="8"/>
      <c r="V39" s="8"/>
      <c r="W39" s="8"/>
      <c r="X39" s="8"/>
      <c r="Y39" s="8"/>
    </row>
    <row r="40" spans="1:25" ht="19.5" customHeight="1" x14ac:dyDescent="0.45">
      <c r="A40" t="s">
        <v>12</v>
      </c>
      <c r="B40" t="s">
        <v>33</v>
      </c>
      <c r="C40" s="4">
        <v>356</v>
      </c>
      <c r="D40" s="4">
        <f t="shared" si="7"/>
        <v>3</v>
      </c>
      <c r="E40" s="4">
        <f t="shared" si="8"/>
        <v>5</v>
      </c>
      <c r="F40" s="4">
        <f t="shared" si="9"/>
        <v>6</v>
      </c>
      <c r="H40" t="str">
        <f t="shared" si="10"/>
        <v>QR19</v>
      </c>
      <c r="J40" s="9">
        <f>(_xlfn.XLOOKUP(_xlfn.CONCAT(A40,D40),Sheet1!$AE$26:$AE$61,Sheet1!$AF$26:$AF$61)+_xlfn.XLOOKUP(_xlfn.CONCAT('ROOM TIME'!A40,'ROOM TIME'!E40),Sheet1!$AE$26:$AE$61,Sheet1!$AF$26:$AF$61)+_xlfn.XLOOKUP(_xlfn.CONCAT('ROOM TIME'!A40,'ROOM TIME'!F40),Sheet1!$AE$26:$AE$61,Sheet1!$AF$26:$AF$61))/_xlfn.XLOOKUP(A40,Sheet1!$A$12:$A$17,Sheet1!$F$12:$F$17)</f>
        <v>38.331111111111092</v>
      </c>
      <c r="O40" s="2"/>
      <c r="P40" s="2"/>
      <c r="Q40" s="2"/>
      <c r="R40" s="2"/>
      <c r="T40" s="8"/>
      <c r="U40" s="8"/>
      <c r="V40" s="8"/>
      <c r="W40" s="8"/>
      <c r="X40" s="8"/>
      <c r="Y40" s="8"/>
    </row>
    <row r="41" spans="1:25" ht="19.5" customHeight="1" x14ac:dyDescent="0.45">
      <c r="A41" t="s">
        <v>12</v>
      </c>
      <c r="B41" t="s">
        <v>34</v>
      </c>
      <c r="C41" s="4">
        <v>456</v>
      </c>
      <c r="D41" s="4">
        <f t="shared" si="7"/>
        <v>4</v>
      </c>
      <c r="E41" s="4">
        <f t="shared" si="8"/>
        <v>5</v>
      </c>
      <c r="F41" s="4">
        <f t="shared" si="9"/>
        <v>6</v>
      </c>
      <c r="H41" t="str">
        <f t="shared" si="10"/>
        <v>QR20</v>
      </c>
      <c r="J41" s="9">
        <f>(_xlfn.XLOOKUP(_xlfn.CONCAT(A41,D41),Sheet1!$AE$26:$AE$61,Sheet1!$AF$26:$AF$61)+_xlfn.XLOOKUP(_xlfn.CONCAT('ROOM TIME'!A41,'ROOM TIME'!E41),Sheet1!$AE$26:$AE$61,Sheet1!$AF$26:$AF$61)+_xlfn.XLOOKUP(_xlfn.CONCAT('ROOM TIME'!A41,'ROOM TIME'!F41),Sheet1!$AE$26:$AE$61,Sheet1!$AF$26:$AF$61))/_xlfn.XLOOKUP(A41,Sheet1!$A$12:$A$17,Sheet1!$F$12:$F$17)</f>
        <v>36.764444444444429</v>
      </c>
      <c r="O41" s="2"/>
      <c r="P41" s="2"/>
      <c r="Q41" s="2"/>
      <c r="R41" s="2"/>
      <c r="T41" s="8"/>
      <c r="U41" s="8"/>
      <c r="V41" s="8"/>
      <c r="W41" s="8"/>
      <c r="X41" s="8"/>
      <c r="Y41" s="8"/>
    </row>
    <row r="42" spans="1:25" ht="19.5" customHeight="1" x14ac:dyDescent="0.45">
      <c r="A42" t="s">
        <v>13</v>
      </c>
      <c r="B42" t="s">
        <v>10</v>
      </c>
      <c r="C42" s="4">
        <v>123</v>
      </c>
      <c r="D42" s="4">
        <f t="shared" si="7"/>
        <v>1</v>
      </c>
      <c r="E42" s="4">
        <f t="shared" si="8"/>
        <v>2</v>
      </c>
      <c r="F42" s="4">
        <f t="shared" si="9"/>
        <v>3</v>
      </c>
      <c r="H42" t="str">
        <f t="shared" si="10"/>
        <v>RR1</v>
      </c>
      <c r="J42" s="9">
        <f>(_xlfn.XLOOKUP(_xlfn.CONCAT(A42,D42),Sheet1!$AE$26:$AE$61,Sheet1!$AF$26:$AF$61)+_xlfn.XLOOKUP(_xlfn.CONCAT('ROOM TIME'!A42,'ROOM TIME'!E42),Sheet1!$AE$26:$AE$61,Sheet1!$AF$26:$AF$61)+_xlfn.XLOOKUP(_xlfn.CONCAT('ROOM TIME'!A42,'ROOM TIME'!F42),Sheet1!$AE$26:$AE$61,Sheet1!$AF$26:$AF$61))/_xlfn.XLOOKUP(A42,Sheet1!$A$12:$A$17,Sheet1!$F$12:$F$17)</f>
        <v>43.654444444444437</v>
      </c>
      <c r="O42" s="2"/>
      <c r="P42" s="2"/>
      <c r="Q42" s="2"/>
      <c r="R42" s="2"/>
      <c r="T42" s="8"/>
      <c r="U42" s="8"/>
      <c r="V42" s="8"/>
      <c r="W42" s="8"/>
      <c r="X42" s="8"/>
      <c r="Y42" s="8"/>
    </row>
    <row r="43" spans="1:25" ht="19.5" customHeight="1" x14ac:dyDescent="0.45">
      <c r="A43" t="s">
        <v>13</v>
      </c>
      <c r="B43" t="s">
        <v>11</v>
      </c>
      <c r="C43" s="4">
        <v>124</v>
      </c>
      <c r="D43" s="4">
        <f t="shared" si="7"/>
        <v>1</v>
      </c>
      <c r="E43" s="4">
        <f t="shared" si="8"/>
        <v>2</v>
      </c>
      <c r="F43" s="4">
        <f t="shared" si="9"/>
        <v>4</v>
      </c>
      <c r="H43" t="str">
        <f t="shared" si="10"/>
        <v>RR2</v>
      </c>
      <c r="J43" s="9">
        <f>(_xlfn.XLOOKUP(_xlfn.CONCAT(A43,D43),Sheet1!$AE$26:$AE$61,Sheet1!$AF$26:$AF$61)+_xlfn.XLOOKUP(_xlfn.CONCAT('ROOM TIME'!A43,'ROOM TIME'!E43),Sheet1!$AE$26:$AE$61,Sheet1!$AF$26:$AF$61)+_xlfn.XLOOKUP(_xlfn.CONCAT('ROOM TIME'!A43,'ROOM TIME'!F43),Sheet1!$AE$26:$AE$61,Sheet1!$AF$26:$AF$61))/_xlfn.XLOOKUP(A43,Sheet1!$A$12:$A$17,Sheet1!$F$12:$F$17)</f>
        <v>42.521111111111104</v>
      </c>
      <c r="O43" s="2"/>
      <c r="P43" s="2"/>
      <c r="Q43" s="2"/>
      <c r="R43" s="2"/>
      <c r="T43" s="8"/>
      <c r="U43" s="8"/>
      <c r="V43" s="8"/>
      <c r="W43" s="8"/>
      <c r="X43" s="8"/>
      <c r="Y43" s="8"/>
    </row>
    <row r="44" spans="1:25" ht="19.5" customHeight="1" x14ac:dyDescent="0.45">
      <c r="A44" t="s">
        <v>13</v>
      </c>
      <c r="B44" t="s">
        <v>17</v>
      </c>
      <c r="C44" s="4">
        <v>125</v>
      </c>
      <c r="D44" s="4">
        <f t="shared" si="7"/>
        <v>1</v>
      </c>
      <c r="E44" s="4">
        <f t="shared" si="8"/>
        <v>2</v>
      </c>
      <c r="F44" s="4">
        <f t="shared" si="9"/>
        <v>5</v>
      </c>
      <c r="H44" t="str">
        <f t="shared" si="10"/>
        <v>RR3</v>
      </c>
      <c r="J44" s="9">
        <f>(_xlfn.XLOOKUP(_xlfn.CONCAT(A44,D44),Sheet1!$AE$26:$AE$61,Sheet1!$AF$26:$AF$61)+_xlfn.XLOOKUP(_xlfn.CONCAT('ROOM TIME'!A44,'ROOM TIME'!E44),Sheet1!$AE$26:$AE$61,Sheet1!$AF$26:$AF$61)+_xlfn.XLOOKUP(_xlfn.CONCAT('ROOM TIME'!A44,'ROOM TIME'!F44),Sheet1!$AE$26:$AE$61,Sheet1!$AF$26:$AF$61))/_xlfn.XLOOKUP(A44,Sheet1!$A$12:$A$17,Sheet1!$F$12:$F$17)</f>
        <v>42.167222222222215</v>
      </c>
      <c r="O44" s="2"/>
      <c r="P44" s="2"/>
      <c r="Q44" s="2"/>
      <c r="R44" s="2"/>
      <c r="T44" s="8"/>
      <c r="U44" s="8"/>
      <c r="V44" s="8"/>
      <c r="W44" s="8"/>
      <c r="X44" s="8"/>
      <c r="Y44" s="8"/>
    </row>
    <row r="45" spans="1:25" ht="19.5" customHeight="1" x14ac:dyDescent="0.45">
      <c r="A45" t="s">
        <v>13</v>
      </c>
      <c r="B45" t="s">
        <v>18</v>
      </c>
      <c r="C45" s="4">
        <v>134</v>
      </c>
      <c r="D45" s="4">
        <f t="shared" si="7"/>
        <v>1</v>
      </c>
      <c r="E45" s="4">
        <f t="shared" si="8"/>
        <v>3</v>
      </c>
      <c r="F45" s="4">
        <f t="shared" si="9"/>
        <v>4</v>
      </c>
      <c r="H45" t="str">
        <f t="shared" si="10"/>
        <v>RR4</v>
      </c>
      <c r="J45" s="9">
        <f>(_xlfn.XLOOKUP(_xlfn.CONCAT(A45,D45),Sheet1!$AE$26:$AE$61,Sheet1!$AF$26:$AF$61)+_xlfn.XLOOKUP(_xlfn.CONCAT('ROOM TIME'!A45,'ROOM TIME'!E45),Sheet1!$AE$26:$AE$61,Sheet1!$AF$26:$AF$61)+_xlfn.XLOOKUP(_xlfn.CONCAT('ROOM TIME'!A45,'ROOM TIME'!F45),Sheet1!$AE$26:$AE$61,Sheet1!$AF$26:$AF$61))/_xlfn.XLOOKUP(A45,Sheet1!$A$12:$A$17,Sheet1!$F$12:$F$17)</f>
        <v>43.030555555555544</v>
      </c>
      <c r="O45" s="2"/>
      <c r="P45" s="2"/>
      <c r="Q45" s="2"/>
      <c r="R45" s="2"/>
      <c r="T45" s="8"/>
      <c r="U45" s="8"/>
      <c r="V45" s="8"/>
      <c r="W45" s="8"/>
      <c r="X45" s="8"/>
      <c r="Y45" s="8"/>
    </row>
    <row r="46" spans="1:25" ht="19.5" customHeight="1" x14ac:dyDescent="0.45">
      <c r="A46" t="s">
        <v>13</v>
      </c>
      <c r="B46" t="s">
        <v>19</v>
      </c>
      <c r="C46" s="4">
        <v>135</v>
      </c>
      <c r="D46" s="4">
        <f t="shared" si="7"/>
        <v>1</v>
      </c>
      <c r="E46" s="4">
        <f t="shared" si="8"/>
        <v>3</v>
      </c>
      <c r="F46" s="4">
        <f t="shared" si="9"/>
        <v>5</v>
      </c>
      <c r="H46" t="str">
        <f t="shared" si="10"/>
        <v>RR5</v>
      </c>
      <c r="J46" s="9">
        <f>(_xlfn.XLOOKUP(_xlfn.CONCAT(A46,D46),Sheet1!$AE$26:$AE$61,Sheet1!$AF$26:$AF$61)+_xlfn.XLOOKUP(_xlfn.CONCAT('ROOM TIME'!A46,'ROOM TIME'!E46),Sheet1!$AE$26:$AE$61,Sheet1!$AF$26:$AF$61)+_xlfn.XLOOKUP(_xlfn.CONCAT('ROOM TIME'!A46,'ROOM TIME'!F46),Sheet1!$AE$26:$AE$61,Sheet1!$AF$26:$AF$61))/_xlfn.XLOOKUP(A46,Sheet1!$A$12:$A$17,Sheet1!$F$12:$F$17)</f>
        <v>42.676666666666655</v>
      </c>
      <c r="O46" s="2"/>
      <c r="P46" s="2"/>
      <c r="Q46" s="2"/>
      <c r="R46" s="2"/>
      <c r="T46" s="8"/>
      <c r="U46" s="8"/>
      <c r="V46" s="8"/>
      <c r="W46" s="8"/>
      <c r="X46" s="8"/>
      <c r="Y46" s="8"/>
    </row>
    <row r="47" spans="1:25" ht="19.5" customHeight="1" x14ac:dyDescent="0.45">
      <c r="A47" t="s">
        <v>13</v>
      </c>
      <c r="B47" t="s">
        <v>20</v>
      </c>
      <c r="C47" s="4">
        <v>145</v>
      </c>
      <c r="D47" s="4">
        <f t="shared" si="7"/>
        <v>1</v>
      </c>
      <c r="E47" s="4">
        <f t="shared" si="8"/>
        <v>4</v>
      </c>
      <c r="F47" s="4">
        <f t="shared" si="9"/>
        <v>5</v>
      </c>
      <c r="H47" t="str">
        <f t="shared" si="10"/>
        <v>RR6</v>
      </c>
      <c r="J47" s="9">
        <f>(_xlfn.XLOOKUP(_xlfn.CONCAT(A47,D47),Sheet1!$AE$26:$AE$61,Sheet1!$AF$26:$AF$61)+_xlfn.XLOOKUP(_xlfn.CONCAT('ROOM TIME'!A47,'ROOM TIME'!E47),Sheet1!$AE$26:$AE$61,Sheet1!$AF$26:$AF$61)+_xlfn.XLOOKUP(_xlfn.CONCAT('ROOM TIME'!A47,'ROOM TIME'!F47),Sheet1!$AE$26:$AE$61,Sheet1!$AF$26:$AF$61))/_xlfn.XLOOKUP(A47,Sheet1!$A$12:$A$17,Sheet1!$F$12:$F$17)</f>
        <v>41.543333333333322</v>
      </c>
      <c r="O47" s="2"/>
      <c r="P47" s="2"/>
      <c r="Q47" s="2"/>
      <c r="R47" s="2"/>
      <c r="T47" s="8"/>
      <c r="U47" s="8"/>
      <c r="V47" s="8"/>
      <c r="W47" s="8"/>
      <c r="X47" s="8"/>
      <c r="Y47" s="8"/>
    </row>
    <row r="48" spans="1:25" ht="19.5" customHeight="1" x14ac:dyDescent="0.45">
      <c r="A48" t="s">
        <v>13</v>
      </c>
      <c r="B48" t="s">
        <v>21</v>
      </c>
      <c r="C48" s="4">
        <v>234</v>
      </c>
      <c r="D48" s="4">
        <f t="shared" si="7"/>
        <v>2</v>
      </c>
      <c r="E48" s="4">
        <f t="shared" si="8"/>
        <v>3</v>
      </c>
      <c r="F48" s="4">
        <f t="shared" si="9"/>
        <v>4</v>
      </c>
      <c r="H48" t="str">
        <f t="shared" si="10"/>
        <v>RR7</v>
      </c>
      <c r="J48" s="9">
        <f>(_xlfn.XLOOKUP(_xlfn.CONCAT(A48,D48),Sheet1!$AE$26:$AE$61,Sheet1!$AF$26:$AF$61)+_xlfn.XLOOKUP(_xlfn.CONCAT('ROOM TIME'!A48,'ROOM TIME'!E48),Sheet1!$AE$26:$AE$61,Sheet1!$AF$26:$AF$61)+_xlfn.XLOOKUP(_xlfn.CONCAT('ROOM TIME'!A48,'ROOM TIME'!F48),Sheet1!$AE$26:$AE$61,Sheet1!$AF$26:$AF$61))/_xlfn.XLOOKUP(A48,Sheet1!$A$12:$A$17,Sheet1!$F$12:$F$17)</f>
        <v>43.565555555555555</v>
      </c>
      <c r="O48" s="2"/>
      <c r="P48" s="2"/>
      <c r="Q48" s="2"/>
      <c r="R48" s="2"/>
      <c r="T48" s="8"/>
      <c r="U48" s="8"/>
      <c r="V48" s="8"/>
      <c r="W48" s="8"/>
      <c r="X48" s="8"/>
      <c r="Y48" s="8"/>
    </row>
    <row r="49" spans="1:25" ht="19.5" customHeight="1" x14ac:dyDescent="0.45">
      <c r="A49" t="s">
        <v>13</v>
      </c>
      <c r="B49" t="s">
        <v>22</v>
      </c>
      <c r="C49" s="4">
        <v>235</v>
      </c>
      <c r="D49" s="4">
        <f t="shared" si="7"/>
        <v>2</v>
      </c>
      <c r="E49" s="4">
        <f t="shared" si="8"/>
        <v>3</v>
      </c>
      <c r="F49" s="4">
        <f t="shared" si="9"/>
        <v>5</v>
      </c>
      <c r="H49" t="str">
        <f t="shared" si="10"/>
        <v>RR8</v>
      </c>
      <c r="J49" s="9">
        <f>(_xlfn.XLOOKUP(_xlfn.CONCAT(A49,D49),Sheet1!$AE$26:$AE$61,Sheet1!$AF$26:$AF$61)+_xlfn.XLOOKUP(_xlfn.CONCAT('ROOM TIME'!A49,'ROOM TIME'!E49),Sheet1!$AE$26:$AE$61,Sheet1!$AF$26:$AF$61)+_xlfn.XLOOKUP(_xlfn.CONCAT('ROOM TIME'!A49,'ROOM TIME'!F49),Sheet1!$AE$26:$AE$61,Sheet1!$AF$26:$AF$61))/_xlfn.XLOOKUP(A49,Sheet1!$A$12:$A$17,Sheet1!$F$12:$F$17)</f>
        <v>43.211666666666666</v>
      </c>
      <c r="O49" s="2"/>
      <c r="P49" s="2"/>
      <c r="Q49" s="2"/>
      <c r="R49" s="2"/>
      <c r="T49" s="8"/>
      <c r="U49" s="8"/>
      <c r="V49" s="8"/>
      <c r="W49" s="8"/>
      <c r="X49" s="8"/>
      <c r="Y49" s="8"/>
    </row>
    <row r="50" spans="1:25" ht="19.5" customHeight="1" x14ac:dyDescent="0.45">
      <c r="A50" t="s">
        <v>13</v>
      </c>
      <c r="B50" t="s">
        <v>23</v>
      </c>
      <c r="C50" s="4">
        <v>245</v>
      </c>
      <c r="D50" s="4">
        <f t="shared" si="7"/>
        <v>2</v>
      </c>
      <c r="E50" s="4">
        <f t="shared" si="8"/>
        <v>4</v>
      </c>
      <c r="F50" s="4">
        <f t="shared" si="9"/>
        <v>5</v>
      </c>
      <c r="H50" t="str">
        <f t="shared" si="10"/>
        <v>RR9</v>
      </c>
      <c r="J50" s="9">
        <f>(_xlfn.XLOOKUP(_xlfn.CONCAT(A50,D50),Sheet1!$AE$26:$AE$61,Sheet1!$AF$26:$AF$61)+_xlfn.XLOOKUP(_xlfn.CONCAT('ROOM TIME'!A50,'ROOM TIME'!E50),Sheet1!$AE$26:$AE$61,Sheet1!$AF$26:$AF$61)+_xlfn.XLOOKUP(_xlfn.CONCAT('ROOM TIME'!A50,'ROOM TIME'!F50),Sheet1!$AE$26:$AE$61,Sheet1!$AF$26:$AF$61))/_xlfn.XLOOKUP(A50,Sheet1!$A$12:$A$17,Sheet1!$F$12:$F$17)</f>
        <v>42.078333333333326</v>
      </c>
      <c r="O50" s="2"/>
      <c r="P50" s="2"/>
      <c r="Q50" s="2"/>
      <c r="R50" s="2"/>
      <c r="T50" s="8"/>
      <c r="U50" s="8"/>
      <c r="V50" s="8"/>
      <c r="W50" s="8"/>
      <c r="X50" s="8"/>
      <c r="Y50" s="8"/>
    </row>
    <row r="51" spans="1:25" ht="19.5" customHeight="1" x14ac:dyDescent="0.45">
      <c r="A51" t="s">
        <v>13</v>
      </c>
      <c r="B51" t="s">
        <v>24</v>
      </c>
      <c r="C51" s="4">
        <v>345</v>
      </c>
      <c r="D51" s="4">
        <f t="shared" si="7"/>
        <v>3</v>
      </c>
      <c r="E51" s="4">
        <f t="shared" si="8"/>
        <v>4</v>
      </c>
      <c r="F51" s="4">
        <f t="shared" si="9"/>
        <v>5</v>
      </c>
      <c r="H51" t="str">
        <f t="shared" si="10"/>
        <v>RR10</v>
      </c>
      <c r="J51" s="9">
        <f>(_xlfn.XLOOKUP(_xlfn.CONCAT(A51,D51),Sheet1!$AE$26:$AE$61,Sheet1!$AF$26:$AF$61)+_xlfn.XLOOKUP(_xlfn.CONCAT('ROOM TIME'!A51,'ROOM TIME'!E51),Sheet1!$AE$26:$AE$61,Sheet1!$AF$26:$AF$61)+_xlfn.XLOOKUP(_xlfn.CONCAT('ROOM TIME'!A51,'ROOM TIME'!F51),Sheet1!$AE$26:$AE$61,Sheet1!$AF$26:$AF$61))/_xlfn.XLOOKUP(A51,Sheet1!$A$12:$A$17,Sheet1!$F$12:$F$17)</f>
        <v>42.587777777777774</v>
      </c>
      <c r="O51" s="2"/>
      <c r="P51" s="2"/>
      <c r="Q51" s="2"/>
      <c r="R51" s="2"/>
      <c r="T51" s="8"/>
      <c r="U51" s="8"/>
      <c r="V51" s="8"/>
      <c r="W51" s="8"/>
      <c r="X51" s="8"/>
      <c r="Y51" s="8"/>
    </row>
    <row r="52" spans="1:25" ht="19.5" customHeight="1" x14ac:dyDescent="0.45">
      <c r="A52" t="s">
        <v>13</v>
      </c>
      <c r="B52" t="s">
        <v>25</v>
      </c>
      <c r="C52" s="4">
        <v>126</v>
      </c>
      <c r="D52" s="4">
        <f t="shared" si="7"/>
        <v>1</v>
      </c>
      <c r="E52" s="4">
        <f t="shared" si="8"/>
        <v>2</v>
      </c>
      <c r="F52" s="4">
        <f t="shared" si="9"/>
        <v>6</v>
      </c>
      <c r="H52" t="str">
        <f t="shared" si="10"/>
        <v>RR11</v>
      </c>
      <c r="J52" s="9">
        <f>(_xlfn.XLOOKUP(_xlfn.CONCAT(A52,D52),Sheet1!$AE$26:$AE$61,Sheet1!$AF$26:$AF$61)+_xlfn.XLOOKUP(_xlfn.CONCAT('ROOM TIME'!A52,'ROOM TIME'!E52),Sheet1!$AE$26:$AE$61,Sheet1!$AF$26:$AF$61)+_xlfn.XLOOKUP(_xlfn.CONCAT('ROOM TIME'!A52,'ROOM TIME'!F52),Sheet1!$AE$26:$AE$61,Sheet1!$AF$26:$AF$61))/_xlfn.XLOOKUP(A52,Sheet1!$A$12:$A$17,Sheet1!$F$12:$F$17)</f>
        <v>39.640555555555544</v>
      </c>
      <c r="O52" s="2"/>
      <c r="P52" s="2"/>
      <c r="Q52" s="2"/>
      <c r="R52" s="2"/>
      <c r="T52" s="8"/>
      <c r="U52" s="8"/>
      <c r="V52" s="8"/>
      <c r="W52" s="8"/>
      <c r="X52" s="8"/>
      <c r="Y52" s="8"/>
    </row>
    <row r="53" spans="1:25" ht="19.5" customHeight="1" x14ac:dyDescent="0.45">
      <c r="A53" t="s">
        <v>13</v>
      </c>
      <c r="B53" t="s">
        <v>26</v>
      </c>
      <c r="C53" s="4">
        <v>136</v>
      </c>
      <c r="D53" s="4">
        <f t="shared" si="7"/>
        <v>1</v>
      </c>
      <c r="E53" s="4">
        <f t="shared" si="8"/>
        <v>3</v>
      </c>
      <c r="F53" s="4">
        <f t="shared" si="9"/>
        <v>6</v>
      </c>
      <c r="H53" t="str">
        <f t="shared" si="10"/>
        <v>RR12</v>
      </c>
      <c r="J53" s="9">
        <f>(_xlfn.XLOOKUP(_xlfn.CONCAT(A53,D53),Sheet1!$AE$26:$AE$61,Sheet1!$AF$26:$AF$61)+_xlfn.XLOOKUP(_xlfn.CONCAT('ROOM TIME'!A53,'ROOM TIME'!E53),Sheet1!$AE$26:$AE$61,Sheet1!$AF$26:$AF$61)+_xlfn.XLOOKUP(_xlfn.CONCAT('ROOM TIME'!A53,'ROOM TIME'!F53),Sheet1!$AE$26:$AE$61,Sheet1!$AF$26:$AF$61))/_xlfn.XLOOKUP(A53,Sheet1!$A$12:$A$17,Sheet1!$F$12:$F$17)</f>
        <v>40.149999999999984</v>
      </c>
      <c r="O53" s="2"/>
      <c r="P53" s="2"/>
      <c r="Q53" s="2"/>
      <c r="R53" s="2"/>
      <c r="T53" s="8"/>
      <c r="U53" s="8"/>
      <c r="V53" s="8"/>
      <c r="W53" s="8"/>
      <c r="X53" s="8"/>
      <c r="Y53" s="8"/>
    </row>
    <row r="54" spans="1:25" ht="19.5" customHeight="1" x14ac:dyDescent="0.45">
      <c r="A54" t="s">
        <v>13</v>
      </c>
      <c r="B54" t="s">
        <v>27</v>
      </c>
      <c r="C54" s="4">
        <v>146</v>
      </c>
      <c r="D54" s="4">
        <f t="shared" si="7"/>
        <v>1</v>
      </c>
      <c r="E54" s="4">
        <f t="shared" si="8"/>
        <v>4</v>
      </c>
      <c r="F54" s="4">
        <f t="shared" si="9"/>
        <v>6</v>
      </c>
      <c r="H54" t="str">
        <f t="shared" si="10"/>
        <v>RR13</v>
      </c>
      <c r="J54" s="9">
        <f>(_xlfn.XLOOKUP(_xlfn.CONCAT(A54,D54),Sheet1!$AE$26:$AE$61,Sheet1!$AF$26:$AF$61)+_xlfn.XLOOKUP(_xlfn.CONCAT('ROOM TIME'!A54,'ROOM TIME'!E54),Sheet1!$AE$26:$AE$61,Sheet1!$AF$26:$AF$61)+_xlfn.XLOOKUP(_xlfn.CONCAT('ROOM TIME'!A54,'ROOM TIME'!F54),Sheet1!$AE$26:$AE$61,Sheet1!$AF$26:$AF$61))/_xlfn.XLOOKUP(A54,Sheet1!$A$12:$A$17,Sheet1!$F$12:$F$17)</f>
        <v>39.016666666666659</v>
      </c>
      <c r="O54" s="2"/>
      <c r="P54" s="2"/>
      <c r="Q54" s="2"/>
      <c r="R54" s="2"/>
      <c r="T54" s="8"/>
      <c r="U54" s="8"/>
      <c r="V54" s="8"/>
      <c r="W54" s="8"/>
      <c r="X54" s="8"/>
      <c r="Y54" s="8"/>
    </row>
    <row r="55" spans="1:25" ht="19.5" customHeight="1" x14ac:dyDescent="0.45">
      <c r="A55" t="s">
        <v>13</v>
      </c>
      <c r="B55" t="s">
        <v>28</v>
      </c>
      <c r="C55" s="4">
        <v>156</v>
      </c>
      <c r="D55" s="4">
        <f t="shared" si="7"/>
        <v>1</v>
      </c>
      <c r="E55" s="4">
        <f t="shared" si="8"/>
        <v>5</v>
      </c>
      <c r="F55" s="4">
        <f t="shared" si="9"/>
        <v>6</v>
      </c>
      <c r="H55" t="str">
        <f t="shared" si="10"/>
        <v>RR14</v>
      </c>
      <c r="J55" s="9">
        <f>(_xlfn.XLOOKUP(_xlfn.CONCAT(A55,D55),Sheet1!$AE$26:$AE$61,Sheet1!$AF$26:$AF$61)+_xlfn.XLOOKUP(_xlfn.CONCAT('ROOM TIME'!A55,'ROOM TIME'!E55),Sheet1!$AE$26:$AE$61,Sheet1!$AF$26:$AF$61)+_xlfn.XLOOKUP(_xlfn.CONCAT('ROOM TIME'!A55,'ROOM TIME'!F55),Sheet1!$AE$26:$AE$61,Sheet1!$AF$26:$AF$61))/_xlfn.XLOOKUP(A55,Sheet1!$A$12:$A$17,Sheet1!$F$12:$F$17)</f>
        <v>38.662777777777769</v>
      </c>
      <c r="O55" s="2"/>
      <c r="P55" s="2"/>
      <c r="Q55" s="2"/>
      <c r="R55" s="2"/>
      <c r="T55" s="8"/>
      <c r="U55" s="8"/>
      <c r="V55" s="8"/>
      <c r="W55" s="8"/>
      <c r="X55" s="8"/>
      <c r="Y55" s="8"/>
    </row>
    <row r="56" spans="1:25" ht="19.5" customHeight="1" x14ac:dyDescent="0.45">
      <c r="A56" t="s">
        <v>13</v>
      </c>
      <c r="B56" t="s">
        <v>29</v>
      </c>
      <c r="C56" s="4">
        <v>236</v>
      </c>
      <c r="D56" s="4">
        <f t="shared" si="7"/>
        <v>2</v>
      </c>
      <c r="E56" s="4">
        <f t="shared" si="8"/>
        <v>3</v>
      </c>
      <c r="F56" s="4">
        <f t="shared" si="9"/>
        <v>6</v>
      </c>
      <c r="H56" t="str">
        <f t="shared" si="10"/>
        <v>RR15</v>
      </c>
      <c r="J56" s="9">
        <f>(_xlfn.XLOOKUP(_xlfn.CONCAT(A56,D56),Sheet1!$AE$26:$AE$61,Sheet1!$AF$26:$AF$61)+_xlfn.XLOOKUP(_xlfn.CONCAT('ROOM TIME'!A56,'ROOM TIME'!E56),Sheet1!$AE$26:$AE$61,Sheet1!$AF$26:$AF$61)+_xlfn.XLOOKUP(_xlfn.CONCAT('ROOM TIME'!A56,'ROOM TIME'!F56),Sheet1!$AE$26:$AE$61,Sheet1!$AF$26:$AF$61))/_xlfn.XLOOKUP(A56,Sheet1!$A$12:$A$17,Sheet1!$F$12:$F$17)</f>
        <v>40.684999999999995</v>
      </c>
      <c r="O56" s="2"/>
      <c r="P56" s="2"/>
      <c r="Q56" s="2"/>
      <c r="R56" s="2"/>
      <c r="T56" s="8"/>
      <c r="U56" s="8"/>
      <c r="V56" s="8"/>
      <c r="W56" s="8"/>
      <c r="X56" s="8"/>
      <c r="Y56" s="8"/>
    </row>
    <row r="57" spans="1:25" ht="19.5" customHeight="1" x14ac:dyDescent="0.45">
      <c r="A57" t="s">
        <v>13</v>
      </c>
      <c r="B57" t="s">
        <v>30</v>
      </c>
      <c r="C57" s="4">
        <v>246</v>
      </c>
      <c r="D57" s="4">
        <f t="shared" si="7"/>
        <v>2</v>
      </c>
      <c r="E57" s="4">
        <f t="shared" si="8"/>
        <v>4</v>
      </c>
      <c r="F57" s="4">
        <f t="shared" si="9"/>
        <v>6</v>
      </c>
      <c r="H57" t="str">
        <f t="shared" si="10"/>
        <v>RR16</v>
      </c>
      <c r="J57" s="9">
        <f>(_xlfn.XLOOKUP(_xlfn.CONCAT(A57,D57),Sheet1!$AE$26:$AE$61,Sheet1!$AF$26:$AF$61)+_xlfn.XLOOKUP(_xlfn.CONCAT('ROOM TIME'!A57,'ROOM TIME'!E57),Sheet1!$AE$26:$AE$61,Sheet1!$AF$26:$AF$61)+_xlfn.XLOOKUP(_xlfn.CONCAT('ROOM TIME'!A57,'ROOM TIME'!F57),Sheet1!$AE$26:$AE$61,Sheet1!$AF$26:$AF$61))/_xlfn.XLOOKUP(A57,Sheet1!$A$12:$A$17,Sheet1!$F$12:$F$17)</f>
        <v>39.551666666666655</v>
      </c>
      <c r="O57" s="2"/>
      <c r="P57" s="2"/>
      <c r="Q57" s="2"/>
      <c r="R57" s="2"/>
      <c r="T57" s="8"/>
      <c r="U57" s="8"/>
      <c r="V57" s="8"/>
      <c r="W57" s="8"/>
      <c r="X57" s="8"/>
      <c r="Y57" s="8"/>
    </row>
    <row r="58" spans="1:25" ht="19.5" customHeight="1" x14ac:dyDescent="0.45">
      <c r="A58" t="s">
        <v>13</v>
      </c>
      <c r="B58" t="s">
        <v>31</v>
      </c>
      <c r="C58" s="4">
        <v>256</v>
      </c>
      <c r="D58" s="4">
        <f t="shared" si="7"/>
        <v>2</v>
      </c>
      <c r="E58" s="4">
        <f t="shared" si="8"/>
        <v>5</v>
      </c>
      <c r="F58" s="4">
        <f t="shared" si="9"/>
        <v>6</v>
      </c>
      <c r="H58" t="str">
        <f t="shared" si="10"/>
        <v>RR17</v>
      </c>
      <c r="J58" s="9">
        <f>(_xlfn.XLOOKUP(_xlfn.CONCAT(A58,D58),Sheet1!$AE$26:$AE$61,Sheet1!$AF$26:$AF$61)+_xlfn.XLOOKUP(_xlfn.CONCAT('ROOM TIME'!A58,'ROOM TIME'!E58),Sheet1!$AE$26:$AE$61,Sheet1!$AF$26:$AF$61)+_xlfn.XLOOKUP(_xlfn.CONCAT('ROOM TIME'!A58,'ROOM TIME'!F58),Sheet1!$AE$26:$AE$61,Sheet1!$AF$26:$AF$61))/_xlfn.XLOOKUP(A58,Sheet1!$A$12:$A$17,Sheet1!$F$12:$F$17)</f>
        <v>39.197777777777766</v>
      </c>
      <c r="O58" s="2"/>
      <c r="P58" s="2"/>
      <c r="Q58" s="2"/>
      <c r="R58" s="2"/>
      <c r="T58" s="8"/>
      <c r="U58" s="8"/>
      <c r="V58" s="8"/>
      <c r="W58" s="8"/>
      <c r="X58" s="8"/>
      <c r="Y58" s="8"/>
    </row>
    <row r="59" spans="1:25" ht="19.5" customHeight="1" x14ac:dyDescent="0.45">
      <c r="A59" t="s">
        <v>13</v>
      </c>
      <c r="B59" t="s">
        <v>32</v>
      </c>
      <c r="C59" s="4">
        <v>346</v>
      </c>
      <c r="D59" s="4">
        <f t="shared" si="7"/>
        <v>3</v>
      </c>
      <c r="E59" s="4">
        <f t="shared" si="8"/>
        <v>4</v>
      </c>
      <c r="F59" s="4">
        <f t="shared" si="9"/>
        <v>6</v>
      </c>
      <c r="H59" t="str">
        <f t="shared" si="10"/>
        <v>RR18</v>
      </c>
      <c r="J59" s="9">
        <f>(_xlfn.XLOOKUP(_xlfn.CONCAT(A59,D59),Sheet1!$AE$26:$AE$61,Sheet1!$AF$26:$AF$61)+_xlfn.XLOOKUP(_xlfn.CONCAT('ROOM TIME'!A59,'ROOM TIME'!E59),Sheet1!$AE$26:$AE$61,Sheet1!$AF$26:$AF$61)+_xlfn.XLOOKUP(_xlfn.CONCAT('ROOM TIME'!A59,'ROOM TIME'!F59),Sheet1!$AE$26:$AE$61,Sheet1!$AF$26:$AF$61))/_xlfn.XLOOKUP(A59,Sheet1!$A$12:$A$17,Sheet1!$F$12:$F$17)</f>
        <v>40.061111111111103</v>
      </c>
      <c r="O59" s="2"/>
      <c r="P59" s="2"/>
      <c r="Q59" s="2"/>
      <c r="R59" s="2"/>
      <c r="T59" s="8"/>
      <c r="U59" s="8"/>
      <c r="V59" s="8"/>
      <c r="W59" s="8"/>
      <c r="X59" s="8"/>
      <c r="Y59" s="8"/>
    </row>
    <row r="60" spans="1:25" ht="19.5" customHeight="1" x14ac:dyDescent="0.45">
      <c r="A60" t="s">
        <v>13</v>
      </c>
      <c r="B60" t="s">
        <v>33</v>
      </c>
      <c r="C60" s="4">
        <v>356</v>
      </c>
      <c r="D60" s="4">
        <f t="shared" si="7"/>
        <v>3</v>
      </c>
      <c r="E60" s="4">
        <f t="shared" si="8"/>
        <v>5</v>
      </c>
      <c r="F60" s="4">
        <f t="shared" si="9"/>
        <v>6</v>
      </c>
      <c r="H60" t="str">
        <f t="shared" si="10"/>
        <v>RR19</v>
      </c>
      <c r="J60" s="9">
        <f>(_xlfn.XLOOKUP(_xlfn.CONCAT(A60,D60),Sheet1!$AE$26:$AE$61,Sheet1!$AF$26:$AF$61)+_xlfn.XLOOKUP(_xlfn.CONCAT('ROOM TIME'!A60,'ROOM TIME'!E60),Sheet1!$AE$26:$AE$61,Sheet1!$AF$26:$AF$61)+_xlfn.XLOOKUP(_xlfn.CONCAT('ROOM TIME'!A60,'ROOM TIME'!F60),Sheet1!$AE$26:$AE$61,Sheet1!$AF$26:$AF$61))/_xlfn.XLOOKUP(A60,Sheet1!$A$12:$A$17,Sheet1!$F$12:$F$17)</f>
        <v>39.707222222222214</v>
      </c>
      <c r="O60" s="2"/>
      <c r="P60" s="2"/>
      <c r="Q60" s="2"/>
      <c r="R60" s="2"/>
      <c r="T60" s="8"/>
      <c r="U60" s="8"/>
      <c r="V60" s="8"/>
      <c r="W60" s="8"/>
      <c r="X60" s="8"/>
      <c r="Y60" s="8"/>
    </row>
    <row r="61" spans="1:25" ht="19.5" customHeight="1" x14ac:dyDescent="0.45">
      <c r="A61" t="s">
        <v>13</v>
      </c>
      <c r="B61" t="s">
        <v>34</v>
      </c>
      <c r="C61" s="4">
        <v>456</v>
      </c>
      <c r="D61" s="4">
        <f t="shared" si="7"/>
        <v>4</v>
      </c>
      <c r="E61" s="4">
        <f t="shared" si="8"/>
        <v>5</v>
      </c>
      <c r="F61" s="4">
        <f t="shared" si="9"/>
        <v>6</v>
      </c>
      <c r="H61" t="str">
        <f t="shared" si="10"/>
        <v>RR20</v>
      </c>
      <c r="J61" s="9">
        <f>(_xlfn.XLOOKUP(_xlfn.CONCAT(A61,D61),Sheet1!$AE$26:$AE$61,Sheet1!$AF$26:$AF$61)+_xlfn.XLOOKUP(_xlfn.CONCAT('ROOM TIME'!A61,'ROOM TIME'!E61),Sheet1!$AE$26:$AE$61,Sheet1!$AF$26:$AF$61)+_xlfn.XLOOKUP(_xlfn.CONCAT('ROOM TIME'!A61,'ROOM TIME'!F61),Sheet1!$AE$26:$AE$61,Sheet1!$AF$26:$AF$61))/_xlfn.XLOOKUP(A61,Sheet1!$A$12:$A$17,Sheet1!$F$12:$F$17)</f>
        <v>38.573888888888881</v>
      </c>
      <c r="O61" s="2"/>
      <c r="P61" s="2"/>
      <c r="Q61" s="2"/>
      <c r="R61" s="2"/>
      <c r="T61" s="8"/>
      <c r="U61" s="8"/>
      <c r="V61" s="8"/>
      <c r="W61" s="8"/>
      <c r="X61" s="8"/>
      <c r="Y61" s="8"/>
    </row>
    <row r="62" spans="1:25" ht="19.5" customHeight="1" x14ac:dyDescent="0.45">
      <c r="A62" t="s">
        <v>14</v>
      </c>
      <c r="B62" t="s">
        <v>10</v>
      </c>
      <c r="C62" s="4">
        <v>123</v>
      </c>
      <c r="D62" s="4">
        <f t="shared" si="7"/>
        <v>1</v>
      </c>
      <c r="E62" s="4">
        <f t="shared" si="8"/>
        <v>2</v>
      </c>
      <c r="F62" s="4">
        <f t="shared" si="9"/>
        <v>3</v>
      </c>
      <c r="H62" t="str">
        <f t="shared" si="10"/>
        <v>SR1</v>
      </c>
      <c r="J62" s="9">
        <f>(_xlfn.XLOOKUP(_xlfn.CONCAT(A62,D62),Sheet1!$AE$26:$AE$61,Sheet1!$AF$26:$AF$61)+_xlfn.XLOOKUP(_xlfn.CONCAT('ROOM TIME'!A62,'ROOM TIME'!E62),Sheet1!$AE$26:$AE$61,Sheet1!$AF$26:$AF$61)+_xlfn.XLOOKUP(_xlfn.CONCAT('ROOM TIME'!A62,'ROOM TIME'!F62),Sheet1!$AE$26:$AE$61,Sheet1!$AF$26:$AF$61))/_xlfn.XLOOKUP(A62,Sheet1!$A$12:$A$17,Sheet1!$F$12:$F$17)</f>
        <v>63.066249999999997</v>
      </c>
      <c r="O62" s="2"/>
      <c r="P62" s="2"/>
      <c r="Q62" s="2"/>
      <c r="R62" s="2"/>
      <c r="T62" s="8"/>
      <c r="U62" s="8"/>
      <c r="V62" s="8"/>
      <c r="W62" s="8"/>
      <c r="X62" s="8"/>
      <c r="Y62" s="8"/>
    </row>
    <row r="63" spans="1:25" ht="19.5" customHeight="1" x14ac:dyDescent="0.45">
      <c r="A63" t="s">
        <v>14</v>
      </c>
      <c r="B63" t="s">
        <v>11</v>
      </c>
      <c r="C63" s="4">
        <v>124</v>
      </c>
      <c r="D63" s="4">
        <f t="shared" si="7"/>
        <v>1</v>
      </c>
      <c r="E63" s="4">
        <f t="shared" si="8"/>
        <v>2</v>
      </c>
      <c r="F63" s="4">
        <f t="shared" si="9"/>
        <v>4</v>
      </c>
      <c r="H63" t="str">
        <f t="shared" si="10"/>
        <v>SR2</v>
      </c>
      <c r="J63" s="9">
        <f>(_xlfn.XLOOKUP(_xlfn.CONCAT(A63,D63),Sheet1!$AE$26:$AE$61,Sheet1!$AF$26:$AF$61)+_xlfn.XLOOKUP(_xlfn.CONCAT('ROOM TIME'!A63,'ROOM TIME'!E63),Sheet1!$AE$26:$AE$61,Sheet1!$AF$26:$AF$61)+_xlfn.XLOOKUP(_xlfn.CONCAT('ROOM TIME'!A63,'ROOM TIME'!F63),Sheet1!$AE$26:$AE$61,Sheet1!$AF$26:$AF$61))/_xlfn.XLOOKUP(A63,Sheet1!$A$12:$A$17,Sheet1!$F$12:$F$17)</f>
        <v>60.91</v>
      </c>
      <c r="O63" s="2"/>
      <c r="P63" s="2"/>
      <c r="Q63" s="2"/>
      <c r="R63" s="2"/>
      <c r="T63" s="8"/>
      <c r="U63" s="8"/>
      <c r="V63" s="8"/>
      <c r="W63" s="8"/>
      <c r="X63" s="8"/>
      <c r="Y63" s="8"/>
    </row>
    <row r="64" spans="1:25" ht="19.5" customHeight="1" x14ac:dyDescent="0.45">
      <c r="A64" t="s">
        <v>14</v>
      </c>
      <c r="B64" t="s">
        <v>17</v>
      </c>
      <c r="C64" s="4">
        <v>125</v>
      </c>
      <c r="D64" s="4">
        <f t="shared" si="7"/>
        <v>1</v>
      </c>
      <c r="E64" s="4">
        <f t="shared" si="8"/>
        <v>2</v>
      </c>
      <c r="F64" s="4">
        <f t="shared" si="9"/>
        <v>5</v>
      </c>
      <c r="H64" t="str">
        <f t="shared" si="10"/>
        <v>SR3</v>
      </c>
      <c r="J64" s="9">
        <f>(_xlfn.XLOOKUP(_xlfn.CONCAT(A64,D64),Sheet1!$AE$26:$AE$61,Sheet1!$AF$26:$AF$61)+_xlfn.XLOOKUP(_xlfn.CONCAT('ROOM TIME'!A64,'ROOM TIME'!E64),Sheet1!$AE$26:$AE$61,Sheet1!$AF$26:$AF$61)+_xlfn.XLOOKUP(_xlfn.CONCAT('ROOM TIME'!A64,'ROOM TIME'!F64),Sheet1!$AE$26:$AE$61,Sheet1!$AF$26:$AF$61))/_xlfn.XLOOKUP(A64,Sheet1!$A$12:$A$17,Sheet1!$F$12:$F$17)</f>
        <v>60.652499999999989</v>
      </c>
      <c r="O64" s="2"/>
      <c r="P64" s="2"/>
      <c r="Q64" s="2"/>
      <c r="R64" s="2"/>
      <c r="T64" s="8"/>
      <c r="U64" s="8"/>
      <c r="V64" s="8"/>
      <c r="W64" s="8"/>
      <c r="X64" s="8"/>
      <c r="Y64" s="8"/>
    </row>
    <row r="65" spans="1:25" ht="19.5" customHeight="1" x14ac:dyDescent="0.45">
      <c r="A65" t="s">
        <v>14</v>
      </c>
      <c r="B65" t="s">
        <v>18</v>
      </c>
      <c r="C65" s="4">
        <v>134</v>
      </c>
      <c r="D65" s="4">
        <f t="shared" si="7"/>
        <v>1</v>
      </c>
      <c r="E65" s="4">
        <f t="shared" si="8"/>
        <v>3</v>
      </c>
      <c r="F65" s="4">
        <f t="shared" si="9"/>
        <v>4</v>
      </c>
      <c r="H65" t="str">
        <f t="shared" si="10"/>
        <v>SR4</v>
      </c>
      <c r="J65" s="9">
        <f>(_xlfn.XLOOKUP(_xlfn.CONCAT(A65,D65),Sheet1!$AE$26:$AE$61,Sheet1!$AF$26:$AF$61)+_xlfn.XLOOKUP(_xlfn.CONCAT('ROOM TIME'!A65,'ROOM TIME'!E65),Sheet1!$AE$26:$AE$61,Sheet1!$AF$26:$AF$61)+_xlfn.XLOOKUP(_xlfn.CONCAT('ROOM TIME'!A65,'ROOM TIME'!F65),Sheet1!$AE$26:$AE$61,Sheet1!$AF$26:$AF$61))/_xlfn.XLOOKUP(A65,Sheet1!$A$12:$A$17,Sheet1!$F$12:$F$17)</f>
        <v>62.303749999999994</v>
      </c>
      <c r="O65" s="2"/>
      <c r="P65" s="2"/>
      <c r="Q65" s="2"/>
      <c r="R65" s="2"/>
      <c r="T65" s="8"/>
      <c r="U65" s="8"/>
      <c r="V65" s="8"/>
      <c r="W65" s="8"/>
      <c r="X65" s="8"/>
      <c r="Y65" s="8"/>
    </row>
    <row r="66" spans="1:25" ht="19.5" customHeight="1" x14ac:dyDescent="0.45">
      <c r="A66" t="s">
        <v>14</v>
      </c>
      <c r="B66" t="s">
        <v>19</v>
      </c>
      <c r="C66" s="4">
        <v>135</v>
      </c>
      <c r="D66" s="4">
        <f t="shared" ref="D66:D97" si="11">VALUE(LEFT(C66,1))</f>
        <v>1</v>
      </c>
      <c r="E66" s="4">
        <f t="shared" ref="E66:E97" si="12">VALUE(MID(C66,2,1))</f>
        <v>3</v>
      </c>
      <c r="F66" s="4">
        <f t="shared" ref="F66:F97" si="13">VALUE(RIGHT(C66,1))</f>
        <v>5</v>
      </c>
      <c r="H66" t="str">
        <f t="shared" ref="H66:H97" si="14">_xlfn.CONCAT(A66,B66)</f>
        <v>SR5</v>
      </c>
      <c r="J66" s="9">
        <f>(_xlfn.XLOOKUP(_xlfn.CONCAT(A66,D66),Sheet1!$AE$26:$AE$61,Sheet1!$AF$26:$AF$61)+_xlfn.XLOOKUP(_xlfn.CONCAT('ROOM TIME'!A66,'ROOM TIME'!E66),Sheet1!$AE$26:$AE$61,Sheet1!$AF$26:$AF$61)+_xlfn.XLOOKUP(_xlfn.CONCAT('ROOM TIME'!A66,'ROOM TIME'!F66),Sheet1!$AE$26:$AE$61,Sheet1!$AF$26:$AF$61))/_xlfn.XLOOKUP(A66,Sheet1!$A$12:$A$17,Sheet1!$F$12:$F$17)</f>
        <v>62.046249999999986</v>
      </c>
      <c r="O66" s="2"/>
      <c r="P66" s="2"/>
      <c r="Q66" s="2"/>
      <c r="R66" s="2"/>
      <c r="T66" s="8"/>
      <c r="U66" s="8"/>
      <c r="V66" s="8"/>
      <c r="W66" s="8"/>
      <c r="X66" s="8"/>
      <c r="Y66" s="8"/>
    </row>
    <row r="67" spans="1:25" ht="19.5" customHeight="1" x14ac:dyDescent="0.45">
      <c r="A67" t="s">
        <v>14</v>
      </c>
      <c r="B67" t="s">
        <v>20</v>
      </c>
      <c r="C67" s="4">
        <v>145</v>
      </c>
      <c r="D67" s="4">
        <f t="shared" si="11"/>
        <v>1</v>
      </c>
      <c r="E67" s="4">
        <f t="shared" si="12"/>
        <v>4</v>
      </c>
      <c r="F67" s="4">
        <f t="shared" si="13"/>
        <v>5</v>
      </c>
      <c r="H67" t="str">
        <f t="shared" si="14"/>
        <v>SR6</v>
      </c>
      <c r="J67" s="9">
        <f>(_xlfn.XLOOKUP(_xlfn.CONCAT(A67,D67),Sheet1!$AE$26:$AE$61,Sheet1!$AF$26:$AF$61)+_xlfn.XLOOKUP(_xlfn.CONCAT('ROOM TIME'!A67,'ROOM TIME'!E67),Sheet1!$AE$26:$AE$61,Sheet1!$AF$26:$AF$61)+_xlfn.XLOOKUP(_xlfn.CONCAT('ROOM TIME'!A67,'ROOM TIME'!F67),Sheet1!$AE$26:$AE$61,Sheet1!$AF$26:$AF$61))/_xlfn.XLOOKUP(A67,Sheet1!$A$12:$A$17,Sheet1!$F$12:$F$17)</f>
        <v>59.889999999999986</v>
      </c>
      <c r="O67" s="2"/>
      <c r="P67" s="2"/>
      <c r="Q67" s="2"/>
      <c r="R67" s="2"/>
      <c r="T67" s="8"/>
      <c r="U67" s="8"/>
      <c r="V67" s="8"/>
      <c r="W67" s="8"/>
      <c r="X67" s="8"/>
      <c r="Y67" s="8"/>
    </row>
    <row r="68" spans="1:25" ht="19.5" customHeight="1" x14ac:dyDescent="0.45">
      <c r="A68" t="s">
        <v>14</v>
      </c>
      <c r="B68" t="s">
        <v>21</v>
      </c>
      <c r="C68" s="4">
        <v>234</v>
      </c>
      <c r="D68" s="4">
        <f t="shared" si="11"/>
        <v>2</v>
      </c>
      <c r="E68" s="4">
        <f t="shared" si="12"/>
        <v>3</v>
      </c>
      <c r="F68" s="4">
        <f t="shared" si="13"/>
        <v>4</v>
      </c>
      <c r="H68" t="str">
        <f t="shared" si="14"/>
        <v>SR7</v>
      </c>
      <c r="J68" s="9">
        <f>(_xlfn.XLOOKUP(_xlfn.CONCAT(A68,D68),Sheet1!$AE$26:$AE$61,Sheet1!$AF$26:$AF$61)+_xlfn.XLOOKUP(_xlfn.CONCAT('ROOM TIME'!A68,'ROOM TIME'!E68),Sheet1!$AE$26:$AE$61,Sheet1!$AF$26:$AF$61)+_xlfn.XLOOKUP(_xlfn.CONCAT('ROOM TIME'!A68,'ROOM TIME'!F68),Sheet1!$AE$26:$AE$61,Sheet1!$AF$26:$AF$61))/_xlfn.XLOOKUP(A68,Sheet1!$A$12:$A$17,Sheet1!$F$12:$F$17)</f>
        <v>62.731249999999989</v>
      </c>
      <c r="O68" s="2"/>
      <c r="P68" s="2"/>
      <c r="Q68" s="2"/>
      <c r="R68" s="2"/>
      <c r="T68" s="8"/>
      <c r="U68" s="8"/>
      <c r="V68" s="8"/>
      <c r="W68" s="8"/>
      <c r="X68" s="8"/>
      <c r="Y68" s="8"/>
    </row>
    <row r="69" spans="1:25" ht="19.5" customHeight="1" x14ac:dyDescent="0.45">
      <c r="A69" t="s">
        <v>14</v>
      </c>
      <c r="B69" t="s">
        <v>22</v>
      </c>
      <c r="C69" s="4">
        <v>235</v>
      </c>
      <c r="D69" s="4">
        <f t="shared" si="11"/>
        <v>2</v>
      </c>
      <c r="E69" s="4">
        <f t="shared" si="12"/>
        <v>3</v>
      </c>
      <c r="F69" s="4">
        <f t="shared" si="13"/>
        <v>5</v>
      </c>
      <c r="H69" t="str">
        <f t="shared" si="14"/>
        <v>SR8</v>
      </c>
      <c r="J69" s="9">
        <f>(_xlfn.XLOOKUP(_xlfn.CONCAT(A69,D69),Sheet1!$AE$26:$AE$61,Sheet1!$AF$26:$AF$61)+_xlfn.XLOOKUP(_xlfn.CONCAT('ROOM TIME'!A69,'ROOM TIME'!E69),Sheet1!$AE$26:$AE$61,Sheet1!$AF$26:$AF$61)+_xlfn.XLOOKUP(_xlfn.CONCAT('ROOM TIME'!A69,'ROOM TIME'!F69),Sheet1!$AE$26:$AE$61,Sheet1!$AF$26:$AF$61))/_xlfn.XLOOKUP(A69,Sheet1!$A$12:$A$17,Sheet1!$F$12:$F$17)</f>
        <v>62.473749999999981</v>
      </c>
      <c r="O69" s="2"/>
      <c r="P69" s="2"/>
      <c r="Q69" s="2"/>
      <c r="R69" s="2"/>
      <c r="T69" s="8"/>
      <c r="U69" s="8"/>
      <c r="V69" s="8"/>
      <c r="W69" s="8"/>
      <c r="X69" s="8"/>
      <c r="Y69" s="8"/>
    </row>
    <row r="70" spans="1:25" ht="19.5" customHeight="1" x14ac:dyDescent="0.45">
      <c r="A70" t="s">
        <v>14</v>
      </c>
      <c r="B70" t="s">
        <v>23</v>
      </c>
      <c r="C70" s="4">
        <v>245</v>
      </c>
      <c r="D70" s="4">
        <f t="shared" si="11"/>
        <v>2</v>
      </c>
      <c r="E70" s="4">
        <f t="shared" si="12"/>
        <v>4</v>
      </c>
      <c r="F70" s="4">
        <f t="shared" si="13"/>
        <v>5</v>
      </c>
      <c r="H70" t="str">
        <f t="shared" si="14"/>
        <v>SR9</v>
      </c>
      <c r="J70" s="9">
        <f>(_xlfn.XLOOKUP(_xlfn.CONCAT(A70,D70),Sheet1!$AE$26:$AE$61,Sheet1!$AF$26:$AF$61)+_xlfn.XLOOKUP(_xlfn.CONCAT('ROOM TIME'!A70,'ROOM TIME'!E70),Sheet1!$AE$26:$AE$61,Sheet1!$AF$26:$AF$61)+_xlfn.XLOOKUP(_xlfn.CONCAT('ROOM TIME'!A70,'ROOM TIME'!F70),Sheet1!$AE$26:$AE$61,Sheet1!$AF$26:$AF$61))/_xlfn.XLOOKUP(A70,Sheet1!$A$12:$A$17,Sheet1!$F$12:$F$17)</f>
        <v>60.317499999999981</v>
      </c>
      <c r="O70" s="2"/>
      <c r="P70" s="2"/>
      <c r="Q70" s="2"/>
      <c r="R70" s="2"/>
      <c r="T70" s="8"/>
      <c r="U70" s="8"/>
      <c r="V70" s="8"/>
      <c r="W70" s="8"/>
      <c r="X70" s="8"/>
      <c r="Y70" s="8"/>
    </row>
    <row r="71" spans="1:25" ht="19.5" customHeight="1" x14ac:dyDescent="0.45">
      <c r="A71" t="s">
        <v>14</v>
      </c>
      <c r="B71" t="s">
        <v>24</v>
      </c>
      <c r="C71" s="4">
        <v>345</v>
      </c>
      <c r="D71" s="4">
        <f t="shared" si="11"/>
        <v>3</v>
      </c>
      <c r="E71" s="4">
        <f t="shared" si="12"/>
        <v>4</v>
      </c>
      <c r="F71" s="4">
        <f t="shared" si="13"/>
        <v>5</v>
      </c>
      <c r="H71" t="str">
        <f t="shared" si="14"/>
        <v>SR10</v>
      </c>
      <c r="J71" s="9">
        <f>(_xlfn.XLOOKUP(_xlfn.CONCAT(A71,D71),Sheet1!$AE$26:$AE$61,Sheet1!$AF$26:$AF$61)+_xlfn.XLOOKUP(_xlfn.CONCAT('ROOM TIME'!A71,'ROOM TIME'!E71),Sheet1!$AE$26:$AE$61,Sheet1!$AF$26:$AF$61)+_xlfn.XLOOKUP(_xlfn.CONCAT('ROOM TIME'!A71,'ROOM TIME'!F71),Sheet1!$AE$26:$AE$61,Sheet1!$AF$26:$AF$61))/_xlfn.XLOOKUP(A71,Sheet1!$A$12:$A$17,Sheet1!$F$12:$F$17)</f>
        <v>61.711249999999986</v>
      </c>
      <c r="O71" s="2"/>
      <c r="P71" s="2"/>
      <c r="Q71" s="2"/>
      <c r="R71" s="2"/>
      <c r="T71" s="8"/>
      <c r="U71" s="8"/>
      <c r="V71" s="8"/>
      <c r="W71" s="8"/>
      <c r="X71" s="8"/>
      <c r="Y71" s="8"/>
    </row>
    <row r="72" spans="1:25" ht="19.5" customHeight="1" x14ac:dyDescent="0.45">
      <c r="A72" t="s">
        <v>14</v>
      </c>
      <c r="B72" t="s">
        <v>25</v>
      </c>
      <c r="C72" s="4">
        <v>126</v>
      </c>
      <c r="D72" s="4">
        <f t="shared" si="11"/>
        <v>1</v>
      </c>
      <c r="E72" s="4">
        <f t="shared" si="12"/>
        <v>2</v>
      </c>
      <c r="F72" s="4">
        <f t="shared" si="13"/>
        <v>6</v>
      </c>
      <c r="H72" t="str">
        <f t="shared" si="14"/>
        <v>SR11</v>
      </c>
      <c r="J72" s="9">
        <f>(_xlfn.XLOOKUP(_xlfn.CONCAT(A72,D72),Sheet1!$AE$26:$AE$61,Sheet1!$AF$26:$AF$61)+_xlfn.XLOOKUP(_xlfn.CONCAT('ROOM TIME'!A72,'ROOM TIME'!E72),Sheet1!$AE$26:$AE$61,Sheet1!$AF$26:$AF$61)+_xlfn.XLOOKUP(_xlfn.CONCAT('ROOM TIME'!A72,'ROOM TIME'!F72),Sheet1!$AE$26:$AE$61,Sheet1!$AF$26:$AF$61))/_xlfn.XLOOKUP(A72,Sheet1!$A$12:$A$17,Sheet1!$F$12:$F$17)</f>
        <v>56.847499999999989</v>
      </c>
      <c r="O72" s="2"/>
      <c r="P72" s="2"/>
      <c r="Q72" s="2"/>
      <c r="R72" s="2"/>
      <c r="T72" s="8"/>
      <c r="U72" s="8"/>
      <c r="V72" s="8"/>
      <c r="W72" s="8"/>
      <c r="X72" s="8"/>
      <c r="Y72" s="8"/>
    </row>
    <row r="73" spans="1:25" ht="19.5" customHeight="1" x14ac:dyDescent="0.45">
      <c r="A73" t="s">
        <v>14</v>
      </c>
      <c r="B73" t="s">
        <v>26</v>
      </c>
      <c r="C73" s="4">
        <v>136</v>
      </c>
      <c r="D73" s="4">
        <f t="shared" si="11"/>
        <v>1</v>
      </c>
      <c r="E73" s="4">
        <f t="shared" si="12"/>
        <v>3</v>
      </c>
      <c r="F73" s="4">
        <f t="shared" si="13"/>
        <v>6</v>
      </c>
      <c r="H73" t="str">
        <f t="shared" si="14"/>
        <v>SR12</v>
      </c>
      <c r="J73" s="9">
        <f>(_xlfn.XLOOKUP(_xlfn.CONCAT(A73,D73),Sheet1!$AE$26:$AE$61,Sheet1!$AF$26:$AF$61)+_xlfn.XLOOKUP(_xlfn.CONCAT('ROOM TIME'!A73,'ROOM TIME'!E73),Sheet1!$AE$26:$AE$61,Sheet1!$AF$26:$AF$61)+_xlfn.XLOOKUP(_xlfn.CONCAT('ROOM TIME'!A73,'ROOM TIME'!F73),Sheet1!$AE$26:$AE$61,Sheet1!$AF$26:$AF$61))/_xlfn.XLOOKUP(A73,Sheet1!$A$12:$A$17,Sheet1!$F$12:$F$17)</f>
        <v>58.241249999999987</v>
      </c>
      <c r="O73" s="2"/>
      <c r="P73" s="2"/>
      <c r="Q73" s="2"/>
      <c r="R73" s="2"/>
      <c r="T73" s="8"/>
      <c r="U73" s="8"/>
      <c r="V73" s="8"/>
      <c r="W73" s="8"/>
      <c r="X73" s="8"/>
      <c r="Y73" s="8"/>
    </row>
    <row r="74" spans="1:25" ht="19.5" customHeight="1" x14ac:dyDescent="0.45">
      <c r="A74" t="s">
        <v>14</v>
      </c>
      <c r="B74" t="s">
        <v>27</v>
      </c>
      <c r="C74" s="4">
        <v>146</v>
      </c>
      <c r="D74" s="4">
        <f t="shared" si="11"/>
        <v>1</v>
      </c>
      <c r="E74" s="4">
        <f t="shared" si="12"/>
        <v>4</v>
      </c>
      <c r="F74" s="4">
        <f t="shared" si="13"/>
        <v>6</v>
      </c>
      <c r="H74" t="str">
        <f t="shared" si="14"/>
        <v>SR13</v>
      </c>
      <c r="J74" s="9">
        <f>(_xlfn.XLOOKUP(_xlfn.CONCAT(A74,D74),Sheet1!$AE$26:$AE$61,Sheet1!$AF$26:$AF$61)+_xlfn.XLOOKUP(_xlfn.CONCAT('ROOM TIME'!A74,'ROOM TIME'!E74),Sheet1!$AE$26:$AE$61,Sheet1!$AF$26:$AF$61)+_xlfn.XLOOKUP(_xlfn.CONCAT('ROOM TIME'!A74,'ROOM TIME'!F74),Sheet1!$AE$26:$AE$61,Sheet1!$AF$26:$AF$61))/_xlfn.XLOOKUP(A74,Sheet1!$A$12:$A$17,Sheet1!$F$12:$F$17)</f>
        <v>56.084999999999987</v>
      </c>
      <c r="O74" s="2"/>
      <c r="P74" s="2"/>
      <c r="Q74" s="2"/>
      <c r="R74" s="2"/>
      <c r="T74" s="8"/>
      <c r="U74" s="8"/>
      <c r="V74" s="8"/>
      <c r="W74" s="8"/>
      <c r="X74" s="8"/>
      <c r="Y74" s="8"/>
    </row>
    <row r="75" spans="1:25" ht="19.5" customHeight="1" x14ac:dyDescent="0.45">
      <c r="A75" t="s">
        <v>14</v>
      </c>
      <c r="B75" t="s">
        <v>28</v>
      </c>
      <c r="C75" s="4">
        <v>156</v>
      </c>
      <c r="D75" s="4">
        <f t="shared" si="11"/>
        <v>1</v>
      </c>
      <c r="E75" s="4">
        <f t="shared" si="12"/>
        <v>5</v>
      </c>
      <c r="F75" s="4">
        <f t="shared" si="13"/>
        <v>6</v>
      </c>
      <c r="H75" t="str">
        <f t="shared" si="14"/>
        <v>SR14</v>
      </c>
      <c r="J75" s="9">
        <f>(_xlfn.XLOOKUP(_xlfn.CONCAT(A75,D75),Sheet1!$AE$26:$AE$61,Sheet1!$AF$26:$AF$61)+_xlfn.XLOOKUP(_xlfn.CONCAT('ROOM TIME'!A75,'ROOM TIME'!E75),Sheet1!$AE$26:$AE$61,Sheet1!$AF$26:$AF$61)+_xlfn.XLOOKUP(_xlfn.CONCAT('ROOM TIME'!A75,'ROOM TIME'!F75),Sheet1!$AE$26:$AE$61,Sheet1!$AF$26:$AF$61))/_xlfn.XLOOKUP(A75,Sheet1!$A$12:$A$17,Sheet1!$F$12:$F$17)</f>
        <v>55.827499999999979</v>
      </c>
      <c r="O75" s="2"/>
      <c r="P75" s="2"/>
      <c r="Q75" s="2"/>
      <c r="R75" s="2"/>
      <c r="T75" s="8"/>
      <c r="U75" s="8"/>
      <c r="V75" s="8"/>
      <c r="W75" s="8"/>
      <c r="X75" s="8"/>
      <c r="Y75" s="8"/>
    </row>
    <row r="76" spans="1:25" ht="19.5" customHeight="1" x14ac:dyDescent="0.45">
      <c r="A76" t="s">
        <v>14</v>
      </c>
      <c r="B76" t="s">
        <v>29</v>
      </c>
      <c r="C76" s="4">
        <v>236</v>
      </c>
      <c r="D76" s="4">
        <f t="shared" si="11"/>
        <v>2</v>
      </c>
      <c r="E76" s="4">
        <f t="shared" si="12"/>
        <v>3</v>
      </c>
      <c r="F76" s="4">
        <f t="shared" si="13"/>
        <v>6</v>
      </c>
      <c r="H76" t="str">
        <f t="shared" si="14"/>
        <v>SR15</v>
      </c>
      <c r="J76" s="9">
        <f>(_xlfn.XLOOKUP(_xlfn.CONCAT(A76,D76),Sheet1!$AE$26:$AE$61,Sheet1!$AF$26:$AF$61)+_xlfn.XLOOKUP(_xlfn.CONCAT('ROOM TIME'!A76,'ROOM TIME'!E76),Sheet1!$AE$26:$AE$61,Sheet1!$AF$26:$AF$61)+_xlfn.XLOOKUP(_xlfn.CONCAT('ROOM TIME'!A76,'ROOM TIME'!F76),Sheet1!$AE$26:$AE$61,Sheet1!$AF$26:$AF$61))/_xlfn.XLOOKUP(A76,Sheet1!$A$12:$A$17,Sheet1!$F$12:$F$17)</f>
        <v>58.668749999999982</v>
      </c>
      <c r="O76" s="2"/>
      <c r="P76" s="2"/>
      <c r="Q76" s="2"/>
      <c r="R76" s="2"/>
      <c r="T76" s="8"/>
      <c r="U76" s="8"/>
      <c r="V76" s="8"/>
      <c r="W76" s="8"/>
      <c r="X76" s="8"/>
      <c r="Y76" s="8"/>
    </row>
    <row r="77" spans="1:25" ht="19.5" customHeight="1" x14ac:dyDescent="0.45">
      <c r="A77" t="s">
        <v>14</v>
      </c>
      <c r="B77" t="s">
        <v>30</v>
      </c>
      <c r="C77" s="4">
        <v>246</v>
      </c>
      <c r="D77" s="4">
        <f t="shared" si="11"/>
        <v>2</v>
      </c>
      <c r="E77" s="4">
        <f t="shared" si="12"/>
        <v>4</v>
      </c>
      <c r="F77" s="4">
        <f t="shared" si="13"/>
        <v>6</v>
      </c>
      <c r="H77" t="str">
        <f t="shared" si="14"/>
        <v>SR16</v>
      </c>
      <c r="J77" s="9">
        <f>(_xlfn.XLOOKUP(_xlfn.CONCAT(A77,D77),Sheet1!$AE$26:$AE$61,Sheet1!$AF$26:$AF$61)+_xlfn.XLOOKUP(_xlfn.CONCAT('ROOM TIME'!A77,'ROOM TIME'!E77),Sheet1!$AE$26:$AE$61,Sheet1!$AF$26:$AF$61)+_xlfn.XLOOKUP(_xlfn.CONCAT('ROOM TIME'!A77,'ROOM TIME'!F77),Sheet1!$AE$26:$AE$61,Sheet1!$AF$26:$AF$61))/_xlfn.XLOOKUP(A77,Sheet1!$A$12:$A$17,Sheet1!$F$12:$F$17)</f>
        <v>56.512499999999982</v>
      </c>
      <c r="O77" s="2"/>
      <c r="P77" s="2"/>
      <c r="Q77" s="2"/>
      <c r="R77" s="2"/>
      <c r="T77" s="8"/>
      <c r="U77" s="8"/>
      <c r="V77" s="8"/>
      <c r="W77" s="8"/>
      <c r="X77" s="8"/>
      <c r="Y77" s="8"/>
    </row>
    <row r="78" spans="1:25" ht="19.5" customHeight="1" x14ac:dyDescent="0.45">
      <c r="A78" t="s">
        <v>14</v>
      </c>
      <c r="B78" t="s">
        <v>31</v>
      </c>
      <c r="C78" s="4">
        <v>256</v>
      </c>
      <c r="D78" s="4">
        <f t="shared" si="11"/>
        <v>2</v>
      </c>
      <c r="E78" s="4">
        <f t="shared" si="12"/>
        <v>5</v>
      </c>
      <c r="F78" s="4">
        <f t="shared" si="13"/>
        <v>6</v>
      </c>
      <c r="H78" t="str">
        <f t="shared" si="14"/>
        <v>SR17</v>
      </c>
      <c r="J78" s="9">
        <f>(_xlfn.XLOOKUP(_xlfn.CONCAT(A78,D78),Sheet1!$AE$26:$AE$61,Sheet1!$AF$26:$AF$61)+_xlfn.XLOOKUP(_xlfn.CONCAT('ROOM TIME'!A78,'ROOM TIME'!E78),Sheet1!$AE$26:$AE$61,Sheet1!$AF$26:$AF$61)+_xlfn.XLOOKUP(_xlfn.CONCAT('ROOM TIME'!A78,'ROOM TIME'!F78),Sheet1!$AE$26:$AE$61,Sheet1!$AF$26:$AF$61))/_xlfn.XLOOKUP(A78,Sheet1!$A$12:$A$17,Sheet1!$F$12:$F$17)</f>
        <v>56.254999999999981</v>
      </c>
      <c r="O78" s="2"/>
      <c r="P78" s="2"/>
      <c r="Q78" s="2"/>
      <c r="R78" s="2"/>
      <c r="T78" s="8"/>
      <c r="U78" s="8"/>
      <c r="V78" s="8"/>
      <c r="W78" s="8"/>
      <c r="X78" s="8"/>
      <c r="Y78" s="8"/>
    </row>
    <row r="79" spans="1:25" ht="19.5" customHeight="1" x14ac:dyDescent="0.45">
      <c r="A79" t="s">
        <v>14</v>
      </c>
      <c r="B79" t="s">
        <v>32</v>
      </c>
      <c r="C79" s="4">
        <v>346</v>
      </c>
      <c r="D79" s="4">
        <f t="shared" si="11"/>
        <v>3</v>
      </c>
      <c r="E79" s="4">
        <f t="shared" si="12"/>
        <v>4</v>
      </c>
      <c r="F79" s="4">
        <f t="shared" si="13"/>
        <v>6</v>
      </c>
      <c r="H79" t="str">
        <f t="shared" si="14"/>
        <v>SR18</v>
      </c>
      <c r="J79" s="9">
        <f>(_xlfn.XLOOKUP(_xlfn.CONCAT(A79,D79),Sheet1!$AE$26:$AE$61,Sheet1!$AF$26:$AF$61)+_xlfn.XLOOKUP(_xlfn.CONCAT('ROOM TIME'!A79,'ROOM TIME'!E79),Sheet1!$AE$26:$AE$61,Sheet1!$AF$26:$AF$61)+_xlfn.XLOOKUP(_xlfn.CONCAT('ROOM TIME'!A79,'ROOM TIME'!F79),Sheet1!$AE$26:$AE$61,Sheet1!$AF$26:$AF$61))/_xlfn.XLOOKUP(A79,Sheet1!$A$12:$A$17,Sheet1!$F$12:$F$17)</f>
        <v>57.906249999999986</v>
      </c>
      <c r="O79" s="2"/>
      <c r="P79" s="2"/>
      <c r="Q79" s="2"/>
      <c r="R79" s="2"/>
      <c r="T79" s="8"/>
      <c r="U79" s="8"/>
      <c r="V79" s="8"/>
      <c r="W79" s="8"/>
      <c r="X79" s="8"/>
      <c r="Y79" s="8"/>
    </row>
    <row r="80" spans="1:25" ht="19.5" customHeight="1" x14ac:dyDescent="0.45">
      <c r="A80" t="s">
        <v>14</v>
      </c>
      <c r="B80" t="s">
        <v>33</v>
      </c>
      <c r="C80" s="4">
        <v>356</v>
      </c>
      <c r="D80" s="4">
        <f t="shared" si="11"/>
        <v>3</v>
      </c>
      <c r="E80" s="4">
        <f t="shared" si="12"/>
        <v>5</v>
      </c>
      <c r="F80" s="4">
        <f t="shared" si="13"/>
        <v>6</v>
      </c>
      <c r="H80" t="str">
        <f t="shared" si="14"/>
        <v>SR19</v>
      </c>
      <c r="J80" s="9">
        <f>(_xlfn.XLOOKUP(_xlfn.CONCAT(A80,D80),Sheet1!$AE$26:$AE$61,Sheet1!$AF$26:$AF$61)+_xlfn.XLOOKUP(_xlfn.CONCAT('ROOM TIME'!A80,'ROOM TIME'!E80),Sheet1!$AE$26:$AE$61,Sheet1!$AF$26:$AF$61)+_xlfn.XLOOKUP(_xlfn.CONCAT('ROOM TIME'!A80,'ROOM TIME'!F80),Sheet1!$AE$26:$AE$61,Sheet1!$AF$26:$AF$61))/_xlfn.XLOOKUP(A80,Sheet1!$A$12:$A$17,Sheet1!$F$12:$F$17)</f>
        <v>57.648749999999986</v>
      </c>
      <c r="O80" s="2"/>
      <c r="P80" s="2"/>
      <c r="Q80" s="2"/>
      <c r="R80" s="2"/>
      <c r="T80" s="8"/>
      <c r="U80" s="8"/>
      <c r="V80" s="8"/>
      <c r="W80" s="8"/>
      <c r="X80" s="8"/>
      <c r="Y80" s="8"/>
    </row>
    <row r="81" spans="1:25" ht="19.5" customHeight="1" x14ac:dyDescent="0.45">
      <c r="A81" t="s">
        <v>14</v>
      </c>
      <c r="B81" t="s">
        <v>34</v>
      </c>
      <c r="C81" s="4">
        <v>456</v>
      </c>
      <c r="D81" s="4">
        <f t="shared" si="11"/>
        <v>4</v>
      </c>
      <c r="E81" s="4">
        <f t="shared" si="12"/>
        <v>5</v>
      </c>
      <c r="F81" s="4">
        <f t="shared" si="13"/>
        <v>6</v>
      </c>
      <c r="H81" t="str">
        <f t="shared" si="14"/>
        <v>SR20</v>
      </c>
      <c r="J81" s="9">
        <f>(_xlfn.XLOOKUP(_xlfn.CONCAT(A81,D81),Sheet1!$AE$26:$AE$61,Sheet1!$AF$26:$AF$61)+_xlfn.XLOOKUP(_xlfn.CONCAT('ROOM TIME'!A81,'ROOM TIME'!E81),Sheet1!$AE$26:$AE$61,Sheet1!$AF$26:$AF$61)+_xlfn.XLOOKUP(_xlfn.CONCAT('ROOM TIME'!A81,'ROOM TIME'!F81),Sheet1!$AE$26:$AE$61,Sheet1!$AF$26:$AF$61))/_xlfn.XLOOKUP(A81,Sheet1!$A$12:$A$17,Sheet1!$F$12:$F$17)</f>
        <v>55.492499999999986</v>
      </c>
      <c r="O81" s="2"/>
      <c r="P81" s="2"/>
      <c r="Q81" s="2"/>
      <c r="R81" s="2"/>
      <c r="T81" s="8"/>
      <c r="U81" s="8"/>
      <c r="V81" s="8"/>
      <c r="W81" s="8"/>
      <c r="X81" s="8"/>
      <c r="Y81" s="8"/>
    </row>
    <row r="82" spans="1:25" ht="19.5" customHeight="1" x14ac:dyDescent="0.45">
      <c r="A82" t="s">
        <v>15</v>
      </c>
      <c r="B82" t="s">
        <v>10</v>
      </c>
      <c r="C82" s="4">
        <v>123</v>
      </c>
      <c r="D82" s="4">
        <f t="shared" si="11"/>
        <v>1</v>
      </c>
      <c r="E82" s="4">
        <f t="shared" si="12"/>
        <v>2</v>
      </c>
      <c r="F82" s="4">
        <f t="shared" si="13"/>
        <v>3</v>
      </c>
      <c r="H82" t="str">
        <f t="shared" si="14"/>
        <v>TR1</v>
      </c>
      <c r="J82" s="9">
        <f>(_xlfn.XLOOKUP(_xlfn.CONCAT(A82,D82),Sheet1!$AE$26:$AE$61,Sheet1!$AF$26:$AF$61)+_xlfn.XLOOKUP(_xlfn.CONCAT('ROOM TIME'!A82,'ROOM TIME'!E82),Sheet1!$AE$26:$AE$61,Sheet1!$AF$26:$AF$61)+_xlfn.XLOOKUP(_xlfn.CONCAT('ROOM TIME'!A82,'ROOM TIME'!F82),Sheet1!$AE$26:$AE$61,Sheet1!$AF$26:$AF$61))/_xlfn.XLOOKUP(A82,Sheet1!$A$12:$A$17,Sheet1!$F$12:$F$17)</f>
        <v>63.464999999999975</v>
      </c>
      <c r="O82" s="2"/>
      <c r="P82" s="2"/>
      <c r="Q82" s="2"/>
      <c r="R82" s="2"/>
      <c r="T82" s="8"/>
      <c r="U82" s="8"/>
      <c r="V82" s="8"/>
      <c r="W82" s="8"/>
      <c r="X82" s="8"/>
      <c r="Y82" s="8"/>
    </row>
    <row r="83" spans="1:25" ht="19.5" customHeight="1" x14ac:dyDescent="0.45">
      <c r="A83" t="s">
        <v>15</v>
      </c>
      <c r="B83" t="s">
        <v>11</v>
      </c>
      <c r="C83" s="4">
        <v>124</v>
      </c>
      <c r="D83" s="4">
        <f t="shared" si="11"/>
        <v>1</v>
      </c>
      <c r="E83" s="4">
        <f t="shared" si="12"/>
        <v>2</v>
      </c>
      <c r="F83" s="4">
        <f t="shared" si="13"/>
        <v>4</v>
      </c>
      <c r="H83" t="str">
        <f t="shared" si="14"/>
        <v>TR2</v>
      </c>
      <c r="J83" s="9">
        <f>(_xlfn.XLOOKUP(_xlfn.CONCAT(A83,D83),Sheet1!$AE$26:$AE$61,Sheet1!$AF$26:$AF$61)+_xlfn.XLOOKUP(_xlfn.CONCAT('ROOM TIME'!A83,'ROOM TIME'!E83),Sheet1!$AE$26:$AE$61,Sheet1!$AF$26:$AF$61)+_xlfn.XLOOKUP(_xlfn.CONCAT('ROOM TIME'!A83,'ROOM TIME'!F83),Sheet1!$AE$26:$AE$61,Sheet1!$AF$26:$AF$61))/_xlfn.XLOOKUP(A83,Sheet1!$A$12:$A$17,Sheet1!$F$12:$F$17)</f>
        <v>61.271249999999981</v>
      </c>
      <c r="O83" s="2"/>
      <c r="P83" s="2"/>
      <c r="Q83" s="2"/>
      <c r="R83" s="2"/>
      <c r="T83" s="8"/>
      <c r="U83" s="8"/>
      <c r="V83" s="8"/>
      <c r="W83" s="8"/>
      <c r="X83" s="8"/>
      <c r="Y83" s="8"/>
    </row>
    <row r="84" spans="1:25" ht="19.5" customHeight="1" x14ac:dyDescent="0.45">
      <c r="A84" t="s">
        <v>15</v>
      </c>
      <c r="B84" t="s">
        <v>17</v>
      </c>
      <c r="C84" s="4">
        <v>125</v>
      </c>
      <c r="D84" s="4">
        <f t="shared" si="11"/>
        <v>1</v>
      </c>
      <c r="E84" s="4">
        <f t="shared" si="12"/>
        <v>2</v>
      </c>
      <c r="F84" s="4">
        <f t="shared" si="13"/>
        <v>5</v>
      </c>
      <c r="H84" t="str">
        <f t="shared" si="14"/>
        <v>TR3</v>
      </c>
      <c r="J84" s="9">
        <f>(_xlfn.XLOOKUP(_xlfn.CONCAT(A84,D84),Sheet1!$AE$26:$AE$61,Sheet1!$AF$26:$AF$61)+_xlfn.XLOOKUP(_xlfn.CONCAT('ROOM TIME'!A84,'ROOM TIME'!E84),Sheet1!$AE$26:$AE$61,Sheet1!$AF$26:$AF$61)+_xlfn.XLOOKUP(_xlfn.CONCAT('ROOM TIME'!A84,'ROOM TIME'!F84),Sheet1!$AE$26:$AE$61,Sheet1!$AF$26:$AF$61))/_xlfn.XLOOKUP(A84,Sheet1!$A$12:$A$17,Sheet1!$F$12:$F$17)</f>
        <v>60.352499999999985</v>
      </c>
      <c r="O84" s="2"/>
      <c r="P84" s="2"/>
      <c r="Q84" s="2"/>
      <c r="R84" s="2"/>
      <c r="T84" s="8"/>
      <c r="U84" s="8"/>
      <c r="V84" s="8"/>
      <c r="W84" s="8"/>
      <c r="X84" s="8"/>
      <c r="Y84" s="8"/>
    </row>
    <row r="85" spans="1:25" ht="19.5" customHeight="1" x14ac:dyDescent="0.45">
      <c r="A85" t="s">
        <v>15</v>
      </c>
      <c r="B85" t="s">
        <v>18</v>
      </c>
      <c r="C85" s="4">
        <v>134</v>
      </c>
      <c r="D85" s="4">
        <f t="shared" si="11"/>
        <v>1</v>
      </c>
      <c r="E85" s="4">
        <f t="shared" si="12"/>
        <v>3</v>
      </c>
      <c r="F85" s="4">
        <f t="shared" si="13"/>
        <v>4</v>
      </c>
      <c r="H85" t="str">
        <f t="shared" si="14"/>
        <v>TR4</v>
      </c>
      <c r="J85" s="9">
        <f>(_xlfn.XLOOKUP(_xlfn.CONCAT(A85,D85),Sheet1!$AE$26:$AE$61,Sheet1!$AF$26:$AF$61)+_xlfn.XLOOKUP(_xlfn.CONCAT('ROOM TIME'!A85,'ROOM TIME'!E85),Sheet1!$AE$26:$AE$61,Sheet1!$AF$26:$AF$61)+_xlfn.XLOOKUP(_xlfn.CONCAT('ROOM TIME'!A85,'ROOM TIME'!F85),Sheet1!$AE$26:$AE$61,Sheet1!$AF$26:$AF$61))/_xlfn.XLOOKUP(A85,Sheet1!$A$12:$A$17,Sheet1!$F$12:$F$17)</f>
        <v>62.703749999999971</v>
      </c>
      <c r="O85" s="2"/>
      <c r="P85" s="2"/>
      <c r="Q85" s="2"/>
      <c r="R85" s="2"/>
      <c r="T85" s="8"/>
      <c r="U85" s="8"/>
      <c r="V85" s="8"/>
      <c r="W85" s="8"/>
      <c r="X85" s="8"/>
      <c r="Y85" s="8"/>
    </row>
    <row r="86" spans="1:25" ht="19.5" customHeight="1" x14ac:dyDescent="0.45">
      <c r="A86" t="s">
        <v>15</v>
      </c>
      <c r="B86" t="s">
        <v>19</v>
      </c>
      <c r="C86" s="4">
        <v>135</v>
      </c>
      <c r="D86" s="4">
        <f t="shared" si="11"/>
        <v>1</v>
      </c>
      <c r="E86" s="4">
        <f t="shared" si="12"/>
        <v>3</v>
      </c>
      <c r="F86" s="4">
        <f t="shared" si="13"/>
        <v>5</v>
      </c>
      <c r="H86" t="str">
        <f t="shared" si="14"/>
        <v>TR5</v>
      </c>
      <c r="J86" s="9">
        <f>(_xlfn.XLOOKUP(_xlfn.CONCAT(A86,D86),Sheet1!$AE$26:$AE$61,Sheet1!$AF$26:$AF$61)+_xlfn.XLOOKUP(_xlfn.CONCAT('ROOM TIME'!A86,'ROOM TIME'!E86),Sheet1!$AE$26:$AE$61,Sheet1!$AF$26:$AF$61)+_xlfn.XLOOKUP(_xlfn.CONCAT('ROOM TIME'!A86,'ROOM TIME'!F86),Sheet1!$AE$26:$AE$61,Sheet1!$AF$26:$AF$61))/_xlfn.XLOOKUP(A86,Sheet1!$A$12:$A$17,Sheet1!$F$12:$F$17)</f>
        <v>61.784999999999975</v>
      </c>
      <c r="O86" s="2"/>
      <c r="P86" s="2"/>
      <c r="Q86" s="2"/>
      <c r="R86" s="2"/>
      <c r="T86" s="8"/>
      <c r="U86" s="8"/>
      <c r="V86" s="8"/>
      <c r="W86" s="8"/>
      <c r="X86" s="8"/>
      <c r="Y86" s="8"/>
    </row>
    <row r="87" spans="1:25" ht="19.5" customHeight="1" x14ac:dyDescent="0.45">
      <c r="A87" t="s">
        <v>15</v>
      </c>
      <c r="B87" t="s">
        <v>20</v>
      </c>
      <c r="C87" s="4">
        <v>145</v>
      </c>
      <c r="D87" s="4">
        <f t="shared" si="11"/>
        <v>1</v>
      </c>
      <c r="E87" s="4">
        <f t="shared" si="12"/>
        <v>4</v>
      </c>
      <c r="F87" s="4">
        <f t="shared" si="13"/>
        <v>5</v>
      </c>
      <c r="H87" t="str">
        <f t="shared" si="14"/>
        <v>TR6</v>
      </c>
      <c r="J87" s="9">
        <f>(_xlfn.XLOOKUP(_xlfn.CONCAT(A87,D87),Sheet1!$AE$26:$AE$61,Sheet1!$AF$26:$AF$61)+_xlfn.XLOOKUP(_xlfn.CONCAT('ROOM TIME'!A87,'ROOM TIME'!E87),Sheet1!$AE$26:$AE$61,Sheet1!$AF$26:$AF$61)+_xlfn.XLOOKUP(_xlfn.CONCAT('ROOM TIME'!A87,'ROOM TIME'!F87),Sheet1!$AE$26:$AE$61,Sheet1!$AF$26:$AF$61))/_xlfn.XLOOKUP(A87,Sheet1!$A$12:$A$17,Sheet1!$F$12:$F$17)</f>
        <v>59.591249999999981</v>
      </c>
      <c r="O87" s="2"/>
      <c r="P87" s="2"/>
      <c r="Q87" s="2"/>
      <c r="R87" s="2"/>
      <c r="T87" s="8"/>
      <c r="U87" s="8"/>
      <c r="V87" s="8"/>
      <c r="W87" s="8"/>
      <c r="X87" s="8"/>
      <c r="Y87" s="8"/>
    </row>
    <row r="88" spans="1:25" ht="19.5" customHeight="1" x14ac:dyDescent="0.45">
      <c r="A88" t="s">
        <v>15</v>
      </c>
      <c r="B88" t="s">
        <v>21</v>
      </c>
      <c r="C88" s="4">
        <v>234</v>
      </c>
      <c r="D88" s="4">
        <f t="shared" si="11"/>
        <v>2</v>
      </c>
      <c r="E88" s="4">
        <f t="shared" si="12"/>
        <v>3</v>
      </c>
      <c r="F88" s="4">
        <f t="shared" si="13"/>
        <v>4</v>
      </c>
      <c r="H88" t="str">
        <f t="shared" si="14"/>
        <v>TR7</v>
      </c>
      <c r="J88" s="9">
        <f>(_xlfn.XLOOKUP(_xlfn.CONCAT(A88,D88),Sheet1!$AE$26:$AE$61,Sheet1!$AF$26:$AF$61)+_xlfn.XLOOKUP(_xlfn.CONCAT('ROOM TIME'!A88,'ROOM TIME'!E88),Sheet1!$AE$26:$AE$61,Sheet1!$AF$26:$AF$61)+_xlfn.XLOOKUP(_xlfn.CONCAT('ROOM TIME'!A88,'ROOM TIME'!F88),Sheet1!$AE$26:$AE$61,Sheet1!$AF$26:$AF$61))/_xlfn.XLOOKUP(A88,Sheet1!$A$12:$A$17,Sheet1!$F$12:$F$17)</f>
        <v>63.311249999999973</v>
      </c>
      <c r="O88" s="2"/>
      <c r="P88" s="2"/>
      <c r="Q88" s="2"/>
      <c r="R88" s="2"/>
      <c r="T88" s="8"/>
      <c r="U88" s="8"/>
      <c r="V88" s="8"/>
      <c r="W88" s="8"/>
      <c r="X88" s="8"/>
      <c r="Y88" s="8"/>
    </row>
    <row r="89" spans="1:25" ht="19.5" customHeight="1" x14ac:dyDescent="0.45">
      <c r="A89" t="s">
        <v>15</v>
      </c>
      <c r="B89" t="s">
        <v>22</v>
      </c>
      <c r="C89" s="4">
        <v>235</v>
      </c>
      <c r="D89" s="4">
        <f t="shared" si="11"/>
        <v>2</v>
      </c>
      <c r="E89" s="4">
        <f t="shared" si="12"/>
        <v>3</v>
      </c>
      <c r="F89" s="4">
        <f t="shared" si="13"/>
        <v>5</v>
      </c>
      <c r="H89" t="str">
        <f t="shared" si="14"/>
        <v>TR8</v>
      </c>
      <c r="J89" s="9">
        <f>(_xlfn.XLOOKUP(_xlfn.CONCAT(A89,D89),Sheet1!$AE$26:$AE$61,Sheet1!$AF$26:$AF$61)+_xlfn.XLOOKUP(_xlfn.CONCAT('ROOM TIME'!A89,'ROOM TIME'!E89),Sheet1!$AE$26:$AE$61,Sheet1!$AF$26:$AF$61)+_xlfn.XLOOKUP(_xlfn.CONCAT('ROOM TIME'!A89,'ROOM TIME'!F89),Sheet1!$AE$26:$AE$61,Sheet1!$AF$26:$AF$61))/_xlfn.XLOOKUP(A89,Sheet1!$A$12:$A$17,Sheet1!$F$12:$F$17)</f>
        <v>62.392499999999977</v>
      </c>
      <c r="O89" s="2"/>
      <c r="P89" s="2"/>
      <c r="Q89" s="2"/>
      <c r="R89" s="2"/>
      <c r="T89" s="8"/>
      <c r="U89" s="8"/>
      <c r="V89" s="8"/>
      <c r="W89" s="8"/>
      <c r="X89" s="8"/>
      <c r="Y89" s="8"/>
    </row>
    <row r="90" spans="1:25" ht="19.5" customHeight="1" x14ac:dyDescent="0.45">
      <c r="A90" t="s">
        <v>15</v>
      </c>
      <c r="B90" t="s">
        <v>23</v>
      </c>
      <c r="C90" s="4">
        <v>245</v>
      </c>
      <c r="D90" s="4">
        <f t="shared" si="11"/>
        <v>2</v>
      </c>
      <c r="E90" s="4">
        <f t="shared" si="12"/>
        <v>4</v>
      </c>
      <c r="F90" s="4">
        <f t="shared" si="13"/>
        <v>5</v>
      </c>
      <c r="H90" t="str">
        <f t="shared" si="14"/>
        <v>TR9</v>
      </c>
      <c r="J90" s="9">
        <f>(_xlfn.XLOOKUP(_xlfn.CONCAT(A90,D90),Sheet1!$AE$26:$AE$61,Sheet1!$AF$26:$AF$61)+_xlfn.XLOOKUP(_xlfn.CONCAT('ROOM TIME'!A90,'ROOM TIME'!E90),Sheet1!$AE$26:$AE$61,Sheet1!$AF$26:$AF$61)+_xlfn.XLOOKUP(_xlfn.CONCAT('ROOM TIME'!A90,'ROOM TIME'!F90),Sheet1!$AE$26:$AE$61,Sheet1!$AF$26:$AF$61))/_xlfn.XLOOKUP(A90,Sheet1!$A$12:$A$17,Sheet1!$F$12:$F$17)</f>
        <v>60.198749999999983</v>
      </c>
      <c r="O90" s="2"/>
      <c r="P90" s="2"/>
      <c r="Q90" s="2"/>
      <c r="R90" s="2"/>
      <c r="T90" s="8"/>
      <c r="U90" s="8"/>
      <c r="V90" s="8"/>
      <c r="W90" s="8"/>
      <c r="X90" s="8"/>
      <c r="Y90" s="8"/>
    </row>
    <row r="91" spans="1:25" ht="19.5" customHeight="1" x14ac:dyDescent="0.45">
      <c r="A91" t="s">
        <v>15</v>
      </c>
      <c r="B91" t="s">
        <v>24</v>
      </c>
      <c r="C91" s="4">
        <v>345</v>
      </c>
      <c r="D91" s="4">
        <f t="shared" si="11"/>
        <v>3</v>
      </c>
      <c r="E91" s="4">
        <f t="shared" si="12"/>
        <v>4</v>
      </c>
      <c r="F91" s="4">
        <f t="shared" si="13"/>
        <v>5</v>
      </c>
      <c r="H91" t="str">
        <f t="shared" si="14"/>
        <v>TR10</v>
      </c>
      <c r="J91" s="9">
        <f>(_xlfn.XLOOKUP(_xlfn.CONCAT(A91,D91),Sheet1!$AE$26:$AE$61,Sheet1!$AF$26:$AF$61)+_xlfn.XLOOKUP(_xlfn.CONCAT('ROOM TIME'!A91,'ROOM TIME'!E91),Sheet1!$AE$26:$AE$61,Sheet1!$AF$26:$AF$61)+_xlfn.XLOOKUP(_xlfn.CONCAT('ROOM TIME'!A91,'ROOM TIME'!F91),Sheet1!$AE$26:$AE$61,Sheet1!$AF$26:$AF$61))/_xlfn.XLOOKUP(A91,Sheet1!$A$12:$A$17,Sheet1!$F$12:$F$17)</f>
        <v>61.63124999999998</v>
      </c>
      <c r="O91" s="2"/>
      <c r="P91" s="2"/>
      <c r="Q91" s="2"/>
      <c r="R91" s="2"/>
      <c r="T91" s="8"/>
      <c r="U91" s="8"/>
      <c r="V91" s="8"/>
      <c r="W91" s="8"/>
      <c r="X91" s="8"/>
      <c r="Y91" s="8"/>
    </row>
    <row r="92" spans="1:25" ht="19.5" customHeight="1" x14ac:dyDescent="0.45">
      <c r="A92" t="s">
        <v>15</v>
      </c>
      <c r="B92" t="s">
        <v>25</v>
      </c>
      <c r="C92" s="4">
        <v>126</v>
      </c>
      <c r="D92" s="4">
        <f t="shared" si="11"/>
        <v>1</v>
      </c>
      <c r="E92" s="4">
        <f t="shared" si="12"/>
        <v>2</v>
      </c>
      <c r="F92" s="4">
        <f t="shared" si="13"/>
        <v>6</v>
      </c>
      <c r="H92" t="str">
        <f t="shared" si="14"/>
        <v>TR11</v>
      </c>
      <c r="J92" s="9">
        <f>(_xlfn.XLOOKUP(_xlfn.CONCAT(A92,D92),Sheet1!$AE$26:$AE$61,Sheet1!$AF$26:$AF$61)+_xlfn.XLOOKUP(_xlfn.CONCAT('ROOM TIME'!A92,'ROOM TIME'!E92),Sheet1!$AE$26:$AE$61,Sheet1!$AF$26:$AF$61)+_xlfn.XLOOKUP(_xlfn.CONCAT('ROOM TIME'!A92,'ROOM TIME'!F92),Sheet1!$AE$26:$AE$61,Sheet1!$AF$26:$AF$61))/_xlfn.XLOOKUP(A92,Sheet1!$A$12:$A$17,Sheet1!$F$12:$F$17)</f>
        <v>57.277499999999989</v>
      </c>
      <c r="O92" s="2"/>
      <c r="P92" s="2"/>
      <c r="Q92" s="2"/>
      <c r="R92" s="2"/>
      <c r="T92" s="8"/>
      <c r="U92" s="8"/>
      <c r="V92" s="8"/>
      <c r="W92" s="8"/>
      <c r="X92" s="8"/>
      <c r="Y92" s="8"/>
    </row>
    <row r="93" spans="1:25" ht="19.5" customHeight="1" x14ac:dyDescent="0.45">
      <c r="A93" t="s">
        <v>15</v>
      </c>
      <c r="B93" t="s">
        <v>26</v>
      </c>
      <c r="C93" s="4">
        <v>136</v>
      </c>
      <c r="D93" s="4">
        <f t="shared" si="11"/>
        <v>1</v>
      </c>
      <c r="E93" s="4">
        <f t="shared" si="12"/>
        <v>3</v>
      </c>
      <c r="F93" s="4">
        <f t="shared" si="13"/>
        <v>6</v>
      </c>
      <c r="H93" t="str">
        <f t="shared" si="14"/>
        <v>TR12</v>
      </c>
      <c r="J93" s="9">
        <f>(_xlfn.XLOOKUP(_xlfn.CONCAT(A93,D93),Sheet1!$AE$26:$AE$61,Sheet1!$AF$26:$AF$61)+_xlfn.XLOOKUP(_xlfn.CONCAT('ROOM TIME'!A93,'ROOM TIME'!E93),Sheet1!$AE$26:$AE$61,Sheet1!$AF$26:$AF$61)+_xlfn.XLOOKUP(_xlfn.CONCAT('ROOM TIME'!A93,'ROOM TIME'!F93),Sheet1!$AE$26:$AE$61,Sheet1!$AF$26:$AF$61))/_xlfn.XLOOKUP(A93,Sheet1!$A$12:$A$17,Sheet1!$F$12:$F$17)</f>
        <v>58.70999999999998</v>
      </c>
      <c r="O93" s="2"/>
      <c r="P93" s="2"/>
      <c r="Q93" s="2"/>
      <c r="R93" s="2"/>
      <c r="T93" s="8"/>
      <c r="U93" s="8"/>
      <c r="V93" s="8"/>
      <c r="W93" s="8"/>
      <c r="X93" s="8"/>
      <c r="Y93" s="8"/>
    </row>
    <row r="94" spans="1:25" ht="19.5" customHeight="1" x14ac:dyDescent="0.45">
      <c r="A94" t="s">
        <v>15</v>
      </c>
      <c r="B94" t="s">
        <v>27</v>
      </c>
      <c r="C94" s="4">
        <v>146</v>
      </c>
      <c r="D94" s="4">
        <f t="shared" si="11"/>
        <v>1</v>
      </c>
      <c r="E94" s="4">
        <f t="shared" si="12"/>
        <v>4</v>
      </c>
      <c r="F94" s="4">
        <f t="shared" si="13"/>
        <v>6</v>
      </c>
      <c r="H94" t="str">
        <f t="shared" si="14"/>
        <v>TR13</v>
      </c>
      <c r="J94" s="9">
        <f>(_xlfn.XLOOKUP(_xlfn.CONCAT(A94,D94),Sheet1!$AE$26:$AE$61,Sheet1!$AF$26:$AF$61)+_xlfn.XLOOKUP(_xlfn.CONCAT('ROOM TIME'!A94,'ROOM TIME'!E94),Sheet1!$AE$26:$AE$61,Sheet1!$AF$26:$AF$61)+_xlfn.XLOOKUP(_xlfn.CONCAT('ROOM TIME'!A94,'ROOM TIME'!F94),Sheet1!$AE$26:$AE$61,Sheet1!$AF$26:$AF$61))/_xlfn.XLOOKUP(A94,Sheet1!$A$12:$A$17,Sheet1!$F$12:$F$17)</f>
        <v>56.516249999999985</v>
      </c>
      <c r="O94" s="2"/>
      <c r="P94" s="2"/>
      <c r="Q94" s="2"/>
      <c r="R94" s="2"/>
      <c r="T94" s="8"/>
      <c r="U94" s="8"/>
      <c r="V94" s="8"/>
      <c r="W94" s="8"/>
      <c r="X94" s="8"/>
      <c r="Y94" s="8"/>
    </row>
    <row r="95" spans="1:25" ht="19.5" customHeight="1" x14ac:dyDescent="0.45">
      <c r="A95" t="s">
        <v>15</v>
      </c>
      <c r="B95" t="s">
        <v>28</v>
      </c>
      <c r="C95" s="4">
        <v>156</v>
      </c>
      <c r="D95" s="4">
        <f t="shared" si="11"/>
        <v>1</v>
      </c>
      <c r="E95" s="4">
        <f t="shared" si="12"/>
        <v>5</v>
      </c>
      <c r="F95" s="4">
        <f t="shared" si="13"/>
        <v>6</v>
      </c>
      <c r="H95" t="str">
        <f t="shared" si="14"/>
        <v>TR14</v>
      </c>
      <c r="J95" s="9">
        <f>(_xlfn.XLOOKUP(_xlfn.CONCAT(A95,D95),Sheet1!$AE$26:$AE$61,Sheet1!$AF$26:$AF$61)+_xlfn.XLOOKUP(_xlfn.CONCAT('ROOM TIME'!A95,'ROOM TIME'!E95),Sheet1!$AE$26:$AE$61,Sheet1!$AF$26:$AF$61)+_xlfn.XLOOKUP(_xlfn.CONCAT('ROOM TIME'!A95,'ROOM TIME'!F95),Sheet1!$AE$26:$AE$61,Sheet1!$AF$26:$AF$61))/_xlfn.XLOOKUP(A95,Sheet1!$A$12:$A$17,Sheet1!$F$12:$F$17)</f>
        <v>55.597499999999982</v>
      </c>
      <c r="O95" s="2"/>
      <c r="P95" s="2"/>
      <c r="Q95" s="2"/>
      <c r="R95" s="2"/>
      <c r="T95" s="8"/>
      <c r="U95" s="8"/>
      <c r="V95" s="8"/>
      <c r="W95" s="8"/>
      <c r="X95" s="8"/>
      <c r="Y95" s="8"/>
    </row>
    <row r="96" spans="1:25" ht="19.5" customHeight="1" x14ac:dyDescent="0.45">
      <c r="A96" t="s">
        <v>15</v>
      </c>
      <c r="B96" t="s">
        <v>29</v>
      </c>
      <c r="C96" s="4">
        <v>236</v>
      </c>
      <c r="D96" s="4">
        <f t="shared" si="11"/>
        <v>2</v>
      </c>
      <c r="E96" s="4">
        <f t="shared" si="12"/>
        <v>3</v>
      </c>
      <c r="F96" s="4">
        <f t="shared" si="13"/>
        <v>6</v>
      </c>
      <c r="H96" t="str">
        <f t="shared" si="14"/>
        <v>TR15</v>
      </c>
      <c r="J96" s="9">
        <f>(_xlfn.XLOOKUP(_xlfn.CONCAT(A96,D96),Sheet1!$AE$26:$AE$61,Sheet1!$AF$26:$AF$61)+_xlfn.XLOOKUP(_xlfn.CONCAT('ROOM TIME'!A96,'ROOM TIME'!E96),Sheet1!$AE$26:$AE$61,Sheet1!$AF$26:$AF$61)+_xlfn.XLOOKUP(_xlfn.CONCAT('ROOM TIME'!A96,'ROOM TIME'!F96),Sheet1!$AE$26:$AE$61,Sheet1!$AF$26:$AF$61))/_xlfn.XLOOKUP(A96,Sheet1!$A$12:$A$17,Sheet1!$F$12:$F$17)</f>
        <v>59.317499999999981</v>
      </c>
      <c r="O96" s="2"/>
      <c r="P96" s="2"/>
      <c r="Q96" s="2"/>
      <c r="R96" s="2"/>
      <c r="T96" s="8"/>
      <c r="U96" s="8"/>
      <c r="V96" s="8"/>
      <c r="W96" s="8"/>
      <c r="X96" s="8"/>
      <c r="Y96" s="8"/>
    </row>
    <row r="97" spans="1:25" ht="19.5" customHeight="1" x14ac:dyDescent="0.45">
      <c r="A97" t="s">
        <v>15</v>
      </c>
      <c r="B97" t="s">
        <v>30</v>
      </c>
      <c r="C97" s="4">
        <v>246</v>
      </c>
      <c r="D97" s="4">
        <f t="shared" si="11"/>
        <v>2</v>
      </c>
      <c r="E97" s="4">
        <f t="shared" si="12"/>
        <v>4</v>
      </c>
      <c r="F97" s="4">
        <f t="shared" si="13"/>
        <v>6</v>
      </c>
      <c r="H97" t="str">
        <f t="shared" si="14"/>
        <v>TR16</v>
      </c>
      <c r="J97" s="9">
        <f>(_xlfn.XLOOKUP(_xlfn.CONCAT(A97,D97),Sheet1!$AE$26:$AE$61,Sheet1!$AF$26:$AF$61)+_xlfn.XLOOKUP(_xlfn.CONCAT('ROOM TIME'!A97,'ROOM TIME'!E97),Sheet1!$AE$26:$AE$61,Sheet1!$AF$26:$AF$61)+_xlfn.XLOOKUP(_xlfn.CONCAT('ROOM TIME'!A97,'ROOM TIME'!F97),Sheet1!$AE$26:$AE$61,Sheet1!$AF$26:$AF$61))/_xlfn.XLOOKUP(A97,Sheet1!$A$12:$A$17,Sheet1!$F$12:$F$17)</f>
        <v>57.123749999999987</v>
      </c>
      <c r="O97" s="2"/>
      <c r="P97" s="2"/>
      <c r="Q97" s="2"/>
      <c r="R97" s="2"/>
      <c r="T97" s="8"/>
      <c r="U97" s="8"/>
      <c r="V97" s="8"/>
      <c r="W97" s="8"/>
      <c r="X97" s="8"/>
      <c r="Y97" s="8"/>
    </row>
    <row r="98" spans="1:25" ht="19.5" customHeight="1" x14ac:dyDescent="0.45">
      <c r="A98" t="s">
        <v>15</v>
      </c>
      <c r="B98" t="s">
        <v>31</v>
      </c>
      <c r="C98" s="4">
        <v>256</v>
      </c>
      <c r="D98" s="4">
        <f t="shared" ref="D98:D129" si="15">VALUE(LEFT(C98,1))</f>
        <v>2</v>
      </c>
      <c r="E98" s="4">
        <f t="shared" ref="E98:E121" si="16">VALUE(MID(C98,2,1))</f>
        <v>5</v>
      </c>
      <c r="F98" s="4">
        <f t="shared" ref="F98:F121" si="17">VALUE(RIGHT(C98,1))</f>
        <v>6</v>
      </c>
      <c r="H98" t="str">
        <f t="shared" ref="H98:H121" si="18">_xlfn.CONCAT(A98,B98)</f>
        <v>TR17</v>
      </c>
      <c r="J98" s="9">
        <f>(_xlfn.XLOOKUP(_xlfn.CONCAT(A98,D98),Sheet1!$AE$26:$AE$61,Sheet1!$AF$26:$AF$61)+_xlfn.XLOOKUP(_xlfn.CONCAT('ROOM TIME'!A98,'ROOM TIME'!E98),Sheet1!$AE$26:$AE$61,Sheet1!$AF$26:$AF$61)+_xlfn.XLOOKUP(_xlfn.CONCAT('ROOM TIME'!A98,'ROOM TIME'!F98),Sheet1!$AE$26:$AE$61,Sheet1!$AF$26:$AF$61))/_xlfn.XLOOKUP(A98,Sheet1!$A$12:$A$17,Sheet1!$F$12:$F$17)</f>
        <v>56.204999999999984</v>
      </c>
      <c r="O98" s="2"/>
      <c r="P98" s="2"/>
      <c r="Q98" s="2"/>
      <c r="R98" s="2"/>
      <c r="T98" s="8"/>
      <c r="U98" s="8"/>
      <c r="V98" s="8"/>
      <c r="W98" s="8"/>
      <c r="X98" s="8"/>
      <c r="Y98" s="8"/>
    </row>
    <row r="99" spans="1:25" ht="19.5" customHeight="1" x14ac:dyDescent="0.45">
      <c r="A99" t="s">
        <v>15</v>
      </c>
      <c r="B99" t="s">
        <v>32</v>
      </c>
      <c r="C99" s="4">
        <v>346</v>
      </c>
      <c r="D99" s="4">
        <f t="shared" si="15"/>
        <v>3</v>
      </c>
      <c r="E99" s="4">
        <f t="shared" si="16"/>
        <v>4</v>
      </c>
      <c r="F99" s="4">
        <f t="shared" si="17"/>
        <v>6</v>
      </c>
      <c r="H99" t="str">
        <f t="shared" si="18"/>
        <v>TR18</v>
      </c>
      <c r="J99" s="9">
        <f>(_xlfn.XLOOKUP(_xlfn.CONCAT(A99,D99),Sheet1!$AE$26:$AE$61,Sheet1!$AF$26:$AF$61)+_xlfn.XLOOKUP(_xlfn.CONCAT('ROOM TIME'!A99,'ROOM TIME'!E99),Sheet1!$AE$26:$AE$61,Sheet1!$AF$26:$AF$61)+_xlfn.XLOOKUP(_xlfn.CONCAT('ROOM TIME'!A99,'ROOM TIME'!F99),Sheet1!$AE$26:$AE$61,Sheet1!$AF$26:$AF$61))/_xlfn.XLOOKUP(A99,Sheet1!$A$12:$A$17,Sheet1!$F$12:$F$17)</f>
        <v>58.556249999999977</v>
      </c>
      <c r="O99" s="2"/>
      <c r="P99" s="2"/>
      <c r="Q99" s="2"/>
      <c r="R99" s="2"/>
      <c r="T99" s="8"/>
      <c r="U99" s="8"/>
      <c r="V99" s="8"/>
      <c r="W99" s="8"/>
      <c r="X99" s="8"/>
      <c r="Y99" s="8"/>
    </row>
    <row r="100" spans="1:25" ht="19.5" customHeight="1" x14ac:dyDescent="0.45">
      <c r="A100" t="s">
        <v>15</v>
      </c>
      <c r="B100" t="s">
        <v>33</v>
      </c>
      <c r="C100" s="4">
        <v>356</v>
      </c>
      <c r="D100" s="4">
        <f t="shared" si="15"/>
        <v>3</v>
      </c>
      <c r="E100" s="4">
        <f t="shared" si="16"/>
        <v>5</v>
      </c>
      <c r="F100" s="4">
        <f t="shared" si="17"/>
        <v>6</v>
      </c>
      <c r="H100" t="str">
        <f t="shared" si="18"/>
        <v>TR19</v>
      </c>
      <c r="J100" s="9">
        <f>(_xlfn.XLOOKUP(_xlfn.CONCAT(A100,D100),Sheet1!$AE$26:$AE$61,Sheet1!$AF$26:$AF$61)+_xlfn.XLOOKUP(_xlfn.CONCAT('ROOM TIME'!A100,'ROOM TIME'!E100),Sheet1!$AE$26:$AE$61,Sheet1!$AF$26:$AF$61)+_xlfn.XLOOKUP(_xlfn.CONCAT('ROOM TIME'!A100,'ROOM TIME'!F100),Sheet1!$AE$26:$AE$61,Sheet1!$AF$26:$AF$61))/_xlfn.XLOOKUP(A100,Sheet1!$A$12:$A$17,Sheet1!$F$12:$F$17)</f>
        <v>57.637499999999989</v>
      </c>
      <c r="O100" s="2"/>
      <c r="P100" s="2"/>
      <c r="Q100" s="2"/>
      <c r="R100" s="2"/>
      <c r="T100" s="8"/>
      <c r="U100" s="8"/>
      <c r="V100" s="8"/>
      <c r="W100" s="8"/>
      <c r="X100" s="8"/>
      <c r="Y100" s="8"/>
    </row>
    <row r="101" spans="1:25" ht="19.5" customHeight="1" x14ac:dyDescent="0.45">
      <c r="A101" t="s">
        <v>15</v>
      </c>
      <c r="B101" t="s">
        <v>34</v>
      </c>
      <c r="C101" s="4">
        <v>456</v>
      </c>
      <c r="D101" s="4">
        <f t="shared" si="15"/>
        <v>4</v>
      </c>
      <c r="E101" s="4">
        <f t="shared" si="16"/>
        <v>5</v>
      </c>
      <c r="F101" s="4">
        <f t="shared" si="17"/>
        <v>6</v>
      </c>
      <c r="H101" t="str">
        <f t="shared" si="18"/>
        <v>TR20</v>
      </c>
      <c r="J101" s="9">
        <f>(_xlfn.XLOOKUP(_xlfn.CONCAT(A101,D101),Sheet1!$AE$26:$AE$61,Sheet1!$AF$26:$AF$61)+_xlfn.XLOOKUP(_xlfn.CONCAT('ROOM TIME'!A101,'ROOM TIME'!E101),Sheet1!$AE$26:$AE$61,Sheet1!$AF$26:$AF$61)+_xlfn.XLOOKUP(_xlfn.CONCAT('ROOM TIME'!A101,'ROOM TIME'!F101),Sheet1!$AE$26:$AE$61,Sheet1!$AF$26:$AF$61))/_xlfn.XLOOKUP(A101,Sheet1!$A$12:$A$17,Sheet1!$F$12:$F$17)</f>
        <v>55.443749999999994</v>
      </c>
      <c r="O101" s="2"/>
      <c r="P101" s="2"/>
      <c r="Q101" s="2"/>
      <c r="R101" s="2"/>
      <c r="T101" s="8"/>
      <c r="U101" s="8"/>
      <c r="V101" s="8"/>
      <c r="W101" s="8"/>
      <c r="X101" s="8"/>
      <c r="Y101" s="8"/>
    </row>
    <row r="102" spans="1:25" ht="19.5" customHeight="1" x14ac:dyDescent="0.45">
      <c r="A102" t="s">
        <v>16</v>
      </c>
      <c r="B102" t="s">
        <v>10</v>
      </c>
      <c r="C102" s="4">
        <v>123</v>
      </c>
      <c r="D102" s="4">
        <f t="shared" si="15"/>
        <v>1</v>
      </c>
      <c r="E102" s="4">
        <f t="shared" si="16"/>
        <v>2</v>
      </c>
      <c r="F102" s="4">
        <f t="shared" si="17"/>
        <v>3</v>
      </c>
      <c r="H102" t="str">
        <f t="shared" si="18"/>
        <v>UR1</v>
      </c>
      <c r="J102" s="9">
        <f>(_xlfn.XLOOKUP(_xlfn.CONCAT(A102,D102),Sheet1!$AE$26:$AE$61,Sheet1!$AF$26:$AF$61)+_xlfn.XLOOKUP(_xlfn.CONCAT('ROOM TIME'!A102,'ROOM TIME'!E102),Sheet1!$AE$26:$AE$61,Sheet1!$AF$26:$AF$61)+_xlfn.XLOOKUP(_xlfn.CONCAT('ROOM TIME'!A102,'ROOM TIME'!F102),Sheet1!$AE$26:$AE$61,Sheet1!$AF$26:$AF$61))/_xlfn.XLOOKUP(A102,Sheet1!$A$12:$A$17,Sheet1!$F$12:$F$17)</f>
        <v>62.539999999999985</v>
      </c>
      <c r="O102" s="2"/>
      <c r="P102" s="2"/>
      <c r="Q102" s="2"/>
      <c r="R102" s="2"/>
      <c r="T102" s="8"/>
      <c r="U102" s="8"/>
      <c r="V102" s="8"/>
      <c r="W102" s="8"/>
      <c r="X102" s="8"/>
      <c r="Y102" s="8"/>
    </row>
    <row r="103" spans="1:25" ht="19.5" customHeight="1" x14ac:dyDescent="0.45">
      <c r="A103" t="s">
        <v>16</v>
      </c>
      <c r="B103" t="s">
        <v>11</v>
      </c>
      <c r="C103" s="4">
        <v>124</v>
      </c>
      <c r="D103" s="4">
        <f t="shared" si="15"/>
        <v>1</v>
      </c>
      <c r="E103" s="4">
        <f t="shared" si="16"/>
        <v>2</v>
      </c>
      <c r="F103" s="4">
        <f t="shared" si="17"/>
        <v>4</v>
      </c>
      <c r="H103" t="str">
        <f t="shared" si="18"/>
        <v>UR2</v>
      </c>
      <c r="J103" s="9">
        <f>(_xlfn.XLOOKUP(_xlfn.CONCAT(A103,D103),Sheet1!$AE$26:$AE$61,Sheet1!$AF$26:$AF$61)+_xlfn.XLOOKUP(_xlfn.CONCAT('ROOM TIME'!A103,'ROOM TIME'!E103),Sheet1!$AE$26:$AE$61,Sheet1!$AF$26:$AF$61)+_xlfn.XLOOKUP(_xlfn.CONCAT('ROOM TIME'!A103,'ROOM TIME'!F103),Sheet1!$AE$26:$AE$61,Sheet1!$AF$26:$AF$61))/_xlfn.XLOOKUP(A103,Sheet1!$A$12:$A$17,Sheet1!$F$12:$F$17)</f>
        <v>61.621249999999989</v>
      </c>
      <c r="O103" s="2"/>
      <c r="P103" s="2"/>
      <c r="Q103" s="2"/>
      <c r="R103" s="2"/>
      <c r="T103" s="8"/>
      <c r="U103" s="8"/>
      <c r="V103" s="8"/>
      <c r="W103" s="8"/>
      <c r="X103" s="8"/>
      <c r="Y103" s="8"/>
    </row>
    <row r="104" spans="1:25" ht="19.5" customHeight="1" x14ac:dyDescent="0.45">
      <c r="A104" t="s">
        <v>16</v>
      </c>
      <c r="B104" t="s">
        <v>17</v>
      </c>
      <c r="C104" s="4">
        <v>125</v>
      </c>
      <c r="D104" s="4">
        <f t="shared" si="15"/>
        <v>1</v>
      </c>
      <c r="E104" s="4">
        <f t="shared" si="16"/>
        <v>2</v>
      </c>
      <c r="F104" s="4">
        <f t="shared" si="17"/>
        <v>5</v>
      </c>
      <c r="H104" t="str">
        <f t="shared" si="18"/>
        <v>UR3</v>
      </c>
      <c r="J104" s="9">
        <f>(_xlfn.XLOOKUP(_xlfn.CONCAT(A104,D104),Sheet1!$AE$26:$AE$61,Sheet1!$AF$26:$AF$61)+_xlfn.XLOOKUP(_xlfn.CONCAT('ROOM TIME'!A104,'ROOM TIME'!E104),Sheet1!$AE$26:$AE$61,Sheet1!$AF$26:$AF$61)+_xlfn.XLOOKUP(_xlfn.CONCAT('ROOM TIME'!A104,'ROOM TIME'!F104),Sheet1!$AE$26:$AE$61,Sheet1!$AF$26:$AF$61))/_xlfn.XLOOKUP(A104,Sheet1!$A$12:$A$17,Sheet1!$F$12:$F$17)</f>
        <v>60.841249999999988</v>
      </c>
      <c r="O104" s="2"/>
      <c r="P104" s="2"/>
      <c r="Q104" s="2"/>
      <c r="R104" s="2"/>
      <c r="T104" s="8"/>
      <c r="U104" s="8"/>
      <c r="V104" s="8"/>
      <c r="W104" s="8"/>
      <c r="X104" s="8"/>
      <c r="Y104" s="8"/>
    </row>
    <row r="105" spans="1:25" ht="19.5" customHeight="1" x14ac:dyDescent="0.45">
      <c r="A105" t="s">
        <v>16</v>
      </c>
      <c r="B105" t="s">
        <v>18</v>
      </c>
      <c r="C105" s="4">
        <v>134</v>
      </c>
      <c r="D105" s="4">
        <f t="shared" si="15"/>
        <v>1</v>
      </c>
      <c r="E105" s="4">
        <f t="shared" si="16"/>
        <v>3</v>
      </c>
      <c r="F105" s="4">
        <f t="shared" si="17"/>
        <v>4</v>
      </c>
      <c r="H105" t="str">
        <f t="shared" si="18"/>
        <v>UR4</v>
      </c>
      <c r="J105" s="9">
        <f>(_xlfn.XLOOKUP(_xlfn.CONCAT(A105,D105),Sheet1!$AE$26:$AE$61,Sheet1!$AF$26:$AF$61)+_xlfn.XLOOKUP(_xlfn.CONCAT('ROOM TIME'!A105,'ROOM TIME'!E105),Sheet1!$AE$26:$AE$61,Sheet1!$AF$26:$AF$61)+_xlfn.XLOOKUP(_xlfn.CONCAT('ROOM TIME'!A105,'ROOM TIME'!F105),Sheet1!$AE$26:$AE$61,Sheet1!$AF$26:$AF$61))/_xlfn.XLOOKUP(A105,Sheet1!$A$12:$A$17,Sheet1!$F$12:$F$17)</f>
        <v>61.59999999999998</v>
      </c>
      <c r="O105" s="2"/>
      <c r="P105" s="2"/>
      <c r="Q105" s="2"/>
      <c r="R105" s="2"/>
      <c r="T105" s="8"/>
      <c r="U105" s="8"/>
      <c r="V105" s="8"/>
      <c r="W105" s="8"/>
      <c r="X105" s="8"/>
      <c r="Y105" s="8"/>
    </row>
    <row r="106" spans="1:25" ht="19.5" customHeight="1" x14ac:dyDescent="0.45">
      <c r="A106" t="s">
        <v>16</v>
      </c>
      <c r="B106" t="s">
        <v>19</v>
      </c>
      <c r="C106" s="4">
        <v>135</v>
      </c>
      <c r="D106" s="4">
        <f t="shared" si="15"/>
        <v>1</v>
      </c>
      <c r="E106" s="4">
        <f t="shared" si="16"/>
        <v>3</v>
      </c>
      <c r="F106" s="4">
        <f t="shared" si="17"/>
        <v>5</v>
      </c>
      <c r="H106" t="str">
        <f t="shared" si="18"/>
        <v>UR5</v>
      </c>
      <c r="J106" s="9">
        <f>(_xlfn.XLOOKUP(_xlfn.CONCAT(A106,D106),Sheet1!$AE$26:$AE$61,Sheet1!$AF$26:$AF$61)+_xlfn.XLOOKUP(_xlfn.CONCAT('ROOM TIME'!A106,'ROOM TIME'!E106),Sheet1!$AE$26:$AE$61,Sheet1!$AF$26:$AF$61)+_xlfn.XLOOKUP(_xlfn.CONCAT('ROOM TIME'!A106,'ROOM TIME'!F106),Sheet1!$AE$26:$AE$61,Sheet1!$AF$26:$AF$61))/_xlfn.XLOOKUP(A106,Sheet1!$A$12:$A$17,Sheet1!$F$12:$F$17)</f>
        <v>60.819999999999979</v>
      </c>
      <c r="O106" s="2"/>
      <c r="P106" s="2"/>
      <c r="Q106" s="2"/>
      <c r="R106" s="2"/>
      <c r="T106" s="8"/>
      <c r="U106" s="8"/>
      <c r="V106" s="8"/>
      <c r="W106" s="8"/>
      <c r="X106" s="8"/>
      <c r="Y106" s="8"/>
    </row>
    <row r="107" spans="1:25" ht="19.5" customHeight="1" x14ac:dyDescent="0.45">
      <c r="A107" t="s">
        <v>16</v>
      </c>
      <c r="B107" t="s">
        <v>20</v>
      </c>
      <c r="C107" s="4">
        <v>145</v>
      </c>
      <c r="D107" s="4">
        <f t="shared" si="15"/>
        <v>1</v>
      </c>
      <c r="E107" s="4">
        <f t="shared" si="16"/>
        <v>4</v>
      </c>
      <c r="F107" s="4">
        <f t="shared" si="17"/>
        <v>5</v>
      </c>
      <c r="H107" t="str">
        <f t="shared" si="18"/>
        <v>UR6</v>
      </c>
      <c r="J107" s="9">
        <f>(_xlfn.XLOOKUP(_xlfn.CONCAT(A107,D107),Sheet1!$AE$26:$AE$61,Sheet1!$AF$26:$AF$61)+_xlfn.XLOOKUP(_xlfn.CONCAT('ROOM TIME'!A107,'ROOM TIME'!E107),Sheet1!$AE$26:$AE$61,Sheet1!$AF$26:$AF$61)+_xlfn.XLOOKUP(_xlfn.CONCAT('ROOM TIME'!A107,'ROOM TIME'!F107),Sheet1!$AE$26:$AE$61,Sheet1!$AF$26:$AF$61))/_xlfn.XLOOKUP(A107,Sheet1!$A$12:$A$17,Sheet1!$F$12:$F$17)</f>
        <v>59.901249999999983</v>
      </c>
      <c r="O107" s="2"/>
      <c r="P107" s="2"/>
      <c r="Q107" s="2"/>
      <c r="R107" s="2"/>
      <c r="T107" s="8"/>
      <c r="U107" s="8"/>
      <c r="V107" s="8"/>
      <c r="W107" s="8"/>
      <c r="X107" s="8"/>
      <c r="Y107" s="8"/>
    </row>
    <row r="108" spans="1:25" ht="19.5" customHeight="1" x14ac:dyDescent="0.45">
      <c r="A108" t="s">
        <v>16</v>
      </c>
      <c r="B108" t="s">
        <v>21</v>
      </c>
      <c r="C108" s="4">
        <v>234</v>
      </c>
      <c r="D108" s="4">
        <f t="shared" si="15"/>
        <v>2</v>
      </c>
      <c r="E108" s="4">
        <f t="shared" si="16"/>
        <v>3</v>
      </c>
      <c r="F108" s="4">
        <f t="shared" si="17"/>
        <v>4</v>
      </c>
      <c r="H108" t="str">
        <f t="shared" si="18"/>
        <v>UR7</v>
      </c>
      <c r="J108" s="9">
        <f>(_xlfn.XLOOKUP(_xlfn.CONCAT(A108,D108),Sheet1!$AE$26:$AE$61,Sheet1!$AF$26:$AF$61)+_xlfn.XLOOKUP(_xlfn.CONCAT('ROOM TIME'!A108,'ROOM TIME'!E108),Sheet1!$AE$26:$AE$61,Sheet1!$AF$26:$AF$61)+_xlfn.XLOOKUP(_xlfn.CONCAT('ROOM TIME'!A108,'ROOM TIME'!F108),Sheet1!$AE$26:$AE$61,Sheet1!$AF$26:$AF$61))/_xlfn.XLOOKUP(A108,Sheet1!$A$12:$A$17,Sheet1!$F$12:$F$17)</f>
        <v>62.758749999999978</v>
      </c>
      <c r="O108" s="2"/>
      <c r="P108" s="2"/>
      <c r="Q108" s="2"/>
      <c r="R108" s="2"/>
      <c r="T108" s="8"/>
      <c r="U108" s="8"/>
      <c r="V108" s="8"/>
      <c r="W108" s="8"/>
      <c r="X108" s="8"/>
      <c r="Y108" s="8"/>
    </row>
    <row r="109" spans="1:25" ht="19.5" customHeight="1" x14ac:dyDescent="0.45">
      <c r="A109" t="s">
        <v>16</v>
      </c>
      <c r="B109" t="s">
        <v>22</v>
      </c>
      <c r="C109" s="4">
        <v>235</v>
      </c>
      <c r="D109" s="4">
        <f t="shared" si="15"/>
        <v>2</v>
      </c>
      <c r="E109" s="4">
        <f t="shared" si="16"/>
        <v>3</v>
      </c>
      <c r="F109" s="4">
        <f t="shared" si="17"/>
        <v>5</v>
      </c>
      <c r="H109" t="str">
        <f t="shared" si="18"/>
        <v>UR8</v>
      </c>
      <c r="J109" s="9">
        <f>(_xlfn.XLOOKUP(_xlfn.CONCAT(A109,D109),Sheet1!$AE$26:$AE$61,Sheet1!$AF$26:$AF$61)+_xlfn.XLOOKUP(_xlfn.CONCAT('ROOM TIME'!A109,'ROOM TIME'!E109),Sheet1!$AE$26:$AE$61,Sheet1!$AF$26:$AF$61)+_xlfn.XLOOKUP(_xlfn.CONCAT('ROOM TIME'!A109,'ROOM TIME'!F109),Sheet1!$AE$26:$AE$61,Sheet1!$AF$26:$AF$61))/_xlfn.XLOOKUP(A109,Sheet1!$A$12:$A$17,Sheet1!$F$12:$F$17)</f>
        <v>61.978749999999984</v>
      </c>
      <c r="O109" s="2"/>
      <c r="P109" s="2"/>
      <c r="Q109" s="2"/>
      <c r="R109" s="2"/>
      <c r="T109" s="8"/>
      <c r="U109" s="8"/>
      <c r="V109" s="8"/>
      <c r="W109" s="8"/>
      <c r="X109" s="8"/>
      <c r="Y109" s="8"/>
    </row>
    <row r="110" spans="1:25" ht="19.5" customHeight="1" x14ac:dyDescent="0.45">
      <c r="A110" t="s">
        <v>16</v>
      </c>
      <c r="B110" t="s">
        <v>23</v>
      </c>
      <c r="C110" s="4">
        <v>245</v>
      </c>
      <c r="D110" s="4">
        <f t="shared" si="15"/>
        <v>2</v>
      </c>
      <c r="E110" s="4">
        <f t="shared" si="16"/>
        <v>4</v>
      </c>
      <c r="F110" s="4">
        <f t="shared" si="17"/>
        <v>5</v>
      </c>
      <c r="H110" t="str">
        <f t="shared" si="18"/>
        <v>UR9</v>
      </c>
      <c r="J110" s="9">
        <f>(_xlfn.XLOOKUP(_xlfn.CONCAT(A110,D110),Sheet1!$AE$26:$AE$61,Sheet1!$AF$26:$AF$61)+_xlfn.XLOOKUP(_xlfn.CONCAT('ROOM TIME'!A110,'ROOM TIME'!E110),Sheet1!$AE$26:$AE$61,Sheet1!$AF$26:$AF$61)+_xlfn.XLOOKUP(_xlfn.CONCAT('ROOM TIME'!A110,'ROOM TIME'!F110),Sheet1!$AE$26:$AE$61,Sheet1!$AF$26:$AF$61))/_xlfn.XLOOKUP(A110,Sheet1!$A$12:$A$17,Sheet1!$F$12:$F$17)</f>
        <v>61.059999999999988</v>
      </c>
      <c r="O110" s="2"/>
      <c r="P110" s="2"/>
      <c r="Q110" s="2"/>
      <c r="R110" s="2"/>
      <c r="T110" s="8"/>
      <c r="U110" s="8"/>
      <c r="V110" s="8"/>
      <c r="W110" s="8"/>
      <c r="X110" s="8"/>
      <c r="Y110" s="8"/>
    </row>
    <row r="111" spans="1:25" ht="19.5" customHeight="1" x14ac:dyDescent="0.45">
      <c r="A111" t="s">
        <v>16</v>
      </c>
      <c r="B111" t="s">
        <v>24</v>
      </c>
      <c r="C111" s="4">
        <v>345</v>
      </c>
      <c r="D111" s="4">
        <f t="shared" si="15"/>
        <v>3</v>
      </c>
      <c r="E111" s="4">
        <f t="shared" si="16"/>
        <v>4</v>
      </c>
      <c r="F111" s="4">
        <f t="shared" si="17"/>
        <v>5</v>
      </c>
      <c r="H111" t="str">
        <f t="shared" si="18"/>
        <v>UR10</v>
      </c>
      <c r="J111" s="9">
        <f>(_xlfn.XLOOKUP(_xlfn.CONCAT(A111,D111),Sheet1!$AE$26:$AE$61,Sheet1!$AF$26:$AF$61)+_xlfn.XLOOKUP(_xlfn.CONCAT('ROOM TIME'!A111,'ROOM TIME'!E111),Sheet1!$AE$26:$AE$61,Sheet1!$AF$26:$AF$61)+_xlfn.XLOOKUP(_xlfn.CONCAT('ROOM TIME'!A111,'ROOM TIME'!F111),Sheet1!$AE$26:$AE$61,Sheet1!$AF$26:$AF$61))/_xlfn.XLOOKUP(A111,Sheet1!$A$12:$A$17,Sheet1!$F$12:$F$17)</f>
        <v>61.038749999999979</v>
      </c>
      <c r="O111" s="2"/>
      <c r="P111" s="2"/>
      <c r="Q111" s="2"/>
      <c r="R111" s="2"/>
      <c r="T111" s="8"/>
      <c r="U111" s="8"/>
      <c r="V111" s="8"/>
      <c r="W111" s="8"/>
      <c r="X111" s="8"/>
      <c r="Y111" s="8"/>
    </row>
    <row r="112" spans="1:25" ht="19.5" customHeight="1" x14ac:dyDescent="0.45">
      <c r="A112" t="s">
        <v>16</v>
      </c>
      <c r="B112" t="s">
        <v>25</v>
      </c>
      <c r="C112" s="4">
        <v>126</v>
      </c>
      <c r="D112" s="4">
        <f t="shared" si="15"/>
        <v>1</v>
      </c>
      <c r="E112" s="4">
        <f t="shared" si="16"/>
        <v>2</v>
      </c>
      <c r="F112" s="4">
        <f t="shared" si="17"/>
        <v>6</v>
      </c>
      <c r="H112" t="str">
        <f t="shared" si="18"/>
        <v>UR11</v>
      </c>
      <c r="J112" s="9">
        <f>(_xlfn.XLOOKUP(_xlfn.CONCAT(A112,D112),Sheet1!$AE$26:$AE$61,Sheet1!$AF$26:$AF$61)+_xlfn.XLOOKUP(_xlfn.CONCAT('ROOM TIME'!A112,'ROOM TIME'!E112),Sheet1!$AE$26:$AE$61,Sheet1!$AF$26:$AF$61)+_xlfn.XLOOKUP(_xlfn.CONCAT('ROOM TIME'!A112,'ROOM TIME'!F112),Sheet1!$AE$26:$AE$61,Sheet1!$AF$26:$AF$61))/_xlfn.XLOOKUP(A112,Sheet1!$A$12:$A$17,Sheet1!$F$12:$F$17)</f>
        <v>57.321249999999985</v>
      </c>
      <c r="O112" s="2"/>
      <c r="P112" s="2"/>
      <c r="Q112" s="2"/>
      <c r="R112" s="2"/>
      <c r="T112" s="8"/>
      <c r="U112" s="8"/>
      <c r="V112" s="8"/>
      <c r="W112" s="8"/>
      <c r="X112" s="8"/>
      <c r="Y112" s="8"/>
    </row>
    <row r="113" spans="1:25" ht="19.5" customHeight="1" x14ac:dyDescent="0.45">
      <c r="A113" t="s">
        <v>16</v>
      </c>
      <c r="B113" t="s">
        <v>26</v>
      </c>
      <c r="C113" s="4">
        <v>136</v>
      </c>
      <c r="D113" s="4">
        <f t="shared" si="15"/>
        <v>1</v>
      </c>
      <c r="E113" s="4">
        <f t="shared" si="16"/>
        <v>3</v>
      </c>
      <c r="F113" s="4">
        <f t="shared" si="17"/>
        <v>6</v>
      </c>
      <c r="H113" t="str">
        <f t="shared" si="18"/>
        <v>UR12</v>
      </c>
      <c r="J113" s="9">
        <f>(_xlfn.XLOOKUP(_xlfn.CONCAT(A113,D113),Sheet1!$AE$26:$AE$61,Sheet1!$AF$26:$AF$61)+_xlfn.XLOOKUP(_xlfn.CONCAT('ROOM TIME'!A113,'ROOM TIME'!E113),Sheet1!$AE$26:$AE$61,Sheet1!$AF$26:$AF$61)+_xlfn.XLOOKUP(_xlfn.CONCAT('ROOM TIME'!A113,'ROOM TIME'!F113),Sheet1!$AE$26:$AE$61,Sheet1!$AF$26:$AF$61))/_xlfn.XLOOKUP(A113,Sheet1!$A$12:$A$17,Sheet1!$F$12:$F$17)</f>
        <v>57.299999999999976</v>
      </c>
      <c r="O113" s="2"/>
      <c r="P113" s="2"/>
      <c r="Q113" s="2"/>
      <c r="R113" s="2"/>
      <c r="T113" s="8"/>
      <c r="U113" s="8"/>
      <c r="V113" s="8"/>
      <c r="W113" s="8"/>
      <c r="X113" s="8"/>
      <c r="Y113" s="8"/>
    </row>
    <row r="114" spans="1:25" ht="19.5" customHeight="1" x14ac:dyDescent="0.45">
      <c r="A114" t="s">
        <v>16</v>
      </c>
      <c r="B114" t="s">
        <v>27</v>
      </c>
      <c r="C114" s="4">
        <v>146</v>
      </c>
      <c r="D114" s="4">
        <f t="shared" si="15"/>
        <v>1</v>
      </c>
      <c r="E114" s="4">
        <f t="shared" si="16"/>
        <v>4</v>
      </c>
      <c r="F114" s="4">
        <f t="shared" si="17"/>
        <v>6</v>
      </c>
      <c r="H114" t="str">
        <f t="shared" si="18"/>
        <v>UR13</v>
      </c>
      <c r="J114" s="9">
        <f>(_xlfn.XLOOKUP(_xlfn.CONCAT(A114,D114),Sheet1!$AE$26:$AE$61,Sheet1!$AF$26:$AF$61)+_xlfn.XLOOKUP(_xlfn.CONCAT('ROOM TIME'!A114,'ROOM TIME'!E114),Sheet1!$AE$26:$AE$61,Sheet1!$AF$26:$AF$61)+_xlfn.XLOOKUP(_xlfn.CONCAT('ROOM TIME'!A114,'ROOM TIME'!F114),Sheet1!$AE$26:$AE$61,Sheet1!$AF$26:$AF$61))/_xlfn.XLOOKUP(A114,Sheet1!$A$12:$A$17,Sheet1!$F$12:$F$17)</f>
        <v>56.38124999999998</v>
      </c>
      <c r="O114" s="2"/>
      <c r="P114" s="2"/>
      <c r="Q114" s="2"/>
      <c r="R114" s="2"/>
      <c r="T114" s="8"/>
      <c r="U114" s="8"/>
      <c r="V114" s="8"/>
      <c r="W114" s="8"/>
      <c r="X114" s="8"/>
      <c r="Y114" s="8"/>
    </row>
    <row r="115" spans="1:25" ht="19.5" customHeight="1" x14ac:dyDescent="0.45">
      <c r="A115" t="s">
        <v>16</v>
      </c>
      <c r="B115" t="s">
        <v>28</v>
      </c>
      <c r="C115" s="4">
        <v>156</v>
      </c>
      <c r="D115" s="4">
        <f t="shared" si="15"/>
        <v>1</v>
      </c>
      <c r="E115" s="4">
        <f t="shared" si="16"/>
        <v>5</v>
      </c>
      <c r="F115" s="4">
        <f t="shared" si="17"/>
        <v>6</v>
      </c>
      <c r="H115" t="str">
        <f t="shared" si="18"/>
        <v>UR14</v>
      </c>
      <c r="J115" s="9">
        <f>(_xlfn.XLOOKUP(_xlfn.CONCAT(A115,D115),Sheet1!$AE$26:$AE$61,Sheet1!$AF$26:$AF$61)+_xlfn.XLOOKUP(_xlfn.CONCAT('ROOM TIME'!A115,'ROOM TIME'!E115),Sheet1!$AE$26:$AE$61,Sheet1!$AF$26:$AF$61)+_xlfn.XLOOKUP(_xlfn.CONCAT('ROOM TIME'!A115,'ROOM TIME'!F115),Sheet1!$AE$26:$AE$61,Sheet1!$AF$26:$AF$61))/_xlfn.XLOOKUP(A115,Sheet1!$A$12:$A$17,Sheet1!$F$12:$F$17)</f>
        <v>55.601249999999986</v>
      </c>
      <c r="O115" s="2"/>
      <c r="P115" s="2"/>
      <c r="Q115" s="2"/>
      <c r="R115" s="2"/>
      <c r="T115" s="8"/>
      <c r="U115" s="8"/>
      <c r="V115" s="8"/>
      <c r="W115" s="8"/>
      <c r="X115" s="8"/>
      <c r="Y115" s="8"/>
    </row>
    <row r="116" spans="1:25" ht="19.5" customHeight="1" x14ac:dyDescent="0.45">
      <c r="A116" t="s">
        <v>16</v>
      </c>
      <c r="B116" t="s">
        <v>29</v>
      </c>
      <c r="C116" s="4">
        <v>236</v>
      </c>
      <c r="D116" s="4">
        <f t="shared" si="15"/>
        <v>2</v>
      </c>
      <c r="E116" s="4">
        <f t="shared" si="16"/>
        <v>3</v>
      </c>
      <c r="F116" s="4">
        <f t="shared" si="17"/>
        <v>6</v>
      </c>
      <c r="H116" t="str">
        <f t="shared" si="18"/>
        <v>UR15</v>
      </c>
      <c r="J116" s="9">
        <f>(_xlfn.XLOOKUP(_xlfn.CONCAT(A116,D116),Sheet1!$AE$26:$AE$61,Sheet1!$AF$26:$AF$61)+_xlfn.XLOOKUP(_xlfn.CONCAT('ROOM TIME'!A116,'ROOM TIME'!E116),Sheet1!$AE$26:$AE$61,Sheet1!$AF$26:$AF$61)+_xlfn.XLOOKUP(_xlfn.CONCAT('ROOM TIME'!A116,'ROOM TIME'!F116),Sheet1!$AE$26:$AE$61,Sheet1!$AF$26:$AF$61))/_xlfn.XLOOKUP(A116,Sheet1!$A$12:$A$17,Sheet1!$F$12:$F$17)</f>
        <v>58.458749999999981</v>
      </c>
      <c r="O116" s="2"/>
      <c r="P116" s="2"/>
      <c r="Q116" s="2"/>
      <c r="R116" s="2"/>
      <c r="T116" s="8"/>
      <c r="U116" s="8"/>
      <c r="V116" s="8"/>
      <c r="W116" s="8"/>
      <c r="X116" s="8"/>
      <c r="Y116" s="8"/>
    </row>
    <row r="117" spans="1:25" ht="19.5" customHeight="1" x14ac:dyDescent="0.45">
      <c r="A117" t="s">
        <v>16</v>
      </c>
      <c r="B117" t="s">
        <v>30</v>
      </c>
      <c r="C117" s="4">
        <v>246</v>
      </c>
      <c r="D117" s="4">
        <f t="shared" si="15"/>
        <v>2</v>
      </c>
      <c r="E117" s="4">
        <f t="shared" si="16"/>
        <v>4</v>
      </c>
      <c r="F117" s="4">
        <f t="shared" si="17"/>
        <v>6</v>
      </c>
      <c r="H117" t="str">
        <f t="shared" si="18"/>
        <v>UR16</v>
      </c>
      <c r="J117" s="9">
        <f>(_xlfn.XLOOKUP(_xlfn.CONCAT(A117,D117),Sheet1!$AE$26:$AE$61,Sheet1!$AF$26:$AF$61)+_xlfn.XLOOKUP(_xlfn.CONCAT('ROOM TIME'!A117,'ROOM TIME'!E117),Sheet1!$AE$26:$AE$61,Sheet1!$AF$26:$AF$61)+_xlfn.XLOOKUP(_xlfn.CONCAT('ROOM TIME'!A117,'ROOM TIME'!F117),Sheet1!$AE$26:$AE$61,Sheet1!$AF$26:$AF$61))/_xlfn.XLOOKUP(A117,Sheet1!$A$12:$A$17,Sheet1!$F$12:$F$17)</f>
        <v>57.539999999999985</v>
      </c>
      <c r="O117" s="2"/>
      <c r="P117" s="2"/>
      <c r="Q117" s="2"/>
      <c r="R117" s="2"/>
      <c r="T117" s="8"/>
      <c r="U117" s="8"/>
      <c r="V117" s="8"/>
      <c r="W117" s="8"/>
      <c r="X117" s="8"/>
      <c r="Y117" s="8"/>
    </row>
    <row r="118" spans="1:25" ht="19.5" customHeight="1" x14ac:dyDescent="0.45">
      <c r="A118" t="s">
        <v>16</v>
      </c>
      <c r="B118" t="s">
        <v>31</v>
      </c>
      <c r="C118" s="4">
        <v>256</v>
      </c>
      <c r="D118" s="4">
        <f t="shared" si="15"/>
        <v>2</v>
      </c>
      <c r="E118" s="4">
        <f t="shared" si="16"/>
        <v>5</v>
      </c>
      <c r="F118" s="4">
        <f t="shared" si="17"/>
        <v>6</v>
      </c>
      <c r="H118" t="str">
        <f t="shared" si="18"/>
        <v>UR17</v>
      </c>
      <c r="J118" s="9">
        <f>(_xlfn.XLOOKUP(_xlfn.CONCAT(A118,D118),Sheet1!$AE$26:$AE$61,Sheet1!$AF$26:$AF$61)+_xlfn.XLOOKUP(_xlfn.CONCAT('ROOM TIME'!A118,'ROOM TIME'!E118),Sheet1!$AE$26:$AE$61,Sheet1!$AF$26:$AF$61)+_xlfn.XLOOKUP(_xlfn.CONCAT('ROOM TIME'!A118,'ROOM TIME'!F118),Sheet1!$AE$26:$AE$61,Sheet1!$AF$26:$AF$61))/_xlfn.XLOOKUP(A118,Sheet1!$A$12:$A$17,Sheet1!$F$12:$F$17)</f>
        <v>56.759999999999984</v>
      </c>
      <c r="O118" s="2"/>
      <c r="P118" s="2"/>
      <c r="Q118" s="2"/>
      <c r="R118" s="2"/>
      <c r="T118" s="8"/>
      <c r="U118" s="8"/>
      <c r="V118" s="8"/>
      <c r="W118" s="8"/>
      <c r="X118" s="8"/>
      <c r="Y118" s="8"/>
    </row>
    <row r="119" spans="1:25" ht="19.5" customHeight="1" x14ac:dyDescent="0.45">
      <c r="A119" t="s">
        <v>16</v>
      </c>
      <c r="B119" t="s">
        <v>32</v>
      </c>
      <c r="C119" s="4">
        <v>346</v>
      </c>
      <c r="D119" s="4">
        <f t="shared" si="15"/>
        <v>3</v>
      </c>
      <c r="E119" s="4">
        <f t="shared" si="16"/>
        <v>4</v>
      </c>
      <c r="F119" s="4">
        <f t="shared" si="17"/>
        <v>6</v>
      </c>
      <c r="H119" t="str">
        <f t="shared" si="18"/>
        <v>UR18</v>
      </c>
      <c r="J119" s="9">
        <f>(_xlfn.XLOOKUP(_xlfn.CONCAT(A119,D119),Sheet1!$AE$26:$AE$61,Sheet1!$AF$26:$AF$61)+_xlfn.XLOOKUP(_xlfn.CONCAT('ROOM TIME'!A119,'ROOM TIME'!E119),Sheet1!$AE$26:$AE$61,Sheet1!$AF$26:$AF$61)+_xlfn.XLOOKUP(_xlfn.CONCAT('ROOM TIME'!A119,'ROOM TIME'!F119),Sheet1!$AE$26:$AE$61,Sheet1!$AF$26:$AF$61))/_xlfn.XLOOKUP(A119,Sheet1!$A$12:$A$17,Sheet1!$F$12:$F$17)</f>
        <v>57.518749999999976</v>
      </c>
      <c r="O119" s="2"/>
      <c r="P119" s="2"/>
      <c r="Q119" s="2"/>
      <c r="R119" s="2"/>
      <c r="T119" s="8"/>
      <c r="U119" s="8"/>
      <c r="V119" s="8"/>
      <c r="W119" s="8"/>
      <c r="X119" s="8"/>
      <c r="Y119" s="8"/>
    </row>
    <row r="120" spans="1:25" ht="19.5" customHeight="1" x14ac:dyDescent="0.45">
      <c r="A120" t="s">
        <v>16</v>
      </c>
      <c r="B120" t="s">
        <v>33</v>
      </c>
      <c r="C120" s="4">
        <v>356</v>
      </c>
      <c r="D120" s="4">
        <f t="shared" si="15"/>
        <v>3</v>
      </c>
      <c r="E120" s="4">
        <f t="shared" si="16"/>
        <v>5</v>
      </c>
      <c r="F120" s="4">
        <f t="shared" si="17"/>
        <v>6</v>
      </c>
      <c r="H120" t="str">
        <f t="shared" si="18"/>
        <v>UR19</v>
      </c>
      <c r="J120" s="9">
        <f>(_xlfn.XLOOKUP(_xlfn.CONCAT(A120,D120),Sheet1!$AE$26:$AE$61,Sheet1!$AF$26:$AF$61)+_xlfn.XLOOKUP(_xlfn.CONCAT('ROOM TIME'!A120,'ROOM TIME'!E120),Sheet1!$AE$26:$AE$61,Sheet1!$AF$26:$AF$61)+_xlfn.XLOOKUP(_xlfn.CONCAT('ROOM TIME'!A120,'ROOM TIME'!F120),Sheet1!$AE$26:$AE$61,Sheet1!$AF$26:$AF$61))/_xlfn.XLOOKUP(A120,Sheet1!$A$12:$A$17,Sheet1!$F$12:$F$17)</f>
        <v>56.738749999999982</v>
      </c>
      <c r="O120" s="2"/>
      <c r="P120" s="2"/>
      <c r="Q120" s="2"/>
      <c r="R120" s="2"/>
      <c r="T120" s="8"/>
      <c r="U120" s="8"/>
      <c r="V120" s="8"/>
      <c r="W120" s="8"/>
      <c r="X120" s="8"/>
      <c r="Y120" s="8"/>
    </row>
    <row r="121" spans="1:25" ht="19.5" customHeight="1" x14ac:dyDescent="0.45">
      <c r="A121" t="s">
        <v>16</v>
      </c>
      <c r="B121" t="s">
        <v>34</v>
      </c>
      <c r="C121" s="4">
        <v>456</v>
      </c>
      <c r="D121" s="4">
        <f t="shared" si="15"/>
        <v>4</v>
      </c>
      <c r="E121" s="4">
        <f t="shared" si="16"/>
        <v>5</v>
      </c>
      <c r="F121" s="4">
        <f t="shared" si="17"/>
        <v>6</v>
      </c>
      <c r="H121" t="str">
        <f t="shared" si="18"/>
        <v>UR20</v>
      </c>
      <c r="J121" s="9">
        <f>(_xlfn.XLOOKUP(_xlfn.CONCAT(A121,D121),Sheet1!$AE$26:$AE$61,Sheet1!$AF$26:$AF$61)+_xlfn.XLOOKUP(_xlfn.CONCAT('ROOM TIME'!A121,'ROOM TIME'!E121),Sheet1!$AE$26:$AE$61,Sheet1!$AF$26:$AF$61)+_xlfn.XLOOKUP(_xlfn.CONCAT('ROOM TIME'!A121,'ROOM TIME'!F121),Sheet1!$AE$26:$AE$61,Sheet1!$AF$26:$AF$61))/_xlfn.XLOOKUP(A121,Sheet1!$A$12:$A$17,Sheet1!$F$12:$F$17)</f>
        <v>55.819999999999986</v>
      </c>
      <c r="O121" s="2"/>
      <c r="P121" s="2"/>
      <c r="Q121" s="2"/>
      <c r="R121" s="2"/>
      <c r="T121" s="8"/>
      <c r="U121" s="8"/>
      <c r="V121" s="8"/>
      <c r="W121" s="8"/>
      <c r="X121" s="8"/>
      <c r="Y12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6"/>
  <sheetViews>
    <sheetView workbookViewId="0"/>
  </sheetViews>
  <sheetFormatPr defaultRowHeight="14.25" x14ac:dyDescent="0.45"/>
  <cols>
    <col min="1" max="1" width="12" style="5" bestFit="1" customWidth="1"/>
    <col min="2" max="2" width="12.59765625" style="6" bestFit="1" customWidth="1"/>
  </cols>
  <sheetData>
    <row r="1" spans="1:2" ht="19.5" customHeight="1" x14ac:dyDescent="0.45">
      <c r="A1" s="1"/>
      <c r="B1" s="2"/>
    </row>
    <row r="2" spans="1:2" ht="19.5" customHeight="1" x14ac:dyDescent="0.45">
      <c r="A2" s="1"/>
      <c r="B2" s="2"/>
    </row>
    <row r="3" spans="1:2" ht="19.5" customHeight="1" x14ac:dyDescent="0.45">
      <c r="A3" s="1" t="s">
        <v>0</v>
      </c>
      <c r="B3" s="2" t="s">
        <v>1</v>
      </c>
    </row>
    <row r="4" spans="1:2" ht="19.5" customHeight="1" x14ac:dyDescent="0.45">
      <c r="A4" s="3" t="s">
        <v>2</v>
      </c>
      <c r="B4" s="4">
        <v>1068</v>
      </c>
    </row>
    <row r="5" spans="1:2" ht="19.5" customHeight="1" x14ac:dyDescent="0.45">
      <c r="A5" s="3" t="s">
        <v>3</v>
      </c>
      <c r="B5" s="4">
        <v>1092</v>
      </c>
    </row>
    <row r="6" spans="1:2" ht="19.5" customHeight="1" x14ac:dyDescent="0.45">
      <c r="A6" s="3" t="s">
        <v>4</v>
      </c>
      <c r="B6" s="4">
        <v>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</vt:lpstr>
      <vt:lpstr>ROOM TIME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Bhavya Tyagi</cp:lastModifiedBy>
  <dcterms:created xsi:type="dcterms:W3CDTF">2023-08-04T13:38:34Z</dcterms:created>
  <dcterms:modified xsi:type="dcterms:W3CDTF">2023-08-04T14:03:08Z</dcterms:modified>
</cp:coreProperties>
</file>